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62D85588-6E0F-4C5B-9EDC-5838FB023AE3}" xr6:coauthVersionLast="47" xr6:coauthVersionMax="47" xr10:uidLastSave="{00000000-0000-0000-0000-000000000000}"/>
  <bookViews>
    <workbookView xWindow="2715" yWindow="600" windowWidth="19200" windowHeight="1132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58" i="9"/>
  <c r="V58" i="9"/>
  <c r="P58" i="9"/>
  <c r="M58" i="9"/>
  <c r="G58" i="9"/>
  <c r="D58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5" i="9"/>
  <c r="V35" i="9"/>
  <c r="P35" i="9"/>
  <c r="M35" i="9"/>
  <c r="G35" i="9"/>
  <c r="D35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58" i="9"/>
  <c r="U58" i="9"/>
  <c r="O58" i="9"/>
  <c r="L58" i="9"/>
  <c r="F58" i="9"/>
  <c r="C58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5" i="9"/>
  <c r="U35" i="9"/>
  <c r="O35" i="9"/>
  <c r="L35" i="9"/>
  <c r="F35" i="9"/>
  <c r="C35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8"/>
  <c r="M30" i="18"/>
  <c r="G30" i="18"/>
  <c r="D30" i="18"/>
  <c r="G28" i="18"/>
  <c r="D28" i="18"/>
  <c r="P27" i="18"/>
  <c r="M27" i="18"/>
  <c r="G27" i="18"/>
  <c r="D27" i="18"/>
  <c r="P24" i="18"/>
  <c r="M24" i="18"/>
  <c r="G24" i="18"/>
  <c r="D24" i="18"/>
  <c r="P23" i="18"/>
  <c r="M23" i="18"/>
  <c r="G23" i="18"/>
  <c r="D23" i="18"/>
  <c r="P22" i="18"/>
  <c r="M22" i="18"/>
  <c r="G22" i="18"/>
  <c r="D22" i="18"/>
  <c r="P21" i="18"/>
  <c r="M21" i="18"/>
  <c r="G21" i="18"/>
  <c r="D21" i="18"/>
  <c r="P18" i="18"/>
  <c r="M18" i="18"/>
  <c r="G18" i="18"/>
  <c r="D18" i="18"/>
  <c r="P17" i="18"/>
  <c r="M17" i="18"/>
  <c r="G17" i="18"/>
  <c r="D17" i="18"/>
  <c r="P16" i="18"/>
  <c r="M16" i="18"/>
  <c r="G16" i="18"/>
  <c r="D16" i="18"/>
  <c r="P15" i="18"/>
  <c r="M15" i="18"/>
  <c r="G15" i="18"/>
  <c r="D15" i="18"/>
  <c r="P14" i="18"/>
  <c r="M14" i="18"/>
  <c r="G14" i="18"/>
  <c r="D14" i="18"/>
  <c r="P13" i="18"/>
  <c r="M13" i="18"/>
  <c r="G13" i="18"/>
  <c r="D13" i="18"/>
  <c r="P12" i="18"/>
  <c r="M12" i="18"/>
  <c r="G12" i="18"/>
  <c r="D12" i="18"/>
  <c r="P11" i="18"/>
  <c r="M11" i="18"/>
  <c r="G11" i="18"/>
  <c r="D11" i="18"/>
  <c r="P10" i="18"/>
  <c r="M10" i="18"/>
  <c r="G10" i="18"/>
  <c r="D10" i="18"/>
  <c r="P7" i="18"/>
  <c r="M7" i="18"/>
  <c r="G7" i="18"/>
  <c r="D7" i="18"/>
  <c r="P6" i="18"/>
  <c r="M6" i="18"/>
  <c r="G6" i="18"/>
  <c r="D6" i="18"/>
  <c r="O30" i="18"/>
  <c r="L30" i="18"/>
  <c r="F30" i="18"/>
  <c r="C30" i="18"/>
  <c r="F28" i="18"/>
  <c r="C28" i="18"/>
  <c r="O27" i="18"/>
  <c r="L27" i="18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8" i="7"/>
  <c r="J28" i="7"/>
  <c r="E28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D37" i="1" l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27" i="7"/>
  <c r="J27" i="7"/>
  <c r="E27" i="7"/>
  <c r="O9" i="18" l="1"/>
  <c r="G23" i="9"/>
  <c r="V23" i="9"/>
  <c r="C23" i="9"/>
  <c r="L23" i="9"/>
  <c r="D23" i="9"/>
  <c r="U23" i="9"/>
  <c r="M72" i="9"/>
  <c r="M23" i="9"/>
  <c r="V72" i="9"/>
  <c r="C72" i="9"/>
  <c r="P23" i="9"/>
  <c r="Y72" i="9"/>
  <c r="F72" i="9"/>
  <c r="P72" i="9"/>
  <c r="L72" i="9"/>
  <c r="F23" i="9"/>
  <c r="O72" i="9"/>
  <c r="H66" i="9"/>
  <c r="D72" i="9"/>
  <c r="C60" i="9"/>
  <c r="U72" i="9"/>
  <c r="G72" i="9"/>
  <c r="O23" i="9"/>
  <c r="X72" i="9"/>
  <c r="N66" i="9"/>
  <c r="D20" i="1"/>
  <c r="Q66" i="9"/>
  <c r="E66" i="9"/>
  <c r="W66" i="9"/>
  <c r="Z66" i="9"/>
  <c r="D21" i="1"/>
  <c r="O26" i="7"/>
  <c r="J26" i="7"/>
  <c r="E26" i="7"/>
  <c r="P26" i="18"/>
  <c r="L26" i="18"/>
  <c r="H28" i="8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S4" i="8" l="1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B21" i="7"/>
  <c r="O34" i="18" l="1"/>
  <c r="N5" i="18"/>
  <c r="M34" i="18"/>
  <c r="N9" i="18"/>
  <c r="N20" i="18"/>
  <c r="H33" i="8"/>
  <c r="P34" i="18"/>
  <c r="E5" i="18"/>
  <c r="N26" i="18"/>
  <c r="E26" i="18"/>
  <c r="L34" i="18"/>
  <c r="E20" i="18"/>
  <c r="H9" i="18"/>
  <c r="H5" i="18"/>
  <c r="G34" i="18"/>
  <c r="H26" i="18"/>
  <c r="C34" i="18"/>
  <c r="Q26" i="18"/>
  <c r="D34" i="18"/>
  <c r="Q9" i="18"/>
  <c r="Q20" i="18"/>
  <c r="E9" i="18"/>
  <c r="F34" i="18"/>
  <c r="I16" i="18" s="1"/>
  <c r="Q5" i="18"/>
  <c r="H20" i="18"/>
  <c r="C21" i="7"/>
  <c r="D21" i="7" s="1"/>
  <c r="R16" i="18" l="1"/>
  <c r="N34" i="18"/>
  <c r="R5" i="18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5" i="9"/>
  <c r="Z35" i="9"/>
  <c r="E35" i="9"/>
  <c r="N35" i="9"/>
  <c r="H35" i="9"/>
  <c r="Q35" i="9"/>
  <c r="K5" i="3" l="1"/>
  <c r="Z67" i="9"/>
  <c r="W67" i="9"/>
  <c r="W65" i="9"/>
  <c r="W63" i="9"/>
  <c r="Z62" i="9"/>
  <c r="Z61" i="9"/>
  <c r="V60" i="9"/>
  <c r="Z54" i="9"/>
  <c r="W54" i="9"/>
  <c r="Z52" i="9"/>
  <c r="W48" i="9"/>
  <c r="Z46" i="9"/>
  <c r="Z44" i="9"/>
  <c r="W42" i="9"/>
  <c r="Z41" i="9"/>
  <c r="W41" i="9"/>
  <c r="W40" i="9"/>
  <c r="W39" i="9"/>
  <c r="V37" i="9"/>
  <c r="W38" i="9"/>
  <c r="W31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Z29" i="9"/>
  <c r="W46" i="9"/>
  <c r="W50" i="9"/>
  <c r="Z56" i="9"/>
  <c r="V18" i="9"/>
  <c r="Y23" i="9"/>
  <c r="Z26" i="9"/>
  <c r="Z31" i="9"/>
  <c r="Y37" i="9"/>
  <c r="Z40" i="9"/>
  <c r="W44" i="9"/>
  <c r="W58" i="9"/>
  <c r="W68" i="9"/>
  <c r="X18" i="9"/>
  <c r="Y60" i="9"/>
  <c r="W4" i="9"/>
  <c r="U6" i="9"/>
  <c r="W6" i="9" s="1"/>
  <c r="Y18" i="9"/>
  <c r="W33" i="9"/>
  <c r="Z42" i="9"/>
  <c r="W52" i="9"/>
  <c r="Z58" i="9"/>
  <c r="W62" i="9"/>
  <c r="W64" i="9"/>
  <c r="W14" i="9"/>
  <c r="U37" i="9"/>
  <c r="W37" i="9" s="1"/>
  <c r="W43" i="9"/>
  <c r="W56" i="9"/>
  <c r="W61" i="9"/>
  <c r="X23" i="9"/>
  <c r="Z10" i="9"/>
  <c r="U18" i="9"/>
  <c r="Z24" i="9"/>
  <c r="Z33" i="9"/>
  <c r="Z43" i="9"/>
  <c r="X6" i="9"/>
  <c r="Z68" i="9"/>
  <c r="U60" i="9"/>
  <c r="Z65" i="9"/>
  <c r="Z4" i="9"/>
  <c r="Z19" i="9"/>
  <c r="Z28" i="9"/>
  <c r="X37" i="9"/>
  <c r="Z39" i="9"/>
  <c r="Z50" i="9"/>
  <c r="Z64" i="9"/>
  <c r="W10" i="9"/>
  <c r="Z27" i="9"/>
  <c r="Z38" i="9"/>
  <c r="Z48" i="9"/>
  <c r="Z63" i="9"/>
  <c r="X60" i="9"/>
  <c r="V73" i="9" l="1"/>
  <c r="V71" i="9" s="1"/>
  <c r="X73" i="9"/>
  <c r="Y73" i="9"/>
  <c r="U73" i="9"/>
  <c r="W23" i="9"/>
  <c r="Z72" i="9"/>
  <c r="W72" i="9"/>
  <c r="Z18" i="9"/>
  <c r="W18" i="9"/>
  <c r="Z60" i="9"/>
  <c r="W60" i="9"/>
  <c r="Z6" i="9"/>
  <c r="Z23" i="9"/>
  <c r="Z37" i="9"/>
  <c r="AA16" i="9" l="1"/>
  <c r="AA66" i="9"/>
  <c r="W73" i="9"/>
  <c r="Z73" i="9"/>
  <c r="AA73" i="9" s="1"/>
  <c r="U71" i="9"/>
  <c r="W71" i="9" s="1"/>
  <c r="Y71" i="9"/>
  <c r="X71" i="9"/>
  <c r="AA35" i="9" s="1"/>
  <c r="AA9" i="9"/>
  <c r="AA4" i="9"/>
  <c r="AA6" i="9"/>
  <c r="AA23" i="9"/>
  <c r="AA62" i="9"/>
  <c r="AA46" i="9"/>
  <c r="AA21" i="9"/>
  <c r="AA68" i="9"/>
  <c r="AA56" i="9"/>
  <c r="AA42" i="9"/>
  <c r="AA7" i="9"/>
  <c r="AA8" i="9"/>
  <c r="AA31" i="9"/>
  <c r="AA67" i="9"/>
  <c r="AA57" i="9"/>
  <c r="AA54" i="9"/>
  <c r="AA41" i="9"/>
  <c r="AA58" i="9"/>
  <c r="AA14" i="9"/>
  <c r="AA61" i="9"/>
  <c r="AA26" i="9"/>
  <c r="AA38" i="9"/>
  <c r="AA20" i="9"/>
  <c r="AA65" i="9"/>
  <c r="AA72" i="9"/>
  <c r="AA48" i="9"/>
  <c r="AA52" i="9"/>
  <c r="AA10" i="9"/>
  <c r="AA27" i="9"/>
  <c r="AA43" i="9"/>
  <c r="AA25" i="9"/>
  <c r="AA12" i="9"/>
  <c r="AA33" i="9"/>
  <c r="AA29" i="9"/>
  <c r="AA18" i="9"/>
  <c r="AA39" i="9"/>
  <c r="AA28" i="9"/>
  <c r="AA64" i="9"/>
  <c r="AA24" i="9"/>
  <c r="AA50" i="9"/>
  <c r="AA44" i="9"/>
  <c r="AA40" i="9"/>
  <c r="AA63" i="9"/>
  <c r="AA19" i="9"/>
  <c r="AA37" i="9"/>
  <c r="AA60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D19" i="1" l="1"/>
  <c r="S31" i="8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4" i="9"/>
  <c r="E54" i="9"/>
  <c r="N54" i="9"/>
  <c r="H54" i="9"/>
  <c r="S33" i="8" l="1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0" i="9" l="1"/>
  <c r="E68" i="9" l="1"/>
  <c r="Q68" i="9"/>
  <c r="N68" i="9"/>
  <c r="E50" i="9"/>
  <c r="N50" i="9"/>
  <c r="Q50" i="9"/>
  <c r="H50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37" i="9"/>
  <c r="C6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0" i="9"/>
  <c r="N67" i="9"/>
  <c r="H67" i="9"/>
  <c r="E67" i="9"/>
  <c r="Q65" i="9"/>
  <c r="N64" i="9"/>
  <c r="H64" i="9"/>
  <c r="E64" i="9"/>
  <c r="Q63" i="9"/>
  <c r="N62" i="9"/>
  <c r="H62" i="9"/>
  <c r="E62" i="9"/>
  <c r="P60" i="9"/>
  <c r="Q61" i="9"/>
  <c r="M60" i="9"/>
  <c r="D60" i="9"/>
  <c r="Q58" i="9"/>
  <c r="N58" i="9"/>
  <c r="E58" i="9"/>
  <c r="N56" i="9"/>
  <c r="E56" i="9"/>
  <c r="Q52" i="9"/>
  <c r="N52" i="9"/>
  <c r="H52" i="9"/>
  <c r="N48" i="9"/>
  <c r="E48" i="9"/>
  <c r="N46" i="9"/>
  <c r="E46" i="9"/>
  <c r="N44" i="9"/>
  <c r="H44" i="9"/>
  <c r="Q42" i="9"/>
  <c r="N42" i="9"/>
  <c r="H42" i="9"/>
  <c r="N41" i="9"/>
  <c r="E41" i="9"/>
  <c r="N40" i="9"/>
  <c r="H40" i="9"/>
  <c r="M37" i="9"/>
  <c r="E39" i="9"/>
  <c r="Q38" i="9"/>
  <c r="N38" i="9"/>
  <c r="H38" i="9"/>
  <c r="G37" i="9"/>
  <c r="Q33" i="9"/>
  <c r="N33" i="9"/>
  <c r="H33" i="9"/>
  <c r="N31" i="9"/>
  <c r="E31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H24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7" i="9"/>
  <c r="D37" i="9"/>
  <c r="E37" i="9" s="1"/>
  <c r="G6" i="9"/>
  <c r="P6" i="9"/>
  <c r="Q6" i="9" s="1"/>
  <c r="N12" i="9"/>
  <c r="E14" i="9"/>
  <c r="L18" i="9"/>
  <c r="N18" i="9" s="1"/>
  <c r="Q19" i="9"/>
  <c r="E42" i="9"/>
  <c r="P37" i="9"/>
  <c r="E8" i="9"/>
  <c r="N8" i="9"/>
  <c r="H23" i="9"/>
  <c r="O37" i="9"/>
  <c r="O73" i="9" s="1"/>
  <c r="R66" i="9" s="1"/>
  <c r="N39" i="9"/>
  <c r="Q40" i="9"/>
  <c r="E43" i="9"/>
  <c r="N43" i="9"/>
  <c r="Q44" i="9"/>
  <c r="E63" i="9"/>
  <c r="N63" i="9"/>
  <c r="E65" i="9"/>
  <c r="N65" i="9"/>
  <c r="H41" i="9"/>
  <c r="H56" i="9"/>
  <c r="F6" i="9"/>
  <c r="L6" i="9"/>
  <c r="N6" i="9" s="1"/>
  <c r="H8" i="9"/>
  <c r="D18" i="9"/>
  <c r="E21" i="9"/>
  <c r="E24" i="9"/>
  <c r="H27" i="9"/>
  <c r="E33" i="9"/>
  <c r="F37" i="9"/>
  <c r="H39" i="9"/>
  <c r="E44" i="9"/>
  <c r="E52" i="9"/>
  <c r="H18" i="9"/>
  <c r="H25" i="9"/>
  <c r="E6" i="9"/>
  <c r="E10" i="9"/>
  <c r="N23" i="9"/>
  <c r="E26" i="9"/>
  <c r="H29" i="9"/>
  <c r="H46" i="9"/>
  <c r="Q60" i="9"/>
  <c r="G60" i="9"/>
  <c r="Q62" i="9"/>
  <c r="H20" i="9"/>
  <c r="E28" i="9"/>
  <c r="H31" i="9"/>
  <c r="E38" i="9"/>
  <c r="E40" i="9"/>
  <c r="H43" i="9"/>
  <c r="H48" i="9"/>
  <c r="E61" i="9"/>
  <c r="N61" i="9"/>
  <c r="Q64" i="9"/>
  <c r="Q67" i="9"/>
  <c r="Q12" i="9"/>
  <c r="Q18" i="9"/>
  <c r="Q20" i="9"/>
  <c r="Q23" i="9"/>
  <c r="Q25" i="9"/>
  <c r="Q27" i="9"/>
  <c r="Q29" i="9"/>
  <c r="Q31" i="9"/>
  <c r="Q39" i="9"/>
  <c r="Q41" i="9"/>
  <c r="Q43" i="9"/>
  <c r="Q46" i="9"/>
  <c r="Q48" i="9"/>
  <c r="Q56" i="9"/>
  <c r="H58" i="9"/>
  <c r="F60" i="9"/>
  <c r="H61" i="9"/>
  <c r="H63" i="9"/>
  <c r="H65" i="9"/>
  <c r="P73" i="9" l="1"/>
  <c r="Q73" i="9" s="1"/>
  <c r="R73" i="9" s="1"/>
  <c r="R16" i="9"/>
  <c r="L73" i="9"/>
  <c r="L71" i="9" s="1"/>
  <c r="G73" i="9"/>
  <c r="G71" i="9" s="1"/>
  <c r="F73" i="9"/>
  <c r="D73" i="9"/>
  <c r="D71" i="9" s="1"/>
  <c r="N37" i="9"/>
  <c r="Q37" i="9"/>
  <c r="E23" i="9"/>
  <c r="E72" i="9"/>
  <c r="N72" i="9"/>
  <c r="H60" i="9"/>
  <c r="H37" i="9"/>
  <c r="H6" i="9"/>
  <c r="Q72" i="9"/>
  <c r="N60" i="9"/>
  <c r="E18" i="9"/>
  <c r="H72" i="9"/>
  <c r="E60" i="9"/>
  <c r="I16" i="9" l="1"/>
  <c r="I66" i="9"/>
  <c r="P71" i="9"/>
  <c r="N73" i="9"/>
  <c r="O71" i="9"/>
  <c r="R9" i="9"/>
  <c r="F71" i="9"/>
  <c r="I9" i="9"/>
  <c r="R35" i="9"/>
  <c r="I54" i="9"/>
  <c r="I35" i="9"/>
  <c r="R4" i="9"/>
  <c r="R54" i="9"/>
  <c r="I4" i="9"/>
  <c r="R50" i="9"/>
  <c r="R19" i="9"/>
  <c r="I50" i="9"/>
  <c r="I6" i="9"/>
  <c r="I68" i="9"/>
  <c r="R63" i="9"/>
  <c r="R68" i="9"/>
  <c r="R61" i="9"/>
  <c r="R41" i="9"/>
  <c r="R27" i="9"/>
  <c r="R52" i="9"/>
  <c r="R37" i="9"/>
  <c r="R72" i="9"/>
  <c r="R28" i="9"/>
  <c r="R39" i="9"/>
  <c r="R29" i="9"/>
  <c r="R24" i="9"/>
  <c r="R48" i="9"/>
  <c r="R60" i="9"/>
  <c r="R25" i="9"/>
  <c r="R67" i="9"/>
  <c r="R18" i="9"/>
  <c r="R62" i="9"/>
  <c r="R12" i="9"/>
  <c r="R56" i="9"/>
  <c r="R31" i="9"/>
  <c r="R65" i="9"/>
  <c r="R10" i="9"/>
  <c r="R8" i="9"/>
  <c r="R38" i="9"/>
  <c r="R58" i="9"/>
  <c r="R46" i="9"/>
  <c r="R64" i="9"/>
  <c r="R7" i="9"/>
  <c r="R40" i="9"/>
  <c r="R21" i="9"/>
  <c r="R23" i="9"/>
  <c r="R33" i="9"/>
  <c r="R57" i="9"/>
  <c r="R20" i="9"/>
  <c r="R6" i="9"/>
  <c r="R43" i="9"/>
  <c r="R42" i="9"/>
  <c r="R26" i="9"/>
  <c r="R14" i="9"/>
  <c r="R44" i="9"/>
  <c r="I72" i="9"/>
  <c r="I37" i="9"/>
  <c r="I60" i="9"/>
  <c r="H73" i="9"/>
  <c r="I73" i="9" s="1"/>
  <c r="I67" i="9"/>
  <c r="I64" i="9"/>
  <c r="I12" i="9"/>
  <c r="I62" i="9"/>
  <c r="I7" i="9"/>
  <c r="I42" i="9"/>
  <c r="I58" i="9"/>
  <c r="I18" i="9"/>
  <c r="I19" i="9"/>
  <c r="I29" i="9"/>
  <c r="I46" i="9"/>
  <c r="I24" i="9"/>
  <c r="I43" i="9"/>
  <c r="I48" i="9"/>
  <c r="I65" i="9"/>
  <c r="I8" i="9"/>
  <c r="I56" i="9"/>
  <c r="I28" i="9"/>
  <c r="I38" i="9"/>
  <c r="I40" i="9"/>
  <c r="I26" i="9"/>
  <c r="I33" i="9"/>
  <c r="I41" i="9"/>
  <c r="I27" i="9"/>
  <c r="I39" i="9"/>
  <c r="I25" i="9"/>
  <c r="I14" i="9"/>
  <c r="I63" i="9"/>
  <c r="I21" i="9"/>
  <c r="I31" i="9"/>
  <c r="I23" i="9"/>
  <c r="I61" i="9"/>
  <c r="I10" i="9"/>
  <c r="I20" i="9"/>
  <c r="I44" i="9"/>
  <c r="I52" i="9"/>
  <c r="E73" i="9"/>
  <c r="R71" i="9" l="1"/>
  <c r="Q71" i="9"/>
  <c r="N71" i="9"/>
  <c r="E71" i="9"/>
  <c r="H71" i="9"/>
  <c r="I71" i="9"/>
  <c r="J2" i="9" l="1"/>
  <c r="S2" i="9" s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28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28" i="7" l="1"/>
  <c r="D18" i="1"/>
  <c r="B33" i="1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C20" i="5" l="1"/>
  <c r="D28" i="7"/>
  <c r="F28" i="7" s="1"/>
  <c r="D16" i="1"/>
  <c r="B17" i="5"/>
  <c r="D22" i="7"/>
  <c r="F22" i="7" s="1"/>
  <c r="F32" i="7"/>
  <c r="F30" i="7"/>
  <c r="F29" i="7"/>
  <c r="K23" i="3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D17" i="1" l="1"/>
  <c r="F17" i="1" s="1"/>
  <c r="B20" i="5"/>
  <c r="E20" i="5" s="1"/>
  <c r="B21" i="5"/>
  <c r="E21" i="5" s="1"/>
  <c r="C33" i="1"/>
  <c r="D10" i="1"/>
  <c r="E6" i="5"/>
  <c r="F6" i="5" s="1"/>
  <c r="E10" i="5"/>
  <c r="F10" i="5" s="1"/>
  <c r="F5" i="1"/>
  <c r="D8" i="1"/>
  <c r="F8" i="1" s="1"/>
  <c r="F6" i="1"/>
  <c r="C11" i="1"/>
  <c r="M28" i="7" s="1"/>
  <c r="B11" i="1"/>
  <c r="L28" i="7" s="1"/>
  <c r="D28" i="1"/>
  <c r="B22" i="1"/>
  <c r="B29" i="1"/>
  <c r="C12" i="5"/>
  <c r="E11" i="5"/>
  <c r="F11" i="5" s="1"/>
  <c r="C29" i="1"/>
  <c r="F16" i="1"/>
  <c r="D22" i="5"/>
  <c r="F15" i="5"/>
  <c r="E17" i="5"/>
  <c r="D27" i="1" s="1"/>
  <c r="H28" i="7" l="1"/>
  <c r="N28" i="7"/>
  <c r="G28" i="7"/>
  <c r="D22" i="1"/>
  <c r="F22" i="1" s="1"/>
  <c r="B22" i="5"/>
  <c r="H22" i="7"/>
  <c r="N21" i="7"/>
  <c r="E22" i="5"/>
  <c r="P31" i="7"/>
  <c r="P29" i="7"/>
  <c r="C32" i="1"/>
  <c r="H6" i="5"/>
  <c r="F28" i="1"/>
  <c r="F10" i="1"/>
  <c r="E7" i="5"/>
  <c r="F21" i="5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I28" i="7" l="1"/>
  <c r="K28" i="7" s="1"/>
  <c r="N22" i="7"/>
  <c r="P22" i="7" s="1"/>
  <c r="G22" i="7"/>
  <c r="K31" i="7"/>
  <c r="P32" i="7"/>
  <c r="K30" i="7"/>
  <c r="P30" i="7"/>
  <c r="K29" i="7"/>
  <c r="P28" i="7"/>
  <c r="H21" i="5"/>
  <c r="F22" i="5"/>
  <c r="H22" i="5" s="1"/>
  <c r="H20" i="5"/>
  <c r="I22" i="7" l="1"/>
  <c r="K22" i="7" s="1"/>
  <c r="K32" i="7"/>
  <c r="I21" i="7" l="1"/>
  <c r="P21" i="7"/>
  <c r="K21" i="7" l="1"/>
  <c r="B27" i="7" l="1"/>
  <c r="C27" i="7" l="1"/>
  <c r="D27" i="7" s="1"/>
  <c r="F27" i="7" s="1"/>
  <c r="L27" i="7" l="1"/>
  <c r="G27" i="7" s="1"/>
  <c r="M27" i="7" l="1"/>
  <c r="H27" i="7" l="1"/>
  <c r="I27" i="7" s="1"/>
  <c r="K27" i="7" s="1"/>
  <c r="N27" i="7"/>
  <c r="P27" i="7" s="1"/>
  <c r="B26" i="7" l="1"/>
  <c r="C26" i="7" l="1"/>
  <c r="D26" i="7" s="1"/>
  <c r="F26" i="7" s="1"/>
  <c r="M26" i="7" l="1"/>
  <c r="H26" i="7" s="1"/>
  <c r="L26" i="7" l="1"/>
  <c r="G26" i="7" l="1"/>
  <c r="I26" i="7" s="1"/>
  <c r="K26" i="7" s="1"/>
  <c r="N26" i="7"/>
  <c r="P26" i="7" s="1"/>
  <c r="B25" i="7" l="1"/>
  <c r="C25" i="7" l="1"/>
  <c r="D25" i="7" s="1"/>
  <c r="F25" i="7" s="1"/>
  <c r="L25" i="7" l="1"/>
  <c r="M25" i="7" l="1"/>
  <c r="H25" i="7" s="1"/>
  <c r="G25" i="7"/>
  <c r="I25" i="7" l="1"/>
  <c r="K25" i="7" s="1"/>
  <c r="N25" i="7"/>
  <c r="P25" i="7" s="1"/>
  <c r="B24" i="7"/>
  <c r="C24" i="7" l="1"/>
  <c r="D24" i="7" s="1"/>
  <c r="F24" i="7" s="1"/>
  <c r="M24" i="7" l="1"/>
  <c r="H24" i="7" s="1"/>
  <c r="L24" i="7"/>
  <c r="N24" i="7" l="1"/>
  <c r="P24" i="7" s="1"/>
  <c r="G24" i="7"/>
  <c r="I24" i="7" s="1"/>
  <c r="K24" i="7" s="1"/>
  <c r="B23" i="7" l="1"/>
  <c r="B33" i="7" s="1"/>
  <c r="D33" i="1"/>
  <c r="I16" i="5"/>
  <c r="C23" i="7" l="1"/>
  <c r="C33" i="7" s="1"/>
  <c r="D23" i="7"/>
  <c r="G16" i="1"/>
  <c r="I5" i="5"/>
  <c r="K5" i="5" l="1"/>
  <c r="F23" i="7"/>
  <c r="D33" i="7"/>
  <c r="F33" i="7" s="1"/>
  <c r="I16" i="1"/>
  <c r="G5" i="1"/>
  <c r="I10" i="5"/>
  <c r="I15" i="5"/>
  <c r="G27" i="1"/>
  <c r="L23" i="7" l="1"/>
  <c r="G23" i="7" s="1"/>
  <c r="G21" i="1"/>
  <c r="G20" i="1"/>
  <c r="I27" i="1"/>
  <c r="I17" i="5"/>
  <c r="K17" i="5" s="1"/>
  <c r="K15" i="5"/>
  <c r="I5" i="1"/>
  <c r="K10" i="5"/>
  <c r="L33" i="7"/>
  <c r="G17" i="1"/>
  <c r="I6" i="5"/>
  <c r="I20" i="5"/>
  <c r="I21" i="1" l="1"/>
  <c r="I20" i="1"/>
  <c r="G18" i="1"/>
  <c r="G33" i="7"/>
  <c r="I17" i="1"/>
  <c r="G19" i="1"/>
  <c r="M23" i="7"/>
  <c r="K20" i="5"/>
  <c r="K6" i="5"/>
  <c r="I7" i="5"/>
  <c r="K7" i="5" s="1"/>
  <c r="D32" i="1"/>
  <c r="G6" i="1"/>
  <c r="G28" i="1"/>
  <c r="I11" i="5"/>
  <c r="D34" i="1" l="1"/>
  <c r="I19" i="1"/>
  <c r="I18" i="1"/>
  <c r="K11" i="5"/>
  <c r="I12" i="5"/>
  <c r="K12" i="5" s="1"/>
  <c r="I28" i="1"/>
  <c r="G29" i="1"/>
  <c r="I29" i="1" s="1"/>
  <c r="G22" i="1"/>
  <c r="I22" i="1" s="1"/>
  <c r="I6" i="1"/>
  <c r="G7" i="1"/>
  <c r="H23" i="7"/>
  <c r="M33" i="7"/>
  <c r="N23" i="7"/>
  <c r="E32" i="1"/>
  <c r="E33" i="1"/>
  <c r="I21" i="5"/>
  <c r="I7" i="1" l="1"/>
  <c r="G8" i="1"/>
  <c r="I8" i="1" s="1"/>
  <c r="K21" i="5"/>
  <c r="I22" i="5"/>
  <c r="K22" i="5" s="1"/>
  <c r="H33" i="7"/>
  <c r="I23" i="7"/>
  <c r="P23" i="7"/>
  <c r="N33" i="7"/>
  <c r="P33" i="7" s="1"/>
  <c r="G10" i="1"/>
  <c r="I10" i="1" l="1"/>
  <c r="K23" i="7"/>
  <c r="I33" i="7"/>
  <c r="K33" i="7" s="1"/>
  <c r="G11" i="1"/>
  <c r="I11" i="1" s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<sst xmlns="http://schemas.openxmlformats.org/spreadsheetml/2006/main" count="700" uniqueCount="250">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</sst>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ugust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ly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l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2006777</v>
          </cell>
          <cell r="G5">
            <v>11603848</v>
          </cell>
        </row>
        <row r="6">
          <cell r="D6">
            <v>582889</v>
          </cell>
          <cell r="G6">
            <v>3575208</v>
          </cell>
        </row>
        <row r="7">
          <cell r="D7">
            <v>378</v>
          </cell>
          <cell r="G7">
            <v>1999</v>
          </cell>
        </row>
        <row r="10">
          <cell r="D10">
            <v>73323</v>
          </cell>
          <cell r="G10">
            <v>507094</v>
          </cell>
        </row>
        <row r="16">
          <cell r="D16">
            <v>14318</v>
          </cell>
          <cell r="G16">
            <v>95560</v>
          </cell>
        </row>
        <row r="17">
          <cell r="D17">
            <v>11458</v>
          </cell>
          <cell r="G17">
            <v>80567</v>
          </cell>
        </row>
        <row r="18">
          <cell r="D18">
            <v>3</v>
          </cell>
          <cell r="G18">
            <v>17</v>
          </cell>
        </row>
        <row r="19">
          <cell r="D19">
            <v>1436</v>
          </cell>
          <cell r="G19">
            <v>10904</v>
          </cell>
        </row>
        <row r="20">
          <cell r="D20">
            <v>1553</v>
          </cell>
          <cell r="G20">
            <v>9539</v>
          </cell>
        </row>
        <row r="21">
          <cell r="D21">
            <v>80</v>
          </cell>
          <cell r="G21">
            <v>821</v>
          </cell>
        </row>
        <row r="27">
          <cell r="D27">
            <v>18293.865526145579</v>
          </cell>
          <cell r="G27">
            <v>133835.78570584004</v>
          </cell>
        </row>
        <row r="28">
          <cell r="D28">
            <v>2141.6517970955802</v>
          </cell>
          <cell r="G28">
            <v>14403.75222738606</v>
          </cell>
        </row>
        <row r="32">
          <cell r="B32">
            <v>849391</v>
          </cell>
          <cell r="D32">
            <v>5087332</v>
          </cell>
        </row>
        <row r="33">
          <cell r="B33">
            <v>437440</v>
          </cell>
          <cell r="D33">
            <v>2467477</v>
          </cell>
        </row>
      </sheetData>
      <sheetData sheetId="1"/>
      <sheetData sheetId="2"/>
      <sheetData sheetId="3"/>
      <sheetData sheetId="4"/>
      <sheetData sheetId="5">
        <row r="28">
          <cell r="D28">
            <v>67922</v>
          </cell>
          <cell r="I28">
            <v>2595445</v>
          </cell>
          <cell r="N28">
            <v>2663367</v>
          </cell>
        </row>
      </sheetData>
      <sheetData sheetId="6"/>
      <sheetData sheetId="7">
        <row r="5">
          <cell r="F5">
            <v>10506.610156515419</v>
          </cell>
          <cell r="I5">
            <v>74407.874528855435</v>
          </cell>
        </row>
        <row r="6">
          <cell r="F6">
            <v>1039.7040188573499</v>
          </cell>
          <cell r="I6">
            <v>7178.8631048010793</v>
          </cell>
        </row>
        <row r="10">
          <cell r="F10">
            <v>7787.2553696301602</v>
          </cell>
          <cell r="I10">
            <v>59427.91117698462</v>
          </cell>
        </row>
        <row r="11">
          <cell r="F11">
            <v>1101.9477782382301</v>
          </cell>
          <cell r="I11">
            <v>7224.8891225849793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18293.865526145579</v>
          </cell>
          <cell r="I20">
            <v>133835.78570584004</v>
          </cell>
        </row>
        <row r="21">
          <cell r="F21">
            <v>2141.6517970955802</v>
          </cell>
          <cell r="I21">
            <v>14403.75222738606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85825</v>
          </cell>
          <cell r="C26">
            <v>94178</v>
          </cell>
          <cell r="L26">
            <v>1429723</v>
          </cell>
          <cell r="M26">
            <v>1417158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63577</v>
          </cell>
          <cell r="I27">
            <v>2795105</v>
          </cell>
          <cell r="N27">
            <v>2858682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14481073</v>
          </cell>
        </row>
        <row r="6">
          <cell r="G6">
            <v>3041316</v>
          </cell>
        </row>
        <row r="7">
          <cell r="G7">
            <v>4836</v>
          </cell>
        </row>
        <row r="10">
          <cell r="G10">
            <v>495748</v>
          </cell>
        </row>
        <row r="16">
          <cell r="G16">
            <v>104241</v>
          </cell>
        </row>
        <row r="17">
          <cell r="G17">
            <v>58120</v>
          </cell>
        </row>
        <row r="18">
          <cell r="G18">
            <v>47</v>
          </cell>
        </row>
        <row r="19">
          <cell r="G19">
            <v>9032</v>
          </cell>
        </row>
        <row r="20">
          <cell r="G20">
            <v>9873</v>
          </cell>
        </row>
        <row r="21">
          <cell r="G21">
            <v>567</v>
          </cell>
        </row>
        <row r="27">
          <cell r="G27">
            <v>117140.33551167762</v>
          </cell>
        </row>
        <row r="28">
          <cell r="G28">
            <v>19229.441800995886</v>
          </cell>
        </row>
        <row r="32">
          <cell r="D32">
            <v>6030206</v>
          </cell>
        </row>
        <row r="33">
          <cell r="D33">
            <v>2706466</v>
          </cell>
        </row>
      </sheetData>
      <sheetData sheetId="1"/>
      <sheetData sheetId="2"/>
      <sheetData sheetId="3"/>
      <sheetData sheetId="4"/>
      <sheetData sheetId="5">
        <row r="27">
          <cell r="B27">
            <v>94721</v>
          </cell>
          <cell r="C27">
            <v>85909</v>
          </cell>
          <cell r="L27">
            <v>1479867</v>
          </cell>
          <cell r="M27">
            <v>1478951</v>
          </cell>
        </row>
      </sheetData>
      <sheetData sheetId="6"/>
      <sheetData sheetId="7">
        <row r="5">
          <cell r="I5">
            <v>66039.181924890319</v>
          </cell>
        </row>
        <row r="6">
          <cell r="I6">
            <v>10605.704925767488</v>
          </cell>
        </row>
        <row r="10">
          <cell r="I10">
            <v>51101.153586787303</v>
          </cell>
        </row>
        <row r="11">
          <cell r="I11">
            <v>8623.7368752283983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117140.33551167765</v>
          </cell>
        </row>
        <row r="21">
          <cell r="I21">
            <v>19229.44180099589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3"/>
      <sheetData sheetId="4">
        <row r="15">
          <cell r="HV15">
            <v>16</v>
          </cell>
          <cell r="HW15">
            <v>19</v>
          </cell>
          <cell r="HX15">
            <v>22</v>
          </cell>
          <cell r="HY15">
            <v>22</v>
          </cell>
        </row>
        <row r="16">
          <cell r="HV16">
            <v>16</v>
          </cell>
          <cell r="HW16">
            <v>19</v>
          </cell>
          <cell r="HX16">
            <v>22</v>
          </cell>
          <cell r="HY16">
            <v>22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J19">
            <v>30</v>
          </cell>
          <cell r="HK19">
            <v>44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</row>
        <row r="32">
          <cell r="HV32">
            <v>3072</v>
          </cell>
          <cell r="HW32">
            <v>5298</v>
          </cell>
          <cell r="HX32">
            <v>6400</v>
          </cell>
          <cell r="HY32">
            <v>6040</v>
          </cell>
        </row>
        <row r="33">
          <cell r="HV33">
            <v>3870</v>
          </cell>
          <cell r="HW33">
            <v>5636</v>
          </cell>
          <cell r="HX33">
            <v>5069</v>
          </cell>
          <cell r="HY33">
            <v>5074</v>
          </cell>
        </row>
        <row r="37">
          <cell r="HV37">
            <v>20</v>
          </cell>
          <cell r="HW37">
            <v>10</v>
          </cell>
          <cell r="HX37">
            <v>55</v>
          </cell>
          <cell r="HY37">
            <v>88</v>
          </cell>
        </row>
        <row r="38">
          <cell r="HV38">
            <v>1</v>
          </cell>
          <cell r="HW38">
            <v>6</v>
          </cell>
          <cell r="HX38">
            <v>3</v>
          </cell>
          <cell r="HY38">
            <v>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J41">
            <v>5019</v>
          </cell>
          <cell r="HK41">
            <v>8359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</row>
        <row r="47">
          <cell r="HY47">
            <v>315214</v>
          </cell>
        </row>
        <row r="52">
          <cell r="HY52">
            <v>66414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J64">
            <v>468297</v>
          </cell>
          <cell r="HK64">
            <v>529528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</row>
      </sheetData>
      <sheetData sheetId="5">
        <row r="4">
          <cell r="HY4">
            <v>22</v>
          </cell>
        </row>
        <row r="5">
          <cell r="HY5">
            <v>22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</row>
        <row r="22">
          <cell r="HY22">
            <v>3376</v>
          </cell>
        </row>
        <row r="23">
          <cell r="HY23">
            <v>3425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7">
        <row r="4">
          <cell r="HY4">
            <v>139</v>
          </cell>
        </row>
        <row r="5">
          <cell r="HY5">
            <v>139</v>
          </cell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J19">
            <v>142</v>
          </cell>
          <cell r="HK19">
            <v>134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</row>
        <row r="22">
          <cell r="HY22">
            <v>19065</v>
          </cell>
        </row>
        <row r="23">
          <cell r="HY23">
            <v>17927</v>
          </cell>
        </row>
        <row r="27">
          <cell r="HY27">
            <v>556</v>
          </cell>
        </row>
        <row r="28">
          <cell r="HY28">
            <v>584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J41">
            <v>23555</v>
          </cell>
          <cell r="HK41">
            <v>21689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</row>
        <row r="47">
          <cell r="HY47">
            <v>35001</v>
          </cell>
        </row>
        <row r="52">
          <cell r="HY52">
            <v>15214</v>
          </cell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J64">
            <v>19721</v>
          </cell>
          <cell r="HK64">
            <v>26116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</row>
      </sheetData>
      <sheetData sheetId="8"/>
      <sheetData sheetId="9">
        <row r="4">
          <cell r="HY4">
            <v>327</v>
          </cell>
        </row>
        <row r="5">
          <cell r="HY5">
            <v>326</v>
          </cell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J19">
            <v>685</v>
          </cell>
          <cell r="HK19">
            <v>749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</row>
        <row r="22">
          <cell r="HY22">
            <v>49433</v>
          </cell>
        </row>
        <row r="23">
          <cell r="HY23">
            <v>49381</v>
          </cell>
        </row>
        <row r="27">
          <cell r="HY27">
            <v>1544</v>
          </cell>
        </row>
        <row r="28">
          <cell r="HY28">
            <v>1795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J41">
            <v>104697</v>
          </cell>
          <cell r="HK41">
            <v>104807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</row>
        <row r="47">
          <cell r="HY47">
            <v>29058</v>
          </cell>
        </row>
        <row r="48">
          <cell r="HY48">
            <v>13869</v>
          </cell>
        </row>
        <row r="52">
          <cell r="HY52">
            <v>2843</v>
          </cell>
        </row>
        <row r="53">
          <cell r="HY53">
            <v>4847</v>
          </cell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J64">
            <v>101960</v>
          </cell>
          <cell r="HK64">
            <v>103688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</row>
      </sheetData>
      <sheetData sheetId="10"/>
      <sheetData sheetId="11">
        <row r="4">
          <cell r="HY4">
            <v>5186</v>
          </cell>
        </row>
        <row r="5">
          <cell r="HY5">
            <v>5176</v>
          </cell>
        </row>
        <row r="8">
          <cell r="HY8">
            <v>10</v>
          </cell>
        </row>
        <row r="9">
          <cell r="HY9">
            <v>7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  <cell r="HX15">
            <v>316</v>
          </cell>
          <cell r="HY15">
            <v>317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  <cell r="HX16">
            <v>317</v>
          </cell>
          <cell r="HY16">
            <v>319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J19">
            <v>9173</v>
          </cell>
          <cell r="HK19">
            <v>9332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</row>
        <row r="22">
          <cell r="HY22">
            <v>731674</v>
          </cell>
        </row>
        <row r="23">
          <cell r="HY23">
            <v>728247</v>
          </cell>
        </row>
        <row r="27">
          <cell r="HY27">
            <v>25324</v>
          </cell>
        </row>
        <row r="28">
          <cell r="HY28">
            <v>25089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  <cell r="HX32">
            <v>63801</v>
          </cell>
          <cell r="HY32">
            <v>61432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  <cell r="HX33">
            <v>58658</v>
          </cell>
          <cell r="HY33">
            <v>58300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  <cell r="HX37">
            <v>1204</v>
          </cell>
          <cell r="HY37">
            <v>1334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  <cell r="HX38">
            <v>1139</v>
          </cell>
          <cell r="HY38">
            <v>1281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J41">
            <v>1410950</v>
          </cell>
          <cell r="HK41">
            <v>1357793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</row>
        <row r="47">
          <cell r="HY47">
            <v>2260985</v>
          </cell>
        </row>
        <row r="48">
          <cell r="HY48">
            <v>1396262</v>
          </cell>
        </row>
        <row r="52">
          <cell r="HY52">
            <v>3440971</v>
          </cell>
        </row>
        <row r="53">
          <cell r="HY53">
            <v>0</v>
          </cell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J64">
            <v>2850985</v>
          </cell>
          <cell r="HK64">
            <v>5209283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</row>
        <row r="70">
          <cell r="HY70">
            <v>433425</v>
          </cell>
        </row>
        <row r="71">
          <cell r="HY71">
            <v>294822</v>
          </cell>
        </row>
        <row r="73">
          <cell r="HY73">
            <v>34698</v>
          </cell>
        </row>
        <row r="74">
          <cell r="HY74">
            <v>23602</v>
          </cell>
        </row>
      </sheetData>
      <sheetData sheetId="12">
        <row r="4">
          <cell r="HY4">
            <v>866</v>
          </cell>
        </row>
        <row r="5">
          <cell r="HY5">
            <v>873</v>
          </cell>
        </row>
        <row r="8">
          <cell r="HY8">
            <v>39</v>
          </cell>
        </row>
        <row r="9">
          <cell r="HY9">
            <v>34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  <cell r="HX15">
            <v>19</v>
          </cell>
          <cell r="HY15">
            <v>23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  <cell r="HX16">
            <v>19</v>
          </cell>
          <cell r="HY16">
            <v>25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J19">
            <v>1878</v>
          </cell>
          <cell r="HK19">
            <v>1846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</row>
        <row r="22">
          <cell r="HY22">
            <v>145444</v>
          </cell>
        </row>
        <row r="23">
          <cell r="HY23">
            <v>143520</v>
          </cell>
        </row>
        <row r="27">
          <cell r="HY27">
            <v>2170</v>
          </cell>
        </row>
        <row r="28">
          <cell r="HY28">
            <v>2448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  <cell r="HX32">
            <v>2816</v>
          </cell>
          <cell r="HY32">
            <v>2810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  <cell r="HY33">
            <v>2444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  <cell r="HX37">
            <v>21</v>
          </cell>
          <cell r="HY37">
            <v>25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  <cell r="HY38">
            <v>25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J41">
            <v>263415</v>
          </cell>
          <cell r="HK41">
            <v>246793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</row>
        <row r="47">
          <cell r="HY47">
            <v>20406</v>
          </cell>
        </row>
        <row r="48">
          <cell r="HY48">
            <v>75630</v>
          </cell>
        </row>
        <row r="52">
          <cell r="HY52">
            <v>1482</v>
          </cell>
        </row>
        <row r="53">
          <cell r="HY53">
            <v>25331</v>
          </cell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J64">
            <v>460317</v>
          </cell>
          <cell r="HK64">
            <v>445146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</row>
        <row r="70">
          <cell r="HY70">
            <v>143520</v>
          </cell>
        </row>
        <row r="73">
          <cell r="HY73">
            <v>2444</v>
          </cell>
        </row>
      </sheetData>
      <sheetData sheetId="13"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J19">
            <v>46</v>
          </cell>
          <cell r="HK19">
            <v>51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J41">
            <v>227</v>
          </cell>
          <cell r="HK41">
            <v>280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14">
        <row r="15">
          <cell r="HV15">
            <v>1</v>
          </cell>
          <cell r="HW15">
            <v>13</v>
          </cell>
          <cell r="HX15">
            <v>13</v>
          </cell>
          <cell r="HY15">
            <v>14</v>
          </cell>
        </row>
        <row r="16">
          <cell r="HV16">
            <v>1</v>
          </cell>
          <cell r="HW16">
            <v>13</v>
          </cell>
          <cell r="HX16">
            <v>13</v>
          </cell>
          <cell r="HY16">
            <v>14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</row>
        <row r="32">
          <cell r="HV32">
            <v>181</v>
          </cell>
          <cell r="HW32">
            <v>2383</v>
          </cell>
          <cell r="HX32">
            <v>2973</v>
          </cell>
          <cell r="HY32">
            <v>3255</v>
          </cell>
        </row>
        <row r="33">
          <cell r="HV33">
            <v>214</v>
          </cell>
          <cell r="HW33">
            <v>2833</v>
          </cell>
          <cell r="HX33">
            <v>2285</v>
          </cell>
          <cell r="HY33">
            <v>2530</v>
          </cell>
        </row>
        <row r="37">
          <cell r="HW37">
            <v>3</v>
          </cell>
          <cell r="HX37">
            <v>10</v>
          </cell>
          <cell r="HY37">
            <v>6</v>
          </cell>
        </row>
        <row r="38">
          <cell r="HW38">
            <v>11</v>
          </cell>
          <cell r="HX38">
            <v>3</v>
          </cell>
          <cell r="HY38">
            <v>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</row>
        <row r="47">
          <cell r="HY47">
            <v>103042</v>
          </cell>
        </row>
        <row r="52">
          <cell r="HY52">
            <v>87400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</row>
      </sheetData>
      <sheetData sheetId="15">
        <row r="4">
          <cell r="HY4">
            <v>81</v>
          </cell>
        </row>
        <row r="5">
          <cell r="HY5">
            <v>81</v>
          </cell>
        </row>
        <row r="8">
          <cell r="HY8">
            <v>1</v>
          </cell>
        </row>
        <row r="9">
          <cell r="HY9">
            <v>1</v>
          </cell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J19">
            <v>112</v>
          </cell>
          <cell r="HK19">
            <v>110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</row>
        <row r="22">
          <cell r="HY22">
            <v>934</v>
          </cell>
        </row>
        <row r="23">
          <cell r="HY23">
            <v>849</v>
          </cell>
        </row>
        <row r="27">
          <cell r="HY27">
            <v>95</v>
          </cell>
        </row>
        <row r="28">
          <cell r="HY28">
            <v>72</v>
          </cell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J41">
            <v>750</v>
          </cell>
          <cell r="HK41">
            <v>1507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16">
        <row r="4">
          <cell r="HY4">
            <v>44</v>
          </cell>
        </row>
        <row r="5">
          <cell r="HY5">
            <v>44</v>
          </cell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J19">
            <v>84</v>
          </cell>
          <cell r="HK19">
            <v>88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</row>
        <row r="22">
          <cell r="HY22">
            <v>7656</v>
          </cell>
        </row>
        <row r="23">
          <cell r="HY23">
            <v>7286</v>
          </cell>
        </row>
        <row r="27">
          <cell r="HY27">
            <v>52</v>
          </cell>
        </row>
        <row r="28">
          <cell r="HY28">
            <v>58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J41">
            <v>16028</v>
          </cell>
          <cell r="HK41">
            <v>16110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17"/>
      <sheetData sheetId="18">
        <row r="15">
          <cell r="HU15">
            <v>3</v>
          </cell>
          <cell r="HV15">
            <v>27</v>
          </cell>
          <cell r="HW15">
            <v>27</v>
          </cell>
          <cell r="HX15">
            <v>31</v>
          </cell>
          <cell r="HY15">
            <v>31</v>
          </cell>
        </row>
        <row r="16">
          <cell r="HU16">
            <v>3</v>
          </cell>
          <cell r="HV16">
            <v>27</v>
          </cell>
          <cell r="HW16">
            <v>27</v>
          </cell>
          <cell r="HX16">
            <v>31</v>
          </cell>
          <cell r="HY16">
            <v>31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J19">
            <v>41</v>
          </cell>
          <cell r="HK19">
            <v>44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</row>
        <row r="32">
          <cell r="HU32">
            <v>185</v>
          </cell>
          <cell r="HV32">
            <v>2821</v>
          </cell>
          <cell r="HW32">
            <v>4186</v>
          </cell>
          <cell r="HX32">
            <v>5051</v>
          </cell>
          <cell r="HY32">
            <v>4978</v>
          </cell>
        </row>
        <row r="33"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  <cell r="HY33">
            <v>4943</v>
          </cell>
        </row>
        <row r="37">
          <cell r="HV37">
            <v>29</v>
          </cell>
          <cell r="HW37">
            <v>9</v>
          </cell>
          <cell r="HY37">
            <v>28</v>
          </cell>
        </row>
        <row r="38">
          <cell r="HU38">
            <v>6</v>
          </cell>
          <cell r="HV38">
            <v>35</v>
          </cell>
          <cell r="HW38">
            <v>25</v>
          </cell>
          <cell r="HY38">
            <v>25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J41">
            <v>4087</v>
          </cell>
          <cell r="HK41">
            <v>5178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</row>
        <row r="47">
          <cell r="HY47">
            <v>412</v>
          </cell>
        </row>
        <row r="52">
          <cell r="HY52">
            <v>1289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J64">
            <v>7410</v>
          </cell>
          <cell r="HK64">
            <v>14788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</row>
      </sheetData>
      <sheetData sheetId="19">
        <row r="4">
          <cell r="HY4">
            <v>92</v>
          </cell>
        </row>
        <row r="5">
          <cell r="HY5">
            <v>92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J19">
            <v>126</v>
          </cell>
          <cell r="HK19">
            <v>124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</row>
        <row r="22">
          <cell r="HY22">
            <v>9152</v>
          </cell>
        </row>
        <row r="23">
          <cell r="HY23">
            <v>8638</v>
          </cell>
        </row>
        <row r="27">
          <cell r="HY27">
            <v>300</v>
          </cell>
        </row>
        <row r="28">
          <cell r="HY28">
            <v>295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J41">
            <v>10630</v>
          </cell>
          <cell r="HK41">
            <v>10679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20">
        <row r="4">
          <cell r="HY4">
            <v>357</v>
          </cell>
        </row>
        <row r="5">
          <cell r="HY5">
            <v>357</v>
          </cell>
        </row>
        <row r="8">
          <cell r="HY8">
            <v>3</v>
          </cell>
        </row>
        <row r="9">
          <cell r="HY9">
            <v>3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J19">
            <v>482</v>
          </cell>
          <cell r="HK19">
            <v>508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</row>
        <row r="22">
          <cell r="HY22">
            <v>48419</v>
          </cell>
        </row>
        <row r="23">
          <cell r="HY23">
            <v>49277</v>
          </cell>
        </row>
        <row r="27">
          <cell r="HY27">
            <v>1595</v>
          </cell>
        </row>
        <row r="28">
          <cell r="HY28">
            <v>1630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J41">
            <v>65094</v>
          </cell>
          <cell r="HK41">
            <v>65255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</row>
        <row r="47">
          <cell r="HY47">
            <v>63389</v>
          </cell>
        </row>
        <row r="48">
          <cell r="HY48">
            <v>6805</v>
          </cell>
        </row>
        <row r="52">
          <cell r="HY52">
            <v>45880</v>
          </cell>
        </row>
        <row r="53">
          <cell r="HY53">
            <v>2492</v>
          </cell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J64">
            <v>163664</v>
          </cell>
          <cell r="HK64">
            <v>174848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</row>
      </sheetData>
      <sheetData sheetId="21"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  <cell r="HX15">
            <v>18</v>
          </cell>
          <cell r="HY15">
            <v>22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  <cell r="HX16">
            <v>18</v>
          </cell>
          <cell r="HY16">
            <v>22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  <cell r="HX32">
            <v>4937</v>
          </cell>
          <cell r="HY32">
            <v>6040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  <cell r="HX33">
            <v>3957</v>
          </cell>
          <cell r="HY33">
            <v>5074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  <cell r="HX37">
            <v>15</v>
          </cell>
          <cell r="HY37">
            <v>88</v>
          </cell>
        </row>
        <row r="38">
          <cell r="HR38">
            <v>2</v>
          </cell>
          <cell r="HS38">
            <v>1</v>
          </cell>
          <cell r="HT38">
            <v>0</v>
          </cell>
          <cell r="HV38">
            <v>8</v>
          </cell>
          <cell r="HW38">
            <v>4</v>
          </cell>
          <cell r="HX38">
            <v>0</v>
          </cell>
          <cell r="HY38">
            <v>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341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</row>
        <row r="47">
          <cell r="HY47">
            <v>315214</v>
          </cell>
        </row>
        <row r="52">
          <cell r="HY52">
            <v>110109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28858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</row>
      </sheetData>
      <sheetData sheetId="22"/>
      <sheetData sheetId="23"/>
      <sheetData sheetId="24">
        <row r="4">
          <cell r="HY4">
            <v>574</v>
          </cell>
        </row>
        <row r="5">
          <cell r="HY5">
            <v>572</v>
          </cell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J19">
            <v>994</v>
          </cell>
          <cell r="HK19">
            <v>994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</row>
        <row r="22">
          <cell r="HY22">
            <v>74761</v>
          </cell>
        </row>
        <row r="23">
          <cell r="HY23">
            <v>75677</v>
          </cell>
        </row>
        <row r="27">
          <cell r="HY27">
            <v>1083</v>
          </cell>
        </row>
        <row r="28">
          <cell r="HY28">
            <v>1090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J41">
            <v>131151</v>
          </cell>
          <cell r="HK41">
            <v>129131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</row>
        <row r="47">
          <cell r="HY47">
            <v>190480</v>
          </cell>
        </row>
        <row r="52">
          <cell r="HY52">
            <v>42750</v>
          </cell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J64">
            <v>374742</v>
          </cell>
          <cell r="HK64">
            <v>342313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</row>
        <row r="70">
          <cell r="HY70">
            <v>75265</v>
          </cell>
        </row>
        <row r="71">
          <cell r="HY71">
            <v>412</v>
          </cell>
        </row>
      </sheetData>
      <sheetData sheetId="25">
        <row r="4">
          <cell r="HY4">
            <v>93</v>
          </cell>
        </row>
        <row r="5">
          <cell r="HY5">
            <v>93</v>
          </cell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J19">
            <v>303</v>
          </cell>
          <cell r="HK19">
            <v>292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</row>
        <row r="22">
          <cell r="HY22">
            <v>16040</v>
          </cell>
        </row>
        <row r="23">
          <cell r="HY23">
            <v>15615</v>
          </cell>
        </row>
        <row r="27">
          <cell r="HY27">
            <v>100</v>
          </cell>
        </row>
        <row r="28">
          <cell r="HY28">
            <v>98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J41">
            <v>46401</v>
          </cell>
          <cell r="HK41">
            <v>38855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26"/>
      <sheetData sheetId="27"/>
      <sheetData sheetId="2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29">
        <row r="4">
          <cell r="HY4">
            <v>80</v>
          </cell>
        </row>
        <row r="5">
          <cell r="HY5">
            <v>80</v>
          </cell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J19">
            <v>124</v>
          </cell>
          <cell r="HK19">
            <v>143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</row>
        <row r="22">
          <cell r="HY22">
            <v>4325</v>
          </cell>
        </row>
        <row r="23">
          <cell r="HY23">
            <v>4224</v>
          </cell>
        </row>
        <row r="27">
          <cell r="HY27">
            <v>167</v>
          </cell>
        </row>
        <row r="28">
          <cell r="HY28">
            <v>194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J41">
            <v>8396</v>
          </cell>
          <cell r="HK41">
            <v>9466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</row>
        <row r="47">
          <cell r="HY47">
            <v>1252</v>
          </cell>
        </row>
        <row r="52">
          <cell r="HY52">
            <v>750</v>
          </cell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J64">
            <v>379</v>
          </cell>
          <cell r="HK64">
            <v>837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</row>
      </sheetData>
      <sheetData sheetId="30">
        <row r="8">
          <cell r="HY8">
            <v>1</v>
          </cell>
        </row>
        <row r="9">
          <cell r="HY9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31"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J19">
            <v>60</v>
          </cell>
          <cell r="HK19">
            <v>60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J41">
            <v>4333</v>
          </cell>
          <cell r="HK41">
            <v>4122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J64">
            <v>3413</v>
          </cell>
          <cell r="HK64">
            <v>3059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32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33"/>
      <sheetData sheetId="34"/>
      <sheetData sheetId="35"/>
      <sheetData sheetId="3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</row>
      </sheetData>
      <sheetData sheetId="37"/>
      <sheetData sheetId="3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39"/>
      <sheetData sheetId="4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41">
        <row r="4">
          <cell r="HY4">
            <v>1</v>
          </cell>
        </row>
        <row r="5">
          <cell r="HY5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</row>
        <row r="22">
          <cell r="HY22">
            <v>11</v>
          </cell>
        </row>
        <row r="23">
          <cell r="HY23">
            <v>26</v>
          </cell>
        </row>
        <row r="28">
          <cell r="HY28">
            <v>3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42">
        <row r="4">
          <cell r="HY4">
            <v>4</v>
          </cell>
        </row>
        <row r="5">
          <cell r="HY5">
            <v>4</v>
          </cell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J19">
            <v>124</v>
          </cell>
          <cell r="HK19">
            <v>130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</row>
        <row r="22">
          <cell r="HY22">
            <v>220</v>
          </cell>
        </row>
        <row r="23">
          <cell r="HY23">
            <v>285</v>
          </cell>
        </row>
        <row r="27">
          <cell r="HY27">
            <v>8</v>
          </cell>
        </row>
        <row r="28">
          <cell r="HY28">
            <v>10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J41">
            <v>8283</v>
          </cell>
          <cell r="HK41">
            <v>7973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43">
        <row r="15">
          <cell r="HY15">
            <v>114</v>
          </cell>
        </row>
        <row r="16">
          <cell r="HY16">
            <v>114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</row>
        <row r="32">
          <cell r="HY32">
            <v>6632</v>
          </cell>
        </row>
        <row r="33">
          <cell r="HY33">
            <v>6411</v>
          </cell>
        </row>
        <row r="37">
          <cell r="HY37">
            <v>85</v>
          </cell>
        </row>
        <row r="38">
          <cell r="HY38">
            <v>84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</row>
        <row r="47">
          <cell r="HY47">
            <v>1500</v>
          </cell>
        </row>
        <row r="52">
          <cell r="HY52">
            <v>1950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</row>
      </sheetData>
      <sheetData sheetId="44">
        <row r="4">
          <cell r="HY4">
            <v>82</v>
          </cell>
        </row>
        <row r="5">
          <cell r="HY5">
            <v>82</v>
          </cell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J19">
            <v>242</v>
          </cell>
          <cell r="HK19">
            <v>242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</row>
        <row r="22">
          <cell r="HY22">
            <v>5692</v>
          </cell>
        </row>
        <row r="23">
          <cell r="HY23">
            <v>5642</v>
          </cell>
        </row>
        <row r="27">
          <cell r="HY27">
            <v>190</v>
          </cell>
        </row>
        <row r="28">
          <cell r="HY28">
            <v>185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J41">
            <v>15769</v>
          </cell>
          <cell r="HK41">
            <v>15461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45"/>
      <sheetData sheetId="46"/>
      <sheetData sheetId="47">
        <row r="4">
          <cell r="HY4">
            <v>647</v>
          </cell>
        </row>
        <row r="5">
          <cell r="HY5">
            <v>646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  <cell r="HX15">
            <v>31</v>
          </cell>
          <cell r="HY15">
            <v>30</v>
          </cell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  <cell r="HX16">
            <v>31</v>
          </cell>
          <cell r="HY16">
            <v>30</v>
          </cell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J19">
            <v>4447</v>
          </cell>
          <cell r="HK19">
            <v>3987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</row>
        <row r="22">
          <cell r="HY22">
            <v>34560</v>
          </cell>
        </row>
        <row r="23">
          <cell r="HY23">
            <v>35089</v>
          </cell>
        </row>
        <row r="27">
          <cell r="HY27">
            <v>1529</v>
          </cell>
        </row>
        <row r="28">
          <cell r="HY28">
            <v>1541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  <cell r="HX32">
            <v>2034</v>
          </cell>
          <cell r="HY32">
            <v>1826</v>
          </cell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  <cell r="HX33">
            <v>1696</v>
          </cell>
          <cell r="HY33">
            <v>1773</v>
          </cell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  <cell r="HX37">
            <v>19</v>
          </cell>
          <cell r="HY37">
            <v>40</v>
          </cell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  <cell r="HX38">
            <v>17</v>
          </cell>
          <cell r="HY38">
            <v>33</v>
          </cell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J41">
            <v>221295</v>
          </cell>
          <cell r="HK41">
            <v>197267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  <row r="70">
          <cell r="HY70">
            <v>14491</v>
          </cell>
        </row>
        <row r="71">
          <cell r="HY71">
            <v>20598</v>
          </cell>
        </row>
        <row r="73">
          <cell r="HY73">
            <v>732</v>
          </cell>
        </row>
        <row r="74">
          <cell r="HY74">
            <v>1041</v>
          </cell>
        </row>
      </sheetData>
      <sheetData sheetId="48">
        <row r="4">
          <cell r="HY4">
            <v>47</v>
          </cell>
        </row>
        <row r="5">
          <cell r="HY5">
            <v>47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J19">
            <v>0</v>
          </cell>
          <cell r="HK19">
            <v>26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</row>
        <row r="22">
          <cell r="HY22">
            <v>3084</v>
          </cell>
        </row>
        <row r="23">
          <cell r="HY23">
            <v>2980</v>
          </cell>
        </row>
        <row r="27">
          <cell r="HY27">
            <v>100</v>
          </cell>
        </row>
        <row r="28">
          <cell r="HY28">
            <v>115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K41">
            <v>1405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</row>
        <row r="47">
          <cell r="HY47">
            <v>24</v>
          </cell>
        </row>
        <row r="52">
          <cell r="HY52">
            <v>10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J64">
            <v>0</v>
          </cell>
          <cell r="HK64">
            <v>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</row>
      </sheetData>
      <sheetData sheetId="49">
        <row r="4">
          <cell r="HY4">
            <v>85</v>
          </cell>
        </row>
        <row r="5">
          <cell r="HY5">
            <v>85</v>
          </cell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J19">
            <v>286</v>
          </cell>
          <cell r="HK19">
            <v>266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</row>
        <row r="22">
          <cell r="HY22">
            <v>5629</v>
          </cell>
        </row>
        <row r="23">
          <cell r="HY23">
            <v>5457</v>
          </cell>
        </row>
        <row r="27">
          <cell r="HY27">
            <v>174</v>
          </cell>
        </row>
        <row r="28">
          <cell r="HY28">
            <v>169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J41">
            <v>19683</v>
          </cell>
          <cell r="HK41">
            <v>17669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</row>
        <row r="47">
          <cell r="HY47">
            <v>776</v>
          </cell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J64">
            <v>2009</v>
          </cell>
          <cell r="HK64">
            <v>629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</row>
      </sheetData>
      <sheetData sheetId="50">
        <row r="4">
          <cell r="HY4">
            <v>56</v>
          </cell>
        </row>
        <row r="5">
          <cell r="HY5">
            <v>55</v>
          </cell>
        </row>
        <row r="8">
          <cell r="HY8">
            <v>1</v>
          </cell>
        </row>
        <row r="9">
          <cell r="HY9">
            <v>2</v>
          </cell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J19">
            <v>76</v>
          </cell>
          <cell r="HK19">
            <v>70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</row>
        <row r="22">
          <cell r="HY22">
            <v>3448</v>
          </cell>
        </row>
        <row r="23">
          <cell r="HY23">
            <v>3520</v>
          </cell>
        </row>
        <row r="27">
          <cell r="HY27">
            <v>134</v>
          </cell>
        </row>
        <row r="28">
          <cell r="HY28">
            <v>127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J41">
            <v>4953</v>
          </cell>
          <cell r="HK41">
            <v>4769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5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52">
        <row r="4">
          <cell r="HY4">
            <v>3032</v>
          </cell>
        </row>
        <row r="5">
          <cell r="HY5">
            <v>3040</v>
          </cell>
        </row>
        <row r="8">
          <cell r="HY8">
            <v>6</v>
          </cell>
        </row>
        <row r="15">
          <cell r="HR15">
            <v>6</v>
          </cell>
          <cell r="HT15">
            <v>3</v>
          </cell>
          <cell r="HU15">
            <v>36</v>
          </cell>
          <cell r="HV15">
            <v>0</v>
          </cell>
          <cell r="HW15">
            <v>50</v>
          </cell>
          <cell r="HX15">
            <v>83</v>
          </cell>
          <cell r="HY15">
            <v>92</v>
          </cell>
        </row>
        <row r="16">
          <cell r="HR16">
            <v>5</v>
          </cell>
          <cell r="HT16">
            <v>3</v>
          </cell>
          <cell r="HU16">
            <v>37</v>
          </cell>
          <cell r="HV16">
            <v>0</v>
          </cell>
          <cell r="HW16">
            <v>51</v>
          </cell>
          <cell r="HX16">
            <v>83</v>
          </cell>
          <cell r="HY16">
            <v>92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J19">
            <v>6687</v>
          </cell>
          <cell r="HK19">
            <v>6484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</row>
        <row r="22">
          <cell r="HY22">
            <v>156402</v>
          </cell>
        </row>
        <row r="23">
          <cell r="HY23">
            <v>158371</v>
          </cell>
        </row>
        <row r="27">
          <cell r="HY27">
            <v>5576</v>
          </cell>
        </row>
        <row r="28">
          <cell r="HY28">
            <v>5460</v>
          </cell>
        </row>
        <row r="32">
          <cell r="HR32">
            <v>364</v>
          </cell>
          <cell r="HT32">
            <v>194</v>
          </cell>
          <cell r="HU32">
            <v>2311</v>
          </cell>
          <cell r="HW32">
            <v>3052</v>
          </cell>
          <cell r="HX32">
            <v>5283</v>
          </cell>
          <cell r="HY32">
            <v>6042</v>
          </cell>
        </row>
        <row r="33">
          <cell r="HR33">
            <v>191</v>
          </cell>
          <cell r="HT33">
            <v>163</v>
          </cell>
          <cell r="HU33">
            <v>2425</v>
          </cell>
          <cell r="HW33">
            <v>3536</v>
          </cell>
          <cell r="HX33">
            <v>5117</v>
          </cell>
          <cell r="HY33">
            <v>5837</v>
          </cell>
        </row>
        <row r="37">
          <cell r="HR37">
            <v>0</v>
          </cell>
          <cell r="HT37">
            <v>1</v>
          </cell>
          <cell r="HU37">
            <v>19</v>
          </cell>
          <cell r="HW37">
            <v>57</v>
          </cell>
          <cell r="HX37">
            <v>102</v>
          </cell>
          <cell r="HY37">
            <v>105</v>
          </cell>
        </row>
        <row r="38">
          <cell r="HR38">
            <v>5</v>
          </cell>
          <cell r="HT38">
            <v>2</v>
          </cell>
          <cell r="HU38">
            <v>24</v>
          </cell>
          <cell r="HW38">
            <v>42</v>
          </cell>
          <cell r="HX38">
            <v>120</v>
          </cell>
          <cell r="HY38">
            <v>115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J41">
            <v>408235</v>
          </cell>
          <cell r="HK41">
            <v>322104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  <row r="70">
          <cell r="HY70">
            <v>57651</v>
          </cell>
        </row>
        <row r="71">
          <cell r="HY71">
            <v>100720</v>
          </cell>
        </row>
        <row r="73">
          <cell r="HY73">
            <v>2125</v>
          </cell>
        </row>
        <row r="74">
          <cell r="HY74">
            <v>3712</v>
          </cell>
        </row>
      </sheetData>
      <sheetData sheetId="53"/>
      <sheetData sheetId="54">
        <row r="4">
          <cell r="HY4">
            <v>17</v>
          </cell>
        </row>
        <row r="5">
          <cell r="HY5">
            <v>17</v>
          </cell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J19">
            <v>116</v>
          </cell>
          <cell r="HK19">
            <v>50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</row>
        <row r="22">
          <cell r="HY22">
            <v>927</v>
          </cell>
        </row>
        <row r="23">
          <cell r="HY23">
            <v>955</v>
          </cell>
        </row>
        <row r="27">
          <cell r="HY27">
            <v>40</v>
          </cell>
        </row>
        <row r="28">
          <cell r="HY28">
            <v>53</v>
          </cell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J41">
            <v>6402</v>
          </cell>
          <cell r="HK41">
            <v>2653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</row>
        <row r="47">
          <cell r="HY47">
            <v>38</v>
          </cell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J64">
            <v>84</v>
          </cell>
          <cell r="HK64">
            <v>14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</row>
      </sheetData>
      <sheetData sheetId="55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5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5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58"/>
      <sheetData sheetId="59"/>
      <sheetData sheetId="60"/>
      <sheetData sheetId="61"/>
      <sheetData sheetId="62"/>
      <sheetData sheetId="63">
        <row r="15">
          <cell r="HS15">
            <v>1</v>
          </cell>
          <cell r="HU15">
            <v>1</v>
          </cell>
        </row>
        <row r="16">
          <cell r="HS16">
            <v>1</v>
          </cell>
          <cell r="HU16">
            <v>1</v>
          </cell>
        </row>
        <row r="32">
          <cell r="HS32">
            <v>105</v>
          </cell>
          <cell r="HU32">
            <v>103</v>
          </cell>
        </row>
        <row r="33">
          <cell r="HS33">
            <v>103</v>
          </cell>
          <cell r="HU33">
            <v>104</v>
          </cell>
          <cell r="HV33">
            <v>188</v>
          </cell>
        </row>
      </sheetData>
      <sheetData sheetId="64">
        <row r="15">
          <cell r="HT15">
            <v>1</v>
          </cell>
        </row>
        <row r="32">
          <cell r="HT32">
            <v>55</v>
          </cell>
        </row>
      </sheetData>
      <sheetData sheetId="65">
        <row r="4">
          <cell r="HY4">
            <v>32</v>
          </cell>
        </row>
        <row r="5">
          <cell r="HY5">
            <v>32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J19">
            <v>66</v>
          </cell>
          <cell r="HK19">
            <v>64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</row>
        <row r="47">
          <cell r="HY47">
            <v>2202948</v>
          </cell>
        </row>
        <row r="52">
          <cell r="HY52">
            <v>1784054</v>
          </cell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J64">
            <v>3566632</v>
          </cell>
          <cell r="HK64">
            <v>3380053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</row>
      </sheetData>
      <sheetData sheetId="66">
        <row r="4">
          <cell r="HY4">
            <v>31</v>
          </cell>
        </row>
        <row r="5">
          <cell r="HY5">
            <v>30</v>
          </cell>
        </row>
        <row r="8">
          <cell r="HY8">
            <v>4</v>
          </cell>
        </row>
        <row r="9">
          <cell r="HY9">
            <v>6</v>
          </cell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J19">
            <v>118</v>
          </cell>
          <cell r="HK19">
            <v>123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</row>
        <row r="47">
          <cell r="HY47">
            <v>1278230</v>
          </cell>
        </row>
        <row r="52">
          <cell r="HY52">
            <v>971723</v>
          </cell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J64">
            <v>3086714</v>
          </cell>
          <cell r="HK64">
            <v>3635608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</row>
      </sheetData>
      <sheetData sheetId="6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59711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</row>
      </sheetData>
      <sheetData sheetId="6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69"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70">
        <row r="4">
          <cell r="HY4">
            <v>44</v>
          </cell>
        </row>
        <row r="5">
          <cell r="HY5">
            <v>44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28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</row>
        <row r="47">
          <cell r="HY47">
            <v>58798</v>
          </cell>
        </row>
        <row r="52">
          <cell r="HY52">
            <v>52746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47962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</row>
      </sheetData>
      <sheetData sheetId="71">
        <row r="12">
          <cell r="HY12">
            <v>0</v>
          </cell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J19">
            <v>88</v>
          </cell>
          <cell r="HK19">
            <v>60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J64">
            <v>147747</v>
          </cell>
          <cell r="HK64">
            <v>94771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72"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J19">
            <v>10</v>
          </cell>
          <cell r="HK19">
            <v>8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J64">
            <v>283339</v>
          </cell>
          <cell r="HK64">
            <v>254000.78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73">
        <row r="4">
          <cell r="HY4">
            <v>42</v>
          </cell>
        </row>
        <row r="5">
          <cell r="HY5">
            <v>42</v>
          </cell>
        </row>
        <row r="12">
          <cell r="HY12">
            <v>84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</row>
        <row r="47">
          <cell r="HY47">
            <v>1000141</v>
          </cell>
        </row>
        <row r="52">
          <cell r="HY52">
            <v>399147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</row>
      </sheetData>
      <sheetData sheetId="74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75">
        <row r="4">
          <cell r="HY4">
            <v>4</v>
          </cell>
        </row>
        <row r="5">
          <cell r="HY5">
            <v>4</v>
          </cell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J19">
            <v>34</v>
          </cell>
          <cell r="HK19">
            <v>42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</row>
        <row r="47">
          <cell r="HY47">
            <v>92759</v>
          </cell>
        </row>
        <row r="52">
          <cell r="HY52">
            <v>3953</v>
          </cell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J64">
            <v>842468</v>
          </cell>
          <cell r="HK64">
            <v>1107993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</row>
      </sheetData>
      <sheetData sheetId="7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77"/>
      <sheetData sheetId="78">
        <row r="4">
          <cell r="HY4">
            <v>131</v>
          </cell>
        </row>
        <row r="5">
          <cell r="HY5">
            <v>131</v>
          </cell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J19">
            <v>284</v>
          </cell>
          <cell r="HK19">
            <v>290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</row>
        <row r="47">
          <cell r="HY47">
            <v>8097001</v>
          </cell>
        </row>
        <row r="52">
          <cell r="HY52">
            <v>7190797</v>
          </cell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J64">
            <v>16240245</v>
          </cell>
          <cell r="HK64">
            <v>16135313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</row>
      </sheetData>
      <sheetData sheetId="79">
        <row r="4">
          <cell r="HY4">
            <v>22</v>
          </cell>
        </row>
        <row r="5">
          <cell r="HY5">
            <v>22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J19">
            <v>46</v>
          </cell>
          <cell r="HK19">
            <v>42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</row>
        <row r="48">
          <cell r="HY48">
            <v>54978</v>
          </cell>
        </row>
        <row r="52">
          <cell r="HY52">
            <v>114157</v>
          </cell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J64">
            <v>182633</v>
          </cell>
          <cell r="HK64">
            <v>170324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</row>
      </sheetData>
      <sheetData sheetId="80">
        <row r="4">
          <cell r="HY4">
            <v>17</v>
          </cell>
        </row>
        <row r="5">
          <cell r="HY5">
            <v>17</v>
          </cell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J19">
            <v>32</v>
          </cell>
          <cell r="HK19">
            <v>36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</row>
        <row r="47">
          <cell r="HY47">
            <v>58989</v>
          </cell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J64">
            <v>54475</v>
          </cell>
          <cell r="HK64">
            <v>65169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</row>
      </sheetData>
      <sheetData sheetId="81">
        <row r="4">
          <cell r="HY4">
            <v>135</v>
          </cell>
        </row>
        <row r="5">
          <cell r="HY5">
            <v>116</v>
          </cell>
        </row>
        <row r="16">
          <cell r="HY16">
            <v>18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J19">
            <v>314</v>
          </cell>
          <cell r="HK19">
            <v>305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</row>
        <row r="47">
          <cell r="HY47">
            <v>6223606</v>
          </cell>
        </row>
        <row r="48">
          <cell r="HY48">
            <v>949981</v>
          </cell>
        </row>
        <row r="52">
          <cell r="HY52">
            <v>5445605</v>
          </cell>
        </row>
        <row r="53">
          <cell r="HY53">
            <v>562293</v>
          </cell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J64">
            <v>13714440</v>
          </cell>
          <cell r="HK64">
            <v>13222592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</row>
      </sheetData>
      <sheetData sheetId="82"/>
      <sheetData sheetId="83"/>
      <sheetData sheetId="84"/>
      <sheetData sheetId="85">
        <row r="4">
          <cell r="HY4">
            <v>212</v>
          </cell>
        </row>
        <row r="5">
          <cell r="HY5">
            <v>212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J19">
            <v>428</v>
          </cell>
          <cell r="HK19">
            <v>436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</row>
      </sheetData>
      <sheetData sheetId="8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87"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J64">
            <v>0</v>
          </cell>
          <cell r="HK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</row>
      </sheetData>
      <sheetData sheetId="88">
        <row r="4">
          <cell r="HY4">
            <v>57</v>
          </cell>
        </row>
        <row r="5">
          <cell r="HY5">
            <v>57</v>
          </cell>
        </row>
      </sheetData>
      <sheetData sheetId="89">
        <row r="4">
          <cell r="HY4">
            <v>869</v>
          </cell>
        </row>
        <row r="5">
          <cell r="HY5">
            <v>868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C21" sqref="C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44774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1190509</v>
      </c>
      <c r="C5" s="10">
        <f>'Major Airline Stats'!K5</f>
        <v>1178207</v>
      </c>
      <c r="D5" s="2">
        <f>'Major Airline Stats'!K6</f>
        <v>2368716</v>
      </c>
      <c r="E5" s="2">
        <f>'[1]Monthly Summary'!D5</f>
        <v>2006777</v>
      </c>
      <c r="F5" s="3">
        <f>(D5-E5)/E5</f>
        <v>0.180358355711671</v>
      </c>
      <c r="G5" s="2">
        <f>+'[2]Monthly Summary'!G5+D5</f>
        <v>16849789</v>
      </c>
      <c r="H5" s="2">
        <f>+'[1]Monthly Summary'!G5</f>
        <v>11603848</v>
      </c>
      <c r="I5" s="66">
        <f>(G5-H5)/H5</f>
        <v>0.45208632515696517</v>
      </c>
      <c r="J5" s="2"/>
      <c r="M5" s="2"/>
    </row>
    <row r="6" spans="1:14" x14ac:dyDescent="0.2">
      <c r="A6" s="51" t="s">
        <v>5</v>
      </c>
      <c r="B6" s="231">
        <f>'Regional Major'!M5</f>
        <v>228798</v>
      </c>
      <c r="C6" s="231">
        <f>'Regional Major'!M6</f>
        <v>230570</v>
      </c>
      <c r="D6" s="2">
        <f>B6+C6</f>
        <v>459368</v>
      </c>
      <c r="E6" s="2">
        <f>'[1]Monthly Summary'!D6</f>
        <v>582889</v>
      </c>
      <c r="F6" s="3">
        <f>(D6-E6)/E6</f>
        <v>-0.21191170188492148</v>
      </c>
      <c r="G6" s="2">
        <f>+'[2]Monthly Summary'!G6+D6</f>
        <v>3500684</v>
      </c>
      <c r="H6" s="2">
        <f>+'[1]Monthly Summary'!G6</f>
        <v>3575208</v>
      </c>
      <c r="I6" s="66">
        <f>(G6-H6)/H6</f>
        <v>-2.0844661345577657E-2</v>
      </c>
      <c r="K6" s="2"/>
    </row>
    <row r="7" spans="1:14" x14ac:dyDescent="0.2">
      <c r="A7" s="51" t="s">
        <v>6</v>
      </c>
      <c r="B7" s="2">
        <f>Charter!G5</f>
        <v>0</v>
      </c>
      <c r="C7" s="231">
        <f>Charter!G6</f>
        <v>0</v>
      </c>
      <c r="D7" s="2">
        <f>B7+C7</f>
        <v>0</v>
      </c>
      <c r="E7" s="2">
        <f>'[1]Monthly Summary'!D7</f>
        <v>378</v>
      </c>
      <c r="F7" s="3">
        <f>(D7-E7)/E7</f>
        <v>-1</v>
      </c>
      <c r="G7" s="2">
        <f>+'[2]Monthly Summary'!G7+D7</f>
        <v>4836</v>
      </c>
      <c r="H7" s="2">
        <f>+'[1]Monthly Summary'!G7</f>
        <v>1999</v>
      </c>
      <c r="I7" s="66">
        <f>(G7-H7)/H7</f>
        <v>1.4192096048024012</v>
      </c>
      <c r="K7" s="2"/>
    </row>
    <row r="8" spans="1:14" x14ac:dyDescent="0.2">
      <c r="A8" s="53" t="s">
        <v>7</v>
      </c>
      <c r="B8" s="120">
        <f>SUM(B5:B7)</f>
        <v>1419307</v>
      </c>
      <c r="C8" s="120">
        <f>SUM(C5:C7)</f>
        <v>1408777</v>
      </c>
      <c r="D8" s="120">
        <f>SUM(D5:D7)</f>
        <v>2828084</v>
      </c>
      <c r="E8" s="120">
        <f>SUM(E5:E7)</f>
        <v>2590044</v>
      </c>
      <c r="F8" s="72">
        <f>(D8-E8)/E8</f>
        <v>9.1905774573713808E-2</v>
      </c>
      <c r="G8" s="120">
        <f>SUM(G5:G7)</f>
        <v>20355309</v>
      </c>
      <c r="H8" s="120">
        <f>SUM(H5:H7)</f>
        <v>15181055</v>
      </c>
      <c r="I8" s="71">
        <f>(G8-H8)/H8</f>
        <v>0.34083625940357898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42536</v>
      </c>
      <c r="C10" s="232">
        <f>'Major Airline Stats'!K10+'Regional Major'!M11</f>
        <v>42591</v>
      </c>
      <c r="D10" s="97">
        <f>SUM(B10:C10)</f>
        <v>85127</v>
      </c>
      <c r="E10" s="97">
        <f>'[1]Monthly Summary'!D10</f>
        <v>73323</v>
      </c>
      <c r="F10" s="73">
        <f>(D10-E10)/E10</f>
        <v>0.16098632079974906</v>
      </c>
      <c r="G10" s="448">
        <f>+'[2]Monthly Summary'!G10+D10</f>
        <v>580875</v>
      </c>
      <c r="H10" s="448">
        <f>+'[1]Monthly Summary'!G10</f>
        <v>507094</v>
      </c>
      <c r="I10" s="76">
        <f>(G10-H10)/H10</f>
        <v>0.1454976789313224</v>
      </c>
      <c r="J10" s="170"/>
    </row>
    <row r="11" spans="1:14" ht="15.75" thickBot="1" x14ac:dyDescent="0.3">
      <c r="A11" s="52" t="s">
        <v>13</v>
      </c>
      <c r="B11" s="211">
        <f>B10+B8</f>
        <v>1461843</v>
      </c>
      <c r="C11" s="211">
        <f>C10+C8</f>
        <v>1451368</v>
      </c>
      <c r="D11" s="211">
        <f>D10+D8</f>
        <v>2913211</v>
      </c>
      <c r="E11" s="211">
        <f>E10+E8</f>
        <v>2663367</v>
      </c>
      <c r="F11" s="74">
        <f>(D11-E11)/E11</f>
        <v>9.3807575148299127E-2</v>
      </c>
      <c r="G11" s="211">
        <f>G8+G10</f>
        <v>20936184</v>
      </c>
      <c r="H11" s="211">
        <f>H8+H10</f>
        <v>15688149</v>
      </c>
      <c r="I11" s="77">
        <f>(G11-H11)/H11</f>
        <v>0.33452225625852994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8263</v>
      </c>
      <c r="C16" s="240">
        <f>'Major Airline Stats'!K16+'Major Airline Stats'!K20</f>
        <v>8253</v>
      </c>
      <c r="D16" s="32">
        <f t="shared" ref="D16:D21" si="0">SUM(B16:C16)</f>
        <v>16516</v>
      </c>
      <c r="E16" s="2">
        <f>'[1]Monthly Summary'!D16</f>
        <v>14318</v>
      </c>
      <c r="F16" s="75">
        <f t="shared" ref="F16:F22" si="1">(D16-E16)/E16</f>
        <v>0.15351306048330773</v>
      </c>
      <c r="G16" s="2">
        <f>+'[2]Monthly Summary'!G16+D16</f>
        <v>120757</v>
      </c>
      <c r="H16" s="2">
        <f>+'[1]Monthly Summary'!G16</f>
        <v>95560</v>
      </c>
      <c r="I16" s="202">
        <f t="shared" ref="I16:I22" si="2">(G16-H16)/H16</f>
        <v>0.26367727082461279</v>
      </c>
      <c r="M16" s="2"/>
      <c r="N16" s="96"/>
    </row>
    <row r="17" spans="1:14" x14ac:dyDescent="0.2">
      <c r="A17" s="51" t="s">
        <v>5</v>
      </c>
      <c r="B17" s="32">
        <f>'Regional Major'!M15+'Regional Major'!M18</f>
        <v>4295</v>
      </c>
      <c r="C17" s="32">
        <f>'Regional Major'!M16+'Regional Major'!M19</f>
        <v>4296</v>
      </c>
      <c r="D17" s="32">
        <f t="shared" si="0"/>
        <v>8591</v>
      </c>
      <c r="E17" s="2">
        <f>'[1]Monthly Summary'!D17</f>
        <v>11458</v>
      </c>
      <c r="F17" s="75">
        <f t="shared" si="1"/>
        <v>-0.25021818816547392</v>
      </c>
      <c r="G17" s="2">
        <f>+'[2]Monthly Summary'!G17+D17</f>
        <v>66711</v>
      </c>
      <c r="H17" s="2">
        <f>+'[1]Monthly Summary'!G17</f>
        <v>80567</v>
      </c>
      <c r="I17" s="202">
        <f t="shared" si="2"/>
        <v>-0.17198108406667742</v>
      </c>
      <c r="L17" s="2"/>
      <c r="M17" s="2"/>
    </row>
    <row r="18" spans="1:14" x14ac:dyDescent="0.2">
      <c r="A18" s="51" t="s">
        <v>10</v>
      </c>
      <c r="B18" s="32">
        <f>Charter!G10</f>
        <v>0</v>
      </c>
      <c r="C18" s="32">
        <f>Charter!G11</f>
        <v>0</v>
      </c>
      <c r="D18" s="32">
        <f t="shared" si="0"/>
        <v>0</v>
      </c>
      <c r="E18" s="2">
        <f>'[1]Monthly Summary'!D18</f>
        <v>3</v>
      </c>
      <c r="F18" s="75">
        <f t="shared" si="1"/>
        <v>-1</v>
      </c>
      <c r="G18" s="2">
        <f>+'[2]Monthly Summary'!G18+D18</f>
        <v>47</v>
      </c>
      <c r="H18" s="2">
        <f>+'[1]Monthly Summary'!G18</f>
        <v>17</v>
      </c>
      <c r="I18" s="202">
        <f t="shared" si="2"/>
        <v>1.7647058823529411</v>
      </c>
      <c r="M18" s="2"/>
    </row>
    <row r="19" spans="1:14" x14ac:dyDescent="0.2">
      <c r="A19" s="51" t="s">
        <v>11</v>
      </c>
      <c r="B19" s="32">
        <f>Cargo!S4+Cargo!S8</f>
        <v>674</v>
      </c>
      <c r="C19" s="32">
        <f>Cargo!S5+Cargo!S9</f>
        <v>674</v>
      </c>
      <c r="D19" s="32">
        <f t="shared" si="0"/>
        <v>1348</v>
      </c>
      <c r="E19" s="2">
        <f>'[1]Monthly Summary'!D19</f>
        <v>1436</v>
      </c>
      <c r="F19" s="75">
        <f t="shared" si="1"/>
        <v>-6.1281337047353758E-2</v>
      </c>
      <c r="G19" s="2">
        <f>+'[2]Monthly Summary'!G19+D19</f>
        <v>10380</v>
      </c>
      <c r="H19" s="2">
        <f>+'[1]Monthly Summary'!G19</f>
        <v>10904</v>
      </c>
      <c r="I19" s="202">
        <f t="shared" si="2"/>
        <v>-4.8055759354365374E-2</v>
      </c>
      <c r="M19" s="2"/>
    </row>
    <row r="20" spans="1:14" x14ac:dyDescent="0.2">
      <c r="A20" s="51" t="s">
        <v>148</v>
      </c>
      <c r="B20" s="32">
        <f>'[3]General Avation'!$HY$4</f>
        <v>869</v>
      </c>
      <c r="C20" s="32">
        <f>'[3]General Avation'!$HY$5</f>
        <v>868</v>
      </c>
      <c r="D20" s="32">
        <f t="shared" si="0"/>
        <v>1737</v>
      </c>
      <c r="E20" s="2">
        <f>'[1]Monthly Summary'!D20</f>
        <v>1553</v>
      </c>
      <c r="F20" s="75">
        <f t="shared" si="1"/>
        <v>0.1184803605924018</v>
      </c>
      <c r="G20" s="2">
        <f>+'[2]Monthly Summary'!G20+D20</f>
        <v>11610</v>
      </c>
      <c r="H20" s="2">
        <f>+'[1]Monthly Summary'!G20</f>
        <v>9539</v>
      </c>
      <c r="I20" s="202">
        <f t="shared" si="2"/>
        <v>0.21710871160499004</v>
      </c>
      <c r="M20" s="2"/>
    </row>
    <row r="21" spans="1:14" ht="12.75" customHeight="1" x14ac:dyDescent="0.2">
      <c r="A21" s="51" t="s">
        <v>12</v>
      </c>
      <c r="B21" s="11">
        <f>'[3]Military '!$HY$4</f>
        <v>57</v>
      </c>
      <c r="C21" s="11">
        <f>'[3]Military '!$HY$5</f>
        <v>57</v>
      </c>
      <c r="D21" s="11">
        <f t="shared" si="0"/>
        <v>114</v>
      </c>
      <c r="E21" s="97">
        <f>'[1]Monthly Summary'!D21</f>
        <v>80</v>
      </c>
      <c r="F21" s="200">
        <f t="shared" si="1"/>
        <v>0.42499999999999999</v>
      </c>
      <c r="G21" s="448">
        <f>+'[2]Monthly Summary'!G21+D21</f>
        <v>681</v>
      </c>
      <c r="H21" s="448">
        <f>+'[1]Monthly Summary'!G21</f>
        <v>821</v>
      </c>
      <c r="I21" s="203">
        <f t="shared" si="2"/>
        <v>-0.17052375152253349</v>
      </c>
      <c r="M21" s="2"/>
    </row>
    <row r="22" spans="1:14" ht="15.75" thickBot="1" x14ac:dyDescent="0.3">
      <c r="A22" s="52" t="s">
        <v>28</v>
      </c>
      <c r="B22" s="212">
        <f>SUM(B16:B21)</f>
        <v>14158</v>
      </c>
      <c r="C22" s="212">
        <f>SUM(C16:C21)</f>
        <v>14148</v>
      </c>
      <c r="D22" s="212">
        <f>SUM(D16:D21)</f>
        <v>28306</v>
      </c>
      <c r="E22" s="212">
        <f>SUM(E16:E21)</f>
        <v>28848</v>
      </c>
      <c r="F22" s="209">
        <f t="shared" si="1"/>
        <v>-1.8788130892956185E-2</v>
      </c>
      <c r="G22" s="212">
        <f>SUM(G16:G21)</f>
        <v>210186</v>
      </c>
      <c r="H22" s="212">
        <f>SUM(H16:H21)</f>
        <v>197408</v>
      </c>
      <c r="I22" s="210">
        <f t="shared" si="2"/>
        <v>6.4728886367320479E-2</v>
      </c>
      <c r="N22" s="96"/>
    </row>
    <row r="23" spans="1:14" x14ac:dyDescent="0.2">
      <c r="B23" s="96"/>
      <c r="C23" s="96"/>
      <c r="L23" s="2"/>
      <c r="M23" s="2"/>
    </row>
    <row r="24" spans="1:14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4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4" x14ac:dyDescent="0.2">
      <c r="A27" s="46" t="s">
        <v>15</v>
      </c>
      <c r="B27" s="14">
        <f>(Cargo!S16+'Major Airline Stats'!K28+'Regional Major'!M25)*0.00045359237</f>
        <v>10137.45517192331</v>
      </c>
      <c r="C27" s="14">
        <f>(Cargo!S21+'Major Airline Stats'!K33+'Regional Major'!M30)*0.00045359237</f>
        <v>8971.7141627682795</v>
      </c>
      <c r="D27" s="14">
        <f>(SUM(B27:C27)+('Cargo Summary'!E17*0.00045359237))</f>
        <v>19109.169334691589</v>
      </c>
      <c r="E27" s="2">
        <f>'[1]Monthly Summary'!D27</f>
        <v>18293.865526145579</v>
      </c>
      <c r="F27" s="78">
        <f>(D27-E27)/E27</f>
        <v>4.4567060328544489E-2</v>
      </c>
      <c r="G27" s="2">
        <f>+'[2]Monthly Summary'!G27+D27</f>
        <v>136249.50484636921</v>
      </c>
      <c r="H27" s="2">
        <f>+'[1]Monthly Summary'!G27</f>
        <v>133835.78570584004</v>
      </c>
      <c r="I27" s="80">
        <f>(G27-H27)/H27</f>
        <v>1.8034930850514986E-2</v>
      </c>
    </row>
    <row r="28" spans="1:14" x14ac:dyDescent="0.2">
      <c r="A28" s="46" t="s">
        <v>16</v>
      </c>
      <c r="B28" s="14">
        <f>(Cargo!S17+'Major Airline Stats'!K29+'Regional Major'!M26)*0.00045359237</f>
        <v>1132.8582838842499</v>
      </c>
      <c r="C28" s="14">
        <f>(Cargo!S22+'Major Airline Stats'!K34+'Regional Major'!M31)*0.00045359237</f>
        <v>269.87067723231002</v>
      </c>
      <c r="D28" s="14">
        <f>SUM(B28:C28)</f>
        <v>1402.72896111656</v>
      </c>
      <c r="E28" s="2">
        <f>'[1]Monthly Summary'!D28</f>
        <v>2141.6517970955802</v>
      </c>
      <c r="F28" s="78">
        <f>(D28-E28)/E28</f>
        <v>-0.34502473136908479</v>
      </c>
      <c r="G28" s="2">
        <f>+'[2]Monthly Summary'!G28+D28</f>
        <v>20632.170762112448</v>
      </c>
      <c r="H28" s="2">
        <f>+'[1]Monthly Summary'!G28</f>
        <v>14403.75222738606</v>
      </c>
      <c r="I28" s="80">
        <f>(G28-H28)/H28</f>
        <v>0.43241638959077672</v>
      </c>
    </row>
    <row r="29" spans="1:14" ht="15.75" thickBot="1" x14ac:dyDescent="0.3">
      <c r="A29" s="47" t="s">
        <v>62</v>
      </c>
      <c r="B29" s="39">
        <f>SUM(B27:B28)</f>
        <v>11270.31345580756</v>
      </c>
      <c r="C29" s="39">
        <f>SUM(C27:C28)</f>
        <v>9241.5848400005889</v>
      </c>
      <c r="D29" s="39">
        <f>SUM(D27:D28)</f>
        <v>20511.898295808151</v>
      </c>
      <c r="E29" s="39">
        <f>SUM(E27:E28)</f>
        <v>20435.517323241158</v>
      </c>
      <c r="F29" s="79">
        <f>(D29-E29)/E29</f>
        <v>3.7376578903693851E-3</v>
      </c>
      <c r="G29" s="39">
        <f>SUM(G27:G28)</f>
        <v>156881.67560848166</v>
      </c>
      <c r="H29" s="39">
        <f>SUM(H27:H28)</f>
        <v>148239.53793322609</v>
      </c>
      <c r="I29" s="81">
        <f>(G29-H29)/H29</f>
        <v>5.8298466089042877E-2</v>
      </c>
    </row>
    <row r="30" spans="1:14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4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4" x14ac:dyDescent="0.2">
      <c r="A32" s="315" t="s">
        <v>145</v>
      </c>
      <c r="B32" s="316">
        <f>C8-B33</f>
        <v>963870</v>
      </c>
      <c r="C32" s="317">
        <f>B32/C8</f>
        <v>0.68418919388945165</v>
      </c>
      <c r="D32" s="318">
        <f>+B32+'[2]Monthly Summary'!D32</f>
        <v>6994076</v>
      </c>
      <c r="E32" s="319">
        <f>+D32/D34</f>
        <v>0.6893806277080492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444907</v>
      </c>
      <c r="C33" s="322">
        <f>+B33/C8</f>
        <v>0.31581080611054835</v>
      </c>
      <c r="D33" s="323">
        <f>+B33+'[2]Monthly Summary'!D33</f>
        <v>3151373</v>
      </c>
      <c r="E33" s="324">
        <f>+D33/D34</f>
        <v>0.3106193722919508</v>
      </c>
      <c r="I33" s="332"/>
    </row>
    <row r="34" spans="1:14" ht="13.5" thickBot="1" x14ac:dyDescent="0.25">
      <c r="B34" s="244"/>
      <c r="D34" s="325">
        <f>SUM(D32:D33)</f>
        <v>10145449</v>
      </c>
    </row>
    <row r="35" spans="1:14" ht="13.5" thickBot="1" x14ac:dyDescent="0.25">
      <c r="B35" s="455" t="s">
        <v>249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849391</v>
      </c>
      <c r="C36" s="317">
        <f>+B36/B38</f>
        <v>0.66006414206682928</v>
      </c>
      <c r="D36" s="318">
        <f>+'[1]Monthly Summary'!D32</f>
        <v>5087332</v>
      </c>
      <c r="E36" s="319">
        <f>+D36/D38</f>
        <v>0.67338988980396464</v>
      </c>
    </row>
    <row r="37" spans="1:14" ht="13.5" thickBot="1" x14ac:dyDescent="0.25">
      <c r="A37" s="320" t="s">
        <v>146</v>
      </c>
      <c r="B37" s="321">
        <f>'[1]Monthly Summary'!$B$33</f>
        <v>437440</v>
      </c>
      <c r="C37" s="324">
        <f>+B37/B38</f>
        <v>0.33993585793317072</v>
      </c>
      <c r="D37" s="323">
        <f>+'[1]Monthly Summary'!D33</f>
        <v>2467477</v>
      </c>
      <c r="E37" s="324">
        <f>+D37/D38</f>
        <v>0.32661011019603542</v>
      </c>
      <c r="M37" s="1"/>
    </row>
    <row r="38" spans="1:14" x14ac:dyDescent="0.2">
      <c r="B38" s="337">
        <f>+SUM(B36:B37)</f>
        <v>1286831</v>
      </c>
      <c r="D38" s="325">
        <f>SUM(D36:D37)</f>
        <v>7554809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B26:I30 E4:E13 D2:D14 F2:I14 B15:I22">
    <cfRule type="expression" dxfId="3" priority="25" stopIfTrue="1">
      <formula>"*.*"</formula>
    </cfRule>
  </conditionalFormatting>
  <conditionalFormatting sqref="B13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topLeftCell="A13" zoomScaleNormal="100" zoomScaleSheetLayoutView="100" workbookViewId="0">
      <selection activeCell="O3" sqref="O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44774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[3]Delta!$HY$32</f>
        <v>61432</v>
      </c>
      <c r="C4" s="13">
        <f>'[3]Atlantic Southeast'!$HY$32</f>
        <v>0</v>
      </c>
      <c r="D4" s="13">
        <f>[3]Pinnacle!$HY$32</f>
        <v>1826</v>
      </c>
      <c r="E4" s="13">
        <f>'[3]Sky West'!$HY$32</f>
        <v>6042</v>
      </c>
      <c r="F4" s="13">
        <f>'[3]Go Jet'!$HY$32</f>
        <v>0</v>
      </c>
      <c r="G4" s="13">
        <f>'[3]Sun Country'!$HY$32</f>
        <v>2810</v>
      </c>
      <c r="H4" s="13">
        <f>[3]Icelandair!$HY$32</f>
        <v>4978</v>
      </c>
      <c r="I4" s="13">
        <f>[3]KLM!$HY$32</f>
        <v>6040</v>
      </c>
      <c r="J4" s="13">
        <f>'[3]Air Georgian'!$HY$32</f>
        <v>0</v>
      </c>
      <c r="K4" s="13">
        <f>'[3]Sky Regional'!$HY$32</f>
        <v>0</v>
      </c>
      <c r="L4" s="13">
        <f>[3]Condor!$HY$32</f>
        <v>3255</v>
      </c>
      <c r="M4" s="13">
        <f>'[3]Aer Lingus'!$HY$32</f>
        <v>0</v>
      </c>
      <c r="N4" s="13">
        <f>'[3]Air France'!$HY$32</f>
        <v>6040</v>
      </c>
      <c r="O4" s="13">
        <f>[3]Frontier!$HY$32</f>
        <v>0</v>
      </c>
      <c r="P4" s="13">
        <f>'[3]Charter Misc'!$HY$32+[3]Ryan!$HY$32+[3]Omni!$HY$32</f>
        <v>0</v>
      </c>
      <c r="Q4" s="219">
        <f>SUM(B4:P4)</f>
        <v>92423</v>
      </c>
    </row>
    <row r="5" spans="1:17" x14ac:dyDescent="0.2">
      <c r="A5" s="46" t="s">
        <v>31</v>
      </c>
      <c r="B5" s="7">
        <f>[3]Delta!$HY$33</f>
        <v>58300</v>
      </c>
      <c r="C5" s="7">
        <f>'[3]Atlantic Southeast'!$HY$33</f>
        <v>0</v>
      </c>
      <c r="D5" s="7">
        <f>[3]Pinnacle!$HY$33</f>
        <v>1773</v>
      </c>
      <c r="E5" s="7">
        <f>'[3]Sky West'!$HY$33</f>
        <v>5837</v>
      </c>
      <c r="F5" s="7">
        <f>'[3]Go Jet'!$HY$33</f>
        <v>0</v>
      </c>
      <c r="G5" s="7">
        <f>'[3]Sun Country'!$HY$33</f>
        <v>2444</v>
      </c>
      <c r="H5" s="7">
        <f>[3]Icelandair!$HY$33</f>
        <v>4943</v>
      </c>
      <c r="I5" s="7">
        <f>[3]KLM!$HY$33</f>
        <v>5074</v>
      </c>
      <c r="J5" s="7">
        <f>'[3]Air Georgian'!$HY$33</f>
        <v>0</v>
      </c>
      <c r="K5" s="7">
        <f>'[3]Sky Regional'!$HY$33</f>
        <v>0</v>
      </c>
      <c r="L5" s="7">
        <f>[3]Condor!$HY$33</f>
        <v>2530</v>
      </c>
      <c r="M5" s="7">
        <f>'[3]Aer Lingus'!$HY$33</f>
        <v>0</v>
      </c>
      <c r="N5" s="7">
        <f>'[3]Air France'!$HY$33</f>
        <v>5074</v>
      </c>
      <c r="O5" s="7">
        <f>[3]Frontier!$HY$33</f>
        <v>0</v>
      </c>
      <c r="P5" s="7">
        <f>'[3]Charter Misc'!$HY$33++[3]Ryan!$HY$33+[3]Omni!$HY$33</f>
        <v>0</v>
      </c>
      <c r="Q5" s="220">
        <f>SUM(B5:P5)</f>
        <v>85975</v>
      </c>
    </row>
    <row r="6" spans="1:17" ht="15" x14ac:dyDescent="0.25">
      <c r="A6" s="44" t="s">
        <v>7</v>
      </c>
      <c r="B6" s="25">
        <f t="shared" ref="B6:P6" si="0">SUM(B4:B5)</f>
        <v>119732</v>
      </c>
      <c r="C6" s="25">
        <f t="shared" si="0"/>
        <v>0</v>
      </c>
      <c r="D6" s="25">
        <f t="shared" si="0"/>
        <v>3599</v>
      </c>
      <c r="E6" s="25">
        <f t="shared" si="0"/>
        <v>11879</v>
      </c>
      <c r="F6" s="25">
        <f t="shared" ref="F6" si="1">SUM(F4:F5)</f>
        <v>0</v>
      </c>
      <c r="G6" s="25">
        <f t="shared" si="0"/>
        <v>5254</v>
      </c>
      <c r="H6" s="25">
        <f t="shared" si="0"/>
        <v>9921</v>
      </c>
      <c r="I6" s="25">
        <f t="shared" ref="I6" si="2">SUM(I4:I5)</f>
        <v>11114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5785</v>
      </c>
      <c r="M6" s="25">
        <f t="shared" si="4"/>
        <v>0</v>
      </c>
      <c r="N6" s="25">
        <f t="shared" si="0"/>
        <v>11114</v>
      </c>
      <c r="O6" s="25">
        <f t="shared" si="0"/>
        <v>0</v>
      </c>
      <c r="P6" s="25">
        <f t="shared" si="0"/>
        <v>0</v>
      </c>
      <c r="Q6" s="221">
        <f>SUM(B6:P6)</f>
        <v>178398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[3]Delta!$HY$37</f>
        <v>1334</v>
      </c>
      <c r="C9" s="13">
        <f>'[3]Atlantic Southeast'!$HY$37</f>
        <v>0</v>
      </c>
      <c r="D9" s="13">
        <f>[3]Pinnacle!$HY$37</f>
        <v>40</v>
      </c>
      <c r="E9" s="13">
        <f>'[3]Sky West'!$HY$37</f>
        <v>105</v>
      </c>
      <c r="F9" s="13">
        <f>'[3]Go Jet'!$HY$37</f>
        <v>0</v>
      </c>
      <c r="G9" s="13">
        <f>'[3]Sun Country'!$HY$37</f>
        <v>25</v>
      </c>
      <c r="H9" s="13">
        <f>[3]Icelandair!$HY$37</f>
        <v>28</v>
      </c>
      <c r="I9" s="13">
        <f>[3]KLM!$HY$37</f>
        <v>88</v>
      </c>
      <c r="J9" s="13">
        <f>'[3]Air Georgian'!$HY$37</f>
        <v>0</v>
      </c>
      <c r="K9" s="13">
        <f>'[3]Sky Regional'!$HY$37</f>
        <v>0</v>
      </c>
      <c r="L9" s="13">
        <f>[3]Condor!$HY$37</f>
        <v>6</v>
      </c>
      <c r="M9" s="13">
        <f>'[3]Aer Lingus'!$HY$37</f>
        <v>0</v>
      </c>
      <c r="N9" s="13">
        <f>'[3]Air France'!$HY$37</f>
        <v>88</v>
      </c>
      <c r="O9" s="13">
        <f>[3]Frontier!$HY$37</f>
        <v>0</v>
      </c>
      <c r="P9" s="13">
        <f>'[3]Charter Misc'!$HY$37+[3]Ryan!$HY$37+[3]Omni!$HY$37</f>
        <v>0</v>
      </c>
      <c r="Q9" s="219">
        <f>SUM(B9:P9)</f>
        <v>1714</v>
      </c>
    </row>
    <row r="10" spans="1:17" x14ac:dyDescent="0.2">
      <c r="A10" s="46" t="s">
        <v>33</v>
      </c>
      <c r="B10" s="7">
        <f>[3]Delta!$HY$38</f>
        <v>1281</v>
      </c>
      <c r="C10" s="7">
        <f>'[3]Atlantic Southeast'!$HY$38</f>
        <v>0</v>
      </c>
      <c r="D10" s="7">
        <f>[3]Pinnacle!$HY$38</f>
        <v>33</v>
      </c>
      <c r="E10" s="7">
        <f>'[3]Sky West'!$HY$38</f>
        <v>115</v>
      </c>
      <c r="F10" s="7">
        <f>'[3]Go Jet'!$HY$38</f>
        <v>0</v>
      </c>
      <c r="G10" s="7">
        <f>'[3]Sun Country'!$HY$38</f>
        <v>25</v>
      </c>
      <c r="H10" s="7">
        <f>[3]Icelandair!$HY$38</f>
        <v>25</v>
      </c>
      <c r="I10" s="7">
        <f>[3]KLM!$HY$38</f>
        <v>4</v>
      </c>
      <c r="J10" s="7">
        <f>'[3]Air Georgian'!$HY$38</f>
        <v>0</v>
      </c>
      <c r="K10" s="7">
        <f>'[3]Sky Regional'!$HY$38</f>
        <v>0</v>
      </c>
      <c r="L10" s="7">
        <f>[3]Condor!$HY$38</f>
        <v>4</v>
      </c>
      <c r="M10" s="7">
        <f>'[3]Aer Lingus'!$HY$38</f>
        <v>0</v>
      </c>
      <c r="N10" s="7">
        <f>'[3]Air France'!$HY$38</f>
        <v>4</v>
      </c>
      <c r="O10" s="7">
        <f>[3]Frontier!$HY$38</f>
        <v>0</v>
      </c>
      <c r="P10" s="7">
        <f>'[3]Charter Misc'!$HY$38+[3]Ryan!$HY$38+[3]Omni!$HY$38</f>
        <v>0</v>
      </c>
      <c r="Q10" s="220">
        <f>SUM(B10:P10)</f>
        <v>1491</v>
      </c>
    </row>
    <row r="11" spans="1:17" ht="15.75" thickBot="1" x14ac:dyDescent="0.3">
      <c r="A11" s="47" t="s">
        <v>34</v>
      </c>
      <c r="B11" s="222">
        <f t="shared" ref="B11:G11" si="5">SUM(B9:B10)</f>
        <v>2615</v>
      </c>
      <c r="C11" s="222">
        <f t="shared" si="5"/>
        <v>0</v>
      </c>
      <c r="D11" s="222">
        <f t="shared" si="5"/>
        <v>73</v>
      </c>
      <c r="E11" s="222">
        <f t="shared" si="5"/>
        <v>220</v>
      </c>
      <c r="F11" s="222">
        <f t="shared" ref="F11" si="6">SUM(F9:F10)</f>
        <v>0</v>
      </c>
      <c r="G11" s="222">
        <f t="shared" si="5"/>
        <v>50</v>
      </c>
      <c r="H11" s="222">
        <f t="shared" ref="H11:P11" si="7">SUM(H9:H10)</f>
        <v>53</v>
      </c>
      <c r="I11" s="222">
        <f t="shared" ref="I11" si="8">SUM(I9:I10)</f>
        <v>92</v>
      </c>
      <c r="J11" s="222">
        <f t="shared" si="7"/>
        <v>0</v>
      </c>
      <c r="K11" s="222">
        <f t="shared" ref="K11" si="9">SUM(K9:K10)</f>
        <v>0</v>
      </c>
      <c r="L11" s="222">
        <f t="shared" si="7"/>
        <v>10</v>
      </c>
      <c r="M11" s="222">
        <f t="shared" ref="M11" si="10">SUM(M9:M10)</f>
        <v>0</v>
      </c>
      <c r="N11" s="222">
        <f t="shared" si="7"/>
        <v>92</v>
      </c>
      <c r="O11" s="222">
        <f t="shared" si="7"/>
        <v>0</v>
      </c>
      <c r="P11" s="222">
        <f t="shared" si="7"/>
        <v>0</v>
      </c>
      <c r="Q11" s="223">
        <f>SUM(B11:P11)</f>
        <v>3205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SUM([3]Delta!$HR$32:$HY$32)</f>
        <v>456592</v>
      </c>
      <c r="C16" s="13">
        <f>SUM('[3]Atlantic Southeast'!$HR$32:$HY$32)</f>
        <v>0</v>
      </c>
      <c r="D16" s="13">
        <f>SUM([3]Pinnacle!$HR$32:$HY$32)</f>
        <v>11744</v>
      </c>
      <c r="E16" s="13">
        <f>SUM('[3]Sky West'!$HR$32:$HY$32)</f>
        <v>17246</v>
      </c>
      <c r="F16" s="13">
        <f>SUM('[3]Go Jet'!$HR$32:$HY$32)</f>
        <v>0</v>
      </c>
      <c r="G16" s="13">
        <f>SUM('[3]Sun Country'!$HR$32:$HY$32)</f>
        <v>115391</v>
      </c>
      <c r="H16" s="13">
        <f>SUM([3]Icelandair!$HR$32:$HY$32)</f>
        <v>17221</v>
      </c>
      <c r="I16" s="13">
        <f>SUM([3]KLM!$HR$32:$HY$32)</f>
        <v>30080</v>
      </c>
      <c r="J16" s="13">
        <f>SUM('[3]Air Georgian'!$HR$32:$HY$32)</f>
        <v>0</v>
      </c>
      <c r="K16" s="13">
        <f>SUM('[3]Sky Regional'!$HR$32:$HY$32)</f>
        <v>0</v>
      </c>
      <c r="L16" s="13">
        <f>SUM([3]Condor!$HR$32:$HY$32)</f>
        <v>8792</v>
      </c>
      <c r="M16" s="13">
        <f>SUM('[3]Aer Lingus'!$HR$32:$HY$32)</f>
        <v>0</v>
      </c>
      <c r="N16" s="13">
        <f>SUM('[3]Air France'!$HR$32:$HY$32)</f>
        <v>20810</v>
      </c>
      <c r="O16" s="13">
        <f>SUM([3]Frontier!$HR$32:$HY$32)</f>
        <v>9678</v>
      </c>
      <c r="P16" s="13">
        <f>SUM('[3]Charter Misc'!$HR$32:$HY$32)+SUM([3]Ryan!$HR$32:$HY$32)+SUM([3]Omni!$HR$32:$HY$32)</f>
        <v>263</v>
      </c>
      <c r="Q16" s="219">
        <f>SUM(B16:P16)</f>
        <v>687817</v>
      </c>
    </row>
    <row r="17" spans="1:20" x14ac:dyDescent="0.2">
      <c r="A17" s="46" t="s">
        <v>31</v>
      </c>
      <c r="B17" s="7">
        <f>SUM([3]Delta!$HR$33:$HY$33)</f>
        <v>470132</v>
      </c>
      <c r="C17" s="7">
        <f>SUM('[3]Atlantic Southeast'!$HR$33:$HY$33)</f>
        <v>0</v>
      </c>
      <c r="D17" s="7">
        <f>SUM([3]Pinnacle!$HR$33:$HY$33)</f>
        <v>10822</v>
      </c>
      <c r="E17" s="7">
        <f>SUM('[3]Sky West'!$HR$33:$HY$33)</f>
        <v>17269</v>
      </c>
      <c r="F17" s="7">
        <f>SUM('[3]Go Jet'!$HR$33:$HY$33)</f>
        <v>0</v>
      </c>
      <c r="G17" s="7">
        <f>SUM('[3]Sun Country'!$HR$33:$HY$33)</f>
        <v>108633</v>
      </c>
      <c r="H17" s="7">
        <f>SUM([3]Icelandair!$HR$33:$HY$33)</f>
        <v>17995</v>
      </c>
      <c r="I17" s="7">
        <f>SUM([3]KLM!$HR$33:$HY$33)</f>
        <v>25901</v>
      </c>
      <c r="J17" s="7">
        <f>SUM('[3]Air Georgian'!$HR$33:$HY$33)</f>
        <v>0</v>
      </c>
      <c r="K17" s="7">
        <f>SUM('[3]Sky Regional'!$HR$33:$HY$33)</f>
        <v>0</v>
      </c>
      <c r="L17" s="7">
        <f>SUM([3]Condor!$HR$33:$HY$33)</f>
        <v>7862</v>
      </c>
      <c r="M17" s="7">
        <f>SUM('[3]Aer Lingus'!$HR$33:$HY$33)</f>
        <v>0</v>
      </c>
      <c r="N17" s="7">
        <f>SUM('[3]Air France'!$HR$33:$HY$33)</f>
        <v>19649</v>
      </c>
      <c r="O17" s="7">
        <f>SUM([3]Frontier!$HR$33:$HY$33)</f>
        <v>11586</v>
      </c>
      <c r="P17" s="7">
        <f>SUM('[3]Charter Misc'!$HR$33:$HY$33)++SUM([3]Ryan!$HR$33:$HY$33)+SUM([3]Omni!$HR$33:$HY$33)</f>
        <v>395</v>
      </c>
      <c r="Q17" s="220">
        <f>SUM(B17:P17)</f>
        <v>690244</v>
      </c>
    </row>
    <row r="18" spans="1:20" ht="15" x14ac:dyDescent="0.25">
      <c r="A18" s="44" t="s">
        <v>7</v>
      </c>
      <c r="B18" s="25">
        <f t="shared" ref="B18:P18" si="11">SUM(B16:B17)</f>
        <v>926724</v>
      </c>
      <c r="C18" s="25">
        <f t="shared" si="11"/>
        <v>0</v>
      </c>
      <c r="D18" s="25">
        <f t="shared" si="11"/>
        <v>22566</v>
      </c>
      <c r="E18" s="25">
        <f t="shared" si="11"/>
        <v>34515</v>
      </c>
      <c r="F18" s="25">
        <f t="shared" ref="F18" si="12">SUM(F16:F17)</f>
        <v>0</v>
      </c>
      <c r="G18" s="25">
        <f t="shared" si="11"/>
        <v>224024</v>
      </c>
      <c r="H18" s="25">
        <f t="shared" si="11"/>
        <v>35216</v>
      </c>
      <c r="I18" s="25">
        <f t="shared" ref="I18" si="13">SUM(I16:I17)</f>
        <v>55981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16654</v>
      </c>
      <c r="M18" s="25">
        <f t="shared" si="15"/>
        <v>0</v>
      </c>
      <c r="N18" s="25">
        <f t="shared" si="11"/>
        <v>40459</v>
      </c>
      <c r="O18" s="25">
        <f t="shared" si="11"/>
        <v>21264</v>
      </c>
      <c r="P18" s="25">
        <f t="shared" si="11"/>
        <v>658</v>
      </c>
      <c r="Q18" s="221">
        <f>SUM(B18:P18)</f>
        <v>1378061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SUM([3]Delta!$HR$37:$HY$37)</f>
        <v>8612</v>
      </c>
      <c r="C21" s="13">
        <f>SUM('[3]Atlantic Southeast'!$HR$37:$HY$37)</f>
        <v>0</v>
      </c>
      <c r="D21" s="13">
        <f>SUM([3]Pinnacle!$HR$37:$HY$37)</f>
        <v>204</v>
      </c>
      <c r="E21" s="13">
        <f>SUM('[3]Sky West'!$HR$37:$HY$37)</f>
        <v>284</v>
      </c>
      <c r="F21" s="13">
        <f>SUM('[3]Go Jet'!$HR$37:$HY$37)</f>
        <v>0</v>
      </c>
      <c r="G21" s="13">
        <f>SUM('[3]Sun Country'!$HR$37:$HY$37)</f>
        <v>1506</v>
      </c>
      <c r="H21" s="13">
        <f>SUM([3]Icelandair!$HR$37:$HY$37)</f>
        <v>66</v>
      </c>
      <c r="I21" s="13">
        <f>SUM([3]KLM!$HR$37:$HY$37)</f>
        <v>157</v>
      </c>
      <c r="J21" s="13">
        <f>SUM('[3]Air Georgian'!$HR$37:$HY$37)</f>
        <v>0</v>
      </c>
      <c r="K21" s="13">
        <f>SUM('[3]Sky Regional'!$HR$37:$HY$37)</f>
        <v>0</v>
      </c>
      <c r="L21" s="13">
        <f>SUM([3]Condor!$HR$37:$HY$37)</f>
        <v>19</v>
      </c>
      <c r="M21" s="13">
        <f>SUM('[3]Aer Lingus'!$HR$37:$HY$37)</f>
        <v>0</v>
      </c>
      <c r="N21" s="13">
        <f>SUM('[3]Air France'!$HR$37:$HY$37)</f>
        <v>173</v>
      </c>
      <c r="O21" s="13">
        <f>SUM([3]Frontier!$HR$37:$HY$37)</f>
        <v>21</v>
      </c>
      <c r="P21" s="13">
        <f>SUM('[3]Charter Misc'!$HR$37:$HY$37)++SUM([3]Ryan!$HR$37:$HY$37)+SUM([3]Omni!$HR$37:$HY$37)</f>
        <v>0</v>
      </c>
      <c r="Q21" s="219">
        <f>SUM(B21:P21)</f>
        <v>11042</v>
      </c>
    </row>
    <row r="22" spans="1:20" x14ac:dyDescent="0.2">
      <c r="A22" s="46" t="s">
        <v>33</v>
      </c>
      <c r="B22" s="7">
        <f>SUM([3]Delta!$HR$38:$HY$38)</f>
        <v>8962</v>
      </c>
      <c r="C22" s="7">
        <f>SUM('[3]Atlantic Southeast'!$HR$38:$HY$38)</f>
        <v>0</v>
      </c>
      <c r="D22" s="7">
        <f>SUM([3]Pinnacle!$HR$38:$HY$38)</f>
        <v>190</v>
      </c>
      <c r="E22" s="7">
        <f>SUM('[3]Sky West'!$HR$38:$HY$38)</f>
        <v>308</v>
      </c>
      <c r="F22" s="7">
        <f>SUM('[3]Go Jet'!$HR$38:$HY$38)</f>
        <v>0</v>
      </c>
      <c r="G22" s="7">
        <f>SUM('[3]Sun Country'!$HR$38:$HY$38)</f>
        <v>1492</v>
      </c>
      <c r="H22" s="7">
        <f>SUM([3]Icelandair!$HR$38:$HY$38)</f>
        <v>91</v>
      </c>
      <c r="I22" s="7">
        <f>SUM([3]KLM!$HR$38:$HY$38)</f>
        <v>19</v>
      </c>
      <c r="J22" s="7">
        <f>SUM('[3]Air Georgian'!$HR$38:$HY$38)</f>
        <v>0</v>
      </c>
      <c r="K22" s="7">
        <f>SUM('[3]Sky Regional'!$HR$38:$HY$38)</f>
        <v>0</v>
      </c>
      <c r="L22" s="7">
        <f>SUM([3]Condor!$HR$38:$HY$38)</f>
        <v>18</v>
      </c>
      <c r="M22" s="7">
        <f>SUM('[3]Aer Lingus'!$HR$38:$HY$38)</f>
        <v>0</v>
      </c>
      <c r="N22" s="7">
        <f>SUM('[3]Air France'!$HR$38:$HY$38)</f>
        <v>14</v>
      </c>
      <c r="O22" s="7">
        <f>SUM([3]Frontier!$HR$38:$HY$38)</f>
        <v>11</v>
      </c>
      <c r="P22" s="7">
        <f>SUM('[3]Charter Misc'!$HR$38:$HY$38)++SUM([3]Ryan!$HR$38:$HY$38)+SUM([3]Omni!$HR$38:$HY$38)</f>
        <v>0</v>
      </c>
      <c r="Q22" s="220">
        <f>SUM(B22:P22)</f>
        <v>11105</v>
      </c>
    </row>
    <row r="23" spans="1:20" ht="15.75" thickBot="1" x14ac:dyDescent="0.3">
      <c r="A23" s="47" t="s">
        <v>34</v>
      </c>
      <c r="B23" s="222">
        <f t="shared" ref="B23:P23" si="16">SUM(B21:B22)</f>
        <v>17574</v>
      </c>
      <c r="C23" s="222">
        <f t="shared" si="16"/>
        <v>0</v>
      </c>
      <c r="D23" s="222">
        <f t="shared" si="16"/>
        <v>394</v>
      </c>
      <c r="E23" s="222">
        <f t="shared" si="16"/>
        <v>592</v>
      </c>
      <c r="F23" s="222">
        <f t="shared" ref="F23" si="17">SUM(F21:F22)</f>
        <v>0</v>
      </c>
      <c r="G23" s="222">
        <f t="shared" si="16"/>
        <v>2998</v>
      </c>
      <c r="H23" s="222">
        <f t="shared" si="16"/>
        <v>157</v>
      </c>
      <c r="I23" s="222">
        <f t="shared" ref="I23" si="18">SUM(I21:I22)</f>
        <v>176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37</v>
      </c>
      <c r="M23" s="222">
        <f t="shared" si="20"/>
        <v>0</v>
      </c>
      <c r="N23" s="222">
        <f t="shared" si="16"/>
        <v>187</v>
      </c>
      <c r="O23" s="222">
        <f t="shared" si="16"/>
        <v>32</v>
      </c>
      <c r="P23" s="222">
        <f t="shared" si="16"/>
        <v>0</v>
      </c>
      <c r="Q23" s="223">
        <f>SUM(B23:P23)</f>
        <v>22147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[3]Delta!$HY$15</f>
        <v>317</v>
      </c>
      <c r="C27" s="13">
        <f>'[3]Atlantic Southeast'!$HY$15</f>
        <v>0</v>
      </c>
      <c r="D27" s="13">
        <f>[3]Pinnacle!$HY$15</f>
        <v>30</v>
      </c>
      <c r="E27" s="13">
        <f>'[3]Sky West'!$HY$15</f>
        <v>92</v>
      </c>
      <c r="F27" s="13">
        <f>'[3]Go Jet'!$HY$15</f>
        <v>0</v>
      </c>
      <c r="G27" s="13">
        <f>'[3]Sun Country'!$HY$15</f>
        <v>23</v>
      </c>
      <c r="H27" s="13">
        <f>[3]Icelandair!$HY$15</f>
        <v>31</v>
      </c>
      <c r="I27" s="13">
        <f>[3]KLM!$HY$15</f>
        <v>22</v>
      </c>
      <c r="J27" s="13">
        <f>'[3]Air Georgian'!$HY$15</f>
        <v>0</v>
      </c>
      <c r="K27" s="13">
        <f>'[3]Sky Regional'!$HY$15</f>
        <v>0</v>
      </c>
      <c r="L27" s="13">
        <f>[3]Condor!$HY$15</f>
        <v>14</v>
      </c>
      <c r="M27" s="13">
        <f>'[3]Aer Lingus'!$HY$15</f>
        <v>0</v>
      </c>
      <c r="N27" s="13">
        <f>'[3]Air France'!$HY$15</f>
        <v>22</v>
      </c>
      <c r="O27" s="13">
        <f>[3]Frontier!$HY$15</f>
        <v>0</v>
      </c>
      <c r="P27" s="13">
        <f>'[3]Charter Misc'!$HY$15+[3]Ryan!$HY$15+[3]Omni!$HY$15</f>
        <v>0</v>
      </c>
      <c r="Q27" s="219">
        <f>SUM(B27:P27)</f>
        <v>551</v>
      </c>
    </row>
    <row r="28" spans="1:20" x14ac:dyDescent="0.2">
      <c r="A28" s="46" t="s">
        <v>23</v>
      </c>
      <c r="B28" s="13">
        <f>[3]Delta!$HY$16</f>
        <v>319</v>
      </c>
      <c r="C28" s="13">
        <f>'[3]Atlantic Southeast'!$HY$16</f>
        <v>0</v>
      </c>
      <c r="D28" s="13">
        <f>[3]Pinnacle!$HY$16</f>
        <v>30</v>
      </c>
      <c r="E28" s="13">
        <f>'[3]Sky West'!$HY$16</f>
        <v>92</v>
      </c>
      <c r="F28" s="13">
        <f>'[3]Go Jet'!$HY$16</f>
        <v>0</v>
      </c>
      <c r="G28" s="13">
        <f>'[3]Sun Country'!$HY$16</f>
        <v>25</v>
      </c>
      <c r="H28" s="13">
        <f>[3]Icelandair!$HY$16</f>
        <v>31</v>
      </c>
      <c r="I28" s="13">
        <f>[3]KLM!$HY$16</f>
        <v>22</v>
      </c>
      <c r="J28" s="13">
        <f>'[3]Air Georgian'!$HY$16</f>
        <v>0</v>
      </c>
      <c r="K28" s="13">
        <f>'[3]Sky Regional'!$HY$16</f>
        <v>0</v>
      </c>
      <c r="L28" s="13">
        <f>[3]Condor!$HY$16</f>
        <v>14</v>
      </c>
      <c r="M28" s="13">
        <f>'[3]Aer Lingus'!$HY$16</f>
        <v>0</v>
      </c>
      <c r="N28" s="13">
        <f>'[3]Air France'!$HY$16</f>
        <v>22</v>
      </c>
      <c r="O28" s="13">
        <f>[3]Frontier!$HY$16</f>
        <v>0</v>
      </c>
      <c r="P28" s="13">
        <f>'[3]Charter Misc'!$HY$16+[3]Ryan!$HY$16+[3]Omni!$HY$16</f>
        <v>0</v>
      </c>
      <c r="Q28" s="219">
        <f>SUM(B28:P28)</f>
        <v>555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636</v>
      </c>
      <c r="C30" s="307">
        <f t="shared" si="21"/>
        <v>0</v>
      </c>
      <c r="D30" s="307">
        <f t="shared" si="21"/>
        <v>60</v>
      </c>
      <c r="E30" s="307">
        <f>SUM(E27:E28)</f>
        <v>184</v>
      </c>
      <c r="F30" s="307">
        <f>SUM(F27:F28)</f>
        <v>0</v>
      </c>
      <c r="G30" s="307">
        <f t="shared" si="21"/>
        <v>48</v>
      </c>
      <c r="H30" s="307">
        <f t="shared" si="21"/>
        <v>62</v>
      </c>
      <c r="I30" s="307">
        <f t="shared" ref="I30" si="22">SUM(I27:I28)</f>
        <v>44</v>
      </c>
      <c r="J30" s="307">
        <f t="shared" si="21"/>
        <v>0</v>
      </c>
      <c r="K30" s="307">
        <f t="shared" ref="K30" si="23">SUM(K27:K28)</f>
        <v>0</v>
      </c>
      <c r="L30" s="307">
        <f>SUM(L27:L28)</f>
        <v>28</v>
      </c>
      <c r="M30" s="307">
        <f>SUM(M27:M28)</f>
        <v>0</v>
      </c>
      <c r="N30" s="307">
        <f>SUM(N27:N28)</f>
        <v>44</v>
      </c>
      <c r="O30" s="307">
        <f t="shared" ref="O30" si="24">SUM(O27:O28)</f>
        <v>0</v>
      </c>
      <c r="P30" s="307">
        <f>SUM(P27:P28)</f>
        <v>0</v>
      </c>
      <c r="Q30" s="308">
        <f>SUM(B30:P30)</f>
        <v>1106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SUM([3]Delta!$HR$15:$HY$15)</f>
        <v>3054</v>
      </c>
      <c r="C34" s="13">
        <f>SUM('[3]Atlantic Southeast'!$HR$15:$HY$15)</f>
        <v>0</v>
      </c>
      <c r="D34" s="13">
        <f>SUM([3]Pinnacle!$HR$15:$HY$15)</f>
        <v>216</v>
      </c>
      <c r="E34" s="13">
        <f>SUM('[3]Sky West'!$HR$15:$HY$15)</f>
        <v>270</v>
      </c>
      <c r="F34" s="13">
        <f>SUM('[3]Go Jet'!$HR$15:$HY$15)</f>
        <v>0</v>
      </c>
      <c r="G34" s="13">
        <f>SUM('[3]Sun Country'!$HR$15:$HY$15)</f>
        <v>866</v>
      </c>
      <c r="H34" s="13">
        <f>SUM([3]Icelandair!$HR$15:$HY$15)</f>
        <v>119</v>
      </c>
      <c r="I34" s="13">
        <f>SUM([3]KLM!$HR$15:$HY$15)</f>
        <v>131</v>
      </c>
      <c r="J34" s="13">
        <f>SUM('[3]Air Georgian'!$HR$15:$HY$15)</f>
        <v>0</v>
      </c>
      <c r="K34" s="13">
        <f>SUM('[3]Sky Regional'!$HR$15:$HY$15)</f>
        <v>0</v>
      </c>
      <c r="L34" s="13">
        <f>SUM([3]Condor!$HR$15:$HY$15)</f>
        <v>41</v>
      </c>
      <c r="M34" s="13">
        <f>SUM('[3]Aer Lingus'!$HR$15:$HY$15)</f>
        <v>0</v>
      </c>
      <c r="N34" s="13">
        <f>SUM('[3]Air France'!$HR$15:$HY$15)</f>
        <v>79</v>
      </c>
      <c r="O34" s="13">
        <f>SUM([3]Frontier!$HR$15:$HY$15)</f>
        <v>99</v>
      </c>
      <c r="P34" s="13">
        <f>SUM('[3]Charter Misc'!$HR$15:$HY$15)+SUM([3]Ryan!$HR$15:$HY$15)+SUM([3]Omni!$HR$15:$HY$15)</f>
        <v>3</v>
      </c>
      <c r="Q34" s="219">
        <f>SUM(B34:P34)</f>
        <v>4878</v>
      </c>
    </row>
    <row r="35" spans="1:17" x14ac:dyDescent="0.2">
      <c r="A35" s="46" t="s">
        <v>23</v>
      </c>
      <c r="B35" s="13">
        <f>SUM([3]Delta!$HR$16:$HY$16)</f>
        <v>3059</v>
      </c>
      <c r="C35" s="13">
        <f>SUM('[3]Atlantic Southeast'!$HR$16:$HY$16)</f>
        <v>0</v>
      </c>
      <c r="D35" s="13">
        <f>SUM([3]Pinnacle!$HR$16:$HY$16)</f>
        <v>216</v>
      </c>
      <c r="E35" s="13">
        <f>SUM('[3]Sky West'!$HR$16:$HY$16)</f>
        <v>271</v>
      </c>
      <c r="F35" s="13">
        <f>SUM('[3]Go Jet'!$HR$16:$HY$16)</f>
        <v>0</v>
      </c>
      <c r="G35" s="13">
        <f>SUM('[3]Sun Country'!$HR$16:$HY$16)</f>
        <v>862</v>
      </c>
      <c r="H35" s="13">
        <f>SUM([3]Icelandair!$HR$16:$HY$16)</f>
        <v>119</v>
      </c>
      <c r="I35" s="13">
        <f>SUM([3]KLM!$HR$16:$HY$16)</f>
        <v>131</v>
      </c>
      <c r="J35" s="13">
        <f>SUM('[3]Air Georgian'!$HR$16:$HY$16)</f>
        <v>0</v>
      </c>
      <c r="K35" s="13">
        <f>SUM('[3]Sky Regional'!$HR$16:$HY$16)</f>
        <v>0</v>
      </c>
      <c r="L35" s="13">
        <f>SUM([3]Condor!$HR$16:$HY$16)</f>
        <v>41</v>
      </c>
      <c r="M35" s="13">
        <f>SUM('[3]Aer Lingus'!$HR$16:$HY$16)</f>
        <v>0</v>
      </c>
      <c r="N35" s="13">
        <f>SUM('[3]Air France'!$HR$16:$HY$16)</f>
        <v>79</v>
      </c>
      <c r="O35" s="13">
        <f>SUM([3]Frontier!$HR$16:$HY$16)</f>
        <v>99</v>
      </c>
      <c r="P35" s="13">
        <f>SUM('[3]Charter Misc'!$HR$16:$HY$16)+SUM([3]Ryan!$HR$16:$HY$16)+SUM([3]Omni!$HR$16:$HY$16)</f>
        <v>2</v>
      </c>
      <c r="Q35" s="219">
        <f>SUM(B35:P35)</f>
        <v>4879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6113</v>
      </c>
      <c r="C37" s="307">
        <f t="shared" si="25"/>
        <v>0</v>
      </c>
      <c r="D37" s="307">
        <f t="shared" si="25"/>
        <v>432</v>
      </c>
      <c r="E37" s="307">
        <f>+SUM(E34:E35)</f>
        <v>541</v>
      </c>
      <c r="F37" s="307">
        <f>+SUM(F34:F35)</f>
        <v>0</v>
      </c>
      <c r="G37" s="307">
        <f t="shared" si="25"/>
        <v>1728</v>
      </c>
      <c r="H37" s="307">
        <f t="shared" si="25"/>
        <v>238</v>
      </c>
      <c r="I37" s="307">
        <f t="shared" ref="I37" si="26">+SUM(I34:I35)</f>
        <v>262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82</v>
      </c>
      <c r="M37" s="307">
        <f>+SUM(M34:M35)</f>
        <v>0</v>
      </c>
      <c r="N37" s="307">
        <f>+SUM(N34:N35)</f>
        <v>158</v>
      </c>
      <c r="O37" s="307">
        <f t="shared" ref="O37" si="28">+SUM(O34:O35)</f>
        <v>198</v>
      </c>
      <c r="P37" s="307">
        <f>+SUM(P34:P35)</f>
        <v>5</v>
      </c>
      <c r="Q37" s="308">
        <f>SUM(B37:P37)</f>
        <v>9757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&amp;"Arial,Bold"August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pane xSplit="2" ySplit="2" topLeftCell="C54" activePane="bottomRight" state="frozen"/>
      <selection pane="topRight" activeCell="C1" sqref="C1"/>
      <selection pane="bottomLeft" activeCell="A3" sqref="A3"/>
      <selection pane="bottomRight" activeCell="D64" sqref="D64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9.28515625" style="3" bestFit="1" customWidth="1"/>
    <col min="15" max="16" width="10.71093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.7109375" bestFit="1" customWidth="1"/>
    <col min="22" max="22" width="9.85546875" bestFit="1" customWidth="1"/>
    <col min="23" max="23" width="10.71093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44774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44774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44774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Lingus'!$HY$19</f>
        <v>0</v>
      </c>
      <c r="D4" s="286">
        <f>'[3]Aer Lingus'!$HK$19</f>
        <v>0</v>
      </c>
      <c r="E4" s="287" t="e">
        <f>(C4-D4)/D4</f>
        <v>#DIV/0!</v>
      </c>
      <c r="F4" s="286">
        <f>SUM('[3]Aer Lingus'!$HR$19:$HY$19)</f>
        <v>0</v>
      </c>
      <c r="G4" s="286">
        <f>SUM('[3]Aer Lingus'!$HD$19:$HK$19)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Lingus'!$HY$41</f>
        <v>0</v>
      </c>
      <c r="M4" s="286">
        <f>'[3]Aer Lingus'!$HK$41</f>
        <v>0</v>
      </c>
      <c r="N4" s="287" t="e">
        <f>(L4-M4)/M4</f>
        <v>#DIV/0!</v>
      </c>
      <c r="O4" s="284">
        <f>SUM('[3]Aer Lingus'!$HR$41:$HY$41)</f>
        <v>0</v>
      </c>
      <c r="P4" s="286">
        <f>SUM('[3]Aer Lingus'!$HD$41:$HK$41)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Lingus'!$HY$64</f>
        <v>0</v>
      </c>
      <c r="V4" s="286">
        <f>'[3]Aer Lingus'!$HK$64</f>
        <v>0</v>
      </c>
      <c r="W4" s="287" t="e">
        <f>(U4-V4)/V4</f>
        <v>#DIV/0!</v>
      </c>
      <c r="X4" s="284">
        <f>SUM('[3]Aer Lingus'!$HR$64:$HY$64)</f>
        <v>0</v>
      </c>
      <c r="Y4" s="286">
        <f>SUM('[3]Aer Lingus'!$HD$64:$HK$64)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228</v>
      </c>
      <c r="D6" s="286">
        <f>SUM(D7:D10)</f>
        <v>0</v>
      </c>
      <c r="E6" s="287" t="e">
        <f>(C6-D6)/D6</f>
        <v>#DIV/0!</v>
      </c>
      <c r="F6" s="284">
        <f>SUM(F7:F10)</f>
        <v>1084</v>
      </c>
      <c r="G6" s="286">
        <f>SUM(G7:G10)</f>
        <v>0</v>
      </c>
      <c r="H6" s="285" t="e">
        <f>(F6-G6)/G6</f>
        <v>#DIV/0!</v>
      </c>
      <c r="I6" s="287">
        <f>F6/$F$73</f>
        <v>5.7823201826445051E-3</v>
      </c>
      <c r="J6" s="283" t="s">
        <v>98</v>
      </c>
      <c r="K6" s="40"/>
      <c r="L6" s="284">
        <f>SUM(L7:L10)</f>
        <v>13043</v>
      </c>
      <c r="M6" s="286">
        <f>SUM(M7:M10)</f>
        <v>0</v>
      </c>
      <c r="N6" s="287" t="e">
        <f>(L6-M6)/M6</f>
        <v>#DIV/0!</v>
      </c>
      <c r="O6" s="284">
        <f>SUM(O7:O10)</f>
        <v>57972</v>
      </c>
      <c r="P6" s="286">
        <f>SUM(P7:P10)</f>
        <v>0</v>
      </c>
      <c r="Q6" s="285" t="e">
        <f>(O6-P6)/P6</f>
        <v>#DIV/0!</v>
      </c>
      <c r="R6" s="287">
        <f>O6/$O$73</f>
        <v>2.8486807161681206E-3</v>
      </c>
      <c r="S6" s="283" t="s">
        <v>98</v>
      </c>
      <c r="T6" s="40"/>
      <c r="U6" s="284">
        <f>SUM(U7:U10)</f>
        <v>3450</v>
      </c>
      <c r="V6" s="286">
        <f>SUM(V7:V10)</f>
        <v>0</v>
      </c>
      <c r="W6" s="287" t="e">
        <f>(U6-V6)/V6</f>
        <v>#DIV/0!</v>
      </c>
      <c r="X6" s="284">
        <f>SUM(X7:X10)</f>
        <v>803166</v>
      </c>
      <c r="Y6" s="286">
        <f>SUM(Y7:Y10)</f>
        <v>0</v>
      </c>
      <c r="Z6" s="285" t="e">
        <f>(X6-Y6)/Y6</f>
        <v>#DIV/0!</v>
      </c>
      <c r="AA6" s="287">
        <f>X6/$X$73</f>
        <v>1.2092105091405776E-2</v>
      </c>
    </row>
    <row r="7" spans="1:27" ht="14.1" customHeight="1" x14ac:dyDescent="0.2">
      <c r="A7" s="283"/>
      <c r="B7" s="343" t="s">
        <v>98</v>
      </c>
      <c r="C7" s="288">
        <f>+[3]AirCanada!$HY$19</f>
        <v>0</v>
      </c>
      <c r="D7" s="2">
        <f>+[3]AirCanada!$HK$19</f>
        <v>0</v>
      </c>
      <c r="E7" s="66" t="e">
        <f>(C7-D7)/D7</f>
        <v>#DIV/0!</v>
      </c>
      <c r="F7" s="231">
        <f>SUM([3]AirCanada!$HR$19:$HY$19)</f>
        <v>0</v>
      </c>
      <c r="G7" s="231">
        <f>SUM([3]AirCanada!$HD$19:$HK$19)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+[3]AirCanada!$HY$41</f>
        <v>0</v>
      </c>
      <c r="M7" s="231">
        <f>+[3]AirCanada!$HK$41</f>
        <v>0</v>
      </c>
      <c r="N7" s="349" t="e">
        <f>(L7-M7)/M7</f>
        <v>#DIV/0!</v>
      </c>
      <c r="O7" s="347">
        <f>SUM([3]AirCanada!$HR$41:$HY$41)</f>
        <v>0</v>
      </c>
      <c r="P7" s="231">
        <f>SUM([3]AirCanada!$HD$41:$HK$41)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+[3]AirCanada!$HY$64</f>
        <v>0</v>
      </c>
      <c r="V7" s="231">
        <f>+[3]AirCanada!$HK$64</f>
        <v>0</v>
      </c>
      <c r="W7" s="349" t="e">
        <f>(U7-V7)/V7</f>
        <v>#DIV/0!</v>
      </c>
      <c r="X7" s="347">
        <f>SUM([3]AirCanada!$HR$64:$HY$64)</f>
        <v>0</v>
      </c>
      <c r="Y7" s="231">
        <f>SUM([3]AirCanada!$HD$64:$HK$64)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Georgian'!$HY$19</f>
        <v>0</v>
      </c>
      <c r="D8" s="2">
        <f>'[3]Air Georgian'!$HK$19</f>
        <v>0</v>
      </c>
      <c r="E8" s="66" t="e">
        <f>(C8-D8)/D8</f>
        <v>#DIV/0!</v>
      </c>
      <c r="F8" s="231">
        <f>SUM('[3]Air Georgian'!$HR$19:$HY$19)</f>
        <v>0</v>
      </c>
      <c r="G8" s="231">
        <f>SUM('[3]Air Georgian'!$HD$19:$HK$19)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Georgian'!$HY$41</f>
        <v>0</v>
      </c>
      <c r="M8" s="2">
        <f>'[3]Air Georgian'!$HK$41</f>
        <v>0</v>
      </c>
      <c r="N8" s="66" t="e">
        <f>(L8-M8)/M8</f>
        <v>#DIV/0!</v>
      </c>
      <c r="O8" s="288">
        <f>SUM('[3]Air Georgian'!$HR$41:$HY$41)</f>
        <v>0</v>
      </c>
      <c r="P8" s="2">
        <f>SUM('[3]Air Georgian'!$HD$41:$HK$41)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Georgian'!$HY$64</f>
        <v>0</v>
      </c>
      <c r="V8" s="2">
        <f>'[3]Air Georgian'!$HK$64</f>
        <v>0</v>
      </c>
      <c r="W8" s="66" t="e">
        <f>(U8-V8)/V8</f>
        <v>#DIV/0!</v>
      </c>
      <c r="X8" s="288">
        <f>SUM('[3]Air Georgian'!$HR$64:$HY$64)</f>
        <v>0</v>
      </c>
      <c r="Y8" s="2">
        <f>SUM('[3]Air Georgian'!$HD$64:$HK$64)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[3]Jazz_AC!$HY$19</f>
        <v>228</v>
      </c>
      <c r="D9" s="2">
        <f>[3]Jazz_AC!$HK$19</f>
        <v>0</v>
      </c>
      <c r="E9" s="66" t="e">
        <f t="shared" ref="E9" si="0">(C9-D9)/D9</f>
        <v>#DIV/0!</v>
      </c>
      <c r="F9" s="2">
        <f>SUM([3]Jazz_AC!$HR$19:$HY$19)</f>
        <v>1084</v>
      </c>
      <c r="G9" s="2">
        <f>SUM([3]Jazz_AC!$HD$19:$HK$19)</f>
        <v>0</v>
      </c>
      <c r="H9" s="3" t="e">
        <f t="shared" ref="H9" si="1">(F9-G9)/G9</f>
        <v>#DIV/0!</v>
      </c>
      <c r="I9" s="66">
        <f>F9/$F$73</f>
        <v>5.7823201826445051E-3</v>
      </c>
      <c r="J9" s="283"/>
      <c r="K9" s="343" t="s">
        <v>236</v>
      </c>
      <c r="L9" s="288">
        <f>[3]Jazz_AC!$HY$41</f>
        <v>13043</v>
      </c>
      <c r="M9" s="2">
        <f>[3]Jazz_AC!$HK$41</f>
        <v>0</v>
      </c>
      <c r="N9" s="66" t="e">
        <f t="shared" ref="N9" si="2">(L9-M9)/M9</f>
        <v>#DIV/0!</v>
      </c>
      <c r="O9" s="288">
        <f>SUM([3]Jazz_AC!$HR$41:$HY$41)</f>
        <v>57972</v>
      </c>
      <c r="P9" s="2">
        <f>SUM([3]Jazz_AC!$HD$41:$HK$41)</f>
        <v>0</v>
      </c>
      <c r="Q9" s="3" t="e">
        <f t="shared" ref="Q9" si="3">(O9-P9)/P9</f>
        <v>#DIV/0!</v>
      </c>
      <c r="R9" s="66">
        <f>O9/$O$73</f>
        <v>2.8486807161681206E-3</v>
      </c>
      <c r="S9" s="283"/>
      <c r="T9" s="343" t="s">
        <v>236</v>
      </c>
      <c r="U9" s="288">
        <f>[3]Jazz_AC!$HY$64</f>
        <v>3450</v>
      </c>
      <c r="V9" s="2">
        <f>[3]Jazz_AC!$HK$64</f>
        <v>0</v>
      </c>
      <c r="W9" s="66" t="e">
        <f t="shared" ref="W9" si="4">(U9-V9)/V9</f>
        <v>#DIV/0!</v>
      </c>
      <c r="X9" s="288">
        <f>SUM([3]Jazz_AC!$HR$64:$HY$64)</f>
        <v>803166</v>
      </c>
      <c r="Y9" s="2">
        <f>SUM([3]Jazz_AC!$HD$64:$HK$64)</f>
        <v>0</v>
      </c>
      <c r="Z9" s="3" t="e">
        <f t="shared" ref="Z9" si="5">(X9-Y9)/Y9</f>
        <v>#DIV/0!</v>
      </c>
      <c r="AA9" s="66">
        <f>X9/$X$73</f>
        <v>1.2092105091405776E-2</v>
      </c>
    </row>
    <row r="10" spans="1:27" ht="14.1" customHeight="1" x14ac:dyDescent="0.2">
      <c r="A10" s="283"/>
      <c r="B10" s="343" t="s">
        <v>192</v>
      </c>
      <c r="C10" s="288">
        <f>'[3]Sky Regional'!$HY$19</f>
        <v>0</v>
      </c>
      <c r="D10" s="2">
        <f>'[3]Sky Regional'!$HK$19</f>
        <v>0</v>
      </c>
      <c r="E10" s="66" t="e">
        <f>(C10-D10)/D10</f>
        <v>#DIV/0!</v>
      </c>
      <c r="F10" s="231">
        <f>SUM('[3]Sky Regional'!$HR$19:$HY$19)</f>
        <v>0</v>
      </c>
      <c r="G10" s="231">
        <f>SUM('[3]Sky Regional'!$HD$19:$HK$19)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Regional'!$HY$41</f>
        <v>0</v>
      </c>
      <c r="M10" s="2">
        <f>'[3]Sky Regional'!$HK$41</f>
        <v>0</v>
      </c>
      <c r="N10" s="66" t="e">
        <f>(L10-M10)/M10</f>
        <v>#DIV/0!</v>
      </c>
      <c r="O10" s="288">
        <f>SUM('[3]Sky Regional'!$HR$41:$HY$41)</f>
        <v>0</v>
      </c>
      <c r="P10" s="2">
        <f>SUM('[3]Sky Regional'!$HD$41:$HK$41)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Regional'!$HY$64</f>
        <v>0</v>
      </c>
      <c r="V10" s="2">
        <f>'[3]Sky Regional'!$HK$64</f>
        <v>0</v>
      </c>
      <c r="W10" s="66" t="e">
        <f>(U10-V10)/V10</f>
        <v>#DIV/0!</v>
      </c>
      <c r="X10" s="288">
        <f>SUM('[3]Sky Regional'!$HR$64:$HY$64)</f>
        <v>0</v>
      </c>
      <c r="Y10" s="2">
        <f>SUM('[3]Sky Regional'!$HD$64:$HK$64)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One'!$HY$19</f>
        <v>0</v>
      </c>
      <c r="D12" s="286">
        <f>'[3]Air Choice One'!$HK$19</f>
        <v>0</v>
      </c>
      <c r="E12" s="287" t="e">
        <f>(C12-D12)/D12</f>
        <v>#DIV/0!</v>
      </c>
      <c r="F12" s="286">
        <f>SUM('[3]Air Choice One'!$HR$19:$HY$19)</f>
        <v>0</v>
      </c>
      <c r="G12" s="286">
        <f>SUM('[3]Air Choice One'!$HD$19:$HK$19)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One'!$HY$41</f>
        <v>0</v>
      </c>
      <c r="M12" s="286">
        <f>'[3]Air Choice One'!$HK$41</f>
        <v>0</v>
      </c>
      <c r="N12" s="287" t="e">
        <f>(L12-M12)/M12</f>
        <v>#DIV/0!</v>
      </c>
      <c r="O12" s="284">
        <f>SUM('[3]Air Choice One'!$HR$41:$HY$41)</f>
        <v>0</v>
      </c>
      <c r="P12" s="286">
        <f>SUM('[3]Air Choice One'!$HD$41:$HK$41)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One'!$HY$64</f>
        <v>0</v>
      </c>
      <c r="V12" s="286">
        <f>'[3]Air Choice One'!$HK$64</f>
        <v>0</v>
      </c>
      <c r="W12" s="287" t="e">
        <f>(U12-V12)/V12</f>
        <v>#DIV/0!</v>
      </c>
      <c r="X12" s="284">
        <f>SUM('[3]Air Choice One'!$HR$64:$HY$64)</f>
        <v>0</v>
      </c>
      <c r="Y12" s="286">
        <f>SUM('[3]Air Choice One'!$HD$64:$HK$64)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France'!$HY$19</f>
        <v>44</v>
      </c>
      <c r="D14" s="286">
        <f>'[3]Air France'!$HK$19</f>
        <v>44</v>
      </c>
      <c r="E14" s="287">
        <f>(C14-D14)/D14</f>
        <v>0</v>
      </c>
      <c r="F14" s="286">
        <f>SUM('[3]Air France'!$HR$19:$HY$19)</f>
        <v>158</v>
      </c>
      <c r="G14" s="286">
        <f>SUM('[3]Air France'!$HD$19:$HK$19)</f>
        <v>94</v>
      </c>
      <c r="H14" s="285">
        <f>(F14-G14)/G14</f>
        <v>0.68085106382978722</v>
      </c>
      <c r="I14" s="287">
        <f>F14/$F$73</f>
        <v>8.4281050632641302E-4</v>
      </c>
      <c r="J14" s="283" t="s">
        <v>156</v>
      </c>
      <c r="K14" s="40"/>
      <c r="L14" s="284">
        <f>'[3]Air France'!$HY$41</f>
        <v>11114</v>
      </c>
      <c r="M14" s="286">
        <f>'[3]Air France'!$HK$41</f>
        <v>8359</v>
      </c>
      <c r="N14" s="287">
        <f>(L14-M14)/M14</f>
        <v>0.3295848785739921</v>
      </c>
      <c r="O14" s="284">
        <f>SUM('[3]Air France'!$HR$41:$HY$41)</f>
        <v>40459</v>
      </c>
      <c r="P14" s="286">
        <f>SUM('[3]Air France'!$HD$41:$HK$41)</f>
        <v>16044</v>
      </c>
      <c r="Q14" s="285">
        <f>(O14-P14)/P14</f>
        <v>1.5217526801296435</v>
      </c>
      <c r="R14" s="287">
        <f>O14/$O$73</f>
        <v>1.9881110380087969E-3</v>
      </c>
      <c r="S14" s="283" t="s">
        <v>156</v>
      </c>
      <c r="T14" s="40"/>
      <c r="U14" s="284">
        <f>'[3]Air France'!$HY$64</f>
        <v>381628</v>
      </c>
      <c r="V14" s="286">
        <f>'[3]Air France'!$HK$64</f>
        <v>529528</v>
      </c>
      <c r="W14" s="287">
        <f>(U14-V14)/V14</f>
        <v>-0.27930534362677706</v>
      </c>
      <c r="X14" s="284">
        <f>SUM('[3]Air France'!$HR$64:$HY$64)</f>
        <v>1713011</v>
      </c>
      <c r="Y14" s="286">
        <f>SUM('[3]Air France'!$HD$64:$HK$64)</f>
        <v>1467072</v>
      </c>
      <c r="Z14" s="285">
        <f>(X14-Y14)/Y14</f>
        <v>0.16763935239715569</v>
      </c>
      <c r="AA14" s="287">
        <f>X14/$X$73</f>
        <v>2.5790321097673582E-2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'!$HY$19</f>
        <v>44</v>
      </c>
      <c r="D16" s="2">
        <f>'[3]Allegiant '!$HK$19</f>
        <v>0</v>
      </c>
      <c r="E16" s="66" t="e">
        <f t="shared" ref="E16" si="6">(C16-D16)/D16</f>
        <v>#DIV/0!</v>
      </c>
      <c r="F16" s="2">
        <f>SUM('[3]Allegiant '!$HR$19:$HY$19)</f>
        <v>644</v>
      </c>
      <c r="G16" s="2">
        <f>SUM('[3]Allegiant '!$HD$19:$HK$19)</f>
        <v>0</v>
      </c>
      <c r="H16" s="3" t="e">
        <f t="shared" ref="H16" si="7">(F16-G16)/G16</f>
        <v>#DIV/0!</v>
      </c>
      <c r="I16" s="66">
        <f>F16/$F$73</f>
        <v>3.4352529498367724E-3</v>
      </c>
      <c r="J16" s="283" t="s">
        <v>237</v>
      </c>
      <c r="K16" s="40"/>
      <c r="L16" s="288">
        <f>'[3]Allegiant '!$HY$41</f>
        <v>6801</v>
      </c>
      <c r="M16" s="2">
        <f>'[3]Allegiant '!$HK$41</f>
        <v>0</v>
      </c>
      <c r="N16" s="66" t="e">
        <f t="shared" ref="N16" si="8">(L16-M16)/M16</f>
        <v>#DIV/0!</v>
      </c>
      <c r="O16" s="288">
        <f>SUM('[3]Allegiant '!$HR$41:$HY$41)</f>
        <v>89129</v>
      </c>
      <c r="P16" s="2">
        <f>SUM('[3]Allegiant '!$HD$41:$HK$41)</f>
        <v>0</v>
      </c>
      <c r="Q16" s="3" t="e">
        <f t="shared" ref="Q16" si="9">(O16-P16)/P16</f>
        <v>#DIV/0!</v>
      </c>
      <c r="R16" s="66">
        <f>O16/$O$73</f>
        <v>4.3797016413328572E-3</v>
      </c>
      <c r="S16" s="283" t="s">
        <v>237</v>
      </c>
      <c r="T16" s="40"/>
      <c r="U16" s="288">
        <f>'[3]Allegiant '!$HY$64</f>
        <v>0</v>
      </c>
      <c r="V16" s="2">
        <f>'[3]Allegiant '!$HK$64</f>
        <v>0</v>
      </c>
      <c r="W16" s="66" t="e">
        <f t="shared" ref="W16" si="10">(U16-V16)/V16</f>
        <v>#DIV/0!</v>
      </c>
      <c r="X16" s="288">
        <f>SUM('[3]Allegiant '!$HR$64:$HY$64)</f>
        <v>0</v>
      </c>
      <c r="Y16" s="2">
        <f>SUM('[3]Allegiant '!$HD$64:$HK$64)</f>
        <v>0</v>
      </c>
      <c r="Z16" s="3" t="e">
        <f t="shared" ref="Z16" si="11">(X16-Y16)/Y16</f>
        <v>#DIV/0!</v>
      </c>
      <c r="AA16" s="66">
        <f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278</v>
      </c>
      <c r="D18" s="286">
        <f>SUM(D19:D21)</f>
        <v>194</v>
      </c>
      <c r="E18" s="287">
        <f>(C18-D18)/D18</f>
        <v>0.4329896907216495</v>
      </c>
      <c r="F18" s="286">
        <f>SUM(F19:F21)</f>
        <v>1398</v>
      </c>
      <c r="G18" s="286">
        <f>SUM(G19:G21)</f>
        <v>1199</v>
      </c>
      <c r="H18" s="285">
        <f>(F18-G18)/G18</f>
        <v>0.16597164303586323</v>
      </c>
      <c r="I18" s="287">
        <f>F18/$F$73</f>
        <v>7.457272707875477E-3</v>
      </c>
      <c r="J18" s="283" t="s">
        <v>128</v>
      </c>
      <c r="K18" s="40"/>
      <c r="L18" s="284">
        <f>SUM(L19:L21)</f>
        <v>36992</v>
      </c>
      <c r="M18" s="286">
        <f>SUM(M19:M21)</f>
        <v>25811</v>
      </c>
      <c r="N18" s="287">
        <f>(L18-M18)/M18</f>
        <v>0.43318740072062301</v>
      </c>
      <c r="O18" s="284">
        <f>SUM(O19:O21)</f>
        <v>182995</v>
      </c>
      <c r="P18" s="286">
        <f>SUM(P19:P21)</f>
        <v>144931</v>
      </c>
      <c r="Q18" s="285">
        <f>(O18-P18)/P18</f>
        <v>0.26263532301577991</v>
      </c>
      <c r="R18" s="287">
        <f>O18/$O$73</f>
        <v>8.9921742850890985E-3</v>
      </c>
      <c r="S18" s="283" t="s">
        <v>128</v>
      </c>
      <c r="T18" s="40"/>
      <c r="U18" s="284">
        <f>SUM(U19:U21)</f>
        <v>50215</v>
      </c>
      <c r="V18" s="286">
        <f>SUM(V19:V21)</f>
        <v>29175</v>
      </c>
      <c r="W18" s="287">
        <f>(U18-V18)/V18</f>
        <v>0.72116538131962293</v>
      </c>
      <c r="X18" s="284">
        <f>SUM(X19:X21)</f>
        <v>226063</v>
      </c>
      <c r="Y18" s="286">
        <f>SUM(Y19:Y21)</f>
        <v>242420</v>
      </c>
      <c r="Z18" s="285">
        <f>(X18-Y18)/Y18</f>
        <v>-6.7473805791601352E-2</v>
      </c>
      <c r="AA18" s="287">
        <f>X18/$X$73</f>
        <v>3.4035025801371871E-3</v>
      </c>
    </row>
    <row r="19" spans="1:27" ht="14.1" customHeight="1" x14ac:dyDescent="0.2">
      <c r="A19" s="283"/>
      <c r="B19" s="343" t="s">
        <v>128</v>
      </c>
      <c r="C19" s="347">
        <f>[3]Alaska!$HY$19</f>
        <v>278</v>
      </c>
      <c r="D19" s="231">
        <f>[3]Alaska!$HK$19</f>
        <v>134</v>
      </c>
      <c r="E19" s="349">
        <f>(C19-D19)/D19</f>
        <v>1.0746268656716418</v>
      </c>
      <c r="F19" s="231">
        <f>SUM([3]Alaska!$HR$19:$HY$19)</f>
        <v>1306</v>
      </c>
      <c r="G19" s="231">
        <f>SUM([3]Alaska!$HD$19:$HK$19)</f>
        <v>905</v>
      </c>
      <c r="H19" s="348">
        <f>(F19-G19)/G19</f>
        <v>0.4430939226519337</v>
      </c>
      <c r="I19" s="349">
        <f>F19/$F$73</f>
        <v>6.9665222864702244E-3</v>
      </c>
      <c r="J19" s="283"/>
      <c r="K19" s="343" t="s">
        <v>128</v>
      </c>
      <c r="L19" s="347">
        <f>[3]Alaska!$HY$41</f>
        <v>36992</v>
      </c>
      <c r="M19" s="231">
        <f>[3]Alaska!$HK$41</f>
        <v>21689</v>
      </c>
      <c r="N19" s="349">
        <f>(L19-M19)/M19</f>
        <v>0.70556503296601969</v>
      </c>
      <c r="O19" s="347">
        <f>SUM([3]Alaska!$HR$41:$HY$41)</f>
        <v>177624</v>
      </c>
      <c r="P19" s="231">
        <f>SUM([3]Alaska!$HD$41:$HK$41)</f>
        <v>120079</v>
      </c>
      <c r="Q19" s="348">
        <f>(O19-P19)/P19</f>
        <v>0.4792261761007337</v>
      </c>
      <c r="R19" s="349">
        <f>O19/$O$73</f>
        <v>8.728249215632481E-3</v>
      </c>
      <c r="S19" s="283"/>
      <c r="T19" s="343" t="s">
        <v>128</v>
      </c>
      <c r="U19" s="347">
        <f>[3]Alaska!$HY$64</f>
        <v>50215</v>
      </c>
      <c r="V19" s="231">
        <f>[3]Alaska!$HK$64</f>
        <v>26116</v>
      </c>
      <c r="W19" s="349">
        <f>(U19-V19)/V19</f>
        <v>0.92276765201409094</v>
      </c>
      <c r="X19" s="347">
        <f>SUM([3]Alaska!$HR$64:$HY$64)</f>
        <v>218464</v>
      </c>
      <c r="Y19" s="231">
        <f>SUM([3]Alaska!$HD$64:$HK$64)</f>
        <v>224094</v>
      </c>
      <c r="Z19" s="348">
        <f>(X19-Y19)/Y19</f>
        <v>-2.5123385722063064E-2</v>
      </c>
      <c r="AA19" s="349">
        <f>X19/$X$73</f>
        <v>3.2890954630660058E-3</v>
      </c>
    </row>
    <row r="20" spans="1:27" ht="14.1" customHeight="1" x14ac:dyDescent="0.2">
      <c r="A20" s="283"/>
      <c r="B20" s="343" t="s">
        <v>97</v>
      </c>
      <c r="C20" s="288">
        <f>'[3]Sky West_AS'!$HY$19</f>
        <v>0</v>
      </c>
      <c r="D20" s="2">
        <f>'[3]Sky West_AS'!$HK$19</f>
        <v>0</v>
      </c>
      <c r="E20" s="66" t="e">
        <f>(C20-D20)/D20</f>
        <v>#DIV/0!</v>
      </c>
      <c r="F20" s="2">
        <f>SUM('[3]Sky West_AS'!$HR$19:$HY$19)</f>
        <v>54</v>
      </c>
      <c r="G20" s="2">
        <f>SUM('[3]Sky West_AS'!$HD$19:$HK$19)</f>
        <v>0</v>
      </c>
      <c r="H20" s="3" t="e">
        <f>(F20-G20)/G20</f>
        <v>#DIV/0!</v>
      </c>
      <c r="I20" s="66">
        <f>F20/$F$73</f>
        <v>2.8804916039003992E-4</v>
      </c>
      <c r="J20" s="283"/>
      <c r="K20" s="343" t="s">
        <v>97</v>
      </c>
      <c r="L20" s="288">
        <f>'[3]Sky West_AS'!$HY$41</f>
        <v>0</v>
      </c>
      <c r="M20" s="2">
        <f>'[3]Sky West_AS'!$HK$41</f>
        <v>0</v>
      </c>
      <c r="N20" s="66" t="e">
        <f>(L20-M20)/M20</f>
        <v>#DIV/0!</v>
      </c>
      <c r="O20" s="288">
        <f>SUM('[3]Sky West_AS'!$HR$41:$HY$41)</f>
        <v>2767</v>
      </c>
      <c r="P20" s="2">
        <f>SUM('[3]Sky West_AS'!$HD$41:$HK$41)</f>
        <v>0</v>
      </c>
      <c r="Q20" s="3" t="e">
        <f>(O20-P20)/P20</f>
        <v>#DIV/0!</v>
      </c>
      <c r="R20" s="349">
        <f>O20/$O$73</f>
        <v>1.3596735564819551E-4</v>
      </c>
      <c r="S20" s="283"/>
      <c r="T20" s="343" t="s">
        <v>97</v>
      </c>
      <c r="U20" s="288">
        <f>'[3]Sky West_AS'!$HY$64</f>
        <v>0</v>
      </c>
      <c r="V20" s="2">
        <f>'[3]Sky West_AS'!$HK$64</f>
        <v>0</v>
      </c>
      <c r="W20" s="66" t="e">
        <f>(U20-V20)/V20</f>
        <v>#DIV/0!</v>
      </c>
      <c r="X20" s="288">
        <f>SUM('[3]Sky West_AS'!$HR$64:$HY$64)</f>
        <v>4924</v>
      </c>
      <c r="Y20" s="2">
        <f>SUM('[3]Sky West_AS'!$HD$64:$HK$64)</f>
        <v>0</v>
      </c>
      <c r="Z20" s="3" t="e">
        <f>(X20-Y20)/Y20</f>
        <v>#DIV/0!</v>
      </c>
      <c r="AA20" s="349">
        <f>X20/$X$73</f>
        <v>7.4133523418673153E-5</v>
      </c>
    </row>
    <row r="21" spans="1:27" ht="14.1" customHeight="1" x14ac:dyDescent="0.2">
      <c r="A21" s="283"/>
      <c r="B21" s="343" t="s">
        <v>193</v>
      </c>
      <c r="C21" s="288">
        <f>[3]Horizon_AS!$HY$19</f>
        <v>0</v>
      </c>
      <c r="D21" s="2">
        <f>[3]Horizon_AS!$HK$19</f>
        <v>60</v>
      </c>
      <c r="E21" s="66">
        <f>(C21-D21)/D21</f>
        <v>-1</v>
      </c>
      <c r="F21" s="2">
        <f>SUM([3]Horizon_AS!$HR$19:$HY$19)</f>
        <v>38</v>
      </c>
      <c r="G21" s="2">
        <f>SUM([3]Horizon_AS!$HD$19:$HK$19)</f>
        <v>294</v>
      </c>
      <c r="H21" s="3">
        <f>(F21-G21)/G21</f>
        <v>-0.87074829931972786</v>
      </c>
      <c r="I21" s="66">
        <f>F21/$F$73</f>
        <v>2.0270126101521325E-4</v>
      </c>
      <c r="J21" s="283"/>
      <c r="K21" s="343" t="s">
        <v>193</v>
      </c>
      <c r="L21" s="288">
        <f>[3]Horizon_AS!$HY$41</f>
        <v>0</v>
      </c>
      <c r="M21" s="2">
        <f>[3]Horizon_AS!$HK$41</f>
        <v>4122</v>
      </c>
      <c r="N21" s="66">
        <f>(L21-M21)/M21</f>
        <v>-1</v>
      </c>
      <c r="O21" s="288">
        <f>SUM([3]Horizon_AS!$HR$41:$HY$41)</f>
        <v>2604</v>
      </c>
      <c r="P21" s="2">
        <f>SUM([3]Horizon_AS!$HD$41:$HK$41)</f>
        <v>24852</v>
      </c>
      <c r="Q21" s="3">
        <f>(O21-P21)/P21</f>
        <v>-0.89521970062771605</v>
      </c>
      <c r="R21" s="349">
        <f>O21/$O$73</f>
        <v>1.2795771380842106E-4</v>
      </c>
      <c r="S21" s="283"/>
      <c r="T21" s="343" t="s">
        <v>193</v>
      </c>
      <c r="U21" s="288">
        <f>[3]Horizon_AS!$HY$64</f>
        <v>0</v>
      </c>
      <c r="V21" s="2">
        <f>[3]Horizon_AS!$HK$64</f>
        <v>3059</v>
      </c>
      <c r="W21" s="66">
        <f>(U21-V21)/V21</f>
        <v>-1</v>
      </c>
      <c r="X21" s="288">
        <f>SUM([3]Horizon_AS!$HR$64:$HY$64)</f>
        <v>2675</v>
      </c>
      <c r="Y21" s="2">
        <f>SUM([3]Horizon_AS!$HD$64:$HK$64)</f>
        <v>18326</v>
      </c>
      <c r="Z21" s="3">
        <f>(X21-Y21)/Y21</f>
        <v>-0.854032522099749</v>
      </c>
      <c r="AA21" s="349">
        <f>X21/$X$73</f>
        <v>4.0273593652508261E-5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SUM(C24:C29)</f>
        <v>1111</v>
      </c>
      <c r="D23" s="286">
        <f>SUM(D24:D29)</f>
        <v>1234</v>
      </c>
      <c r="E23" s="287">
        <f t="shared" ref="E23:E29" si="12">(C23-D23)/D23</f>
        <v>-9.9675850891410053E-2</v>
      </c>
      <c r="F23" s="284">
        <f>SUM(F24:F29)</f>
        <v>8535</v>
      </c>
      <c r="G23" s="286">
        <f>SUM(G24:G29)</f>
        <v>7907</v>
      </c>
      <c r="H23" s="285">
        <f t="shared" ref="H23:H29" si="13">(F23-G23)/G23</f>
        <v>7.9423295813835837E-2</v>
      </c>
      <c r="I23" s="287">
        <f t="shared" ref="I23:I29" si="14">F23/$F$73</f>
        <v>4.5527770072759086E-2</v>
      </c>
      <c r="J23" s="283" t="s">
        <v>17</v>
      </c>
      <c r="K23" s="290"/>
      <c r="L23" s="284">
        <f>SUM(L24:L29)</f>
        <v>126395</v>
      </c>
      <c r="M23" s="286">
        <f>SUM(M24:M29)</f>
        <v>136000</v>
      </c>
      <c r="N23" s="287">
        <f t="shared" ref="N23:N29" si="15">(L23-M23)/M23</f>
        <v>-7.0624999999999993E-2</v>
      </c>
      <c r="O23" s="284">
        <f>SUM(O24:O29)</f>
        <v>934084</v>
      </c>
      <c r="P23" s="286">
        <f>SUM(P24:P29)</f>
        <v>819812</v>
      </c>
      <c r="Q23" s="285">
        <f t="shared" ref="Q23:Q29" si="16">(O23-P23)/P23</f>
        <v>0.13938805482232511</v>
      </c>
      <c r="R23" s="287">
        <f t="shared" ref="R23:R29" si="17">O23/$O$73</f>
        <v>4.5899866799164815E-2</v>
      </c>
      <c r="S23" s="283" t="s">
        <v>17</v>
      </c>
      <c r="T23" s="290"/>
      <c r="U23" s="284">
        <f>SUM(U24:U29)</f>
        <v>53467</v>
      </c>
      <c r="V23" s="286">
        <f>SUM(V24:V29)</f>
        <v>105168</v>
      </c>
      <c r="W23" s="287">
        <f t="shared" ref="W23:W27" si="18">(U23-V23)/V23</f>
        <v>-0.49160390993458086</v>
      </c>
      <c r="X23" s="284">
        <f>SUM(X24:X29)</f>
        <v>907915</v>
      </c>
      <c r="Y23" s="286">
        <f>SUM(Y24:Y29)</f>
        <v>1154632</v>
      </c>
      <c r="Z23" s="285">
        <f t="shared" ref="Z23:Z27" si="19">(X23-Y23)/Y23</f>
        <v>-0.21367587248577902</v>
      </c>
      <c r="AA23" s="287">
        <f t="shared" ref="AA23:AA29" si="20">X23/$X$73</f>
        <v>1.3669158796641883E-2</v>
      </c>
    </row>
    <row r="24" spans="1:27" ht="14.1" customHeight="1" x14ac:dyDescent="0.2">
      <c r="A24" s="38"/>
      <c r="B24" s="40" t="s">
        <v>17</v>
      </c>
      <c r="C24" s="288">
        <f>[3]American!$HY$19</f>
        <v>653</v>
      </c>
      <c r="D24" s="2">
        <f>[3]American!$HK$19</f>
        <v>749</v>
      </c>
      <c r="E24" s="66">
        <f t="shared" si="12"/>
        <v>-0.12817089452603472</v>
      </c>
      <c r="F24" s="2">
        <f>SUM([3]American!$HR$19:$HY$19)</f>
        <v>4765</v>
      </c>
      <c r="G24" s="2">
        <f>SUM([3]American!$HD$19:$HK$19)</f>
        <v>4940</v>
      </c>
      <c r="H24" s="3">
        <f t="shared" si="13"/>
        <v>-3.54251012145749E-2</v>
      </c>
      <c r="I24" s="66">
        <f t="shared" si="14"/>
        <v>2.5417671282565557E-2</v>
      </c>
      <c r="J24" s="38"/>
      <c r="K24" s="40" t="s">
        <v>17</v>
      </c>
      <c r="L24" s="288">
        <f>[3]American!$HY$41</f>
        <v>98814</v>
      </c>
      <c r="M24" s="2">
        <f>[3]American!$HK$41</f>
        <v>104807</v>
      </c>
      <c r="N24" s="66">
        <f t="shared" si="15"/>
        <v>-5.7181295142500026E-2</v>
      </c>
      <c r="O24" s="288">
        <f>SUM([3]American!$HR$41:$HY$41)</f>
        <v>715819</v>
      </c>
      <c r="P24" s="2">
        <f>SUM([3]American!$HD$41:$HK$41)</f>
        <v>635132</v>
      </c>
      <c r="Q24" s="3">
        <f t="shared" si="16"/>
        <v>0.12703973347272693</v>
      </c>
      <c r="R24" s="66">
        <f t="shared" si="17"/>
        <v>3.5174563264450905E-2</v>
      </c>
      <c r="S24" s="38"/>
      <c r="T24" s="40" t="s">
        <v>17</v>
      </c>
      <c r="U24" s="288">
        <f>[3]American!$HY$64</f>
        <v>50617</v>
      </c>
      <c r="V24" s="2">
        <f>[3]American!$HK$64</f>
        <v>103688</v>
      </c>
      <c r="W24" s="66">
        <f t="shared" si="18"/>
        <v>-0.51183357765604509</v>
      </c>
      <c r="X24" s="288">
        <f>SUM([3]American!$HR$64:$HY$64)</f>
        <v>875230</v>
      </c>
      <c r="Y24" s="2">
        <f>SUM([3]American!$HD$64:$HK$64)</f>
        <v>1140513</v>
      </c>
      <c r="Z24" s="3">
        <f t="shared" si="19"/>
        <v>-0.23259971609267058</v>
      </c>
      <c r="AA24" s="66">
        <f t="shared" si="20"/>
        <v>1.3177068176629834E-2</v>
      </c>
    </row>
    <row r="25" spans="1:27" ht="14.1" customHeight="1" x14ac:dyDescent="0.2">
      <c r="A25" s="38"/>
      <c r="B25" s="343" t="s">
        <v>165</v>
      </c>
      <c r="C25" s="288">
        <f>'[3]American Eagle'!$HY$19</f>
        <v>160</v>
      </c>
      <c r="D25" s="2">
        <f>'[3]American Eagle'!$HK$19</f>
        <v>143</v>
      </c>
      <c r="E25" s="66">
        <f t="shared" si="12"/>
        <v>0.11888111888111888</v>
      </c>
      <c r="F25" s="2">
        <f>SUM('[3]American Eagle'!$HR$19:$HY$19)</f>
        <v>858</v>
      </c>
      <c r="G25" s="2">
        <f>SUM('[3]American Eagle'!$HD$19:$HK$19)</f>
        <v>1286</v>
      </c>
      <c r="H25" s="3">
        <f t="shared" si="13"/>
        <v>-0.33281493001555212</v>
      </c>
      <c r="I25" s="66">
        <f t="shared" si="14"/>
        <v>4.5767811039750788E-3</v>
      </c>
      <c r="J25" s="38"/>
      <c r="K25" s="343" t="s">
        <v>165</v>
      </c>
      <c r="L25" s="288">
        <f>'[3]American Eagle'!$HY$41</f>
        <v>8549</v>
      </c>
      <c r="M25" s="2">
        <f>'[3]American Eagle'!$HK$41</f>
        <v>9466</v>
      </c>
      <c r="N25" s="66">
        <f t="shared" si="15"/>
        <v>-9.6873019226706103E-2</v>
      </c>
      <c r="O25" s="288">
        <f>SUM('[3]American Eagle'!$HR$41:$HY$41)</f>
        <v>44509</v>
      </c>
      <c r="P25" s="2">
        <f>SUM('[3]American Eagle'!$HD$41:$HK$41)</f>
        <v>82602</v>
      </c>
      <c r="Q25" s="3">
        <f t="shared" si="16"/>
        <v>-0.46116316796203483</v>
      </c>
      <c r="R25" s="66">
        <f t="shared" si="17"/>
        <v>2.187123611328346E-3</v>
      </c>
      <c r="S25" s="38"/>
      <c r="T25" s="343" t="s">
        <v>165</v>
      </c>
      <c r="U25" s="288">
        <f>'[3]American Eagle'!$HY$64</f>
        <v>2002</v>
      </c>
      <c r="V25" s="2">
        <f>'[3]American Eagle'!$HK$64</f>
        <v>837</v>
      </c>
      <c r="W25" s="66">
        <f t="shared" si="18"/>
        <v>1.3918757467144565</v>
      </c>
      <c r="X25" s="288">
        <f>SUM('[3]American Eagle'!$HR$64:$HY$64)</f>
        <v>23140</v>
      </c>
      <c r="Y25" s="2">
        <f>SUM('[3]American Eagle'!$HD$64:$HK$64)</f>
        <v>9098</v>
      </c>
      <c r="Z25" s="3">
        <f t="shared" si="19"/>
        <v>1.5434161354143767</v>
      </c>
      <c r="AA25" s="66">
        <f t="shared" si="20"/>
        <v>3.4838540453048267E-4</v>
      </c>
    </row>
    <row r="26" spans="1:27" ht="14.1" customHeight="1" x14ac:dyDescent="0.2">
      <c r="A26" s="38"/>
      <c r="B26" s="343" t="s">
        <v>52</v>
      </c>
      <c r="C26" s="288">
        <f>[3]Republic!$HY$19</f>
        <v>170</v>
      </c>
      <c r="D26" s="2">
        <f>[3]Republic!$HK$19</f>
        <v>266</v>
      </c>
      <c r="E26" s="66">
        <f t="shared" si="12"/>
        <v>-0.36090225563909772</v>
      </c>
      <c r="F26" s="2">
        <f>SUM([3]Republic!$HR$19:$HY$19)</f>
        <v>1460</v>
      </c>
      <c r="G26" s="2">
        <f>SUM([3]Republic!$HD$19:$HK$19)</f>
        <v>1145</v>
      </c>
      <c r="H26" s="3">
        <f t="shared" si="13"/>
        <v>0.27510917030567683</v>
      </c>
      <c r="I26" s="66">
        <f t="shared" si="14"/>
        <v>7.7879958179529309E-3</v>
      </c>
      <c r="J26" s="38"/>
      <c r="K26" s="291" t="s">
        <v>52</v>
      </c>
      <c r="L26" s="288">
        <f>[3]Republic!$HY$41</f>
        <v>11086</v>
      </c>
      <c r="M26" s="2">
        <f>[3]Republic!$HK$41</f>
        <v>17669</v>
      </c>
      <c r="N26" s="66">
        <f t="shared" si="15"/>
        <v>-0.37257343369743617</v>
      </c>
      <c r="O26" s="288">
        <f>SUM([3]Republic!$HR$41:$HY$41)</f>
        <v>85611</v>
      </c>
      <c r="P26" s="2">
        <f>SUM([3]Republic!$HD$41:$HK$41)</f>
        <v>72757</v>
      </c>
      <c r="Q26" s="3">
        <f t="shared" si="16"/>
        <v>0.1766702860205891</v>
      </c>
      <c r="R26" s="66">
        <f t="shared" si="17"/>
        <v>4.2068309665333082E-3</v>
      </c>
      <c r="S26" s="38"/>
      <c r="T26" s="291" t="s">
        <v>52</v>
      </c>
      <c r="U26" s="288">
        <f>[3]Republic!$HY$64</f>
        <v>776</v>
      </c>
      <c r="V26" s="2">
        <f>[3]Republic!$HK$64</f>
        <v>629</v>
      </c>
      <c r="W26" s="66">
        <f t="shared" si="18"/>
        <v>0.23370429252782193</v>
      </c>
      <c r="X26" s="288">
        <f>SUM([3]Republic!$HR$64:$HY$64)</f>
        <v>5347</v>
      </c>
      <c r="Y26" s="2">
        <f>SUM([3]Republic!$HD$64:$HK$64)</f>
        <v>3795</v>
      </c>
      <c r="Z26" s="3">
        <f t="shared" si="19"/>
        <v>0.40895915678524375</v>
      </c>
      <c r="AA26" s="66">
        <f t="shared" si="20"/>
        <v>8.05020206579296E-5</v>
      </c>
    </row>
    <row r="27" spans="1:27" ht="14.1" customHeight="1" x14ac:dyDescent="0.2">
      <c r="A27" s="38"/>
      <c r="B27" s="343" t="s">
        <v>182</v>
      </c>
      <c r="C27" s="288">
        <f>[3]PSA!$HY$19</f>
        <v>94</v>
      </c>
      <c r="D27" s="2">
        <f>[3]PSA!$HK$19</f>
        <v>26</v>
      </c>
      <c r="E27" s="66">
        <f t="shared" si="12"/>
        <v>2.6153846153846154</v>
      </c>
      <c r="F27" s="2">
        <f>SUM([3]PSA!$HR$19:$HY$19)</f>
        <v>970</v>
      </c>
      <c r="G27" s="2">
        <f>SUM([3]PSA!$HD$19:$HK$19)</f>
        <v>140</v>
      </c>
      <c r="H27" s="3">
        <f t="shared" si="13"/>
        <v>5.9285714285714288</v>
      </c>
      <c r="I27" s="66">
        <f t="shared" si="14"/>
        <v>5.174216399598865E-3</v>
      </c>
      <c r="J27" s="38"/>
      <c r="K27" s="343" t="s">
        <v>182</v>
      </c>
      <c r="L27" s="288">
        <f>[3]PSA!$HY$41</f>
        <v>6064</v>
      </c>
      <c r="M27" s="2">
        <f>[3]PSA!$HK$41</f>
        <v>1405</v>
      </c>
      <c r="N27" s="66">
        <f t="shared" si="15"/>
        <v>3.3160142348754449</v>
      </c>
      <c r="O27" s="288">
        <f>SUM([3]PSA!$HR$41:$HY$41)</f>
        <v>61012</v>
      </c>
      <c r="P27" s="2">
        <f>SUM([3]PSA!$HD$41:$HK$41)</f>
        <v>7181</v>
      </c>
      <c r="Q27" s="3">
        <f t="shared" si="16"/>
        <v>7.4963097061690576</v>
      </c>
      <c r="R27" s="66">
        <f t="shared" si="17"/>
        <v>2.9980629934252632E-3</v>
      </c>
      <c r="S27" s="38"/>
      <c r="T27" s="343" t="s">
        <v>182</v>
      </c>
      <c r="U27" s="288">
        <f>[3]PSA!$HY$64</f>
        <v>34</v>
      </c>
      <c r="V27" s="2">
        <f>[3]PSA!$HK$64</f>
        <v>0</v>
      </c>
      <c r="W27" s="66" t="e">
        <f t="shared" si="18"/>
        <v>#DIV/0!</v>
      </c>
      <c r="X27" s="288">
        <f>SUM([3]PSA!$HR$64:$HY$64)</f>
        <v>1460</v>
      </c>
      <c r="Y27" s="2">
        <f>SUM([3]PSA!$HD$64:$HK$64)</f>
        <v>31</v>
      </c>
      <c r="Z27" s="3">
        <f t="shared" si="19"/>
        <v>46.096774193548384</v>
      </c>
      <c r="AA27" s="66">
        <f t="shared" si="20"/>
        <v>2.1981101582303575E-5</v>
      </c>
    </row>
    <row r="28" spans="1:27" ht="14.1" customHeight="1" x14ac:dyDescent="0.2">
      <c r="A28" s="38"/>
      <c r="B28" s="343" t="s">
        <v>97</v>
      </c>
      <c r="C28" s="288">
        <f>'[3]Sky West_AA'!$HY$19</f>
        <v>34</v>
      </c>
      <c r="D28" s="2">
        <f>'[3]Sky West_AA'!$HK$19</f>
        <v>50</v>
      </c>
      <c r="E28" s="66">
        <f>(C28-D28)/D28</f>
        <v>-0.32</v>
      </c>
      <c r="F28" s="2">
        <f>SUM('[3]Sky West_AA'!$HR$19:$HY$19)</f>
        <v>482</v>
      </c>
      <c r="G28" s="2">
        <f>SUM('[3]Sky West_AA'!$HD$19:$HK$19)</f>
        <v>396</v>
      </c>
      <c r="H28" s="3">
        <f>(F28-G28)/G28</f>
        <v>0.21717171717171718</v>
      </c>
      <c r="I28" s="66">
        <f t="shared" si="14"/>
        <v>2.5711054686666525E-3</v>
      </c>
      <c r="J28" s="38"/>
      <c r="K28" s="343" t="s">
        <v>97</v>
      </c>
      <c r="L28" s="288">
        <f>'[3]Sky West_AA'!$HY$41</f>
        <v>1882</v>
      </c>
      <c r="M28" s="2">
        <f>'[3]Sky West_AA'!$HK$41</f>
        <v>2653</v>
      </c>
      <c r="N28" s="66">
        <f>(L28-M28)/M28</f>
        <v>-0.29061439879381834</v>
      </c>
      <c r="O28" s="288">
        <f>SUM('[3]Sky West_AA'!$HR$41:$HY$41)</f>
        <v>27133</v>
      </c>
      <c r="P28" s="2">
        <f>SUM('[3]Sky West_AA'!$HD$41:$HK$41)</f>
        <v>22140</v>
      </c>
      <c r="Q28" s="3">
        <f>(O28-P28)/P28</f>
        <v>0.22551942186088528</v>
      </c>
      <c r="R28" s="349">
        <f t="shared" si="17"/>
        <v>1.3332859634269925E-3</v>
      </c>
      <c r="S28" s="38"/>
      <c r="T28" s="343" t="s">
        <v>97</v>
      </c>
      <c r="U28" s="288">
        <f>'[3]Sky West_AA'!$HY$64</f>
        <v>38</v>
      </c>
      <c r="V28" s="2">
        <f>'[3]Sky West_AA'!$HK$64</f>
        <v>14</v>
      </c>
      <c r="W28" s="66">
        <f>(U28-V28)/V28</f>
        <v>1.7142857142857142</v>
      </c>
      <c r="X28" s="288">
        <f>SUM('[3]Sky West_AA'!$HR$64:$HY$64)</f>
        <v>2738</v>
      </c>
      <c r="Y28" s="2">
        <f>SUM('[3]Sky West_AA'!$HD$64:$HK$64)</f>
        <v>1195</v>
      </c>
      <c r="Z28" s="3">
        <f>(X28-Y28)/Y28</f>
        <v>1.2912133891213389</v>
      </c>
      <c r="AA28" s="349">
        <f t="shared" si="20"/>
        <v>4.1222093241333694E-5</v>
      </c>
    </row>
    <row r="29" spans="1:27" ht="14.1" customHeight="1" x14ac:dyDescent="0.2">
      <c r="A29" s="38"/>
      <c r="B29" s="343" t="s">
        <v>51</v>
      </c>
      <c r="C29" s="288">
        <f>[3]MESA!$HY$19</f>
        <v>0</v>
      </c>
      <c r="D29" s="2">
        <f>[3]MESA!$HK$19</f>
        <v>0</v>
      </c>
      <c r="E29" s="66" t="e">
        <f t="shared" si="12"/>
        <v>#DIV/0!</v>
      </c>
      <c r="F29" s="2">
        <f>SUM([3]MESA!$HR$19:$HY$19)</f>
        <v>0</v>
      </c>
      <c r="G29" s="2">
        <f>SUM([3]MESA!$HD$19:$HK$19)</f>
        <v>0</v>
      </c>
      <c r="H29" s="3" t="e">
        <f t="shared" si="13"/>
        <v>#DIV/0!</v>
      </c>
      <c r="I29" s="66">
        <f t="shared" si="14"/>
        <v>0</v>
      </c>
      <c r="J29" s="38"/>
      <c r="K29" s="343" t="s">
        <v>51</v>
      </c>
      <c r="L29" s="288">
        <f>[3]MESA!$HY$41</f>
        <v>0</v>
      </c>
      <c r="M29" s="2">
        <f>[3]MESA!$HK$41</f>
        <v>0</v>
      </c>
      <c r="N29" s="66" t="e">
        <f t="shared" si="15"/>
        <v>#DIV/0!</v>
      </c>
      <c r="O29" s="288">
        <f>SUM([3]MESA!$HR$41:$HY$41)</f>
        <v>0</v>
      </c>
      <c r="P29" s="2">
        <f>SUM([3]MESA!$HD$41:$HK$41)</f>
        <v>0</v>
      </c>
      <c r="Q29" s="3" t="e">
        <f t="shared" si="16"/>
        <v>#DIV/0!</v>
      </c>
      <c r="R29" s="66">
        <f t="shared" si="17"/>
        <v>0</v>
      </c>
      <c r="S29" s="38"/>
      <c r="T29" s="343" t="s">
        <v>51</v>
      </c>
      <c r="U29" s="288">
        <f>[3]MESA!$HY$64</f>
        <v>0</v>
      </c>
      <c r="V29" s="2">
        <f>[3]MESA!$HK$64</f>
        <v>0</v>
      </c>
      <c r="W29" s="66" t="e">
        <f t="shared" ref="W29" si="21">(U29-V29)/V29</f>
        <v>#DIV/0!</v>
      </c>
      <c r="X29" s="288">
        <f>SUM([3]MESA!$HR$64:$HY$64)</f>
        <v>0</v>
      </c>
      <c r="Y29" s="2">
        <f>SUM([3]MESA!$HD$64:$HK$64)</f>
        <v>0</v>
      </c>
      <c r="Z29" s="3" t="e">
        <f t="shared" ref="Z29" si="22">(X29-Y29)/Y29</f>
        <v>#DIV/0!</v>
      </c>
      <c r="AA29" s="66">
        <f t="shared" si="20"/>
        <v>0</v>
      </c>
    </row>
    <row r="30" spans="1:27" ht="14.1" customHeight="1" x14ac:dyDescent="0.2">
      <c r="A30" s="38"/>
      <c r="B30" s="40"/>
      <c r="C30" s="288"/>
      <c r="E30" s="66"/>
      <c r="F30" s="2"/>
      <c r="I30" s="66"/>
      <c r="J30" s="38"/>
      <c r="K30" s="40"/>
      <c r="L30" s="288"/>
      <c r="N30" s="66"/>
      <c r="O30" s="288"/>
      <c r="P30" s="2"/>
      <c r="Q30" s="3"/>
      <c r="R30" s="66"/>
      <c r="S30" s="38"/>
      <c r="T30" s="40"/>
      <c r="U30" s="288"/>
      <c r="V30" s="2"/>
      <c r="W30" s="66"/>
      <c r="X30" s="288"/>
      <c r="Y30" s="2"/>
      <c r="Z30" s="3"/>
      <c r="AA30" s="66"/>
    </row>
    <row r="31" spans="1:27" ht="14.1" customHeight="1" x14ac:dyDescent="0.2">
      <c r="A31" s="283" t="s">
        <v>179</v>
      </c>
      <c r="B31" s="40"/>
      <c r="C31" s="284">
        <f>'[3]Boutique Air'!$HY$19</f>
        <v>0</v>
      </c>
      <c r="D31" s="286">
        <f>'[3]Boutique Air'!$HK$19</f>
        <v>51</v>
      </c>
      <c r="E31" s="287">
        <f>(C31-D31)/D31</f>
        <v>-1</v>
      </c>
      <c r="F31" s="286">
        <f>SUM('[3]Boutique Air'!$HR$19:$HY$19)</f>
        <v>0</v>
      </c>
      <c r="G31" s="286">
        <f>SUM('[3]Boutique Air'!$HD$19:$HK$19)</f>
        <v>364</v>
      </c>
      <c r="H31" s="285">
        <f>(F31-G31)/G31</f>
        <v>-1</v>
      </c>
      <c r="I31" s="287">
        <f>F31/$F$73</f>
        <v>0</v>
      </c>
      <c r="J31" s="283" t="s">
        <v>179</v>
      </c>
      <c r="K31" s="40"/>
      <c r="L31" s="284">
        <f>'[3]Boutique Air'!$HY$41</f>
        <v>0</v>
      </c>
      <c r="M31" s="286">
        <f>'[3]Boutique Air'!$HK$41</f>
        <v>280</v>
      </c>
      <c r="N31" s="287">
        <f>(L31-M31)/M31</f>
        <v>-1</v>
      </c>
      <c r="O31" s="284">
        <f>SUM('[3]Boutique Air'!$HR$41:$HY$41)</f>
        <v>0</v>
      </c>
      <c r="P31" s="286">
        <f>SUM('[3]Boutique Air'!$HD$41:$HK$41)</f>
        <v>1707</v>
      </c>
      <c r="Q31" s="285">
        <f>(O31-P31)/P31</f>
        <v>-1</v>
      </c>
      <c r="R31" s="287">
        <f>O31/$O$73</f>
        <v>0</v>
      </c>
      <c r="S31" s="283" t="s">
        <v>179</v>
      </c>
      <c r="T31" s="40"/>
      <c r="U31" s="284">
        <f>'[3]Boutique Air'!$HY$64</f>
        <v>0</v>
      </c>
      <c r="V31" s="286">
        <f>'[3]Boutique Air'!$HK$64</f>
        <v>0</v>
      </c>
      <c r="W31" s="287" t="e">
        <f>(U31-V31)/V31</f>
        <v>#DIV/0!</v>
      </c>
      <c r="X31" s="284">
        <f>SUM('[3]Boutique Air'!$HR$64:$HY$64)</f>
        <v>0</v>
      </c>
      <c r="Y31" s="286">
        <f>SUM('[3]Boutique Air'!$HD$64:$HK$64)</f>
        <v>0</v>
      </c>
      <c r="Z31" s="285" t="e">
        <f>(X31-Y31)/Y31</f>
        <v>#DIV/0!</v>
      </c>
      <c r="AA31" s="287">
        <f>X31/$X$73</f>
        <v>0</v>
      </c>
    </row>
    <row r="32" spans="1:27" ht="14.1" customHeight="1" x14ac:dyDescent="0.2">
      <c r="A32" s="38"/>
      <c r="B32" s="40"/>
      <c r="C32" s="288"/>
      <c r="E32" s="66"/>
      <c r="F32" s="2"/>
      <c r="I32" s="66"/>
      <c r="J32" s="38"/>
      <c r="K32" s="40"/>
      <c r="L32" s="288"/>
      <c r="N32" s="66"/>
      <c r="O32" s="288"/>
      <c r="P32" s="2"/>
      <c r="Q32" s="3"/>
      <c r="R32" s="66"/>
      <c r="S32" s="38"/>
      <c r="T32" s="40"/>
      <c r="U32" s="288"/>
      <c r="V32" s="2"/>
      <c r="W32" s="66"/>
      <c r="X32" s="288"/>
      <c r="Y32" s="2"/>
      <c r="Z32" s="3"/>
      <c r="AA32" s="66"/>
    </row>
    <row r="33" spans="1:27" ht="14.1" customHeight="1" x14ac:dyDescent="0.2">
      <c r="A33" s="283" t="s">
        <v>161</v>
      </c>
      <c r="B33" s="40"/>
      <c r="C33" s="284">
        <f>[3]Condor!$HY$19</f>
        <v>28</v>
      </c>
      <c r="D33" s="286">
        <f>[3]Condor!$HK$19</f>
        <v>0</v>
      </c>
      <c r="E33" s="287" t="e">
        <f>(C33-D33)/D33</f>
        <v>#DIV/0!</v>
      </c>
      <c r="F33" s="286">
        <f>SUM([3]Condor!$HR$19:$HY$19)</f>
        <v>82</v>
      </c>
      <c r="G33" s="286">
        <f>SUM([3]Condor!$HD$19:$HK$19)</f>
        <v>0</v>
      </c>
      <c r="H33" s="285" t="e">
        <f>(F33-G33)/G33</f>
        <v>#DIV/0!</v>
      </c>
      <c r="I33" s="287">
        <f>F33/$F$73</f>
        <v>4.3740798429598652E-4</v>
      </c>
      <c r="J33" s="283" t="s">
        <v>161</v>
      </c>
      <c r="K33" s="40"/>
      <c r="L33" s="284">
        <f>[3]Condor!$HY$41</f>
        <v>5785</v>
      </c>
      <c r="M33" s="286">
        <f>[3]Condor!$HK$41</f>
        <v>0</v>
      </c>
      <c r="N33" s="287" t="e">
        <f>(L33-M33)/M33</f>
        <v>#DIV/0!</v>
      </c>
      <c r="O33" s="284">
        <f>SUM([3]Condor!$HR$41:$HY$41)</f>
        <v>16654</v>
      </c>
      <c r="P33" s="286">
        <f>SUM([3]Condor!$HD$41:$HK$41)</f>
        <v>0</v>
      </c>
      <c r="Q33" s="285" t="e">
        <f>(O33-P33)/P33</f>
        <v>#DIV/0!</v>
      </c>
      <c r="R33" s="287">
        <f>O33/$O$73</f>
        <v>8.1835935705278204E-4</v>
      </c>
      <c r="S33" s="283" t="s">
        <v>161</v>
      </c>
      <c r="T33" s="40"/>
      <c r="U33" s="284">
        <f>[3]Condor!$HY$64</f>
        <v>190442</v>
      </c>
      <c r="V33" s="286">
        <f>[3]Condor!$HK$64</f>
        <v>0</v>
      </c>
      <c r="W33" s="287" t="e">
        <f>(U33-V33)/V33</f>
        <v>#DIV/0!</v>
      </c>
      <c r="X33" s="284">
        <f>SUM([3]Condor!$HR$64:$HY$64)</f>
        <v>567190</v>
      </c>
      <c r="Y33" s="286">
        <f>SUM([3]Condor!$HD$64:$HK$64)</f>
        <v>0</v>
      </c>
      <c r="Z33" s="285" t="e">
        <f>(X33-Y33)/Y33</f>
        <v>#DIV/0!</v>
      </c>
      <c r="AA33" s="287">
        <f>X33/$X$73</f>
        <v>8.5393568537443596E-3</v>
      </c>
    </row>
    <row r="34" spans="1:27" ht="14.1" customHeight="1" x14ac:dyDescent="0.2">
      <c r="A34" s="38"/>
      <c r="B34" s="40"/>
      <c r="C34" s="288"/>
      <c r="E34" s="66"/>
      <c r="F34" s="2"/>
      <c r="I34" s="66"/>
      <c r="J34" s="38"/>
      <c r="K34" s="40"/>
      <c r="L34" s="288"/>
      <c r="N34" s="66"/>
      <c r="O34" s="288"/>
      <c r="P34" s="2"/>
      <c r="Q34" s="3"/>
      <c r="R34" s="66"/>
      <c r="S34" s="38"/>
      <c r="T34" s="40"/>
      <c r="U34" s="288"/>
      <c r="V34" s="2"/>
      <c r="W34" s="66"/>
      <c r="X34" s="288"/>
      <c r="Y34" s="2"/>
      <c r="Z34" s="3"/>
      <c r="AA34" s="66"/>
    </row>
    <row r="35" spans="1:27" ht="14.1" customHeight="1" x14ac:dyDescent="0.2">
      <c r="A35" s="283" t="s">
        <v>229</v>
      </c>
      <c r="B35" s="40"/>
      <c r="C35" s="284">
        <f>'[3]Denver Air'!$HY$19</f>
        <v>164</v>
      </c>
      <c r="D35" s="286">
        <f>'[3]Denver Air'!$HK$19</f>
        <v>110</v>
      </c>
      <c r="E35" s="287">
        <f>(C35-D35)/D35</f>
        <v>0.49090909090909091</v>
      </c>
      <c r="F35" s="286">
        <f>SUM('[3]Denver Air'!$HR$19:$HY$19)</f>
        <v>1262</v>
      </c>
      <c r="G35" s="286">
        <f>SUM('[3]Denver Air'!$HD$19:$HK$19)</f>
        <v>876</v>
      </c>
      <c r="H35" s="285">
        <f>(F35-G35)/G35</f>
        <v>0.4406392694063927</v>
      </c>
      <c r="I35" s="287">
        <f>F35/$F$73</f>
        <v>6.7318155631894512E-3</v>
      </c>
      <c r="J35" s="283" t="s">
        <v>229</v>
      </c>
      <c r="K35" s="40"/>
      <c r="L35" s="284">
        <f>'[3]Denver Air'!$HY$41</f>
        <v>1783</v>
      </c>
      <c r="M35" s="286">
        <f>'[3]Denver Air'!$HK$41</f>
        <v>1507</v>
      </c>
      <c r="N35" s="287">
        <f>(L35-M35)/M35</f>
        <v>0.18314532183145321</v>
      </c>
      <c r="O35" s="284">
        <f>SUM('[3]Denver Air'!$HR$41:$HY$41)</f>
        <v>13469</v>
      </c>
      <c r="P35" s="286">
        <f>SUM('[3]Denver Air'!$HD$41:$HK$41)</f>
        <v>5538</v>
      </c>
      <c r="Q35" s="285">
        <f>(O35-P35)/P35</f>
        <v>1.4321054532322137</v>
      </c>
      <c r="R35" s="287">
        <f>O35/$O$73</f>
        <v>6.6185193828172941E-4</v>
      </c>
      <c r="S35" s="283" t="s">
        <v>229</v>
      </c>
      <c r="T35" s="40"/>
      <c r="U35" s="284">
        <f>'[3]Denver Air'!$HY$64</f>
        <v>0</v>
      </c>
      <c r="V35" s="286">
        <f>'[3]Denver Air'!$HK$64</f>
        <v>0</v>
      </c>
      <c r="W35" s="287" t="e">
        <f>(U35-V35)/V35</f>
        <v>#DIV/0!</v>
      </c>
      <c r="X35" s="284">
        <f>SUM('[3]Denver Air'!$HR$64:$HY$64)</f>
        <v>0</v>
      </c>
      <c r="Y35" s="286">
        <f>SUM('[3]Denver Air'!$HD$64:$HK$64)</f>
        <v>0</v>
      </c>
      <c r="Z35" s="285" t="e">
        <f>(X35-Y35)/Y35</f>
        <v>#DIV/0!</v>
      </c>
      <c r="AA35" s="287">
        <f>X35/$X$71</f>
        <v>0</v>
      </c>
    </row>
    <row r="36" spans="1:27" ht="14.1" customHeight="1" x14ac:dyDescent="0.2">
      <c r="A36" s="38"/>
      <c r="B36" s="40"/>
      <c r="C36" s="288"/>
      <c r="E36" s="66"/>
      <c r="F36" s="2"/>
      <c r="I36" s="66"/>
      <c r="J36" s="38"/>
      <c r="K36" s="40"/>
      <c r="L36" s="288"/>
      <c r="N36" s="66"/>
      <c r="O36" s="288"/>
      <c r="P36" s="2"/>
      <c r="Q36" s="3"/>
      <c r="R36" s="66"/>
      <c r="S36" s="38"/>
      <c r="T36" s="40"/>
      <c r="U36" s="288"/>
      <c r="V36" s="2"/>
      <c r="W36" s="66"/>
      <c r="X36" s="288"/>
      <c r="Y36" s="2"/>
      <c r="Z36" s="3"/>
      <c r="AA36" s="66"/>
    </row>
    <row r="37" spans="1:27" ht="14.1" customHeight="1" x14ac:dyDescent="0.2">
      <c r="A37" s="283" t="s">
        <v>18</v>
      </c>
      <c r="B37" s="290"/>
      <c r="C37" s="284">
        <f>SUM(C38:C44)</f>
        <v>18630</v>
      </c>
      <c r="D37" s="286">
        <f>SUM(D38:D44)</f>
        <v>19803</v>
      </c>
      <c r="E37" s="287">
        <f t="shared" ref="E37:E44" si="23">(C37-D37)/D37</f>
        <v>-5.9233449477351915E-2</v>
      </c>
      <c r="F37" s="289">
        <f>SUM(F38:F44)</f>
        <v>139983</v>
      </c>
      <c r="G37" s="289">
        <f>SUM(G38:G44)</f>
        <v>137172</v>
      </c>
      <c r="H37" s="285">
        <f>(F37-G37)/G37</f>
        <v>2.0492520339427871E-2</v>
      </c>
      <c r="I37" s="287">
        <f t="shared" ref="I37:I44" si="24">F37/$F$73</f>
        <v>0.74670343738664735</v>
      </c>
      <c r="J37" s="283" t="s">
        <v>18</v>
      </c>
      <c r="K37" s="290"/>
      <c r="L37" s="284">
        <f>SUM(L38:L44)</f>
        <v>1979553</v>
      </c>
      <c r="M37" s="286">
        <f>SUM(M38:M44)</f>
        <v>1877164</v>
      </c>
      <c r="N37" s="287">
        <f t="shared" ref="N37:N44" si="25">(L37-M37)/M37</f>
        <v>5.4544515023727279E-2</v>
      </c>
      <c r="O37" s="284">
        <f>SUM(O38:O44)</f>
        <v>14440030</v>
      </c>
      <c r="P37" s="286">
        <f>SUM(P38:P44)</f>
        <v>10781752</v>
      </c>
      <c r="Q37" s="285">
        <f t="shared" ref="Q37:Q44" si="26">(O37-P37)/P37</f>
        <v>0.33930274040805242</v>
      </c>
      <c r="R37" s="287">
        <f t="shared" ref="R37:R44" si="27">O37/$O$73</f>
        <v>0.70956729113863837</v>
      </c>
      <c r="S37" s="283" t="s">
        <v>18</v>
      </c>
      <c r="T37" s="290"/>
      <c r="U37" s="284">
        <f>SUM(U38:U44)</f>
        <v>7098218</v>
      </c>
      <c r="V37" s="286">
        <f>SUM(V38:V44)</f>
        <v>5209283</v>
      </c>
      <c r="W37" s="287">
        <f t="shared" ref="W37:W44" si="28">(U37-V37)/V37</f>
        <v>0.36260940325184865</v>
      </c>
      <c r="X37" s="284">
        <f>SUM(X38:X44)</f>
        <v>52241254</v>
      </c>
      <c r="Y37" s="286">
        <f>SUM(Y38:Y44)</f>
        <v>27585609</v>
      </c>
      <c r="Z37" s="285">
        <f t="shared" ref="Z37:Z40" si="29">(X37-Y37)/Y37</f>
        <v>0.89378650295521844</v>
      </c>
      <c r="AA37" s="287">
        <f t="shared" ref="AA37:AA44" si="30">X37/$X$73</f>
        <v>0.78652076093213907</v>
      </c>
    </row>
    <row r="38" spans="1:27" ht="14.1" customHeight="1" x14ac:dyDescent="0.2">
      <c r="A38" s="38"/>
      <c r="B38" s="40" t="s">
        <v>18</v>
      </c>
      <c r="C38" s="288">
        <f>[3]Delta!$HY$19</f>
        <v>11015</v>
      </c>
      <c r="D38" s="2">
        <f>[3]Delta!$HK$19</f>
        <v>9332</v>
      </c>
      <c r="E38" s="66">
        <f t="shared" si="23"/>
        <v>0.18034719245606515</v>
      </c>
      <c r="F38" s="2">
        <f>SUM([3]Delta!$HR$19:$HY$19)</f>
        <v>80402</v>
      </c>
      <c r="G38" s="2">
        <f>SUM([3]Delta!$HD$19:$HK$19)</f>
        <v>62385</v>
      </c>
      <c r="H38" s="3">
        <f t="shared" ref="H38:H44" si="31">(F38-G38)/G38</f>
        <v>0.28880339825278512</v>
      </c>
      <c r="I38" s="66">
        <f t="shared" si="24"/>
        <v>0.42888386284592572</v>
      </c>
      <c r="J38" s="38"/>
      <c r="K38" s="40" t="s">
        <v>18</v>
      </c>
      <c r="L38" s="288">
        <f>[3]Delta!$HY$41</f>
        <v>1579653</v>
      </c>
      <c r="M38" s="2">
        <f>[3]Delta!$HK$41</f>
        <v>1357793</v>
      </c>
      <c r="N38" s="66">
        <f t="shared" si="25"/>
        <v>0.16339751346486542</v>
      </c>
      <c r="O38" s="288">
        <f>SUM([3]Delta!$HR$41:$HY$41)</f>
        <v>11359778</v>
      </c>
      <c r="P38" s="2">
        <f>SUM([3]Delta!$HD$41:$HK$41)</f>
        <v>7565441</v>
      </c>
      <c r="Q38" s="3">
        <f t="shared" si="26"/>
        <v>0.50153546898323575</v>
      </c>
      <c r="R38" s="66">
        <f t="shared" si="27"/>
        <v>0.55820707459723418</v>
      </c>
      <c r="S38" s="38"/>
      <c r="T38" s="40" t="s">
        <v>18</v>
      </c>
      <c r="U38" s="288">
        <f>[3]Delta!$HY$64</f>
        <v>7098218</v>
      </c>
      <c r="V38" s="2">
        <f>[3]Delta!$HK$64</f>
        <v>5209283</v>
      </c>
      <c r="W38" s="66">
        <f t="shared" si="28"/>
        <v>0.36260940325184865</v>
      </c>
      <c r="X38" s="288">
        <f>SUM([3]Delta!$HR$64:$HY$64)</f>
        <v>52241254</v>
      </c>
      <c r="Y38" s="2">
        <f>SUM([3]Delta!$HD$64:$HK$64)</f>
        <v>27585609</v>
      </c>
      <c r="Z38" s="3">
        <f t="shared" si="29"/>
        <v>0.89378650295521844</v>
      </c>
      <c r="AA38" s="66">
        <f t="shared" si="30"/>
        <v>0.78652076093213907</v>
      </c>
    </row>
    <row r="39" spans="1:27" ht="14.1" customHeight="1" x14ac:dyDescent="0.2">
      <c r="A39" s="38"/>
      <c r="B39" s="291" t="s">
        <v>117</v>
      </c>
      <c r="C39" s="288">
        <f>[3]Compass!$HY$19</f>
        <v>0</v>
      </c>
      <c r="D39" s="2">
        <f>[3]Compass!$HK$19</f>
        <v>0</v>
      </c>
      <c r="E39" s="66" t="e">
        <f t="shared" si="23"/>
        <v>#DIV/0!</v>
      </c>
      <c r="F39" s="2">
        <f>SUM([3]Compass!$HR$19:$HY$19)</f>
        <v>0</v>
      </c>
      <c r="G39" s="2">
        <f>SUM([3]Compass!$HD$19:$HK$19)</f>
        <v>0</v>
      </c>
      <c r="H39" s="3" t="e">
        <f t="shared" si="31"/>
        <v>#DIV/0!</v>
      </c>
      <c r="I39" s="66">
        <f t="shared" si="24"/>
        <v>0</v>
      </c>
      <c r="J39" s="38"/>
      <c r="K39" s="291" t="s">
        <v>117</v>
      </c>
      <c r="L39" s="288">
        <f>[3]Compass!$HY$41</f>
        <v>0</v>
      </c>
      <c r="M39" s="2">
        <f>[3]Compass!$HK$41</f>
        <v>0</v>
      </c>
      <c r="N39" s="66" t="e">
        <f t="shared" si="25"/>
        <v>#DIV/0!</v>
      </c>
      <c r="O39" s="288">
        <f>SUM([3]Compass!$HR$41:$HY$41)</f>
        <v>0</v>
      </c>
      <c r="P39" s="2">
        <f>SUM([3]Compass!$HD$41:$HK$41)</f>
        <v>0</v>
      </c>
      <c r="Q39" s="3" t="e">
        <f t="shared" si="26"/>
        <v>#DIV/0!</v>
      </c>
      <c r="R39" s="66">
        <f t="shared" si="27"/>
        <v>0</v>
      </c>
      <c r="S39" s="38"/>
      <c r="T39" s="291" t="s">
        <v>117</v>
      </c>
      <c r="U39" s="288">
        <f>[3]Compass!$HY$64</f>
        <v>0</v>
      </c>
      <c r="V39" s="2">
        <f>[3]Compass!$HK$64</f>
        <v>0</v>
      </c>
      <c r="W39" s="66" t="e">
        <f t="shared" si="28"/>
        <v>#DIV/0!</v>
      </c>
      <c r="X39" s="288">
        <f>SUM([3]Compass!$HR$64:$HY$64)</f>
        <v>0</v>
      </c>
      <c r="Y39" s="2">
        <f>SUM([3]Compass!$HD$64:$HK$64)</f>
        <v>0</v>
      </c>
      <c r="Z39" s="3" t="e">
        <f t="shared" si="29"/>
        <v>#DIV/0!</v>
      </c>
      <c r="AA39" s="66">
        <f t="shared" si="30"/>
        <v>0</v>
      </c>
    </row>
    <row r="40" spans="1:27" ht="14.1" customHeight="1" x14ac:dyDescent="0.2">
      <c r="A40" s="38"/>
      <c r="B40" s="40" t="s">
        <v>158</v>
      </c>
      <c r="C40" s="288">
        <f>[3]Pinnacle!$HY$19</f>
        <v>1353</v>
      </c>
      <c r="D40" s="2">
        <f>[3]Pinnacle!$HK$19</f>
        <v>3987</v>
      </c>
      <c r="E40" s="66">
        <f t="shared" si="23"/>
        <v>-0.66064710308502639</v>
      </c>
      <c r="F40" s="2">
        <f>SUM([3]Pinnacle!$HR$19:$HY$19)</f>
        <v>12167</v>
      </c>
      <c r="G40" s="2">
        <f>SUM([3]Pinnacle!$HD$19:$HK$19)</f>
        <v>28346</v>
      </c>
      <c r="H40" s="3">
        <f t="shared" si="31"/>
        <v>-0.57076836237917161</v>
      </c>
      <c r="I40" s="66">
        <f t="shared" si="24"/>
        <v>6.490174323084473E-2</v>
      </c>
      <c r="J40" s="38"/>
      <c r="K40" s="40" t="s">
        <v>158</v>
      </c>
      <c r="L40" s="288">
        <f>[3]Pinnacle!$HY$41</f>
        <v>73248</v>
      </c>
      <c r="M40" s="2">
        <f>[3]Pinnacle!$HK$41</f>
        <v>197267</v>
      </c>
      <c r="N40" s="66">
        <f t="shared" si="25"/>
        <v>-0.62868599410950643</v>
      </c>
      <c r="O40" s="288">
        <f>SUM([3]Pinnacle!$HR$41:$HY$41)</f>
        <v>605025</v>
      </c>
      <c r="P40" s="2">
        <f>SUM([3]Pinnacle!$HD$41:$HK$41)</f>
        <v>1186508</v>
      </c>
      <c r="Q40" s="3">
        <f t="shared" si="26"/>
        <v>-0.49007929150077367</v>
      </c>
      <c r="R40" s="66">
        <f t="shared" si="27"/>
        <v>2.9730267203125941E-2</v>
      </c>
      <c r="S40" s="38"/>
      <c r="T40" s="40" t="s">
        <v>158</v>
      </c>
      <c r="U40" s="288">
        <f>[3]Pinnacle!$HY$64</f>
        <v>0</v>
      </c>
      <c r="V40" s="2">
        <f>[3]Pinnacle!$HK$64</f>
        <v>0</v>
      </c>
      <c r="W40" s="66" t="e">
        <f t="shared" si="28"/>
        <v>#DIV/0!</v>
      </c>
      <c r="X40" s="288">
        <f>SUM([3]Pinnacle!$HR$64:$HY$64)</f>
        <v>0</v>
      </c>
      <c r="Y40" s="2">
        <f>SUM([3]Pinnacle!$HD$64:$HK$64)</f>
        <v>0</v>
      </c>
      <c r="Z40" s="3" t="e">
        <f t="shared" si="29"/>
        <v>#DIV/0!</v>
      </c>
      <c r="AA40" s="66">
        <f t="shared" si="30"/>
        <v>0</v>
      </c>
    </row>
    <row r="41" spans="1:27" ht="14.1" customHeight="1" x14ac:dyDescent="0.2">
      <c r="A41" s="38"/>
      <c r="B41" s="40" t="s">
        <v>154</v>
      </c>
      <c r="C41" s="288">
        <f>'[3]Go Jet'!$HY$19</f>
        <v>0</v>
      </c>
      <c r="D41" s="2">
        <f>'[3]Go Jet'!$HK$19</f>
        <v>0</v>
      </c>
      <c r="E41" s="66" t="e">
        <f t="shared" si="23"/>
        <v>#DIV/0!</v>
      </c>
      <c r="F41" s="2">
        <f>SUM('[3]Go Jet'!$HR$19:$HY$19)</f>
        <v>0</v>
      </c>
      <c r="G41" s="2">
        <f>SUM('[3]Go Jet'!$HD$19:$HK$19)</f>
        <v>0</v>
      </c>
      <c r="H41" s="3" t="e">
        <f>(F41-G41)/G41</f>
        <v>#DIV/0!</v>
      </c>
      <c r="I41" s="66">
        <f t="shared" si="24"/>
        <v>0</v>
      </c>
      <c r="J41" s="38"/>
      <c r="K41" s="40" t="s">
        <v>154</v>
      </c>
      <c r="L41" s="288">
        <f>'[3]Go Jet'!$HY$41</f>
        <v>0</v>
      </c>
      <c r="M41" s="2">
        <f>'[3]Go Jet'!$HK$41</f>
        <v>0</v>
      </c>
      <c r="N41" s="66" t="e">
        <f t="shared" si="25"/>
        <v>#DIV/0!</v>
      </c>
      <c r="O41" s="288">
        <f>SUM('[3]Go Jet'!$HR$41:$HY$41)</f>
        <v>0</v>
      </c>
      <c r="P41" s="2">
        <f>SUM('[3]Go Jet'!$HD$41:$HK$41)</f>
        <v>0</v>
      </c>
      <c r="Q41" s="3" t="e">
        <f>(O41-P41)/P41</f>
        <v>#DIV/0!</v>
      </c>
      <c r="R41" s="66">
        <f t="shared" si="27"/>
        <v>0</v>
      </c>
      <c r="S41" s="38"/>
      <c r="T41" s="40" t="s">
        <v>154</v>
      </c>
      <c r="U41" s="288">
        <f>'[3]Go Jet'!$HY$64</f>
        <v>0</v>
      </c>
      <c r="V41" s="2">
        <f>'[3]Go Jet'!$HK$64</f>
        <v>0</v>
      </c>
      <c r="W41" s="66" t="e">
        <f t="shared" si="28"/>
        <v>#DIV/0!</v>
      </c>
      <c r="X41" s="288">
        <f>SUM('[3]Go Jet'!$HR$64:$HY$64)</f>
        <v>0</v>
      </c>
      <c r="Y41" s="2">
        <f>SUM('[3]Go Jet'!$HD$64:$HK$64)</f>
        <v>0</v>
      </c>
      <c r="Z41" s="3" t="e">
        <f>(X41-Y41)/Y41</f>
        <v>#DIV/0!</v>
      </c>
      <c r="AA41" s="66">
        <f t="shared" si="30"/>
        <v>0</v>
      </c>
    </row>
    <row r="42" spans="1:27" ht="14.1" customHeight="1" x14ac:dyDescent="0.2">
      <c r="A42" s="38"/>
      <c r="B42" s="40" t="s">
        <v>97</v>
      </c>
      <c r="C42" s="288">
        <f>'[3]Sky West'!$HY$19</f>
        <v>6262</v>
      </c>
      <c r="D42" s="2">
        <f>'[3]Sky West'!$HK$19</f>
        <v>6484</v>
      </c>
      <c r="E42" s="66">
        <f t="shared" si="23"/>
        <v>-3.4238124614435532E-2</v>
      </c>
      <c r="F42" s="2">
        <f>SUM('[3]Sky West'!$HR$19:$HY$19)</f>
        <v>47414</v>
      </c>
      <c r="G42" s="2">
        <f>SUM('[3]Sky West'!$HD$19:$HK$19)</f>
        <v>46441</v>
      </c>
      <c r="H42" s="3">
        <f t="shared" si="31"/>
        <v>2.0951314571176331E-2</v>
      </c>
      <c r="I42" s="66">
        <f t="shared" si="24"/>
        <v>0.25291783130987688</v>
      </c>
      <c r="J42" s="38"/>
      <c r="K42" s="40" t="s">
        <v>97</v>
      </c>
      <c r="L42" s="288">
        <f>'[3]Sky West'!$HY$41</f>
        <v>326652</v>
      </c>
      <c r="M42" s="2">
        <f>'[3]Sky West'!$HK$41</f>
        <v>322104</v>
      </c>
      <c r="N42" s="66">
        <f t="shared" si="25"/>
        <v>1.4119663214365547E-2</v>
      </c>
      <c r="O42" s="288">
        <f>SUM('[3]Sky West'!$HR$41:$HY$41)</f>
        <v>2475227</v>
      </c>
      <c r="P42" s="2">
        <f>SUM('[3]Sky West'!$HD$41:$HK$41)</f>
        <v>2029803</v>
      </c>
      <c r="Q42" s="3">
        <f t="shared" si="26"/>
        <v>0.21944198525669734</v>
      </c>
      <c r="R42" s="66">
        <f t="shared" si="27"/>
        <v>0.12162994933827828</v>
      </c>
      <c r="S42" s="38"/>
      <c r="T42" s="40" t="s">
        <v>97</v>
      </c>
      <c r="U42" s="288">
        <f>'[3]Sky West'!$HY$64</f>
        <v>0</v>
      </c>
      <c r="V42" s="2">
        <f>'[3]Sky West'!$HK$64</f>
        <v>0</v>
      </c>
      <c r="W42" s="66" t="e">
        <f t="shared" si="28"/>
        <v>#DIV/0!</v>
      </c>
      <c r="X42" s="288">
        <f>SUM('[3]Sky West'!$HR$64:$HY$64)</f>
        <v>0</v>
      </c>
      <c r="Y42" s="2">
        <f>SUM('[3]Sky West'!$HD$64:$HK$64)</f>
        <v>0</v>
      </c>
      <c r="Z42" s="3" t="e">
        <f t="shared" ref="Z42:Z44" si="32">(X42-Y42)/Y42</f>
        <v>#DIV/0!</v>
      </c>
      <c r="AA42" s="66">
        <f t="shared" si="30"/>
        <v>0</v>
      </c>
    </row>
    <row r="43" spans="1:27" ht="14.1" customHeight="1" x14ac:dyDescent="0.2">
      <c r="A43" s="38"/>
      <c r="B43" s="40" t="s">
        <v>131</v>
      </c>
      <c r="C43" s="288">
        <f>'[3]Shuttle America_Delta'!$HY$19</f>
        <v>0</v>
      </c>
      <c r="D43" s="2">
        <f>'[3]Shuttle America_Delta'!$HK$19</f>
        <v>0</v>
      </c>
      <c r="E43" s="66" t="e">
        <f t="shared" si="23"/>
        <v>#DIV/0!</v>
      </c>
      <c r="F43" s="2">
        <f>SUM('[3]Shuttle America_Delta'!$HR$19:$HY$19)</f>
        <v>0</v>
      </c>
      <c r="G43" s="2">
        <f>SUM('[3]Shuttle America_Delta'!$HD$19:$HK$19)</f>
        <v>0</v>
      </c>
      <c r="H43" s="3" t="e">
        <f t="shared" si="31"/>
        <v>#DIV/0!</v>
      </c>
      <c r="I43" s="66">
        <f t="shared" si="24"/>
        <v>0</v>
      </c>
      <c r="J43" s="38"/>
      <c r="K43" s="40" t="s">
        <v>131</v>
      </c>
      <c r="L43" s="288">
        <f>'[3]Shuttle America_Delta'!$HY$41</f>
        <v>0</v>
      </c>
      <c r="M43" s="2">
        <f>'[3]Shuttle America_Delta'!$HK$41</f>
        <v>0</v>
      </c>
      <c r="N43" s="66" t="e">
        <f t="shared" si="25"/>
        <v>#DIV/0!</v>
      </c>
      <c r="O43" s="288">
        <f>SUM('[3]Shuttle America_Delta'!$HR$41:$HY$41)</f>
        <v>0</v>
      </c>
      <c r="P43" s="2">
        <f>SUM('[3]Shuttle America_Delta'!$HD$41:$HK$41)</f>
        <v>0</v>
      </c>
      <c r="Q43" s="3" t="e">
        <f t="shared" si="26"/>
        <v>#DIV/0!</v>
      </c>
      <c r="R43" s="66">
        <f t="shared" si="27"/>
        <v>0</v>
      </c>
      <c r="S43" s="38"/>
      <c r="T43" s="40" t="s">
        <v>131</v>
      </c>
      <c r="U43" s="288">
        <f>'[3]Shuttle America_Delta'!$HY$64</f>
        <v>0</v>
      </c>
      <c r="V43" s="2">
        <f>'[3]Shuttle America_Delta'!$HK$64</f>
        <v>0</v>
      </c>
      <c r="W43" s="66" t="e">
        <f t="shared" si="28"/>
        <v>#DIV/0!</v>
      </c>
      <c r="X43" s="288">
        <f>SUM('[3]Shuttle America_Delta'!$HR$64:$HY$64)</f>
        <v>0</v>
      </c>
      <c r="Y43" s="2">
        <f>SUM('[3]Shuttle America_Delta'!$HD$64:$HK$64)</f>
        <v>0</v>
      </c>
      <c r="Z43" s="3" t="e">
        <f t="shared" si="32"/>
        <v>#DIV/0!</v>
      </c>
      <c r="AA43" s="66">
        <f t="shared" si="30"/>
        <v>0</v>
      </c>
    </row>
    <row r="44" spans="1:27" ht="14.1" customHeight="1" x14ac:dyDescent="0.2">
      <c r="A44" s="38"/>
      <c r="B44" s="343" t="s">
        <v>166</v>
      </c>
      <c r="C44" s="288">
        <f>'[3]Atlantic Southeast'!$HY$19</f>
        <v>0</v>
      </c>
      <c r="D44" s="2">
        <f>'[3]Atlantic Southeast'!$HK$19</f>
        <v>0</v>
      </c>
      <c r="E44" s="66" t="e">
        <f t="shared" si="23"/>
        <v>#DIV/0!</v>
      </c>
      <c r="F44" s="2">
        <f>SUM('[3]Atlantic Southeast'!$HR$19:$HY$19)</f>
        <v>0</v>
      </c>
      <c r="G44" s="2">
        <f>SUM('[3]Atlantic Southeast'!$HD$19:$HK$19)</f>
        <v>0</v>
      </c>
      <c r="H44" s="3" t="e">
        <f t="shared" si="31"/>
        <v>#DIV/0!</v>
      </c>
      <c r="I44" s="66">
        <f t="shared" si="24"/>
        <v>0</v>
      </c>
      <c r="J44" s="38"/>
      <c r="K44" s="343" t="s">
        <v>166</v>
      </c>
      <c r="L44" s="288">
        <f>'[3]Atlantic Southeast'!$HY$41</f>
        <v>0</v>
      </c>
      <c r="M44" s="2">
        <f>'[3]Atlantic Southeast'!$HK$41</f>
        <v>0</v>
      </c>
      <c r="N44" s="66" t="e">
        <f t="shared" si="25"/>
        <v>#DIV/0!</v>
      </c>
      <c r="O44" s="288">
        <f>SUM('[3]Atlantic Southeast'!$HR$41:$HY$41)</f>
        <v>0</v>
      </c>
      <c r="P44" s="2">
        <f>SUM('[3]Atlantic Southeast'!$HD$41:$HK$41)</f>
        <v>0</v>
      </c>
      <c r="Q44" s="3" t="e">
        <f t="shared" si="26"/>
        <v>#DIV/0!</v>
      </c>
      <c r="R44" s="66">
        <f t="shared" si="27"/>
        <v>0</v>
      </c>
      <c r="S44" s="38"/>
      <c r="T44" s="343" t="s">
        <v>166</v>
      </c>
      <c r="U44" s="288">
        <f>'[3]Atlantic Southeast'!$HY$64</f>
        <v>0</v>
      </c>
      <c r="V44" s="2">
        <f>'[3]Atlantic Southeast'!$HK$64</f>
        <v>0</v>
      </c>
      <c r="W44" s="66" t="e">
        <f t="shared" si="28"/>
        <v>#DIV/0!</v>
      </c>
      <c r="X44" s="288">
        <f>SUM('[3]Atlantic Southeast'!$HR$64:$HY$64)</f>
        <v>0</v>
      </c>
      <c r="Y44" s="2">
        <f>SUM('[3]Atlantic Southeast'!$HD$64:$HK$64)</f>
        <v>0</v>
      </c>
      <c r="Z44" s="3" t="e">
        <f t="shared" si="32"/>
        <v>#DIV/0!</v>
      </c>
      <c r="AA44" s="66">
        <f t="shared" si="30"/>
        <v>0</v>
      </c>
    </row>
    <row r="45" spans="1:27" ht="14.1" customHeight="1" x14ac:dyDescent="0.2">
      <c r="A45" s="38"/>
      <c r="B45" s="343"/>
      <c r="C45" s="288"/>
      <c r="E45" s="66"/>
      <c r="F45" s="2"/>
      <c r="I45" s="66"/>
      <c r="J45" s="38"/>
      <c r="K45" s="343"/>
      <c r="L45" s="288"/>
      <c r="N45" s="66"/>
      <c r="O45" s="288"/>
      <c r="P45" s="2"/>
      <c r="Q45" s="3"/>
      <c r="R45" s="66"/>
      <c r="S45" s="38"/>
      <c r="T45" s="343"/>
      <c r="U45" s="288"/>
      <c r="V45" s="2"/>
      <c r="W45" s="66"/>
      <c r="X45" s="288"/>
      <c r="Y45" s="2"/>
      <c r="Z45" s="3"/>
      <c r="AA45" s="66"/>
    </row>
    <row r="46" spans="1:27" ht="14.1" customHeight="1" x14ac:dyDescent="0.2">
      <c r="A46" s="283" t="s">
        <v>47</v>
      </c>
      <c r="B46" s="40"/>
      <c r="C46" s="284">
        <f>[3]Frontier!$HY$19</f>
        <v>88</v>
      </c>
      <c r="D46" s="286">
        <f>[3]Frontier!$HK$19</f>
        <v>88</v>
      </c>
      <c r="E46" s="287">
        <f>(C46-D46)/D46</f>
        <v>0</v>
      </c>
      <c r="F46" s="286">
        <f>SUM([3]Frontier!$HR$19:$HY$19)</f>
        <v>908</v>
      </c>
      <c r="G46" s="286">
        <f>SUM([3]Frontier!$HD$19:$HK$19)</f>
        <v>731</v>
      </c>
      <c r="H46" s="285">
        <f>(F46-G46)/G46</f>
        <v>0.24213406292749659</v>
      </c>
      <c r="I46" s="287">
        <f>F46/$F$73</f>
        <v>4.843493289521412E-3</v>
      </c>
      <c r="J46" s="283" t="s">
        <v>47</v>
      </c>
      <c r="K46" s="40"/>
      <c r="L46" s="284">
        <f>[3]Frontier!$HY$41</f>
        <v>14942</v>
      </c>
      <c r="M46" s="286">
        <f>[3]Frontier!$HK$41</f>
        <v>16110</v>
      </c>
      <c r="N46" s="287">
        <f>(L46-M46)/M46</f>
        <v>-7.2501551831160777E-2</v>
      </c>
      <c r="O46" s="284">
        <f>SUM([3]Frontier!$HR$41:$HY$41)</f>
        <v>131094</v>
      </c>
      <c r="P46" s="286">
        <f>SUM([3]Frontier!$HD$41:$HK$41)</f>
        <v>116764</v>
      </c>
      <c r="Q46" s="285">
        <f>(O46-P46)/P46</f>
        <v>0.12272618272755301</v>
      </c>
      <c r="R46" s="287">
        <f>O46/$O$73</f>
        <v>6.4418158732723312E-3</v>
      </c>
      <c r="S46" s="283" t="s">
        <v>47</v>
      </c>
      <c r="T46" s="40"/>
      <c r="U46" s="284">
        <f>[3]Frontier!$HY$64</f>
        <v>0</v>
      </c>
      <c r="V46" s="286">
        <f>[3]Frontier!$HK$64</f>
        <v>0</v>
      </c>
      <c r="W46" s="287" t="e">
        <f>(U46-V46)/V46</f>
        <v>#DIV/0!</v>
      </c>
      <c r="X46" s="284">
        <f>SUM([3]Frontier!$HR$64:$HY$64)</f>
        <v>0</v>
      </c>
      <c r="Y46" s="286">
        <f>SUM([3]Frontier!$HD$64:$HK$64)</f>
        <v>0</v>
      </c>
      <c r="Z46" s="285" t="e">
        <f>(X46-Y46)/Y46</f>
        <v>#DIV/0!</v>
      </c>
      <c r="AA46" s="287">
        <f>X46/$X$73</f>
        <v>0</v>
      </c>
    </row>
    <row r="47" spans="1:27" ht="14.1" customHeight="1" x14ac:dyDescent="0.2">
      <c r="A47" s="283"/>
      <c r="B47" s="40"/>
      <c r="C47" s="284"/>
      <c r="D47" s="286"/>
      <c r="E47" s="287"/>
      <c r="F47" s="286"/>
      <c r="G47" s="286"/>
      <c r="H47" s="285"/>
      <c r="I47" s="287"/>
      <c r="J47" s="283"/>
      <c r="K47" s="40"/>
      <c r="L47" s="288"/>
      <c r="N47" s="66"/>
      <c r="O47" s="288"/>
      <c r="P47" s="2"/>
      <c r="Q47" s="3"/>
      <c r="R47" s="66"/>
      <c r="S47" s="283"/>
      <c r="T47" s="40"/>
      <c r="U47" s="288"/>
      <c r="V47" s="2"/>
      <c r="W47" s="66"/>
      <c r="X47" s="288"/>
      <c r="Y47" s="2"/>
      <c r="Z47" s="3"/>
      <c r="AA47" s="66"/>
    </row>
    <row r="48" spans="1:27" ht="14.1" customHeight="1" x14ac:dyDescent="0.2">
      <c r="A48" s="283" t="s">
        <v>48</v>
      </c>
      <c r="B48" s="40"/>
      <c r="C48" s="284">
        <f>[3]Icelandair!$HY$19</f>
        <v>62</v>
      </c>
      <c r="D48" s="286">
        <f>[3]Icelandair!$HK$19</f>
        <v>44</v>
      </c>
      <c r="E48" s="287">
        <f>(C48-D48)/D48</f>
        <v>0.40909090909090912</v>
      </c>
      <c r="F48" s="286">
        <f>SUM([3]Icelandair!$HR$19:$HY$19)</f>
        <v>238</v>
      </c>
      <c r="G48" s="286">
        <f>SUM([3]Icelandair!$HD$19:$HK$19)</f>
        <v>97</v>
      </c>
      <c r="H48" s="285">
        <f>(F48-G48)/G48</f>
        <v>1.4536082474226804</v>
      </c>
      <c r="I48" s="287">
        <f>F48/$F$73</f>
        <v>1.2695500032005463E-3</v>
      </c>
      <c r="J48" s="283" t="s">
        <v>48</v>
      </c>
      <c r="K48" s="40"/>
      <c r="L48" s="284">
        <f>[3]Icelandair!$HY$41</f>
        <v>9921</v>
      </c>
      <c r="M48" s="286">
        <f>[3]Icelandair!$HK$41</f>
        <v>5178</v>
      </c>
      <c r="N48" s="287">
        <f>(L48-M48)/M48</f>
        <v>0.91599073001158748</v>
      </c>
      <c r="O48" s="284">
        <f>SUM([3]Icelandair!$HR$41:$HY$41)</f>
        <v>35216</v>
      </c>
      <c r="P48" s="286">
        <f>SUM([3]Icelandair!$HD$41:$HK$41)</f>
        <v>10137</v>
      </c>
      <c r="Q48" s="285">
        <f>(O48-P48)/P48</f>
        <v>2.474006116207951</v>
      </c>
      <c r="R48" s="287">
        <f>O48/$O$73</f>
        <v>1.7304757486472182E-3</v>
      </c>
      <c r="S48" s="283" t="s">
        <v>48</v>
      </c>
      <c r="T48" s="40"/>
      <c r="U48" s="284">
        <f>[3]Icelandair!$HY$64</f>
        <v>1701</v>
      </c>
      <c r="V48" s="286">
        <f>[3]Icelandair!$HK$64</f>
        <v>14788</v>
      </c>
      <c r="W48" s="287">
        <f>(U48-V48)/V48</f>
        <v>-0.88497430348931572</v>
      </c>
      <c r="X48" s="284">
        <f>SUM([3]Icelandair!$HR$64:$HY$64)</f>
        <v>55189</v>
      </c>
      <c r="Y48" s="286">
        <f>SUM([3]Icelandair!$HD$64:$HK$64)</f>
        <v>22546</v>
      </c>
      <c r="Z48" s="285">
        <f>(X48-Y48)/Y48</f>
        <v>1.4478399716135899</v>
      </c>
      <c r="AA48" s="287">
        <f>X48/$X$73</f>
        <v>8.3090069536010411E-4</v>
      </c>
    </row>
    <row r="49" spans="1:27" ht="14.1" customHeight="1" x14ac:dyDescent="0.2">
      <c r="A49" s="283"/>
      <c r="B49" s="40"/>
      <c r="C49" s="284"/>
      <c r="D49" s="286"/>
      <c r="E49" s="287"/>
      <c r="F49" s="286"/>
      <c r="G49" s="286"/>
      <c r="H49" s="285"/>
      <c r="I49" s="287"/>
      <c r="J49" s="283"/>
      <c r="K49" s="40"/>
      <c r="L49" s="288"/>
      <c r="N49" s="66"/>
      <c r="O49" s="288"/>
      <c r="P49" s="2"/>
      <c r="Q49" s="3"/>
      <c r="R49" s="66"/>
      <c r="S49" s="283"/>
      <c r="T49" s="40"/>
      <c r="U49" s="288"/>
      <c r="V49" s="2"/>
      <c r="W49" s="66"/>
      <c r="X49" s="288"/>
      <c r="Y49" s="2"/>
      <c r="Z49" s="3"/>
      <c r="AA49" s="66"/>
    </row>
    <row r="50" spans="1:27" ht="14.1" customHeight="1" x14ac:dyDescent="0.2">
      <c r="A50" s="283" t="s">
        <v>199</v>
      </c>
      <c r="B50" s="40"/>
      <c r="C50" s="284">
        <f>'[3]Jet Blue'!$HY$19</f>
        <v>184</v>
      </c>
      <c r="D50" s="286">
        <f>'[3]Jet Blue'!$HK$19</f>
        <v>124</v>
      </c>
      <c r="E50" s="287">
        <f>(C50-D50)/D50</f>
        <v>0.4838709677419355</v>
      </c>
      <c r="F50" s="286">
        <f>SUM('[3]Jet Blue'!$HR$19:$HY$19)</f>
        <v>1146</v>
      </c>
      <c r="G50" s="286">
        <f>SUM('[3]Jet Blue'!$HD$19:$HK$19)</f>
        <v>428</v>
      </c>
      <c r="H50" s="285">
        <f>(F50-G50)/G50</f>
        <v>1.6775700934579438</v>
      </c>
      <c r="I50" s="287">
        <f>F50/$F$73</f>
        <v>6.1130432927219581E-3</v>
      </c>
      <c r="J50" s="283" t="s">
        <v>199</v>
      </c>
      <c r="K50" s="40"/>
      <c r="L50" s="284">
        <f>'[3]Jet Blue'!$HY$41</f>
        <v>17790</v>
      </c>
      <c r="M50" s="286">
        <f>'[3]Jet Blue'!$HK$41</f>
        <v>10679</v>
      </c>
      <c r="N50" s="287">
        <f>(L50-M50)/M50</f>
        <v>0.6658863189437213</v>
      </c>
      <c r="O50" s="284">
        <f>SUM('[3]Jet Blue'!$HR$41:$HY$41)</f>
        <v>102764</v>
      </c>
      <c r="P50" s="286">
        <f>SUM('[3]Jet Blue'!$HD$41:$HK$41)</f>
        <v>33369</v>
      </c>
      <c r="Q50" s="285">
        <f>(O50-P50)/P50</f>
        <v>2.079624801462435</v>
      </c>
      <c r="R50" s="287">
        <f>O50/$O$73</f>
        <v>5.0497106381753388E-3</v>
      </c>
      <c r="S50" s="283" t="s">
        <v>199</v>
      </c>
      <c r="T50" s="40"/>
      <c r="U50" s="284">
        <f>'[3]Jet Blue'!$HY$64</f>
        <v>0</v>
      </c>
      <c r="V50" s="286">
        <f>'[3]Jet Blue'!$HK$64</f>
        <v>0</v>
      </c>
      <c r="W50" s="287" t="e">
        <f>(U50-V50)/V50</f>
        <v>#DIV/0!</v>
      </c>
      <c r="X50" s="284">
        <f>SUM('[3]Jet Blue'!$HR$64:$HY$64)</f>
        <v>0</v>
      </c>
      <c r="Y50" s="286">
        <f>SUM('[3]Jet Blue'!$HD$64:$HK$64)</f>
        <v>0</v>
      </c>
      <c r="Z50" s="285" t="e">
        <f>(X50-Y50)/Y50</f>
        <v>#DIV/0!</v>
      </c>
      <c r="AA50" s="287">
        <f>X50/$X$73</f>
        <v>0</v>
      </c>
    </row>
    <row r="51" spans="1:27" ht="14.1" customHeight="1" x14ac:dyDescent="0.2">
      <c r="A51" s="283"/>
      <c r="B51" s="40"/>
      <c r="C51" s="284"/>
      <c r="D51" s="286"/>
      <c r="E51" s="287"/>
      <c r="F51" s="286"/>
      <c r="G51" s="286"/>
      <c r="H51" s="285"/>
      <c r="I51" s="287"/>
      <c r="J51" s="283"/>
      <c r="K51" s="40"/>
      <c r="L51" s="288"/>
      <c r="N51" s="66"/>
      <c r="O51" s="288"/>
      <c r="P51" s="2"/>
      <c r="Q51" s="3"/>
      <c r="R51" s="66"/>
      <c r="S51" s="283"/>
      <c r="T51" s="40"/>
      <c r="U51" s="288"/>
      <c r="V51" s="2"/>
      <c r="W51" s="66"/>
      <c r="X51" s="288"/>
      <c r="Y51" s="2"/>
      <c r="Z51" s="3"/>
      <c r="AA51" s="66"/>
    </row>
    <row r="52" spans="1:27" ht="14.1" customHeight="1" x14ac:dyDescent="0.2">
      <c r="A52" s="283" t="s">
        <v>194</v>
      </c>
      <c r="B52" s="40"/>
      <c r="C52" s="284">
        <f>[3]KLM!$HY$19</f>
        <v>44</v>
      </c>
      <c r="D52" s="286">
        <f>[3]KLM!$HK$19</f>
        <v>2</v>
      </c>
      <c r="E52" s="287">
        <f>(C52-D52)/D52</f>
        <v>21</v>
      </c>
      <c r="F52" s="286">
        <f>SUM([3]KLM!$HR$19:$HY$19)</f>
        <v>262</v>
      </c>
      <c r="G52" s="286">
        <f>SUM([3]KLM!$HD$19:$HK$19)</f>
        <v>2</v>
      </c>
      <c r="H52" s="285">
        <f>(F52-G52)/G52</f>
        <v>130</v>
      </c>
      <c r="I52" s="287">
        <f>F52/$F$73</f>
        <v>1.3975718522627862E-3</v>
      </c>
      <c r="J52" s="283" t="s">
        <v>194</v>
      </c>
      <c r="K52" s="40"/>
      <c r="L52" s="284">
        <f>[3]KLM!$HY$41</f>
        <v>11114</v>
      </c>
      <c r="M52" s="286">
        <f>[3]KLM!$HK$41</f>
        <v>341</v>
      </c>
      <c r="N52" s="287">
        <f>(L52-M52)/M52</f>
        <v>31.592375366568916</v>
      </c>
      <c r="O52" s="284">
        <f>SUM([3]KLM!$HR$41:$HY$41)</f>
        <v>55981</v>
      </c>
      <c r="P52" s="286">
        <f>SUM([3]KLM!$HD$41:$HK$41)</f>
        <v>341</v>
      </c>
      <c r="Q52" s="285">
        <f>(O52-P52)/P52</f>
        <v>163.16715542521993</v>
      </c>
      <c r="R52" s="287">
        <f>O52/$O$73</f>
        <v>2.7508451523460906E-3</v>
      </c>
      <c r="S52" s="283" t="s">
        <v>194</v>
      </c>
      <c r="T52" s="40"/>
      <c r="U52" s="284">
        <f>[3]KLM!$HY$64</f>
        <v>425323</v>
      </c>
      <c r="V52" s="286">
        <f>[3]KLM!$HK$64</f>
        <v>28858</v>
      </c>
      <c r="W52" s="287">
        <f>(U52-V52)/V52</f>
        <v>13.738478065007969</v>
      </c>
      <c r="X52" s="284">
        <f>SUM([3]KLM!$HR$64:$HY$64)</f>
        <v>4146938</v>
      </c>
      <c r="Y52" s="286">
        <f>SUM([3]KLM!$HD$64:$HK$64)</f>
        <v>28858</v>
      </c>
      <c r="Z52" s="285">
        <f>(X52-Y52)/Y52</f>
        <v>142.70150391572528</v>
      </c>
      <c r="AA52" s="287">
        <f>X52/$X$73</f>
        <v>6.2434428379119743E-2</v>
      </c>
    </row>
    <row r="53" spans="1:27" ht="14.1" customHeight="1" x14ac:dyDescent="0.2">
      <c r="A53" s="283"/>
      <c r="B53" s="40"/>
      <c r="C53" s="284"/>
      <c r="D53" s="286"/>
      <c r="E53" s="287"/>
      <c r="F53" s="286"/>
      <c r="G53" s="286"/>
      <c r="H53" s="285"/>
      <c r="I53" s="287"/>
      <c r="J53" s="283"/>
      <c r="K53" s="40"/>
      <c r="L53" s="288"/>
      <c r="N53" s="66"/>
      <c r="O53" s="288"/>
      <c r="P53" s="2"/>
      <c r="Q53" s="3"/>
      <c r="R53" s="66"/>
      <c r="S53" s="283"/>
      <c r="T53" s="40"/>
      <c r="U53" s="288"/>
      <c r="V53" s="2"/>
      <c r="W53" s="66"/>
      <c r="X53" s="288"/>
      <c r="Y53" s="2"/>
      <c r="Z53" s="3"/>
      <c r="AA53" s="66"/>
    </row>
    <row r="54" spans="1:27" ht="14.1" customHeight="1" x14ac:dyDescent="0.2">
      <c r="A54" s="283" t="s">
        <v>129</v>
      </c>
      <c r="B54" s="40"/>
      <c r="C54" s="284">
        <f>[3]Southwest!$HY$19</f>
        <v>1146</v>
      </c>
      <c r="D54" s="286">
        <f>[3]Southwest!$HK$19</f>
        <v>994</v>
      </c>
      <c r="E54" s="287">
        <f>(C54-D54)/D54</f>
        <v>0.15291750503018109</v>
      </c>
      <c r="F54" s="286">
        <f>SUM([3]Southwest!$HR$19:$HY$19)</f>
        <v>6945</v>
      </c>
      <c r="G54" s="286">
        <f>SUM([3]Southwest!$HD$19:$HK$19)</f>
        <v>6146</v>
      </c>
      <c r="H54" s="285">
        <f>(F54-G54)/G54</f>
        <v>0.13000325414904002</v>
      </c>
      <c r="I54" s="287">
        <f>F54/$F$73</f>
        <v>3.7046322572385687E-2</v>
      </c>
      <c r="J54" s="283" t="s">
        <v>129</v>
      </c>
      <c r="K54" s="40"/>
      <c r="L54" s="284">
        <f>[3]Southwest!$HY$41</f>
        <v>150438</v>
      </c>
      <c r="M54" s="286">
        <f>[3]Southwest!$HK$41</f>
        <v>129131</v>
      </c>
      <c r="N54" s="287">
        <f>(L54-M54)/M54</f>
        <v>0.16500298146843129</v>
      </c>
      <c r="O54" s="284">
        <f>SUM([3]Southwest!$HR$41:$HY$41)</f>
        <v>881543</v>
      </c>
      <c r="P54" s="286">
        <f>SUM([3]Southwest!$HD$41:$HK$41)</f>
        <v>751403</v>
      </c>
      <c r="Q54" s="285">
        <f>(O54-P54)/P54</f>
        <v>0.17319600800103274</v>
      </c>
      <c r="R54" s="287">
        <f>O54/$O$73</f>
        <v>4.3318059486872861E-2</v>
      </c>
      <c r="S54" s="283" t="s">
        <v>129</v>
      </c>
      <c r="T54" s="40"/>
      <c r="U54" s="284">
        <f>[3]Southwest!$HY$64</f>
        <v>233230</v>
      </c>
      <c r="V54" s="286">
        <f>[3]Southwest!$HK$64</f>
        <v>342313</v>
      </c>
      <c r="W54" s="287">
        <f>(U54-V54)/V54</f>
        <v>-0.31866449711229194</v>
      </c>
      <c r="X54" s="284">
        <f>SUM([3]Southwest!$HR$64:$HY$64)</f>
        <v>1674378</v>
      </c>
      <c r="Y54" s="286">
        <f>SUM([3]Southwest!$HD$64:$HK$64)</f>
        <v>2512617</v>
      </c>
      <c r="Z54" s="285">
        <f>(X54-Y54)/Y54</f>
        <v>-0.33361192732517531</v>
      </c>
      <c r="AA54" s="287">
        <f>X54/$X$73</f>
        <v>2.5208680072037189E-2</v>
      </c>
    </row>
    <row r="55" spans="1:27" ht="14.1" customHeight="1" x14ac:dyDescent="0.2">
      <c r="A55" s="283"/>
      <c r="B55" s="40"/>
      <c r="C55" s="284"/>
      <c r="D55" s="286"/>
      <c r="E55" s="287"/>
      <c r="F55" s="286"/>
      <c r="G55" s="286"/>
      <c r="H55" s="285"/>
      <c r="I55" s="287"/>
      <c r="J55" s="283"/>
      <c r="K55" s="40"/>
      <c r="L55" s="288"/>
      <c r="N55" s="66"/>
      <c r="O55" s="288"/>
      <c r="P55" s="2"/>
      <c r="Q55" s="3"/>
      <c r="R55" s="66"/>
      <c r="S55" s="283"/>
      <c r="T55" s="40"/>
      <c r="U55" s="288"/>
      <c r="V55" s="2"/>
      <c r="W55" s="66"/>
      <c r="X55" s="288"/>
      <c r="Y55" s="2"/>
      <c r="Z55" s="3"/>
      <c r="AA55" s="66"/>
    </row>
    <row r="56" spans="1:27" ht="14.1" customHeight="1" x14ac:dyDescent="0.2">
      <c r="A56" s="283" t="s">
        <v>155</v>
      </c>
      <c r="B56" s="40"/>
      <c r="C56" s="284">
        <f>[3]Spirit!$HY$19</f>
        <v>186</v>
      </c>
      <c r="D56" s="286">
        <f>[3]Spirit!$HK$19</f>
        <v>292</v>
      </c>
      <c r="E56" s="287">
        <f>(C56-D56)/D56</f>
        <v>-0.36301369863013699</v>
      </c>
      <c r="F56" s="286">
        <f>SUM([3]Spirit!$HR$19:$HY$19)</f>
        <v>2034</v>
      </c>
      <c r="G56" s="286">
        <f>SUM([3]Spirit!$HD$19:$HK$19)</f>
        <v>2447</v>
      </c>
      <c r="H56" s="285">
        <f>(F56-G56)/G56</f>
        <v>-0.16877809562729873</v>
      </c>
      <c r="I56" s="287">
        <f>F56/$F$73</f>
        <v>1.0849851708024836E-2</v>
      </c>
      <c r="J56" s="283" t="s">
        <v>155</v>
      </c>
      <c r="K56" s="40"/>
      <c r="L56" s="284">
        <f>[3]Spirit!$HY$41</f>
        <v>31655</v>
      </c>
      <c r="M56" s="286">
        <f>[3]Spirit!$HK$41</f>
        <v>38855</v>
      </c>
      <c r="N56" s="287">
        <f>(L56-M56)/M56</f>
        <v>-0.18530433663621157</v>
      </c>
      <c r="O56" s="284">
        <f>SUM([3]Spirit!$HR$41:$HY$41)</f>
        <v>305543</v>
      </c>
      <c r="P56" s="286">
        <f>SUM([3]Spirit!$HD$41:$HK$41)</f>
        <v>353350</v>
      </c>
      <c r="Q56" s="285">
        <f>(O56-P56)/P56</f>
        <v>-0.13529644828074147</v>
      </c>
      <c r="R56" s="287">
        <f>O56/$O$73</f>
        <v>1.5014049059203685E-2</v>
      </c>
      <c r="S56" s="283" t="s">
        <v>155</v>
      </c>
      <c r="T56" s="40"/>
      <c r="U56" s="284">
        <f>[3]Spirit!$HY$64</f>
        <v>0</v>
      </c>
      <c r="V56" s="286">
        <f>[3]Spirit!$HK$64</f>
        <v>0</v>
      </c>
      <c r="W56" s="287" t="e">
        <f>(U56-V56)/V56</f>
        <v>#DIV/0!</v>
      </c>
      <c r="X56" s="284">
        <f>SUM([3]Spirit!$HR$64:$HY$64)</f>
        <v>0</v>
      </c>
      <c r="Y56" s="286">
        <f>SUM([3]Spirit!$HD$64:$HK$64)</f>
        <v>0</v>
      </c>
      <c r="Z56" s="285" t="e">
        <f>(X56-Y56)/Y56</f>
        <v>#DIV/0!</v>
      </c>
      <c r="AA56" s="287">
        <f>X56/$X$73</f>
        <v>0</v>
      </c>
    </row>
    <row r="57" spans="1:27" ht="14.1" customHeight="1" x14ac:dyDescent="0.2">
      <c r="A57" s="283"/>
      <c r="B57" s="40"/>
      <c r="C57" s="284"/>
      <c r="D57" s="286"/>
      <c r="E57" s="287"/>
      <c r="F57" s="286"/>
      <c r="G57" s="286"/>
      <c r="H57" s="285"/>
      <c r="I57" s="287"/>
      <c r="J57" s="283"/>
      <c r="K57" s="40"/>
      <c r="L57" s="288"/>
      <c r="N57" s="66"/>
      <c r="O57" s="288"/>
      <c r="P57" s="2"/>
      <c r="Q57" s="3"/>
      <c r="R57" s="66">
        <f>O57/$O$73</f>
        <v>0</v>
      </c>
      <c r="S57" s="283"/>
      <c r="T57" s="40"/>
      <c r="U57" s="288"/>
      <c r="V57" s="2"/>
      <c r="W57" s="66"/>
      <c r="X57" s="288"/>
      <c r="Y57" s="2"/>
      <c r="Z57" s="3"/>
      <c r="AA57" s="66">
        <f>X57/$X$73</f>
        <v>0</v>
      </c>
    </row>
    <row r="58" spans="1:27" ht="14.1" customHeight="1" x14ac:dyDescent="0.2">
      <c r="A58" s="283" t="s">
        <v>49</v>
      </c>
      <c r="B58" s="40"/>
      <c r="C58" s="284">
        <f>'[3]Sun Country'!$HY$19</f>
        <v>1860</v>
      </c>
      <c r="D58" s="286">
        <f>'[3]Sun Country'!$HK$19</f>
        <v>1846</v>
      </c>
      <c r="E58" s="287">
        <f>(C58-D58)/D58</f>
        <v>7.5839653304442039E-3</v>
      </c>
      <c r="F58" s="286">
        <f>SUM('[3]Sun Country'!$HR$19:$HY$19)</f>
        <v>15455</v>
      </c>
      <c r="G58" s="286">
        <f>SUM('[3]Sun Country'!$HD$19:$HK$19)</f>
        <v>12971</v>
      </c>
      <c r="H58" s="285">
        <f>(F58-G58)/G58</f>
        <v>0.19150412458561406</v>
      </c>
      <c r="I58" s="287">
        <f>F58/$F$73</f>
        <v>8.2440736552371607E-2</v>
      </c>
      <c r="J58" s="283" t="s">
        <v>49</v>
      </c>
      <c r="K58" s="40"/>
      <c r="L58" s="284">
        <f>'[3]Sun Country'!$HY$41</f>
        <v>294218</v>
      </c>
      <c r="M58" s="286">
        <f>'[3]Sun Country'!$HK$41</f>
        <v>246793</v>
      </c>
      <c r="N58" s="287">
        <f>(L58-M58)/M58</f>
        <v>0.19216509382356875</v>
      </c>
      <c r="O58" s="284">
        <f>SUM('[3]Sun Country'!$HR$41:$HY$41)</f>
        <v>2254653</v>
      </c>
      <c r="P58" s="286">
        <f>SUM('[3]Sun Country'!$HD$41:$HK$41)</f>
        <v>1634637</v>
      </c>
      <c r="Q58" s="285">
        <f>(O58-P58)/P58</f>
        <v>0.37929889021232238</v>
      </c>
      <c r="R58" s="287">
        <f>O58/$O$73</f>
        <v>0.11079118406731873</v>
      </c>
      <c r="S58" s="283" t="s">
        <v>49</v>
      </c>
      <c r="T58" s="40"/>
      <c r="U58" s="284">
        <f>'[3]Sun Country'!$HY$64</f>
        <v>122849</v>
      </c>
      <c r="V58" s="286">
        <f>'[3]Sun Country'!$HK$64</f>
        <v>445146</v>
      </c>
      <c r="W58" s="287">
        <f>(U58-V58)/V58</f>
        <v>-0.72402537594407224</v>
      </c>
      <c r="X58" s="284">
        <f>SUM('[3]Sun Country'!$HR$64:$HY$64)</f>
        <v>3187180</v>
      </c>
      <c r="Y58" s="286">
        <f>SUM('[3]Sun Country'!$HD$64:$HK$64)</f>
        <v>3416986</v>
      </c>
      <c r="Z58" s="285">
        <f>(X58-Y58)/Y58</f>
        <v>-6.725400689379471E-2</v>
      </c>
      <c r="AA58" s="287">
        <f>X58/$X$73</f>
        <v>4.7984744754168702E-2</v>
      </c>
    </row>
    <row r="59" spans="1:27" ht="14.1" customHeight="1" x14ac:dyDescent="0.2">
      <c r="A59" s="283"/>
      <c r="B59" s="40"/>
      <c r="C59" s="284"/>
      <c r="D59" s="286"/>
      <c r="E59" s="287"/>
      <c r="F59" s="286"/>
      <c r="G59" s="286"/>
      <c r="H59" s="285"/>
      <c r="I59" s="287"/>
      <c r="J59" s="283"/>
      <c r="K59" s="40"/>
      <c r="L59" s="288"/>
      <c r="N59" s="66"/>
      <c r="O59" s="288"/>
      <c r="P59" s="2"/>
      <c r="Q59" s="3"/>
      <c r="R59" s="66"/>
      <c r="S59" s="283"/>
      <c r="T59" s="40"/>
      <c r="U59" s="288"/>
      <c r="V59" s="2"/>
      <c r="W59" s="66"/>
      <c r="X59" s="288"/>
      <c r="Y59" s="2"/>
      <c r="Z59" s="3"/>
      <c r="AA59" s="66"/>
    </row>
    <row r="60" spans="1:27" ht="14.1" customHeight="1" x14ac:dyDescent="0.2">
      <c r="A60" s="283" t="s">
        <v>19</v>
      </c>
      <c r="B60" s="290"/>
      <c r="C60" s="284">
        <f>SUM(C61:C68)</f>
        <v>1010</v>
      </c>
      <c r="D60" s="286">
        <f>SUM(D61:D68)</f>
        <v>950</v>
      </c>
      <c r="E60" s="287">
        <f t="shared" ref="E60:E68" si="33">(C60-D60)/D60</f>
        <v>6.3157894736842107E-2</v>
      </c>
      <c r="F60" s="286">
        <f>SUM(F61:F68)</f>
        <v>7334</v>
      </c>
      <c r="G60" s="286">
        <f>SUM(G61:G68)</f>
        <v>5429</v>
      </c>
      <c r="H60" s="285">
        <f t="shared" ref="H60:H68" si="34">(F60-G60)/G60</f>
        <v>0.35089335052495857</v>
      </c>
      <c r="I60" s="287">
        <f t="shared" ref="I60:I68" si="35">F60/$F$73</f>
        <v>3.912134337593616E-2</v>
      </c>
      <c r="J60" s="283" t="s">
        <v>19</v>
      </c>
      <c r="K60" s="290"/>
      <c r="L60" s="284">
        <f>SUM(L61:L68)</f>
        <v>116540</v>
      </c>
      <c r="M60" s="286">
        <f>SUM(M61:M68)</f>
        <v>93458</v>
      </c>
      <c r="N60" s="287">
        <f t="shared" ref="N60:N68" si="36">(L60-M60)/M60</f>
        <v>0.24697725181364891</v>
      </c>
      <c r="O60" s="284">
        <f>SUM(O61:O68)</f>
        <v>808887</v>
      </c>
      <c r="P60" s="286">
        <f>SUM(P61:P68)</f>
        <v>508800</v>
      </c>
      <c r="Q60" s="285">
        <f t="shared" ref="Q60:Q68" si="37">(O60-P60)/P60</f>
        <v>0.58979363207547175</v>
      </c>
      <c r="R60" s="287">
        <f t="shared" ref="R60:R68" si="38">O60/$O$73</f>
        <v>3.9747823060427144E-2</v>
      </c>
      <c r="S60" s="283" t="s">
        <v>19</v>
      </c>
      <c r="T60" s="290"/>
      <c r="U60" s="284">
        <f>SUM(U61:U68)</f>
        <v>118566</v>
      </c>
      <c r="V60" s="286">
        <f>SUM(V61:V68)</f>
        <v>174848</v>
      </c>
      <c r="W60" s="287">
        <f t="shared" ref="W60:W68" si="39">(U60-V60)/V60</f>
        <v>-0.32189101390922403</v>
      </c>
      <c r="X60" s="284">
        <f>SUM(X61:X68)</f>
        <v>898409</v>
      </c>
      <c r="Y60" s="286">
        <f>SUM(Y61:Y68)</f>
        <v>1007189</v>
      </c>
      <c r="Z60" s="285">
        <f t="shared" ref="Z60:Z68" si="40">(X60-Y60)/Y60</f>
        <v>-0.10800356238997845</v>
      </c>
      <c r="AA60" s="287">
        <f t="shared" ref="AA60:AA68" si="41">X60/$X$73</f>
        <v>1.3526040747572446E-2</v>
      </c>
    </row>
    <row r="61" spans="1:27" ht="14.1" customHeight="1" x14ac:dyDescent="0.2">
      <c r="A61" s="38"/>
      <c r="B61" s="343" t="s">
        <v>19</v>
      </c>
      <c r="C61" s="288">
        <f>[3]United!$HY$19</f>
        <v>720</v>
      </c>
      <c r="D61" s="2">
        <f>[3]United!$HK$19+[3]Continental!$HK$19</f>
        <v>508</v>
      </c>
      <c r="E61" s="66">
        <f t="shared" si="33"/>
        <v>0.41732283464566927</v>
      </c>
      <c r="F61" s="2">
        <f>SUM([3]United!$HR$19:$HY$19)</f>
        <v>5150</v>
      </c>
      <c r="G61" s="2">
        <f>SUM([3]United!$HD$19:$HK$19)+SUM([3]Continental!$HD$19:$HK$19)</f>
        <v>2910</v>
      </c>
      <c r="H61" s="3">
        <f t="shared" si="34"/>
        <v>0.76975945017182135</v>
      </c>
      <c r="I61" s="66">
        <f t="shared" si="35"/>
        <v>2.7471355111272324E-2</v>
      </c>
      <c r="J61" s="38"/>
      <c r="K61" s="343" t="s">
        <v>19</v>
      </c>
      <c r="L61" s="288">
        <f>[3]United!$HY$41</f>
        <v>97696</v>
      </c>
      <c r="M61" s="2">
        <f>[3]United!$HK$41+[3]Continental!$HK$41</f>
        <v>65255</v>
      </c>
      <c r="N61" s="66">
        <f t="shared" si="36"/>
        <v>0.49714198145735961</v>
      </c>
      <c r="O61" s="288">
        <f>SUM([3]United!$HR$41:$HY$41)</f>
        <v>670063</v>
      </c>
      <c r="P61" s="2">
        <f>SUM([3]United!$HD$41:$HK$41)+SUM([3]Continental!$HD$41:$HK$41)</f>
        <v>359435</v>
      </c>
      <c r="Q61" s="3">
        <f t="shared" si="37"/>
        <v>0.86421188810216032</v>
      </c>
      <c r="R61" s="66">
        <f t="shared" si="38"/>
        <v>3.2926163436102933E-2</v>
      </c>
      <c r="S61" s="38"/>
      <c r="T61" s="343" t="s">
        <v>19</v>
      </c>
      <c r="U61" s="288">
        <f>[3]United!$HY$64</f>
        <v>118566</v>
      </c>
      <c r="V61" s="2">
        <f>[3]United!$HK$64+[3]Continental!$HK$64</f>
        <v>174848</v>
      </c>
      <c r="W61" s="66">
        <f t="shared" si="39"/>
        <v>-0.32189101390922403</v>
      </c>
      <c r="X61" s="288">
        <f>SUM([3]United!$HR$64:$HY$64)</f>
        <v>898409</v>
      </c>
      <c r="Y61" s="2">
        <f>SUM([3]United!$HD$64:$HK$64)+SUM([3]Continental!$HD$64:$HK$64)</f>
        <v>1007189</v>
      </c>
      <c r="Z61" s="3">
        <f t="shared" si="40"/>
        <v>-0.10800356238997845</v>
      </c>
      <c r="AA61" s="66">
        <f t="shared" si="41"/>
        <v>1.3526040747572446E-2</v>
      </c>
    </row>
    <row r="62" spans="1:27" ht="14.1" customHeight="1" x14ac:dyDescent="0.2">
      <c r="A62" s="38"/>
      <c r="B62" s="343" t="s">
        <v>166</v>
      </c>
      <c r="C62" s="288">
        <f>'[3]Continental Express'!$HY$19</f>
        <v>0</v>
      </c>
      <c r="D62" s="2">
        <f>'[3]Continental Express'!$HK$19</f>
        <v>0</v>
      </c>
      <c r="E62" s="66" t="e">
        <f t="shared" si="33"/>
        <v>#DIV/0!</v>
      </c>
      <c r="F62" s="2">
        <f>SUM('[3]Continental Express'!$HR$19:$HY$19)</f>
        <v>0</v>
      </c>
      <c r="G62" s="2">
        <f>SUM('[3]Continental Express'!$HD$19:$HK$19)</f>
        <v>0</v>
      </c>
      <c r="H62" s="3" t="e">
        <f t="shared" si="34"/>
        <v>#DIV/0!</v>
      </c>
      <c r="I62" s="66">
        <f t="shared" si="35"/>
        <v>0</v>
      </c>
      <c r="J62" s="38"/>
      <c r="K62" s="343" t="s">
        <v>166</v>
      </c>
      <c r="L62" s="288">
        <f>'[3]Continental Express'!$HY$41</f>
        <v>0</v>
      </c>
      <c r="M62" s="2">
        <f>'[3]Continental Express'!$HK$41</f>
        <v>0</v>
      </c>
      <c r="N62" s="66" t="e">
        <f t="shared" si="36"/>
        <v>#DIV/0!</v>
      </c>
      <c r="O62" s="288">
        <f>SUM('[3]Continental Express'!$HR$41:$HY$41)</f>
        <v>0</v>
      </c>
      <c r="P62" s="2">
        <f>SUM('[3]Continental Express'!$HD$41:$HK$41)</f>
        <v>0</v>
      </c>
      <c r="Q62" s="3" t="e">
        <f t="shared" si="37"/>
        <v>#DIV/0!</v>
      </c>
      <c r="R62" s="66">
        <f t="shared" si="38"/>
        <v>0</v>
      </c>
      <c r="S62" s="38"/>
      <c r="T62" s="343" t="s">
        <v>166</v>
      </c>
      <c r="U62" s="288">
        <f>'[3]Continental Express'!$HY$64</f>
        <v>0</v>
      </c>
      <c r="V62" s="2">
        <f>'[3]Continental Express'!$HK$64</f>
        <v>0</v>
      </c>
      <c r="W62" s="66" t="e">
        <f t="shared" si="39"/>
        <v>#DIV/0!</v>
      </c>
      <c r="X62" s="288">
        <f>SUM('[3]Continental Express'!$HR$64:$HY$64)</f>
        <v>0</v>
      </c>
      <c r="Y62" s="2">
        <f>SUM('[3]Continental Express'!$HD$64:$HK$64)</f>
        <v>0</v>
      </c>
      <c r="Z62" s="3" t="e">
        <f t="shared" si="40"/>
        <v>#DIV/0!</v>
      </c>
      <c r="AA62" s="66">
        <f t="shared" si="41"/>
        <v>0</v>
      </c>
    </row>
    <row r="63" spans="1:27" ht="14.1" customHeight="1" x14ac:dyDescent="0.2">
      <c r="A63" s="38"/>
      <c r="B63" s="40" t="s">
        <v>154</v>
      </c>
      <c r="C63" s="288">
        <f>'[3]Go Jet_UA'!$HY$19</f>
        <v>2</v>
      </c>
      <c r="D63" s="2">
        <f>'[3]Go Jet_UA'!$HK$19</f>
        <v>0</v>
      </c>
      <c r="E63" s="66" t="e">
        <f t="shared" si="33"/>
        <v>#DIV/0!</v>
      </c>
      <c r="F63" s="2">
        <f>SUM('[3]Go Jet_UA'!$HR$19:$HY$19)</f>
        <v>2</v>
      </c>
      <c r="G63" s="2">
        <f>SUM('[3]Go Jet_UA'!$HD$19:$HK$19)</f>
        <v>2</v>
      </c>
      <c r="H63" s="3">
        <f t="shared" si="34"/>
        <v>0</v>
      </c>
      <c r="I63" s="66">
        <f t="shared" si="35"/>
        <v>1.066848742185333E-5</v>
      </c>
      <c r="J63" s="38"/>
      <c r="K63" s="40" t="s">
        <v>154</v>
      </c>
      <c r="L63" s="288">
        <f>'[3]Go Jet_UA'!$HY$41</f>
        <v>37</v>
      </c>
      <c r="M63" s="2">
        <f>'[3]Go Jet_UA'!$HK$41</f>
        <v>0</v>
      </c>
      <c r="N63" s="66" t="e">
        <f t="shared" si="36"/>
        <v>#DIV/0!</v>
      </c>
      <c r="O63" s="288">
        <f>SUM('[3]Go Jet_UA'!$HR$41:$HY$41)</f>
        <v>37</v>
      </c>
      <c r="P63" s="2">
        <f>SUM('[3]Go Jet_UA'!$HD$41:$HK$41)</f>
        <v>0</v>
      </c>
      <c r="Q63" s="3" t="e">
        <f t="shared" si="37"/>
        <v>#DIV/0!</v>
      </c>
      <c r="R63" s="66">
        <f t="shared" si="38"/>
        <v>1.8181395587218046E-6</v>
      </c>
      <c r="S63" s="38"/>
      <c r="T63" s="40" t="s">
        <v>154</v>
      </c>
      <c r="U63" s="288">
        <f>'[3]Go Jet_UA'!$HY$64</f>
        <v>0</v>
      </c>
      <c r="V63" s="2">
        <f>'[3]Go Jet_UA'!$HK$64</f>
        <v>0</v>
      </c>
      <c r="W63" s="66" t="e">
        <f t="shared" si="39"/>
        <v>#DIV/0!</v>
      </c>
      <c r="X63" s="288">
        <f>SUM('[3]Go Jet_UA'!$HR$64:$HY$64)</f>
        <v>0</v>
      </c>
      <c r="Y63" s="2">
        <f>SUM('[3]Go Jet_UA'!$HD$64:$HK$64)</f>
        <v>0</v>
      </c>
      <c r="Z63" s="3" t="e">
        <f t="shared" si="40"/>
        <v>#DIV/0!</v>
      </c>
      <c r="AA63" s="66">
        <f t="shared" si="41"/>
        <v>0</v>
      </c>
    </row>
    <row r="64" spans="1:27" ht="14.1" customHeight="1" x14ac:dyDescent="0.2">
      <c r="A64" s="38"/>
      <c r="B64" s="40" t="s">
        <v>51</v>
      </c>
      <c r="C64" s="288">
        <f>[3]MESA_UA!$HY$19</f>
        <v>164</v>
      </c>
      <c r="D64" s="2">
        <f>[3]MESA_UA!$HK$19</f>
        <v>242</v>
      </c>
      <c r="E64" s="66">
        <f t="shared" si="33"/>
        <v>-0.32231404958677684</v>
      </c>
      <c r="F64" s="2">
        <f>SUM([3]MESA_UA!$HR$19:$HY$19)</f>
        <v>902</v>
      </c>
      <c r="G64" s="2">
        <f>SUM([3]MESA_UA!$HD$19:$HK$19)</f>
        <v>929</v>
      </c>
      <c r="H64" s="3">
        <f>(F64-G64)/G64</f>
        <v>-2.9063509149623249E-2</v>
      </c>
      <c r="I64" s="66">
        <f t="shared" si="35"/>
        <v>4.8114878272558521E-3</v>
      </c>
      <c r="J64" s="38"/>
      <c r="K64" s="40" t="s">
        <v>51</v>
      </c>
      <c r="L64" s="288">
        <f>[3]MESA_UA!$HY$41</f>
        <v>11334</v>
      </c>
      <c r="M64" s="2">
        <f>[3]MESA_UA!$HK$41</f>
        <v>15461</v>
      </c>
      <c r="N64" s="66">
        <f t="shared" si="36"/>
        <v>-0.26692969406894768</v>
      </c>
      <c r="O64" s="288">
        <f>SUM([3]MESA_UA!$HR$41:$HY$41)</f>
        <v>60350</v>
      </c>
      <c r="P64" s="2">
        <f>SUM([3]MESA_UA!$HD$41:$HK$41)</f>
        <v>55965</v>
      </c>
      <c r="Q64" s="3">
        <f t="shared" si="37"/>
        <v>7.8352541767175918E-2</v>
      </c>
      <c r="R64" s="66">
        <f t="shared" si="38"/>
        <v>2.9655330369962409E-3</v>
      </c>
      <c r="S64" s="38"/>
      <c r="T64" s="40" t="s">
        <v>51</v>
      </c>
      <c r="U64" s="288">
        <f>[3]MESA_UA!$HY$64</f>
        <v>0</v>
      </c>
      <c r="V64" s="2">
        <f>[3]MESA_UA!$HK$64</f>
        <v>0</v>
      </c>
      <c r="W64" s="66" t="e">
        <f t="shared" si="39"/>
        <v>#DIV/0!</v>
      </c>
      <c r="X64" s="288">
        <f>SUM([3]MESA_UA!$HR$64:$HY$64)</f>
        <v>0</v>
      </c>
      <c r="Y64" s="2">
        <f>SUM([3]MESA_UA!$HD$64:$HK$64)</f>
        <v>0</v>
      </c>
      <c r="Z64" s="3" t="e">
        <f t="shared" si="40"/>
        <v>#DIV/0!</v>
      </c>
      <c r="AA64" s="66">
        <f t="shared" si="41"/>
        <v>0</v>
      </c>
    </row>
    <row r="65" spans="1:27" ht="14.1" customHeight="1" x14ac:dyDescent="0.2">
      <c r="A65" s="38"/>
      <c r="B65" s="343" t="s">
        <v>52</v>
      </c>
      <c r="C65" s="288">
        <f>[3]Republic_UA!$HY$19</f>
        <v>114</v>
      </c>
      <c r="D65" s="2">
        <f>[3]Republic_UA!$HK$19</f>
        <v>70</v>
      </c>
      <c r="E65" s="66">
        <f t="shared" si="33"/>
        <v>0.62857142857142856</v>
      </c>
      <c r="F65" s="2">
        <f>SUM([3]Republic_UA!$HR$19:$HY$19)</f>
        <v>954</v>
      </c>
      <c r="G65" s="2">
        <f>SUM([3]Republic_UA!$HD$19:$HK$19)</f>
        <v>967</v>
      </c>
      <c r="H65" s="3">
        <f t="shared" ref="H65:H66" si="42">(F65-G65)/G65</f>
        <v>-1.344364012409514E-2</v>
      </c>
      <c r="I65" s="66">
        <f t="shared" si="35"/>
        <v>5.0888685002240383E-3</v>
      </c>
      <c r="J65" s="38"/>
      <c r="K65" s="343" t="s">
        <v>52</v>
      </c>
      <c r="L65" s="288">
        <f>[3]Republic_UA!$HY$41</f>
        <v>6968</v>
      </c>
      <c r="M65" s="2">
        <f>[3]Republic_UA!$HK$41</f>
        <v>4769</v>
      </c>
      <c r="N65" s="66">
        <f t="shared" si="36"/>
        <v>0.46110295659467393</v>
      </c>
      <c r="O65" s="288">
        <f>SUM([3]Republic_UA!$HR$41:$HY$41)</f>
        <v>58046</v>
      </c>
      <c r="P65" s="2">
        <f>SUM([3]Republic_UA!$HD$41:$HK$41)</f>
        <v>55545</v>
      </c>
      <c r="Q65" s="3">
        <f t="shared" si="37"/>
        <v>4.502655504545864E-2</v>
      </c>
      <c r="R65" s="66">
        <f t="shared" si="38"/>
        <v>2.8523169952855642E-3</v>
      </c>
      <c r="S65" s="38"/>
      <c r="T65" s="343" t="s">
        <v>52</v>
      </c>
      <c r="U65" s="288">
        <f>[3]Republic_UA!$HY$64</f>
        <v>0</v>
      </c>
      <c r="V65" s="2">
        <f>[3]Republic_UA!$HK$64</f>
        <v>0</v>
      </c>
      <c r="W65" s="66" t="e">
        <f t="shared" si="39"/>
        <v>#DIV/0!</v>
      </c>
      <c r="X65" s="288">
        <f>SUM([3]Republic_UA!$HR$64:$HY$64)</f>
        <v>0</v>
      </c>
      <c r="Y65" s="2">
        <f>SUM([3]Republic_UA!$HD$64:$HK$64)</f>
        <v>0</v>
      </c>
      <c r="Z65" s="3" t="e">
        <f t="shared" si="40"/>
        <v>#DIV/0!</v>
      </c>
      <c r="AA65" s="66">
        <f t="shared" si="41"/>
        <v>0</v>
      </c>
    </row>
    <row r="66" spans="1:27" ht="14.1" customHeight="1" x14ac:dyDescent="0.2">
      <c r="A66" s="38"/>
      <c r="B66" s="343" t="s">
        <v>50</v>
      </c>
      <c r="C66" s="288">
        <f>'[3]Air Wisconsin'!$HY$19</f>
        <v>2</v>
      </c>
      <c r="D66" s="2">
        <f>'[3]Air Wisconsin'!$HK$19</f>
        <v>0</v>
      </c>
      <c r="E66" s="66" t="e">
        <f t="shared" si="33"/>
        <v>#DIV/0!</v>
      </c>
      <c r="F66" s="2">
        <f>SUM('[3]Air Wisconsin'!$HR$19:$HY$19)</f>
        <v>6</v>
      </c>
      <c r="G66" s="2">
        <f>SUM('[3]Air Wisconsin'!$HD$19:$HK$19)</f>
        <v>0</v>
      </c>
      <c r="H66" s="379" t="e">
        <f t="shared" si="42"/>
        <v>#DIV/0!</v>
      </c>
      <c r="I66" s="66">
        <f t="shared" si="35"/>
        <v>3.2005462265559987E-5</v>
      </c>
      <c r="J66" s="38"/>
      <c r="K66" s="291" t="s">
        <v>50</v>
      </c>
      <c r="L66" s="288">
        <f>'[3]Air Wisconsin'!$HY$41</f>
        <v>0</v>
      </c>
      <c r="M66" s="2">
        <f>'[3]Air Wisconsin'!$HK$41</f>
        <v>0</v>
      </c>
      <c r="N66" s="66" t="e">
        <f t="shared" si="36"/>
        <v>#DIV/0!</v>
      </c>
      <c r="O66" s="288">
        <f>SUM('[3]Air Wisconsin'!$HR$41:$HY$41)</f>
        <v>92</v>
      </c>
      <c r="P66" s="2">
        <f>SUM('[3]Air Wisconsin'!$HD$41:$HK$41)</f>
        <v>0</v>
      </c>
      <c r="Q66" s="3" t="e">
        <f t="shared" si="37"/>
        <v>#DIV/0!</v>
      </c>
      <c r="R66" s="66">
        <f t="shared" si="38"/>
        <v>4.5207794433082709E-6</v>
      </c>
      <c r="S66" s="38"/>
      <c r="T66" s="291" t="s">
        <v>50</v>
      </c>
      <c r="U66" s="288">
        <f>'[3]Air Wisconsin'!$HY$64</f>
        <v>0</v>
      </c>
      <c r="V66" s="2">
        <f>'[3]Air Wisconsin'!$HK$64</f>
        <v>0</v>
      </c>
      <c r="W66" s="66" t="e">
        <f t="shared" si="39"/>
        <v>#DIV/0!</v>
      </c>
      <c r="X66" s="288">
        <f>SUM('[3]Air Wisconsin'!$HR$64:$HY$64)</f>
        <v>0</v>
      </c>
      <c r="Y66" s="2">
        <f>SUM('[3]Air Wisconsin'!$HD$64:$HK$64)</f>
        <v>0</v>
      </c>
      <c r="Z66" s="3" t="e">
        <f t="shared" si="40"/>
        <v>#DIV/0!</v>
      </c>
      <c r="AA66" s="66">
        <f t="shared" si="41"/>
        <v>0</v>
      </c>
    </row>
    <row r="67" spans="1:27" ht="14.1" customHeight="1" x14ac:dyDescent="0.2">
      <c r="A67" s="38"/>
      <c r="B67" s="40" t="s">
        <v>97</v>
      </c>
      <c r="C67" s="288">
        <f>'[3]Sky West_UA'!$HY$19</f>
        <v>8</v>
      </c>
      <c r="D67" s="2">
        <f>'[3]Sky West_UA'!$HK$19+'[3]Sky West_CO'!$HK$19</f>
        <v>130</v>
      </c>
      <c r="E67" s="66">
        <f t="shared" si="33"/>
        <v>-0.93846153846153846</v>
      </c>
      <c r="F67" s="2">
        <f>SUM('[3]Sky West_UA'!$HR$19:$HY$19)</f>
        <v>320</v>
      </c>
      <c r="G67" s="2">
        <f>SUM('[3]Sky West_UA'!$HD$19:$HK$19)+SUM('[3]Sky West_CO'!$HD$19:$HK$19)</f>
        <v>621</v>
      </c>
      <c r="H67" s="3">
        <f t="shared" si="34"/>
        <v>-0.48470209339774556</v>
      </c>
      <c r="I67" s="66">
        <f t="shared" si="35"/>
        <v>1.7069579874965327E-3</v>
      </c>
      <c r="J67" s="38"/>
      <c r="K67" s="40" t="s">
        <v>97</v>
      </c>
      <c r="L67" s="288">
        <f>'[3]Sky West_UA'!$HY$41</f>
        <v>505</v>
      </c>
      <c r="M67" s="2">
        <f>'[3]Sky West_UA'!$HK$41+'[3]Sky West_CO'!$HK$41</f>
        <v>7973</v>
      </c>
      <c r="N67" s="66">
        <f t="shared" si="36"/>
        <v>-0.93666123165684179</v>
      </c>
      <c r="O67" s="288">
        <f>SUM('[3]Sky West_UA'!$HR$41:$HY$41)</f>
        <v>20299</v>
      </c>
      <c r="P67" s="2">
        <f>SUM('[3]Sky West_UA'!$HD$41:$HK$41)+SUM('[3]Sky West_CO'!$HD$41:$HK$41)</f>
        <v>37855</v>
      </c>
      <c r="Q67" s="3">
        <f t="shared" si="37"/>
        <v>-0.4637696473385286</v>
      </c>
      <c r="R67" s="66">
        <f t="shared" si="38"/>
        <v>9.9747067304037612E-4</v>
      </c>
      <c r="S67" s="38"/>
      <c r="T67" s="40" t="s">
        <v>97</v>
      </c>
      <c r="U67" s="288">
        <f>'[3]Sky West_UA'!$HY$64</f>
        <v>0</v>
      </c>
      <c r="V67" s="2">
        <f>'[3]Sky West_UA'!$HK$64+'[3]Sky West_CO'!$HK$64</f>
        <v>0</v>
      </c>
      <c r="W67" s="66" t="e">
        <f t="shared" si="39"/>
        <v>#DIV/0!</v>
      </c>
      <c r="X67" s="288">
        <f>SUM('[3]Sky West_UA'!$HR$64:$HY$64)</f>
        <v>0</v>
      </c>
      <c r="Y67" s="2">
        <f>SUM('[3]Sky West_UA'!$HD$64:$HK$64)+SUM('[3]Sky West_CO'!$HD$64:$HK$64)</f>
        <v>0</v>
      </c>
      <c r="Z67" s="3" t="e">
        <f t="shared" si="40"/>
        <v>#DIV/0!</v>
      </c>
      <c r="AA67" s="66">
        <f t="shared" si="41"/>
        <v>0</v>
      </c>
    </row>
    <row r="68" spans="1:27" ht="14.1" customHeight="1" x14ac:dyDescent="0.2">
      <c r="A68" s="38"/>
      <c r="B68" s="291" t="s">
        <v>131</v>
      </c>
      <c r="C68" s="288">
        <f>'[3]Shuttle America'!$HY$19</f>
        <v>0</v>
      </c>
      <c r="D68" s="2">
        <f>'[3]Shuttle America'!$HK$19</f>
        <v>0</v>
      </c>
      <c r="E68" s="66" t="e">
        <f t="shared" si="33"/>
        <v>#DIV/0!</v>
      </c>
      <c r="F68" s="2">
        <f>SUM('[3]Shuttle America'!$HR$19:$HY$19)</f>
        <v>0</v>
      </c>
      <c r="G68" s="2">
        <f>SUM('[3]Shuttle America'!$HD$19:$HK$19)</f>
        <v>0</v>
      </c>
      <c r="H68" s="3" t="e">
        <f t="shared" si="34"/>
        <v>#DIV/0!</v>
      </c>
      <c r="I68" s="66">
        <f t="shared" si="35"/>
        <v>0</v>
      </c>
      <c r="J68" s="38"/>
      <c r="K68" s="291" t="s">
        <v>131</v>
      </c>
      <c r="L68" s="288">
        <f>'[3]Shuttle America'!$HY$41</f>
        <v>0</v>
      </c>
      <c r="M68" s="2">
        <f>'[3]Shuttle America'!$HK$41</f>
        <v>0</v>
      </c>
      <c r="N68" s="66" t="e">
        <f t="shared" si="36"/>
        <v>#DIV/0!</v>
      </c>
      <c r="O68" s="288">
        <f>SUM('[3]Shuttle America'!$HR$41:$HY$41)</f>
        <v>0</v>
      </c>
      <c r="P68" s="2">
        <f>SUM('[3]Shuttle America'!$HD$41:$HK$41)</f>
        <v>0</v>
      </c>
      <c r="Q68" s="3" t="e">
        <f t="shared" si="37"/>
        <v>#DIV/0!</v>
      </c>
      <c r="R68" s="66">
        <f t="shared" si="38"/>
        <v>0</v>
      </c>
      <c r="S68" s="38"/>
      <c r="T68" s="291" t="s">
        <v>131</v>
      </c>
      <c r="U68" s="288">
        <f>'[3]Shuttle America'!$HY$64</f>
        <v>0</v>
      </c>
      <c r="V68" s="2">
        <f>'[3]Shuttle America'!$HK$64</f>
        <v>0</v>
      </c>
      <c r="W68" s="66" t="e">
        <f t="shared" si="39"/>
        <v>#DIV/0!</v>
      </c>
      <c r="X68" s="288">
        <f>SUM('[3]Shuttle America'!$HR$64:$HY$64)</f>
        <v>0</v>
      </c>
      <c r="Y68" s="2">
        <f>SUM('[3]Shuttle America'!$HD$64:$HK$64)</f>
        <v>0</v>
      </c>
      <c r="Z68" s="3" t="e">
        <f t="shared" si="40"/>
        <v>#DIV/0!</v>
      </c>
      <c r="AA68" s="66">
        <f t="shared" si="41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16516</v>
      </c>
      <c r="D71" s="353">
        <f>+D73-D72</f>
        <v>14318</v>
      </c>
      <c r="E71" s="354">
        <f>(C71-D71)/D71</f>
        <v>0.15351306048330773</v>
      </c>
      <c r="F71" s="353">
        <f>+F73-F72</f>
        <v>120757</v>
      </c>
      <c r="G71" s="353">
        <f>+G73-G72</f>
        <v>95560</v>
      </c>
      <c r="H71" s="354">
        <f>(F71-G71)/G71</f>
        <v>0.26367727082461279</v>
      </c>
      <c r="I71" s="386">
        <f>F71/$F$73</f>
        <v>0.64414726780037124</v>
      </c>
      <c r="K71" s="299" t="s">
        <v>133</v>
      </c>
      <c r="L71" s="353">
        <f>+L73-L72</f>
        <v>2368716</v>
      </c>
      <c r="M71" s="353">
        <f>+M73-M72</f>
        <v>2006777</v>
      </c>
      <c r="N71" s="354">
        <f>(L71-M71)/M71</f>
        <v>0.180358355711671</v>
      </c>
      <c r="O71" s="353">
        <f>+O73-O72</f>
        <v>16849789</v>
      </c>
      <c r="P71" s="353">
        <f>+P73-P72</f>
        <v>11603848</v>
      </c>
      <c r="Q71" s="382">
        <f>(O71-P71)/P71</f>
        <v>0.45208632515696517</v>
      </c>
      <c r="R71" s="444">
        <f>+O71/O73</f>
        <v>0.82798021451393289</v>
      </c>
      <c r="S71" s="3"/>
      <c r="T71" s="299" t="s">
        <v>133</v>
      </c>
      <c r="U71" s="353">
        <f>+U73-U72</f>
        <v>8672789</v>
      </c>
      <c r="V71" s="353">
        <f>+V73-V72</f>
        <v>6874568</v>
      </c>
      <c r="W71" s="354">
        <f>(U71-V71)/V71</f>
        <v>0.2615758546573399</v>
      </c>
      <c r="X71" s="353">
        <f>+X73-X72</f>
        <v>65577243</v>
      </c>
      <c r="Y71" s="353">
        <f>+Y73-Y72</f>
        <v>37405484</v>
      </c>
      <c r="Z71" s="382">
        <f>(X71-Y71)/Y71</f>
        <v>0.75314515379616531</v>
      </c>
      <c r="AA71" s="444">
        <f>+X71/X73</f>
        <v>0.987301397171511</v>
      </c>
    </row>
    <row r="72" spans="1:27" ht="14.1" customHeight="1" x14ac:dyDescent="0.2">
      <c r="B72" s="170" t="s">
        <v>134</v>
      </c>
      <c r="C72" s="355">
        <f>C68+C44+C42+C40+C39+C43+C25+C67+C63+C41+C62+C64+C66+C29+C26+C20+C8+C65+C27+C28+C10+C21+C9</f>
        <v>8591</v>
      </c>
      <c r="D72" s="355">
        <f>D68+D44+D42+D40+D39+D43+D25+D67+D63+D41+D62+D64+D66+D29+D26+D20+D8+D65+D27+D28+D10+D21+D9</f>
        <v>11458</v>
      </c>
      <c r="E72" s="300">
        <f>(C72-D72)/D72</f>
        <v>-0.25021818816547392</v>
      </c>
      <c r="F72" s="355">
        <f>F68+F44+F42+F40+F39+F43+F25+F67+F63+F41+F62+F64+F66+F29+F26+F20+F8+F65+F27+F28+F10+F21+F9</f>
        <v>66711</v>
      </c>
      <c r="G72" s="355">
        <f>G68+G44+G42+G40+G39+G43+G25+G67+G63+G41+G62+G64+G66+G29+G26+G20+G8+G65+G27+G28+G10+G21+G9</f>
        <v>80567</v>
      </c>
      <c r="H72" s="300">
        <f>(F72-G72)/G72</f>
        <v>-0.17198108406667742</v>
      </c>
      <c r="I72" s="387">
        <f>F72/$F$73</f>
        <v>0.35585273219962876</v>
      </c>
      <c r="K72" s="170" t="s">
        <v>134</v>
      </c>
      <c r="L72" s="355">
        <f>L68+L44+L42+L40+L39+L43+L25+L67+L63+L41+L62+L64+L66+L29+L26+L20+L8+L65+L27+L28+L10+L21+L9</f>
        <v>459368</v>
      </c>
      <c r="M72" s="355">
        <f>M68+M44+M42+M40+M39+M43+M25+M67+M63+M41+M62+M64+M66+M29+M26+M20+M8+M65+M27+M28+M10+M21+M9</f>
        <v>582889</v>
      </c>
      <c r="N72" s="300">
        <f>(L72-M72)/M72</f>
        <v>-0.21191170188492148</v>
      </c>
      <c r="O72" s="355">
        <f>O68+O44+O42+O40+O39+O43+O25+O67+O63+O41+O62+O64+O66+O29+O26+O20+O8+O65+O27+O28+O10+O21+O9</f>
        <v>3500684</v>
      </c>
      <c r="P72" s="355">
        <f>P68+P44+P42+P40+P39+P43+P25+P67+P63+P41+P62+P64+P66+P29+P26+P20+P8+P65+P27+P28+P10+P21+P9</f>
        <v>3575208</v>
      </c>
      <c r="Q72" s="380">
        <f>(O72-P72)/P72</f>
        <v>-2.0844661345577657E-2</v>
      </c>
      <c r="R72" s="445">
        <f>+O72/O73</f>
        <v>0.17201978548606708</v>
      </c>
      <c r="S72" s="3"/>
      <c r="T72" s="170" t="s">
        <v>134</v>
      </c>
      <c r="U72" s="355">
        <f>U68+U44+U42+U40+U39+U43+U25+U67+U63+U41+U62+U64+U66+U29+U26+U20+U8+U65+U27+U28+U10+U21+U9</f>
        <v>6300</v>
      </c>
      <c r="V72" s="355">
        <f>V68+V44+V42+V40+V39+V43+V25+V67+V63+V41+V62+V64+V66+V29+V26+V20+V8+V65+V27+V28+V10+V21+V9</f>
        <v>4539</v>
      </c>
      <c r="W72" s="300">
        <f>(U72-V72)/V72</f>
        <v>0.38797091870456046</v>
      </c>
      <c r="X72" s="355">
        <f>X68+X44+X42+X40+X39+X43+X25+X67+X63+X41+X62+X64+X66+X29+X26+X20+X8+X65+X27+X28+X10+X21+X9</f>
        <v>843450</v>
      </c>
      <c r="Y72" s="355">
        <f>Y68+Y44+Y42+Y40+Y39+Y43+Y25+Y67+Y63+Y41+Y62+Y64+Y66+Y29+Y26+Y20+Y8+Y65+Y27+Y28+Y10+Y21+Y9</f>
        <v>32445</v>
      </c>
      <c r="Z72" s="380">
        <f>(X72-Y72)/Y72</f>
        <v>24.996301433194638</v>
      </c>
      <c r="AA72" s="445">
        <f>+X72/X73</f>
        <v>1.2698602828489006E-2</v>
      </c>
    </row>
    <row r="73" spans="1:27" ht="14.1" customHeight="1" thickBot="1" x14ac:dyDescent="0.25">
      <c r="B73" s="170" t="s">
        <v>135</v>
      </c>
      <c r="C73" s="356">
        <f>C60+C58+C54+C48+C46+C37+C23+C18+C6+C56+C33+C31+C12+C52+C14+C50+C4+C35+C16</f>
        <v>25107</v>
      </c>
      <c r="D73" s="356">
        <f>D60+D58+D54+D48+D46+D37+D23+D18+D6+D56+D33+D31+D12+D52+D14+D50+D4+D35+D16</f>
        <v>25776</v>
      </c>
      <c r="E73" s="357">
        <f>(C73-D73)/D73</f>
        <v>-2.5954376163873371E-2</v>
      </c>
      <c r="F73" s="356">
        <f>F60+F58+F54+F48+F46+F37+F23+F18+F6+F56+F33+F31+F12+F52+F14+F50+F4+F35+F16</f>
        <v>187468</v>
      </c>
      <c r="G73" s="356">
        <f>G60+G58+G54+G48+G46+G37+G23+G18+G6+G56+G33+G31+G12+G52+G14+G50+G4+G35+G16</f>
        <v>176127</v>
      </c>
      <c r="H73" s="357">
        <f>(F73-G73)/G73</f>
        <v>6.4391036013785513E-2</v>
      </c>
      <c r="I73" s="388">
        <f>+H73/H73</f>
        <v>1</v>
      </c>
      <c r="K73" s="170" t="s">
        <v>135</v>
      </c>
      <c r="L73" s="356">
        <f>L60+L58+L54+L48+L46+L37+L23+L18+L6+L56+L33+L31+L12+L52+L14+L50+L4+L35+L16</f>
        <v>2828084</v>
      </c>
      <c r="M73" s="356">
        <f>M60+M58+M54+M48+M46+M37+M23+M18+M6+M56+M33+M31+M12+M52+M14+M50+M4+M35+M16</f>
        <v>2589666</v>
      </c>
      <c r="N73" s="357">
        <f>(L73-M73)/M73</f>
        <v>9.2065154348089678E-2</v>
      </c>
      <c r="O73" s="356">
        <f>O60+O58+O54+O48+O46+O37+O23+O18+O6+O56+O33+O31+O12+O52+O14+O50+O4+O35+O16</f>
        <v>20350473</v>
      </c>
      <c r="P73" s="356">
        <f>P60+P58+P54+P48+P46+P37+P23+P18+P6+P56+P33+P31+P12+P52+P14+P50+P4+P35+P16</f>
        <v>15179056</v>
      </c>
      <c r="Q73" s="443">
        <f>(O73-P73)/P73</f>
        <v>0.34069424343648247</v>
      </c>
      <c r="R73" s="388">
        <f>+Q73/Q73</f>
        <v>1</v>
      </c>
      <c r="S73" s="3"/>
      <c r="T73" s="170" t="s">
        <v>135</v>
      </c>
      <c r="U73" s="356">
        <f>U60+U58+U54+U48+U46+U37+U23+U18+U6+U56+U33+U31+U12+U52+U14+U50+U4+U35+U16</f>
        <v>8679089</v>
      </c>
      <c r="V73" s="356">
        <f>V60+V58+V54+V48+V46+V37+V23+V18+V6+V56+V33+V31+V12+V52+V14+V50+V4+V35+V16</f>
        <v>6879107</v>
      </c>
      <c r="W73" s="357">
        <f>(U73-V73)/V73</f>
        <v>0.26165925315596922</v>
      </c>
      <c r="X73" s="356">
        <f>X60+X58+X54+X48+X46+X37+X23+X18+X6+X56+X33+X31+X12+X52+X14+X50+X4+X35+X16</f>
        <v>66420693</v>
      </c>
      <c r="Y73" s="356">
        <f>Y60+Y58+Y54+Y48+Y46+Y37+Y23+Y18+Y6+Y56+Y33+Y31+Y12+Y52+Y14+Y50+Y4+Y35+Y16</f>
        <v>37437929</v>
      </c>
      <c r="Z73" s="443">
        <f>(X73-Y73)/Y73</f>
        <v>0.77415510884696637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C75"/>
      <c r="E75" s="2"/>
      <c r="F75"/>
      <c r="H75" s="2"/>
      <c r="I75"/>
      <c r="J75"/>
      <c r="K75"/>
      <c r="L75"/>
      <c r="N75" s="2"/>
      <c r="P75" s="2"/>
      <c r="Q75" s="2"/>
      <c r="U75" s="96"/>
      <c r="V75" s="96"/>
      <c r="W75" s="96"/>
    </row>
    <row r="76" spans="1:27" x14ac:dyDescent="0.2">
      <c r="C76"/>
      <c r="E76" s="2"/>
      <c r="F76"/>
      <c r="H76" s="2"/>
      <c r="I76"/>
      <c r="J76"/>
      <c r="K76"/>
      <c r="L76"/>
      <c r="N76" s="2"/>
      <c r="P76" s="2"/>
      <c r="Q76" s="2"/>
      <c r="U76" s="96"/>
      <c r="V76" s="96"/>
      <c r="W76" s="96"/>
    </row>
    <row r="77" spans="1:27" x14ac:dyDescent="0.2">
      <c r="C77"/>
      <c r="E77" s="2"/>
      <c r="F77"/>
      <c r="H77" s="2"/>
      <c r="I77"/>
      <c r="J77"/>
      <c r="K77"/>
      <c r="L77"/>
      <c r="N77" s="2"/>
      <c r="P77" s="2"/>
      <c r="Q77" s="2"/>
      <c r="U77" s="96"/>
    </row>
    <row r="78" spans="1:27" x14ac:dyDescent="0.2">
      <c r="C78"/>
      <c r="E78" s="2"/>
      <c r="F78"/>
      <c r="H78" s="2"/>
      <c r="I78"/>
      <c r="J78"/>
      <c r="K78"/>
      <c r="L78"/>
      <c r="N78" s="2"/>
      <c r="P78" s="2"/>
      <c r="Q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August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15" sqref="B1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44774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[3]American!$HY$22</f>
        <v>49433</v>
      </c>
      <c r="C4" s="13">
        <f>[3]Delta!$HY$22+[3]Delta!$HY$32</f>
        <v>793106</v>
      </c>
      <c r="D4" s="13">
        <f>[3]United!$HY$22</f>
        <v>48419</v>
      </c>
      <c r="E4" s="13">
        <f>[3]Spirit!$HY$22</f>
        <v>16040</v>
      </c>
      <c r="F4" s="13">
        <f>[3]Condor!$HY$32</f>
        <v>3255</v>
      </c>
      <c r="G4" s="13">
        <f>'[3]Air France'!$HY$32</f>
        <v>6040</v>
      </c>
      <c r="H4" s="13">
        <f>'[3]Jet Blue'!$HY$22</f>
        <v>9152</v>
      </c>
      <c r="I4" s="13">
        <f>[3]KLM!$HY$22+[3]KLM!$HY$32</f>
        <v>6040</v>
      </c>
      <c r="J4" s="13">
        <f>'Other Major Airline Stats'!K5</f>
        <v>259024</v>
      </c>
      <c r="K4" s="219">
        <f>SUM(B4:J4)</f>
        <v>1190509</v>
      </c>
    </row>
    <row r="5" spans="1:20" x14ac:dyDescent="0.2">
      <c r="A5" s="46" t="s">
        <v>31</v>
      </c>
      <c r="B5" s="7">
        <f>[3]American!$HY$23</f>
        <v>49381</v>
      </c>
      <c r="C5" s="7">
        <f>[3]Delta!$HY$23+[3]Delta!$HY$33</f>
        <v>786547</v>
      </c>
      <c r="D5" s="7">
        <f>[3]United!$HY$23</f>
        <v>49277</v>
      </c>
      <c r="E5" s="7">
        <f>[3]Spirit!$HY$23</f>
        <v>15615</v>
      </c>
      <c r="F5" s="7">
        <f>[3]Condor!$HY$33</f>
        <v>2530</v>
      </c>
      <c r="G5" s="7">
        <f>'[3]Air France'!$HY$33</f>
        <v>5074</v>
      </c>
      <c r="H5" s="7">
        <f>'[3]Jet Blue'!$HY$23</f>
        <v>8638</v>
      </c>
      <c r="I5" s="7">
        <f>[3]KLM!$HY$23+[3]KLM!$HY$33</f>
        <v>5074</v>
      </c>
      <c r="J5" s="7">
        <f>'Other Major Airline Stats'!K6</f>
        <v>256071</v>
      </c>
      <c r="K5" s="220">
        <f>SUM(B5:J5)</f>
        <v>1178207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98814</v>
      </c>
      <c r="C6" s="25">
        <f t="shared" si="0"/>
        <v>1579653</v>
      </c>
      <c r="D6" s="25">
        <f t="shared" si="0"/>
        <v>97696</v>
      </c>
      <c r="E6" s="25">
        <f t="shared" si="0"/>
        <v>31655</v>
      </c>
      <c r="F6" s="25">
        <f t="shared" ref="F6:I6" si="1">SUM(F4:F5)</f>
        <v>5785</v>
      </c>
      <c r="G6" s="25">
        <f t="shared" si="1"/>
        <v>11114</v>
      </c>
      <c r="H6" s="25">
        <f t="shared" ref="H6" si="2">SUM(H4:H5)</f>
        <v>17790</v>
      </c>
      <c r="I6" s="25">
        <f t="shared" si="1"/>
        <v>11114</v>
      </c>
      <c r="J6" s="25">
        <f>SUM(J4:J5)</f>
        <v>515095</v>
      </c>
      <c r="K6" s="221">
        <f>SUM(B6:J6)</f>
        <v>2368716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[3]American!$HY$27</f>
        <v>1544</v>
      </c>
      <c r="C9" s="13">
        <f>[3]Delta!$HY$27+[3]Delta!$HY$37</f>
        <v>26658</v>
      </c>
      <c r="D9" s="13">
        <f>[3]United!$HY$27</f>
        <v>1595</v>
      </c>
      <c r="E9" s="13">
        <f>[3]Spirit!$HY$27</f>
        <v>100</v>
      </c>
      <c r="F9" s="13">
        <f>[3]Condor!$HY$37</f>
        <v>6</v>
      </c>
      <c r="G9" s="13">
        <f>'[3]Air France'!$HY$37</f>
        <v>88</v>
      </c>
      <c r="H9" s="13">
        <f>'[3]Jet Blue'!$HY$27</f>
        <v>300</v>
      </c>
      <c r="I9" s="13">
        <f>[3]KLM!$HY$27+[3]KLM!$HY$37</f>
        <v>88</v>
      </c>
      <c r="J9" s="13">
        <f>'Other Major Airline Stats'!K10</f>
        <v>4009</v>
      </c>
      <c r="K9" s="219">
        <f>SUM(B9:J9)</f>
        <v>34388</v>
      </c>
      <c r="N9" s="244"/>
    </row>
    <row r="10" spans="1:20" x14ac:dyDescent="0.2">
      <c r="A10" s="46" t="s">
        <v>33</v>
      </c>
      <c r="B10" s="7">
        <f>[3]American!$HY$28</f>
        <v>1795</v>
      </c>
      <c r="C10" s="7">
        <f>[3]Delta!$HY$28+[3]Delta!$HY$38</f>
        <v>26370</v>
      </c>
      <c r="D10" s="7">
        <f>[3]United!$HY$28</f>
        <v>1630</v>
      </c>
      <c r="E10" s="7">
        <f>[3]Spirit!$HY$28</f>
        <v>98</v>
      </c>
      <c r="F10" s="7">
        <f>[3]Condor!$HY$38</f>
        <v>4</v>
      </c>
      <c r="G10" s="7">
        <f>'[3]Air France'!$HY$38</f>
        <v>4</v>
      </c>
      <c r="H10" s="7">
        <f>'[3]Jet Blue'!$HY$28</f>
        <v>295</v>
      </c>
      <c r="I10" s="7">
        <f>[3]KLM!$HY$28+[3]KLM!$HY$38</f>
        <v>4</v>
      </c>
      <c r="J10" s="7">
        <f>'Other Major Airline Stats'!K11</f>
        <v>4302</v>
      </c>
      <c r="K10" s="220">
        <f>SUM(B10:J10)</f>
        <v>34502</v>
      </c>
    </row>
    <row r="11" spans="1:20" ht="15.75" thickBot="1" x14ac:dyDescent="0.3">
      <c r="A11" s="47" t="s">
        <v>34</v>
      </c>
      <c r="B11" s="222">
        <f t="shared" ref="B11:J11" si="3">SUM(B9:B10)</f>
        <v>3339</v>
      </c>
      <c r="C11" s="222">
        <f t="shared" si="3"/>
        <v>53028</v>
      </c>
      <c r="D11" s="222">
        <f t="shared" si="3"/>
        <v>3225</v>
      </c>
      <c r="E11" s="222">
        <f t="shared" si="3"/>
        <v>198</v>
      </c>
      <c r="F11" s="222">
        <f t="shared" ref="F11:I11" si="4">SUM(F9:F10)</f>
        <v>10</v>
      </c>
      <c r="G11" s="222">
        <f t="shared" si="4"/>
        <v>92</v>
      </c>
      <c r="H11" s="222">
        <f t="shared" ref="H11" si="5">SUM(H9:H10)</f>
        <v>595</v>
      </c>
      <c r="I11" s="222">
        <f t="shared" si="4"/>
        <v>92</v>
      </c>
      <c r="J11" s="222">
        <f t="shared" si="3"/>
        <v>8311</v>
      </c>
      <c r="K11" s="223">
        <f>SUM(B11:J11)</f>
        <v>68890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[3]American!$HY$4</f>
        <v>327</v>
      </c>
      <c r="C15" s="13">
        <f>[3]Delta!$HY$4+[3]Delta!$HY$15</f>
        <v>5503</v>
      </c>
      <c r="D15" s="13">
        <f>[3]United!$HY$4</f>
        <v>357</v>
      </c>
      <c r="E15" s="13">
        <f>[3]Spirit!$HY$4</f>
        <v>93</v>
      </c>
      <c r="F15" s="13">
        <f>[3]Condor!$HY$15</f>
        <v>14</v>
      </c>
      <c r="G15" s="13">
        <f>'[3]Air France'!$HY$15</f>
        <v>22</v>
      </c>
      <c r="H15" s="13">
        <f>'[3]Jet Blue'!$HY$4</f>
        <v>92</v>
      </c>
      <c r="I15" s="13">
        <f>[3]KLM!$HY$4+[3]KLM!$HY$15</f>
        <v>22</v>
      </c>
      <c r="J15" s="13">
        <f>'Other Major Airline Stats'!K16</f>
        <v>1780</v>
      </c>
      <c r="K15" s="18">
        <f>SUM(B15:J15)</f>
        <v>8210</v>
      </c>
    </row>
    <row r="16" spans="1:20" x14ac:dyDescent="0.2">
      <c r="A16" s="46" t="s">
        <v>23</v>
      </c>
      <c r="B16" s="7">
        <f>[3]American!$HY$5</f>
        <v>326</v>
      </c>
      <c r="C16" s="7">
        <f>[3]Delta!$HY$5+[3]Delta!$HY$16</f>
        <v>5495</v>
      </c>
      <c r="D16" s="7">
        <f>[3]United!$HY$5</f>
        <v>357</v>
      </c>
      <c r="E16" s="7">
        <f>[3]Spirit!$HY$5</f>
        <v>93</v>
      </c>
      <c r="F16" s="7">
        <f>[3]Condor!$HY$16</f>
        <v>14</v>
      </c>
      <c r="G16" s="7">
        <f>'[3]Air France'!$HY$16</f>
        <v>22</v>
      </c>
      <c r="H16" s="7">
        <f>'[3]Jet Blue'!$HY$5</f>
        <v>92</v>
      </c>
      <c r="I16" s="7">
        <f>[3]KLM!$HY$5+[3]KLM!$HY$16</f>
        <v>22</v>
      </c>
      <c r="J16" s="7">
        <f>'Other Major Airline Stats'!K17</f>
        <v>1787</v>
      </c>
      <c r="K16" s="24">
        <f>SUM(B16:J16)</f>
        <v>8208</v>
      </c>
    </row>
    <row r="17" spans="1:11" x14ac:dyDescent="0.2">
      <c r="A17" s="46" t="s">
        <v>24</v>
      </c>
      <c r="B17" s="226">
        <f t="shared" ref="B17:J17" si="6">SUM(B15:B16)</f>
        <v>653</v>
      </c>
      <c r="C17" s="224">
        <f t="shared" si="6"/>
        <v>10998</v>
      </c>
      <c r="D17" s="224">
        <f t="shared" si="6"/>
        <v>714</v>
      </c>
      <c r="E17" s="224">
        <f t="shared" si="6"/>
        <v>186</v>
      </c>
      <c r="F17" s="224">
        <f t="shared" ref="F17:I17" si="7">SUM(F15:F16)</f>
        <v>28</v>
      </c>
      <c r="G17" s="224">
        <f t="shared" si="7"/>
        <v>44</v>
      </c>
      <c r="H17" s="224">
        <f t="shared" ref="H17" si="8">SUM(H15:H16)</f>
        <v>184</v>
      </c>
      <c r="I17" s="224">
        <f t="shared" si="7"/>
        <v>44</v>
      </c>
      <c r="J17" s="224">
        <f t="shared" si="6"/>
        <v>3567</v>
      </c>
      <c r="K17" s="225">
        <f>SUM(B17:J17)</f>
        <v>16418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[3]American!$HY$8</f>
        <v>0</v>
      </c>
      <c r="C19" s="13">
        <f>[3]Delta!$HY$8</f>
        <v>10</v>
      </c>
      <c r="D19" s="13">
        <f>[3]United!$HY$8</f>
        <v>3</v>
      </c>
      <c r="E19" s="13">
        <f>[3]Spirit!$HY$8</f>
        <v>0</v>
      </c>
      <c r="F19" s="13">
        <f>[3]Condor!$HY$8</f>
        <v>0</v>
      </c>
      <c r="G19" s="13">
        <f>'[3]Air France'!$HY$8</f>
        <v>0</v>
      </c>
      <c r="H19" s="13">
        <f>'[3]Jet Blue'!$HY$8</f>
        <v>0</v>
      </c>
      <c r="I19" s="13">
        <f>[3]KLM!$HY$8</f>
        <v>0</v>
      </c>
      <c r="J19" s="13">
        <f>'Other Major Airline Stats'!K20</f>
        <v>40</v>
      </c>
      <c r="K19" s="18">
        <f>SUM(B19:J19)</f>
        <v>53</v>
      </c>
    </row>
    <row r="20" spans="1:11" x14ac:dyDescent="0.2">
      <c r="A20" s="46" t="s">
        <v>26</v>
      </c>
      <c r="B20" s="7">
        <f>[3]American!$HY$9</f>
        <v>0</v>
      </c>
      <c r="C20" s="7">
        <f>[3]Delta!$HY$9</f>
        <v>7</v>
      </c>
      <c r="D20" s="7">
        <f>[3]United!$HY$9</f>
        <v>3</v>
      </c>
      <c r="E20" s="7">
        <f>[3]Spirit!$HY$9</f>
        <v>0</v>
      </c>
      <c r="F20" s="7">
        <f>[3]Condor!$HY$9</f>
        <v>0</v>
      </c>
      <c r="G20" s="7">
        <f>'[3]Air France'!$HY$9</f>
        <v>0</v>
      </c>
      <c r="H20" s="7">
        <f>'[3]Jet Blue'!$HY$9</f>
        <v>0</v>
      </c>
      <c r="I20" s="7">
        <f>[3]KLM!$HY$9</f>
        <v>0</v>
      </c>
      <c r="J20" s="7">
        <f>'Other Major Airline Stats'!K21</f>
        <v>35</v>
      </c>
      <c r="K20" s="24">
        <f>SUM(B20:J20)</f>
        <v>45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17</v>
      </c>
      <c r="D21" s="224">
        <f t="shared" si="9"/>
        <v>6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0</v>
      </c>
      <c r="I21" s="224">
        <f t="shared" si="10"/>
        <v>0</v>
      </c>
      <c r="J21" s="224">
        <f t="shared" si="9"/>
        <v>75</v>
      </c>
      <c r="K21" s="146">
        <f>SUM(B21:J21)</f>
        <v>98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653</v>
      </c>
      <c r="C23" s="19">
        <f t="shared" si="12"/>
        <v>11015</v>
      </c>
      <c r="D23" s="19">
        <f t="shared" si="12"/>
        <v>720</v>
      </c>
      <c r="E23" s="19">
        <f>E17+E21</f>
        <v>186</v>
      </c>
      <c r="F23" s="19">
        <f t="shared" ref="F23:I23" si="13">F17+F21</f>
        <v>28</v>
      </c>
      <c r="G23" s="19">
        <f t="shared" si="13"/>
        <v>44</v>
      </c>
      <c r="H23" s="19">
        <f t="shared" ref="H23" si="14">H17+H21</f>
        <v>184</v>
      </c>
      <c r="I23" s="19">
        <f t="shared" si="13"/>
        <v>44</v>
      </c>
      <c r="J23" s="19">
        <f t="shared" si="12"/>
        <v>3642</v>
      </c>
      <c r="K23" s="20">
        <f>SUM(B23:J23)</f>
        <v>16516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[3]American!$HY$47</f>
        <v>29058</v>
      </c>
      <c r="C28" s="13">
        <f>[3]Delta!$HY$47</f>
        <v>2260985</v>
      </c>
      <c r="D28" s="13">
        <f>[3]United!$HY$47</f>
        <v>63389</v>
      </c>
      <c r="E28" s="13">
        <f>[3]Spirit!$HY$47</f>
        <v>0</v>
      </c>
      <c r="F28" s="13">
        <f>[3]Condor!$HY$47</f>
        <v>103042</v>
      </c>
      <c r="G28" s="13">
        <f>'[3]Air France'!$HY$47</f>
        <v>315214</v>
      </c>
      <c r="H28" s="13">
        <f>'[3]Jet Blue'!$HY$47</f>
        <v>0</v>
      </c>
      <c r="I28" s="13">
        <f>[3]KLM!$HY$47</f>
        <v>315214</v>
      </c>
      <c r="J28" s="13">
        <f>'Other Major Airline Stats'!K28</f>
        <v>246299</v>
      </c>
      <c r="K28" s="18">
        <f>SUM(B28:J28)</f>
        <v>3333201</v>
      </c>
    </row>
    <row r="29" spans="1:11" x14ac:dyDescent="0.2">
      <c r="A29" s="46" t="s">
        <v>38</v>
      </c>
      <c r="B29" s="7">
        <f>[3]American!$HY$48</f>
        <v>13869</v>
      </c>
      <c r="C29" s="7">
        <f>[3]Delta!$HY$48</f>
        <v>1396262</v>
      </c>
      <c r="D29" s="7">
        <f>[3]United!$HY$48</f>
        <v>6805</v>
      </c>
      <c r="E29" s="7">
        <f>[3]Spirit!$HY$48</f>
        <v>0</v>
      </c>
      <c r="F29" s="7">
        <f>[3]Condor!$HY$48</f>
        <v>0</v>
      </c>
      <c r="G29" s="7">
        <f>'[3]Air France'!$HY$48</f>
        <v>0</v>
      </c>
      <c r="H29" s="7">
        <f>'[3]Jet Blue'!$HY$48</f>
        <v>0</v>
      </c>
      <c r="I29" s="7">
        <f>[3]KLM!$HY$48</f>
        <v>0</v>
      </c>
      <c r="J29" s="7">
        <f>'Other Major Airline Stats'!K29</f>
        <v>75630</v>
      </c>
      <c r="K29" s="24">
        <f>SUM(B29:J29)</f>
        <v>1492566</v>
      </c>
    </row>
    <row r="30" spans="1:11" x14ac:dyDescent="0.2">
      <c r="A30" s="50" t="s">
        <v>39</v>
      </c>
      <c r="B30" s="226">
        <f t="shared" ref="B30:J30" si="15">SUM(B28:B29)</f>
        <v>42927</v>
      </c>
      <c r="C30" s="226">
        <f t="shared" si="15"/>
        <v>3657247</v>
      </c>
      <c r="D30" s="226">
        <f t="shared" si="15"/>
        <v>70194</v>
      </c>
      <c r="E30" s="226">
        <f t="shared" si="15"/>
        <v>0</v>
      </c>
      <c r="F30" s="226">
        <f t="shared" ref="F30:I30" si="16">SUM(F28:F29)</f>
        <v>103042</v>
      </c>
      <c r="G30" s="226">
        <f t="shared" si="16"/>
        <v>315214</v>
      </c>
      <c r="H30" s="226">
        <f t="shared" ref="H30" si="17">SUM(H28:H29)</f>
        <v>0</v>
      </c>
      <c r="I30" s="226">
        <f t="shared" si="16"/>
        <v>315214</v>
      </c>
      <c r="J30" s="226">
        <f t="shared" si="15"/>
        <v>321929</v>
      </c>
      <c r="K30" s="18">
        <f>SUM(B30:J30)</f>
        <v>4825767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[3]American!$HY$52</f>
        <v>2843</v>
      </c>
      <c r="C33" s="13">
        <f>[3]Delta!$HY$52</f>
        <v>3440971</v>
      </c>
      <c r="D33" s="13">
        <f>[3]United!$HY$52</f>
        <v>45880</v>
      </c>
      <c r="E33" s="13">
        <f>[3]Spirit!$HY$52</f>
        <v>0</v>
      </c>
      <c r="F33" s="13">
        <f>[3]Condor!$HY$52</f>
        <v>87400</v>
      </c>
      <c r="G33" s="13">
        <f>'[3]Air France'!$HY$52</f>
        <v>66414</v>
      </c>
      <c r="H33" s="13">
        <f>'[3]Jet Blue'!$HY$52</f>
        <v>0</v>
      </c>
      <c r="I33" s="13">
        <f>[3]KLM!$HY$52</f>
        <v>110109</v>
      </c>
      <c r="J33" s="13">
        <f>'Other Major Airline Stats'!K33</f>
        <v>60735</v>
      </c>
      <c r="K33" s="18">
        <f t="shared" si="18"/>
        <v>3814352</v>
      </c>
    </row>
    <row r="34" spans="1:11" x14ac:dyDescent="0.2">
      <c r="A34" s="46" t="s">
        <v>38</v>
      </c>
      <c r="B34" s="7">
        <f>[3]American!$HY$53</f>
        <v>4847</v>
      </c>
      <c r="C34" s="7">
        <f>[3]Delta!$HY$53</f>
        <v>0</v>
      </c>
      <c r="D34" s="7">
        <f>[3]United!$HY$53</f>
        <v>2492</v>
      </c>
      <c r="E34" s="7">
        <f>[3]Spirit!$HY$53</f>
        <v>0</v>
      </c>
      <c r="F34" s="7">
        <f>[3]Condor!$HY$53</f>
        <v>0</v>
      </c>
      <c r="G34" s="7">
        <f>'[3]Air France'!$HY$53</f>
        <v>0</v>
      </c>
      <c r="H34" s="7">
        <f>'[3]Jet Blue'!$HY$53</f>
        <v>0</v>
      </c>
      <c r="I34" s="7">
        <f>[3]KLM!$HY$53</f>
        <v>0</v>
      </c>
      <c r="J34" s="7">
        <f>'Other Major Airline Stats'!K34</f>
        <v>25331</v>
      </c>
      <c r="K34" s="24">
        <f t="shared" si="18"/>
        <v>32670</v>
      </c>
    </row>
    <row r="35" spans="1:11" x14ac:dyDescent="0.2">
      <c r="A35" s="50" t="s">
        <v>41</v>
      </c>
      <c r="B35" s="226">
        <f t="shared" ref="B35:J35" si="19">SUM(B33:B34)</f>
        <v>7690</v>
      </c>
      <c r="C35" s="226">
        <f t="shared" si="19"/>
        <v>3440971</v>
      </c>
      <c r="D35" s="226">
        <f t="shared" si="19"/>
        <v>48372</v>
      </c>
      <c r="E35" s="226">
        <f t="shared" si="19"/>
        <v>0</v>
      </c>
      <c r="F35" s="226">
        <f t="shared" ref="F35:I35" si="20">SUM(F33:F34)</f>
        <v>87400</v>
      </c>
      <c r="G35" s="226">
        <f t="shared" si="20"/>
        <v>66414</v>
      </c>
      <c r="H35" s="226">
        <f t="shared" ref="H35" si="21">SUM(H33:H34)</f>
        <v>0</v>
      </c>
      <c r="I35" s="226">
        <f t="shared" si="20"/>
        <v>110109</v>
      </c>
      <c r="J35" s="226">
        <f t="shared" si="19"/>
        <v>86066</v>
      </c>
      <c r="K35" s="18">
        <f t="shared" si="18"/>
        <v>3847022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[3]American!$HY$57</f>
        <v>0</v>
      </c>
      <c r="C38" s="13">
        <f>[3]Delta!$HY$57</f>
        <v>0</v>
      </c>
      <c r="D38" s="13">
        <f>[3]United!$HY$57</f>
        <v>0</v>
      </c>
      <c r="E38" s="13">
        <f>[3]Spirit!$HY$57</f>
        <v>0</v>
      </c>
      <c r="F38" s="13">
        <f>[3]Condor!$HY$57</f>
        <v>0</v>
      </c>
      <c r="G38" s="13">
        <f>'[3]Air France'!$HY$57</f>
        <v>0</v>
      </c>
      <c r="H38" s="13">
        <f>'[3]Jet Blue'!$HY$57</f>
        <v>0</v>
      </c>
      <c r="I38" s="13">
        <f>[3]KLM!$HY$57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[3]American!$HY$58</f>
        <v>0</v>
      </c>
      <c r="C39" s="7">
        <f>[3]Delta!$HY$58</f>
        <v>0</v>
      </c>
      <c r="D39" s="7">
        <f>[3]United!$HY$58</f>
        <v>0</v>
      </c>
      <c r="E39" s="7">
        <f>[3]Spirit!$HY$58</f>
        <v>0</v>
      </c>
      <c r="F39" s="7">
        <f>[3]Condor!$HY$58</f>
        <v>0</v>
      </c>
      <c r="G39" s="7">
        <f>'[3]Air France'!$HY$58</f>
        <v>0</v>
      </c>
      <c r="H39" s="7">
        <f>'[3]Jet Blue'!$HY$58</f>
        <v>0</v>
      </c>
      <c r="I39" s="7">
        <f>[3]KLM!$HY$58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31901</v>
      </c>
      <c r="C43" s="13">
        <f t="shared" si="25"/>
        <v>5701956</v>
      </c>
      <c r="D43" s="13">
        <f t="shared" si="25"/>
        <v>109269</v>
      </c>
      <c r="E43" s="13">
        <f>E28+E33+E38</f>
        <v>0</v>
      </c>
      <c r="F43" s="13">
        <f t="shared" ref="F43:I43" si="26">F28+F33+F38</f>
        <v>190442</v>
      </c>
      <c r="G43" s="13">
        <f t="shared" si="26"/>
        <v>381628</v>
      </c>
      <c r="H43" s="13">
        <f t="shared" ref="H43" si="27">H28+H33+H38</f>
        <v>0</v>
      </c>
      <c r="I43" s="13">
        <f t="shared" si="26"/>
        <v>425323</v>
      </c>
      <c r="J43" s="13">
        <f t="shared" si="25"/>
        <v>307034</v>
      </c>
      <c r="K43" s="18">
        <f>SUM(B43:J43)</f>
        <v>7147553</v>
      </c>
    </row>
    <row r="44" spans="1:11" x14ac:dyDescent="0.2">
      <c r="A44" s="46" t="s">
        <v>38</v>
      </c>
      <c r="B44" s="7">
        <f t="shared" si="25"/>
        <v>18716</v>
      </c>
      <c r="C44" s="7">
        <f t="shared" si="25"/>
        <v>1396262</v>
      </c>
      <c r="D44" s="7">
        <f t="shared" si="25"/>
        <v>9297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100961</v>
      </c>
      <c r="K44" s="18">
        <f>SUM(B44:J44)</f>
        <v>1525236</v>
      </c>
    </row>
    <row r="45" spans="1:11" ht="15.75" thickBot="1" x14ac:dyDescent="0.3">
      <c r="A45" s="47" t="s">
        <v>46</v>
      </c>
      <c r="B45" s="227">
        <f t="shared" ref="B45:J45" si="30">SUM(B43:B44)</f>
        <v>50617</v>
      </c>
      <c r="C45" s="227">
        <f t="shared" si="30"/>
        <v>7098218</v>
      </c>
      <c r="D45" s="227">
        <f t="shared" si="30"/>
        <v>118566</v>
      </c>
      <c r="E45" s="227">
        <f t="shared" si="30"/>
        <v>0</v>
      </c>
      <c r="F45" s="227">
        <f t="shared" ref="F45:I45" si="31">SUM(F43:F44)</f>
        <v>190442</v>
      </c>
      <c r="G45" s="227">
        <f t="shared" si="31"/>
        <v>381628</v>
      </c>
      <c r="H45" s="227">
        <f t="shared" ref="H45" si="32">SUM(H43:H44)</f>
        <v>0</v>
      </c>
      <c r="I45" s="227">
        <f t="shared" si="31"/>
        <v>425323</v>
      </c>
      <c r="J45" s="227">
        <f t="shared" si="30"/>
        <v>407995</v>
      </c>
      <c r="K45" s="228">
        <f>SUM(B45:J45)</f>
        <v>8672789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[3]Delta!$HY$70+[3]Delta!$HY$73</f>
        <v>468123</v>
      </c>
      <c r="D47" s="241"/>
      <c r="E47" s="241"/>
      <c r="F47" s="241"/>
      <c r="G47" s="241"/>
      <c r="H47" s="241"/>
      <c r="I47" s="241"/>
      <c r="J47" s="241"/>
      <c r="K47" s="242">
        <f>SUM(B47:J47)</f>
        <v>468123</v>
      </c>
    </row>
    <row r="48" spans="1:11" hidden="1" x14ac:dyDescent="0.2">
      <c r="A48" s="302" t="s">
        <v>122</v>
      </c>
      <c r="C48" s="253">
        <f>[3]Delta!$HY$71+[3]Delta!$HY$74</f>
        <v>318424</v>
      </c>
      <c r="D48" s="241"/>
      <c r="E48" s="241"/>
      <c r="F48" s="241"/>
      <c r="G48" s="241"/>
      <c r="H48" s="241"/>
      <c r="I48" s="241"/>
      <c r="J48" s="241"/>
      <c r="K48" s="242">
        <f>SUM(B48:J48)</f>
        <v>318424</v>
      </c>
    </row>
    <row r="49" spans="1:11" hidden="1" x14ac:dyDescent="0.2">
      <c r="A49" s="303" t="s">
        <v>123</v>
      </c>
      <c r="C49" s="254">
        <f>SUM(C47:C48)</f>
        <v>786547</v>
      </c>
      <c r="K49" s="242">
        <f>SUM(B49:J49)</f>
        <v>786547</v>
      </c>
    </row>
    <row r="50" spans="1:11" x14ac:dyDescent="0.2">
      <c r="A50" s="301" t="s">
        <v>121</v>
      </c>
      <c r="B50" s="312"/>
      <c r="C50" s="256">
        <f>[3]Delta!$HY$70+[3]Delta!$HY$73</f>
        <v>468123</v>
      </c>
      <c r="D50" s="312"/>
      <c r="E50" s="256">
        <f>[3]Spirit!$HY$70+[3]Spirit!$HY$73</f>
        <v>0</v>
      </c>
      <c r="F50" s="312"/>
      <c r="G50" s="312"/>
      <c r="H50" s="312"/>
      <c r="I50" s="312"/>
      <c r="J50" s="255">
        <f>'Other Major Airline Stats'!K48</f>
        <v>221229</v>
      </c>
      <c r="K50" s="245">
        <f>SUM(B50:J50)</f>
        <v>689352</v>
      </c>
    </row>
    <row r="51" spans="1:11" x14ac:dyDescent="0.2">
      <c r="A51" s="314" t="s">
        <v>122</v>
      </c>
      <c r="B51" s="312"/>
      <c r="C51" s="256">
        <f>[3]Delta!$HY$71+[3]Delta!$HY$74</f>
        <v>318424</v>
      </c>
      <c r="D51" s="312"/>
      <c r="E51" s="256">
        <f>[3]Spirit!$HY$71+[3]Spirit!$HY$74</f>
        <v>0</v>
      </c>
      <c r="F51" s="312"/>
      <c r="G51" s="312"/>
      <c r="H51" s="312"/>
      <c r="I51" s="312"/>
      <c r="J51" s="255">
        <f>+'Other Major Airline Stats'!K49</f>
        <v>412</v>
      </c>
      <c r="K51" s="245">
        <f>SUM(B51:J51)</f>
        <v>318836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G24" sqref="G2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44774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[3]Frontier!$HY$22+[3]Frontier!$HY$32</f>
        <v>7656</v>
      </c>
      <c r="C5" s="96">
        <f>'[3]Allegiant '!$HY$22</f>
        <v>3376</v>
      </c>
      <c r="D5" s="96">
        <f>'[3]Aer Lingus'!$HY$22+'[3]Aer Lingus'!$HY$32</f>
        <v>0</v>
      </c>
      <c r="E5" s="96">
        <f>'[3]Denver Air'!$HY$22+'[3]Denver Air'!$HY$32</f>
        <v>934</v>
      </c>
      <c r="F5" s="96">
        <f>'[3]Boutique Air'!$HY$22</f>
        <v>0</v>
      </c>
      <c r="G5" s="96">
        <f>[3]Icelandair!$HY$32</f>
        <v>4978</v>
      </c>
      <c r="H5" s="96">
        <f>[3]Southwest!$HY$22</f>
        <v>74761</v>
      </c>
      <c r="I5" s="96">
        <f>'[3]Sun Country'!$HY$22+'[3]Sun Country'!$HY$32</f>
        <v>148254</v>
      </c>
      <c r="J5" s="96">
        <f>[3]Alaska!$HY$22</f>
        <v>19065</v>
      </c>
      <c r="K5" s="119">
        <f>SUM(B5:J5)</f>
        <v>259024</v>
      </c>
      <c r="N5" s="96"/>
    </row>
    <row r="6" spans="1:14" x14ac:dyDescent="0.2">
      <c r="A6" s="46" t="s">
        <v>31</v>
      </c>
      <c r="B6" s="96">
        <f>[3]Frontier!$HY$23+[3]Frontier!$HY$33</f>
        <v>7286</v>
      </c>
      <c r="C6" s="96">
        <f>'[3]Allegiant '!$HY$23</f>
        <v>3425</v>
      </c>
      <c r="D6" s="96">
        <f>'[3]Aer Lingus'!$HY$23+'[3]Aer Lingus'!$HY$33</f>
        <v>0</v>
      </c>
      <c r="E6" s="96">
        <f>'[3]Denver Air'!$HY$23+'[3]Denver Air'!$HY$33</f>
        <v>849</v>
      </c>
      <c r="F6" s="96">
        <f>'[3]Boutique Air'!$HY$23</f>
        <v>0</v>
      </c>
      <c r="G6" s="96">
        <f>[3]Icelandair!$HY$33</f>
        <v>4943</v>
      </c>
      <c r="H6" s="96">
        <f>[3]Southwest!$HY$23</f>
        <v>75677</v>
      </c>
      <c r="I6" s="96">
        <f>'[3]Sun Country'!$HY$23+'[3]Sun Country'!$HY$33</f>
        <v>145964</v>
      </c>
      <c r="J6" s="96">
        <f>[3]Alaska!$HY$23</f>
        <v>17927</v>
      </c>
      <c r="K6" s="119">
        <f>SUM(B6:J6)</f>
        <v>256071</v>
      </c>
    </row>
    <row r="7" spans="1:14" ht="15" x14ac:dyDescent="0.25">
      <c r="A7" s="44" t="s">
        <v>7</v>
      </c>
      <c r="B7" s="127">
        <f>SUM(B5:B6)</f>
        <v>14942</v>
      </c>
      <c r="C7" s="127">
        <f t="shared" ref="C7:F7" si="0">SUM(C5:C6)</f>
        <v>6801</v>
      </c>
      <c r="D7" s="127">
        <f>SUM(D5:D6)</f>
        <v>0</v>
      </c>
      <c r="E7" s="127">
        <f>SUM(E5:E6)</f>
        <v>1783</v>
      </c>
      <c r="F7" s="127">
        <f t="shared" si="0"/>
        <v>0</v>
      </c>
      <c r="G7" s="127">
        <f t="shared" ref="G7:J7" si="1">SUM(G5:G6)</f>
        <v>9921</v>
      </c>
      <c r="H7" s="127">
        <f t="shared" si="1"/>
        <v>150438</v>
      </c>
      <c r="I7" s="127">
        <f>SUM(I5:I6)</f>
        <v>294218</v>
      </c>
      <c r="J7" s="127">
        <f t="shared" si="1"/>
        <v>36992</v>
      </c>
      <c r="K7" s="128">
        <f>SUM(B7:J7)</f>
        <v>515095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[3]Frontier!$HY$27+[3]Frontier!$HY$37</f>
        <v>52</v>
      </c>
      <c r="C10" s="126">
        <f>'[3]Allegiant '!$HY$27</f>
        <v>0</v>
      </c>
      <c r="D10" s="395">
        <f>'[3]Aer Lingus'!$HY$27+'[3]Aer Lingus'!$HY$37</f>
        <v>0</v>
      </c>
      <c r="E10" s="126">
        <f>'[3]Denver Air'!$HY$27+'[3]Denver Air'!$HY$37</f>
        <v>95</v>
      </c>
      <c r="F10" s="126">
        <f>'[3]Boutique Air'!$HY$27</f>
        <v>0</v>
      </c>
      <c r="G10" s="126">
        <f>[3]Icelandair!$HY$37</f>
        <v>28</v>
      </c>
      <c r="H10" s="126">
        <f>[3]Southwest!$HY$27</f>
        <v>1083</v>
      </c>
      <c r="I10" s="126">
        <f>'[3]Sun Country'!$HY$27+'[3]Sun Country'!$HY$37</f>
        <v>2195</v>
      </c>
      <c r="J10" s="126">
        <f>[3]Alaska!$HY$27</f>
        <v>556</v>
      </c>
      <c r="K10" s="119">
        <f>SUM(B10:J10)</f>
        <v>4009</v>
      </c>
    </row>
    <row r="11" spans="1:14" x14ac:dyDescent="0.2">
      <c r="A11" s="46" t="s">
        <v>33</v>
      </c>
      <c r="B11" s="129">
        <f>[3]Frontier!$HY$28+[3]Frontier!$HY$38</f>
        <v>58</v>
      </c>
      <c r="C11" s="129">
        <f>'[3]Allegiant '!$HY$28</f>
        <v>0</v>
      </c>
      <c r="D11" s="129">
        <f>'[3]Aer Lingus'!$HY$28+'[3]Aer Lingus'!$HY$38</f>
        <v>0</v>
      </c>
      <c r="E11" s="129">
        <f>'[3]Denver Air'!$HY$28+'[3]Denver Air'!$HY$38</f>
        <v>72</v>
      </c>
      <c r="F11" s="129">
        <f>'[3]Boutique Air'!$HY$28</f>
        <v>0</v>
      </c>
      <c r="G11" s="129">
        <f>[3]Icelandair!$HY$38</f>
        <v>25</v>
      </c>
      <c r="H11" s="129">
        <f>[3]Southwest!$HY$28</f>
        <v>1090</v>
      </c>
      <c r="I11" s="129">
        <f>'[3]Sun Country'!$HY$28+'[3]Sun Country'!$HY$38</f>
        <v>2473</v>
      </c>
      <c r="J11" s="129">
        <f>[3]Alaska!$HY$28</f>
        <v>584</v>
      </c>
      <c r="K11" s="119">
        <f>SUM(B11:J11)</f>
        <v>4302</v>
      </c>
    </row>
    <row r="12" spans="1:14" ht="15.75" thickBot="1" x14ac:dyDescent="0.3">
      <c r="A12" s="47" t="s">
        <v>34</v>
      </c>
      <c r="B12" s="122">
        <f>SUM(B10:B11)</f>
        <v>110</v>
      </c>
      <c r="C12" s="122">
        <f t="shared" ref="C12:F12" si="2">SUM(C10:C11)</f>
        <v>0</v>
      </c>
      <c r="D12" s="122">
        <f>SUM(D10:D11)</f>
        <v>0</v>
      </c>
      <c r="E12" s="122">
        <f>SUM(E10:E11)</f>
        <v>167</v>
      </c>
      <c r="F12" s="122">
        <f t="shared" si="2"/>
        <v>0</v>
      </c>
      <c r="G12" s="122">
        <f t="shared" ref="G12:J12" si="3">SUM(G10:G11)</f>
        <v>53</v>
      </c>
      <c r="H12" s="122">
        <f t="shared" si="3"/>
        <v>2173</v>
      </c>
      <c r="I12" s="122">
        <f>SUM(I10:I11)</f>
        <v>4668</v>
      </c>
      <c r="J12" s="122">
        <f t="shared" si="3"/>
        <v>1140</v>
      </c>
      <c r="K12" s="130">
        <f>SUM(B12:J12)</f>
        <v>8311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[3]Frontier!$HY$4+[3]Frontier!$HY$15</f>
        <v>44</v>
      </c>
      <c r="C16" s="86">
        <f>'[3]Allegiant '!$HY$4</f>
        <v>22</v>
      </c>
      <c r="D16" s="96">
        <f>'[3]Aer Lingus'!$HY$4+'[3]Aer Lingus'!$HY$15</f>
        <v>0</v>
      </c>
      <c r="E16" s="96">
        <f>'[3]Denver Air'!$HY$4+'[3]Denver Air'!$HY$15</f>
        <v>81</v>
      </c>
      <c r="F16" s="86">
        <f>'[3]Boutique Air'!$HY$4</f>
        <v>0</v>
      </c>
      <c r="G16" s="96">
        <f>[3]Icelandair!$HY$15</f>
        <v>31</v>
      </c>
      <c r="H16" s="86">
        <f>[3]Southwest!$HY$4</f>
        <v>574</v>
      </c>
      <c r="I16" s="96">
        <f>'[3]Sun Country'!$HY$4+'[3]Sun Country'!$HY$15</f>
        <v>889</v>
      </c>
      <c r="J16" s="96">
        <f>[3]Alaska!$HY$4</f>
        <v>139</v>
      </c>
      <c r="K16" s="119">
        <f>SUM(B16:J16)</f>
        <v>1780</v>
      </c>
    </row>
    <row r="17" spans="1:258" x14ac:dyDescent="0.2">
      <c r="A17" s="46" t="s">
        <v>23</v>
      </c>
      <c r="B17" s="96">
        <f>[3]Frontier!$HY$5+[3]Frontier!$HY$16</f>
        <v>44</v>
      </c>
      <c r="C17" s="86">
        <f>'[3]Allegiant '!$HY$5</f>
        <v>22</v>
      </c>
      <c r="D17" s="96">
        <f>'[3]Aer Lingus'!$HY$5+'[3]Aer Lingus'!$HY$16</f>
        <v>0</v>
      </c>
      <c r="E17" s="96">
        <f>'[3]Denver Air'!$HY$5+'[3]Denver Air'!$HY$16</f>
        <v>81</v>
      </c>
      <c r="F17" s="86">
        <f>'[3]Boutique Air'!$HY$5</f>
        <v>0</v>
      </c>
      <c r="G17" s="96">
        <f>[3]Icelandair!$HY$16</f>
        <v>31</v>
      </c>
      <c r="H17" s="86">
        <f>[3]Southwest!$HY$5</f>
        <v>572</v>
      </c>
      <c r="I17" s="96">
        <f>'[3]Sun Country'!$HY$5+'[3]Sun Country'!$HY$16</f>
        <v>898</v>
      </c>
      <c r="J17" s="96">
        <f>[3]Alaska!$HY$5</f>
        <v>139</v>
      </c>
      <c r="K17" s="119">
        <f>SUM(B17:J17)</f>
        <v>1787</v>
      </c>
    </row>
    <row r="18" spans="1:258" x14ac:dyDescent="0.2">
      <c r="A18" s="50" t="s">
        <v>24</v>
      </c>
      <c r="B18" s="120">
        <f t="shared" ref="B18" si="4">SUM(B16:B17)</f>
        <v>88</v>
      </c>
      <c r="C18" s="120">
        <f t="shared" ref="C18:F18" si="5">SUM(C16:C17)</f>
        <v>44</v>
      </c>
      <c r="D18" s="120">
        <f t="shared" si="5"/>
        <v>0</v>
      </c>
      <c r="E18" s="120">
        <f t="shared" si="5"/>
        <v>162</v>
      </c>
      <c r="F18" s="120">
        <f t="shared" si="5"/>
        <v>0</v>
      </c>
      <c r="G18" s="120">
        <f t="shared" ref="G18:J18" si="6">SUM(G16:G17)</f>
        <v>62</v>
      </c>
      <c r="H18" s="120">
        <f t="shared" si="6"/>
        <v>1146</v>
      </c>
      <c r="I18" s="120">
        <f t="shared" si="6"/>
        <v>1787</v>
      </c>
      <c r="J18" s="120">
        <f t="shared" si="6"/>
        <v>278</v>
      </c>
      <c r="K18" s="121">
        <f>SUM(B18:J18)</f>
        <v>3567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[3]Frontier!$HY$8</f>
        <v>0</v>
      </c>
      <c r="C20" s="96">
        <f>'[3]Allegiant '!$HY$8</f>
        <v>0</v>
      </c>
      <c r="D20" s="96">
        <f>'[3]Aer Lingus'!$HY$8</f>
        <v>0</v>
      </c>
      <c r="E20" s="96">
        <f>'[3]Denver Air'!$HY$8</f>
        <v>1</v>
      </c>
      <c r="F20" s="96">
        <f>'[3]Boutique Air'!$HY$8</f>
        <v>0</v>
      </c>
      <c r="G20" s="96">
        <f>[3]Icelandair!$HY$8</f>
        <v>0</v>
      </c>
      <c r="H20" s="96">
        <f>[3]Southwest!$HY$8</f>
        <v>0</v>
      </c>
      <c r="I20" s="96">
        <f>'[3]Sun Country'!$HY$8</f>
        <v>39</v>
      </c>
      <c r="J20" s="96">
        <f>[3]Alaska!$HY$8</f>
        <v>0</v>
      </c>
      <c r="K20" s="119">
        <f>SUM(B20:J20)</f>
        <v>40</v>
      </c>
    </row>
    <row r="21" spans="1:258" x14ac:dyDescent="0.2">
      <c r="A21" s="46" t="s">
        <v>26</v>
      </c>
      <c r="B21" s="96">
        <f>[3]Frontier!$HY$9</f>
        <v>0</v>
      </c>
      <c r="C21" s="96">
        <f>'[3]Allegiant '!$HY$9</f>
        <v>0</v>
      </c>
      <c r="D21" s="96">
        <f>'[3]Aer Lingus'!$HY$9</f>
        <v>0</v>
      </c>
      <c r="E21" s="96">
        <f>'[3]Denver Air'!$HY$9</f>
        <v>1</v>
      </c>
      <c r="F21" s="96">
        <f>'[3]Boutique Air'!$HY$9</f>
        <v>0</v>
      </c>
      <c r="G21" s="96">
        <f>[3]Icelandair!$HY$9</f>
        <v>0</v>
      </c>
      <c r="H21" s="96">
        <f>[3]Southwest!$HY$9</f>
        <v>0</v>
      </c>
      <c r="I21" s="96">
        <f>'[3]Sun Country'!$HY$9</f>
        <v>34</v>
      </c>
      <c r="J21" s="96">
        <f>[3]Alaska!$HY$9</f>
        <v>0</v>
      </c>
      <c r="K21" s="119">
        <f>SUM(B21:J21)</f>
        <v>35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2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73</v>
      </c>
      <c r="J22" s="120">
        <f t="shared" si="9"/>
        <v>0</v>
      </c>
      <c r="K22" s="121">
        <f>SUM(B22:J22)</f>
        <v>75</v>
      </c>
    </row>
    <row r="23" spans="1:258" ht="15.75" thickBot="1" x14ac:dyDescent="0.3">
      <c r="A23" s="47" t="s">
        <v>28</v>
      </c>
      <c r="B23" s="122">
        <f t="shared" ref="B23" si="10">B22+B18</f>
        <v>88</v>
      </c>
      <c r="C23" s="122">
        <f t="shared" ref="C23:F23" si="11">C22+C18</f>
        <v>44</v>
      </c>
      <c r="D23" s="122">
        <f t="shared" si="11"/>
        <v>0</v>
      </c>
      <c r="E23" s="122">
        <f t="shared" si="11"/>
        <v>164</v>
      </c>
      <c r="F23" s="122">
        <f t="shared" si="11"/>
        <v>0</v>
      </c>
      <c r="G23" s="122">
        <f t="shared" ref="G23:J23" si="12">G22+G18</f>
        <v>62</v>
      </c>
      <c r="H23" s="122">
        <f t="shared" si="12"/>
        <v>1146</v>
      </c>
      <c r="I23" s="122">
        <f t="shared" si="12"/>
        <v>1860</v>
      </c>
      <c r="J23" s="122">
        <f t="shared" si="12"/>
        <v>278</v>
      </c>
      <c r="K23" s="123">
        <f>SUM(B23:J23)</f>
        <v>3642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[3]Frontier!$HY$47</f>
        <v>0</v>
      </c>
      <c r="C28" s="96">
        <f>'[3]Allegiant '!$HY$47</f>
        <v>0</v>
      </c>
      <c r="D28" s="96">
        <f>'[3]Aer Lingus'!$HY$47</f>
        <v>0</v>
      </c>
      <c r="E28" s="96">
        <f>'[3]Denver Air'!$HY$47</f>
        <v>0</v>
      </c>
      <c r="F28" s="96">
        <f>'[3]Boutique Air'!$HY$47</f>
        <v>0</v>
      </c>
      <c r="G28" s="96">
        <f>[3]Icelandair!$HY$47</f>
        <v>412</v>
      </c>
      <c r="H28" s="96">
        <f>[3]Southwest!$HY$47</f>
        <v>190480</v>
      </c>
      <c r="I28" s="96">
        <f>'[3]Sun Country'!$HY$47</f>
        <v>20406</v>
      </c>
      <c r="J28" s="96">
        <f>[3]Alaska!$HY$47</f>
        <v>35001</v>
      </c>
      <c r="K28" s="119">
        <f>SUM(B28:J28)</f>
        <v>246299</v>
      </c>
    </row>
    <row r="29" spans="1:258" x14ac:dyDescent="0.2">
      <c r="A29" s="46" t="s">
        <v>38</v>
      </c>
      <c r="B29" s="96">
        <f>[3]Frontier!$HY$48</f>
        <v>0</v>
      </c>
      <c r="C29" s="96">
        <f>'[3]Allegiant '!$HY$48</f>
        <v>0</v>
      </c>
      <c r="D29" s="96">
        <f>'[3]Aer Lingus'!$HY$48</f>
        <v>0</v>
      </c>
      <c r="E29" s="96">
        <f>'[3]Denver Air'!$HY$48</f>
        <v>0</v>
      </c>
      <c r="F29" s="96">
        <f>'[3]Boutique Air'!$HY$48</f>
        <v>0</v>
      </c>
      <c r="G29" s="96">
        <f>[3]Icelandair!$HY$48</f>
        <v>0</v>
      </c>
      <c r="H29" s="96">
        <f>[3]Southwest!$HY$48</f>
        <v>0</v>
      </c>
      <c r="I29" s="96">
        <f>'[3]Sun Country'!$HY$48</f>
        <v>75630</v>
      </c>
      <c r="J29" s="96">
        <f>[3]Alaska!$HY$48</f>
        <v>0</v>
      </c>
      <c r="K29" s="119">
        <f>SUM(B29:J29)</f>
        <v>75630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412</v>
      </c>
      <c r="H30" s="134">
        <f t="shared" si="15"/>
        <v>190480</v>
      </c>
      <c r="I30" s="134">
        <f t="shared" si="15"/>
        <v>96036</v>
      </c>
      <c r="J30" s="134">
        <f t="shared" si="15"/>
        <v>35001</v>
      </c>
      <c r="K30" s="136">
        <f>SUM(B30:J30)</f>
        <v>321929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[3]Frontier!$HY$52</f>
        <v>0</v>
      </c>
      <c r="C33" s="96">
        <f>'[3]Allegiant '!$HY$52</f>
        <v>0</v>
      </c>
      <c r="D33" s="96">
        <f>'[3]Aer Lingus'!$HY$52</f>
        <v>0</v>
      </c>
      <c r="E33" s="96">
        <f>'[3]Denver Air'!$HY$52</f>
        <v>0</v>
      </c>
      <c r="F33" s="96">
        <f>'[3]Boutique Air'!$HY$52</f>
        <v>0</v>
      </c>
      <c r="G33" s="96">
        <f>[3]Icelandair!$HY$52</f>
        <v>1289</v>
      </c>
      <c r="H33" s="96">
        <f>[3]Southwest!$HY$52</f>
        <v>42750</v>
      </c>
      <c r="I33" s="96">
        <f>'[3]Sun Country'!$HY$52</f>
        <v>1482</v>
      </c>
      <c r="J33" s="96">
        <f>[3]Alaska!$HY$52</f>
        <v>15214</v>
      </c>
      <c r="K33" s="119">
        <f>SUM(B33:J33)</f>
        <v>60735</v>
      </c>
    </row>
    <row r="34" spans="1:11" x14ac:dyDescent="0.2">
      <c r="A34" s="46" t="s">
        <v>38</v>
      </c>
      <c r="B34" s="96">
        <f>[3]Frontier!$HY$53</f>
        <v>0</v>
      </c>
      <c r="C34" s="96">
        <f>'[3]Allegiant '!$HY$53</f>
        <v>0</v>
      </c>
      <c r="D34" s="96">
        <f>'[3]Aer Lingus'!$HY$53</f>
        <v>0</v>
      </c>
      <c r="E34" s="96">
        <f>'[3]Denver Air'!$HY$53</f>
        <v>0</v>
      </c>
      <c r="F34" s="96">
        <f>'[3]Boutique Air'!$HY$53</f>
        <v>0</v>
      </c>
      <c r="G34" s="96">
        <f>[3]Icelandair!$HY$53</f>
        <v>0</v>
      </c>
      <c r="H34" s="96">
        <f>[3]Southwest!$HY$53</f>
        <v>0</v>
      </c>
      <c r="I34" s="96">
        <f>'[3]Sun Country'!$HY$53</f>
        <v>25331</v>
      </c>
      <c r="J34" s="96">
        <f>[3]Alaska!$HY$53</f>
        <v>0</v>
      </c>
      <c r="K34" s="135">
        <f>SUM(B34:J34)</f>
        <v>25331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1289</v>
      </c>
      <c r="H35" s="120">
        <f t="shared" si="18"/>
        <v>42750</v>
      </c>
      <c r="I35" s="120">
        <f t="shared" si="18"/>
        <v>26813</v>
      </c>
      <c r="J35" s="120">
        <f t="shared" si="18"/>
        <v>15214</v>
      </c>
      <c r="K35" s="136">
        <f>SUM(B35:J35)</f>
        <v>86066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[3]Frontier!$HY$57</f>
        <v>0</v>
      </c>
      <c r="C38" s="126">
        <f>'[3]Allegiant '!$HY$57</f>
        <v>0</v>
      </c>
      <c r="D38" s="395">
        <f>'[3]Aer Lingus'!$HY$57</f>
        <v>0</v>
      </c>
      <c r="E38" s="126">
        <f>'[3]Denver Air'!$HY$57</f>
        <v>0</v>
      </c>
      <c r="F38" s="126">
        <f>'[3]Boutique Air'!$HY$57</f>
        <v>0</v>
      </c>
      <c r="G38" s="126">
        <f>[3]Icelandair!$HY$57</f>
        <v>0</v>
      </c>
      <c r="H38" s="126">
        <f>[3]Southwest!$HY$57</f>
        <v>0</v>
      </c>
      <c r="I38" s="126">
        <f>'[3]Sun Country'!$HY$57</f>
        <v>0</v>
      </c>
      <c r="J38" s="126">
        <f>[3]Alaska!$HY$57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[3]Frontier!$HY$58</f>
        <v>0</v>
      </c>
      <c r="C39" s="129">
        <f>'[3]Allegiant '!$HY$58</f>
        <v>0</v>
      </c>
      <c r="D39" s="129">
        <f>'[3]Aer Lingus'!$HY$58</f>
        <v>0</v>
      </c>
      <c r="E39" s="129">
        <f>'[3]Denver Air'!$HY$58</f>
        <v>0</v>
      </c>
      <c r="F39" s="129">
        <f>'[3]Boutique Air'!$HY$58</f>
        <v>0</v>
      </c>
      <c r="G39" s="129">
        <f>[3]Icelandair!$HY$58</f>
        <v>0</v>
      </c>
      <c r="H39" s="129">
        <f>[3]Southwest!$HY$58</f>
        <v>0</v>
      </c>
      <c r="I39" s="129">
        <f>'[3]Sun Country'!$HY$58</f>
        <v>0</v>
      </c>
      <c r="J39" s="129">
        <f>[3]Alaska!$HY$58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1701</v>
      </c>
      <c r="H43" s="126">
        <f t="shared" si="24"/>
        <v>233230</v>
      </c>
      <c r="I43" s="126">
        <f t="shared" si="24"/>
        <v>21888</v>
      </c>
      <c r="J43" s="126">
        <f t="shared" si="24"/>
        <v>50215</v>
      </c>
      <c r="K43" s="119">
        <f>SUM(B43:J43)</f>
        <v>307034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100961</v>
      </c>
      <c r="J44" s="129">
        <f t="shared" si="27"/>
        <v>0</v>
      </c>
      <c r="K44" s="119">
        <f>SUM(B44:J44)</f>
        <v>100961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1701</v>
      </c>
      <c r="H45" s="138">
        <f t="shared" si="30"/>
        <v>233230</v>
      </c>
      <c r="I45" s="138">
        <f t="shared" si="30"/>
        <v>122849</v>
      </c>
      <c r="J45" s="138">
        <f t="shared" si="30"/>
        <v>50215</v>
      </c>
      <c r="K45" s="139">
        <f>SUM(B45:J45)</f>
        <v>407995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[3]Southwest!$HY$70+[3]Southwest!$HY$73</f>
        <v>75265</v>
      </c>
      <c r="I48" s="256">
        <f>'[3]Sun Country'!$HY$70+'[3]Sun Country'!$HY$73</f>
        <v>145964</v>
      </c>
      <c r="J48" s="312"/>
      <c r="K48" s="245">
        <f>SUM(B48:J48)</f>
        <v>221229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[3]Southwest!$HY$71+[3]Southwest!$HY$74</f>
        <v>412</v>
      </c>
      <c r="I49" s="256">
        <f>'[3]Sun Country'!$HY$71+'[3]Sun Country'!$HY$74</f>
        <v>0</v>
      </c>
      <c r="J49" s="312"/>
      <c r="K49" s="245">
        <f>SUM(B49:J49)</f>
        <v>412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August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H47" sqref="H4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44774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[3]Pinnacle!$HY$22+[3]Pinnacle!$HY$32</f>
        <v>36386</v>
      </c>
      <c r="C5" s="88">
        <f>[3]MESA_UA!$HY$22</f>
        <v>5692</v>
      </c>
      <c r="D5" s="96">
        <f>'[3]Sky West'!$HY$22+'[3]Sky West'!$HY$32</f>
        <v>162444</v>
      </c>
      <c r="E5" s="96">
        <f>'[3]Sky West_UA'!$HY$22</f>
        <v>220</v>
      </c>
      <c r="F5" s="96">
        <f>'[3]Sky West_AS'!$HY$22</f>
        <v>0</v>
      </c>
      <c r="G5" s="96">
        <f>'[3]Sky West_AA'!$HY$22</f>
        <v>927</v>
      </c>
      <c r="H5" s="96">
        <f>[3]Republic!$HY$22</f>
        <v>5629</v>
      </c>
      <c r="I5" s="96">
        <f>[3]Republic_UA!$HY$22</f>
        <v>3448</v>
      </c>
      <c r="J5" s="96">
        <f>'[3]Sky Regional'!$HY$32</f>
        <v>0</v>
      </c>
      <c r="K5" s="96">
        <f>'[3]American Eagle'!$HY$22</f>
        <v>4325</v>
      </c>
      <c r="L5" s="96">
        <f>'Other Regional'!L5</f>
        <v>9727</v>
      </c>
      <c r="M5" s="89">
        <f>SUM(B5:L5)</f>
        <v>228798</v>
      </c>
    </row>
    <row r="6" spans="1:16" s="6" customFormat="1" x14ac:dyDescent="0.2">
      <c r="A6" s="46" t="s">
        <v>31</v>
      </c>
      <c r="B6" s="88">
        <f>[3]Pinnacle!$HY$23+[3]Pinnacle!$HY$33</f>
        <v>36862</v>
      </c>
      <c r="C6" s="88">
        <f>[3]MESA_UA!$HY$23</f>
        <v>5642</v>
      </c>
      <c r="D6" s="96">
        <f>'[3]Sky West'!$HY$23+'[3]Sky West'!$HY$33</f>
        <v>164208</v>
      </c>
      <c r="E6" s="96">
        <f>'[3]Sky West_UA'!$HY$23</f>
        <v>285</v>
      </c>
      <c r="F6" s="96">
        <f>'[3]Sky West_AS'!$HY$23</f>
        <v>0</v>
      </c>
      <c r="G6" s="96">
        <f>'[3]Sky West_AA'!$HY$23</f>
        <v>955</v>
      </c>
      <c r="H6" s="96">
        <f>[3]Republic!$HY$23</f>
        <v>5457</v>
      </c>
      <c r="I6" s="96">
        <f>[3]Republic_UA!$HY$23</f>
        <v>3520</v>
      </c>
      <c r="J6" s="96">
        <f>'[3]Sky Regional'!$HY$33</f>
        <v>0</v>
      </c>
      <c r="K6" s="96">
        <f>'[3]American Eagle'!$HY$23</f>
        <v>4224</v>
      </c>
      <c r="L6" s="96">
        <f>'Other Regional'!L6</f>
        <v>9417</v>
      </c>
      <c r="M6" s="93">
        <f>SUM(B6:L6)</f>
        <v>230570</v>
      </c>
    </row>
    <row r="7" spans="1:16" ht="15" thickBot="1" x14ac:dyDescent="0.25">
      <c r="A7" s="55" t="s">
        <v>7</v>
      </c>
      <c r="B7" s="106">
        <f>SUM(B5:B6)</f>
        <v>73248</v>
      </c>
      <c r="C7" s="106">
        <f t="shared" ref="C7:L7" si="0">SUM(C5:C6)</f>
        <v>11334</v>
      </c>
      <c r="D7" s="106">
        <f t="shared" si="0"/>
        <v>326652</v>
      </c>
      <c r="E7" s="106">
        <f t="shared" si="0"/>
        <v>505</v>
      </c>
      <c r="F7" s="106">
        <f t="shared" ref="F7:G7" si="1">SUM(F5:F6)</f>
        <v>0</v>
      </c>
      <c r="G7" s="106">
        <f t="shared" si="1"/>
        <v>1882</v>
      </c>
      <c r="H7" s="106">
        <f t="shared" si="0"/>
        <v>11086</v>
      </c>
      <c r="I7" s="106">
        <f t="shared" si="0"/>
        <v>6968</v>
      </c>
      <c r="J7" s="106">
        <f t="shared" si="0"/>
        <v>0</v>
      </c>
      <c r="K7" s="106">
        <f t="shared" si="0"/>
        <v>8549</v>
      </c>
      <c r="L7" s="106">
        <f t="shared" si="0"/>
        <v>19144</v>
      </c>
      <c r="M7" s="107">
        <f>SUM(B7:L7)</f>
        <v>459368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[3]Pinnacle!$HY$27+[3]Pinnacle!$HY$37</f>
        <v>1569</v>
      </c>
      <c r="C10" s="88">
        <f>[3]MESA_UA!$HY$27</f>
        <v>190</v>
      </c>
      <c r="D10" s="96">
        <f>'[3]Sky West'!$HY$27+'[3]Sky West'!$HY$37</f>
        <v>5681</v>
      </c>
      <c r="E10" s="96">
        <f>'[3]Sky West_UA'!$HY$27</f>
        <v>8</v>
      </c>
      <c r="F10" s="96">
        <f>'[3]Sky West_AS'!$HY$27</f>
        <v>0</v>
      </c>
      <c r="G10" s="96">
        <f>'[3]Sky West_AA'!$HY$27</f>
        <v>40</v>
      </c>
      <c r="H10" s="96">
        <f>[3]Republic!$HY$27</f>
        <v>174</v>
      </c>
      <c r="I10" s="96">
        <f>[3]Republic_UA!$HY$27</f>
        <v>134</v>
      </c>
      <c r="J10" s="96">
        <f>'[3]Sky Regional'!$HY$37</f>
        <v>0</v>
      </c>
      <c r="K10" s="96">
        <f>'[3]American Eagle'!$HY$27</f>
        <v>167</v>
      </c>
      <c r="L10" s="96">
        <f>'Other Regional'!L10</f>
        <v>185</v>
      </c>
      <c r="M10" s="89">
        <f>SUM(B10:L10)</f>
        <v>8148</v>
      </c>
    </row>
    <row r="11" spans="1:16" x14ac:dyDescent="0.2">
      <c r="A11" s="46" t="s">
        <v>33</v>
      </c>
      <c r="B11" s="88">
        <f>[3]Pinnacle!$HY$28+[3]Pinnacle!$HY$38</f>
        <v>1574</v>
      </c>
      <c r="C11" s="88">
        <f>[3]MESA_UA!$HY$28</f>
        <v>185</v>
      </c>
      <c r="D11" s="96">
        <f>'[3]Sky West'!$HY$28+'[3]Sky West'!$HY$38</f>
        <v>5575</v>
      </c>
      <c r="E11" s="96">
        <f>'[3]Sky West_UA'!$HY$28</f>
        <v>10</v>
      </c>
      <c r="F11" s="96">
        <f>'[3]Sky West_AS'!$HY$28</f>
        <v>0</v>
      </c>
      <c r="G11" s="96">
        <f>'[3]Sky West_AA'!$HY$28</f>
        <v>53</v>
      </c>
      <c r="H11" s="96">
        <f>[3]Republic!$HY$28</f>
        <v>169</v>
      </c>
      <c r="I11" s="96">
        <f>[3]Republic_UA!$HY$28</f>
        <v>127</v>
      </c>
      <c r="J11" s="96">
        <f>'[3]Sky Regional'!$HY$38</f>
        <v>0</v>
      </c>
      <c r="K11" s="96">
        <f>'[3]American Eagle'!$HY$28</f>
        <v>194</v>
      </c>
      <c r="L11" s="96">
        <f>'Other Regional'!L11</f>
        <v>202</v>
      </c>
      <c r="M11" s="93">
        <f>SUM(B11:L11)</f>
        <v>8089</v>
      </c>
    </row>
    <row r="12" spans="1:16" ht="15" thickBot="1" x14ac:dyDescent="0.25">
      <c r="A12" s="56" t="s">
        <v>34</v>
      </c>
      <c r="B12" s="109">
        <f t="shared" ref="B12:L12" si="2">SUM(B10:B11)</f>
        <v>3143</v>
      </c>
      <c r="C12" s="109">
        <f t="shared" si="2"/>
        <v>375</v>
      </c>
      <c r="D12" s="109">
        <f t="shared" si="2"/>
        <v>11256</v>
      </c>
      <c r="E12" s="109">
        <f t="shared" si="2"/>
        <v>18</v>
      </c>
      <c r="F12" s="109">
        <f t="shared" ref="F12:G12" si="3">SUM(F10:F11)</f>
        <v>0</v>
      </c>
      <c r="G12" s="109">
        <f t="shared" si="3"/>
        <v>93</v>
      </c>
      <c r="H12" s="109">
        <f t="shared" si="2"/>
        <v>343</v>
      </c>
      <c r="I12" s="109">
        <f t="shared" si="2"/>
        <v>261</v>
      </c>
      <c r="J12" s="109">
        <f t="shared" si="2"/>
        <v>0</v>
      </c>
      <c r="K12" s="109">
        <f t="shared" si="2"/>
        <v>361</v>
      </c>
      <c r="L12" s="109">
        <f t="shared" si="2"/>
        <v>387</v>
      </c>
      <c r="M12" s="110">
        <f>SUM(B12:L12)</f>
        <v>16237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[3]Pinnacle!$HY$4+[3]Pinnacle!$HY$15</f>
        <v>677</v>
      </c>
      <c r="C15" s="87">
        <f>[3]MESA_UA!$HY$4</f>
        <v>82</v>
      </c>
      <c r="D15" s="86">
        <f>'[3]Sky West'!$HY$4+'[3]Sky West'!$HY$15</f>
        <v>3124</v>
      </c>
      <c r="E15" s="86">
        <f>'[3]Sky West_UA'!$HY$4</f>
        <v>4</v>
      </c>
      <c r="F15" s="86">
        <f>'[3]Sky West_AS'!$HY$4</f>
        <v>0</v>
      </c>
      <c r="G15" s="86">
        <f>'[3]Sky West_AA'!$HY$4</f>
        <v>17</v>
      </c>
      <c r="H15" s="88">
        <f>[3]Republic!$HY$4</f>
        <v>85</v>
      </c>
      <c r="I15" s="363">
        <f>[3]Republic_UA!$HY$4</f>
        <v>56</v>
      </c>
      <c r="J15" s="363">
        <f>'[3]Sky Regional'!$HY$15</f>
        <v>0</v>
      </c>
      <c r="K15" s="88">
        <f>'[3]American Eagle'!$HY$4</f>
        <v>80</v>
      </c>
      <c r="L15" s="87">
        <f>'Other Regional'!L15</f>
        <v>162</v>
      </c>
      <c r="M15" s="89">
        <f>SUM(B15:L15)</f>
        <v>4287</v>
      </c>
    </row>
    <row r="16" spans="1:16" x14ac:dyDescent="0.2">
      <c r="A16" s="46" t="s">
        <v>54</v>
      </c>
      <c r="B16" s="7">
        <f>[3]Pinnacle!$HY$5+[3]Pinnacle!$HY$16</f>
        <v>676</v>
      </c>
      <c r="C16" s="91">
        <f>[3]MESA_UA!$HY$5</f>
        <v>82</v>
      </c>
      <c r="D16" s="90">
        <f>'[3]Sky West'!$HY$5+'[3]Sky West'!$HY$16</f>
        <v>3132</v>
      </c>
      <c r="E16" s="90">
        <f>'[3]Sky West_UA'!$HY$5</f>
        <v>4</v>
      </c>
      <c r="F16" s="90">
        <f>'[3]Sky West_AS'!$HY$5</f>
        <v>0</v>
      </c>
      <c r="G16" s="90">
        <f>'[3]Sky West_AA'!$HY$5</f>
        <v>17</v>
      </c>
      <c r="H16" s="92">
        <f>[3]Republic!$HY$5</f>
        <v>85</v>
      </c>
      <c r="I16" s="232">
        <f>[3]Republic_UA!$HY$5</f>
        <v>55</v>
      </c>
      <c r="J16" s="232">
        <f>'[3]Sky Regional'!$HY$16</f>
        <v>0</v>
      </c>
      <c r="K16" s="92">
        <f>'[3]American Eagle'!$HY$5</f>
        <v>80</v>
      </c>
      <c r="L16" s="91">
        <f>'Other Regional'!L16</f>
        <v>162</v>
      </c>
      <c r="M16" s="93">
        <f>SUM(B16:L16)</f>
        <v>4293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1353</v>
      </c>
      <c r="C17" s="94">
        <f t="shared" si="5"/>
        <v>164</v>
      </c>
      <c r="D17" s="94">
        <f t="shared" si="5"/>
        <v>6256</v>
      </c>
      <c r="E17" s="94">
        <f t="shared" si="5"/>
        <v>8</v>
      </c>
      <c r="F17" s="94">
        <f t="shared" ref="F17:G17" si="6">SUM(F15:F16)</f>
        <v>0</v>
      </c>
      <c r="G17" s="94">
        <f t="shared" si="6"/>
        <v>34</v>
      </c>
      <c r="H17" s="94">
        <f>SUM(H15:H16)</f>
        <v>170</v>
      </c>
      <c r="I17" s="94">
        <f t="shared" ref="I17:J17" si="7">SUM(I15:I16)</f>
        <v>111</v>
      </c>
      <c r="J17" s="94">
        <f t="shared" si="7"/>
        <v>0</v>
      </c>
      <c r="K17" s="94">
        <f>SUM(K15:K16)</f>
        <v>160</v>
      </c>
      <c r="L17" s="94">
        <f>SUM(L15:L16)</f>
        <v>324</v>
      </c>
      <c r="M17" s="95">
        <f t="shared" ref="M17:M21" si="8">SUM(B17:L17)</f>
        <v>8580</v>
      </c>
    </row>
    <row r="18" spans="1:13" x14ac:dyDescent="0.2">
      <c r="A18" s="46" t="s">
        <v>56</v>
      </c>
      <c r="B18" s="96">
        <f>[3]Pinnacle!$HY$8</f>
        <v>0</v>
      </c>
      <c r="C18" s="88">
        <f>[3]MESA_UA!$HY$8</f>
        <v>0</v>
      </c>
      <c r="D18" s="96">
        <f>'[3]Sky West'!$HY$8</f>
        <v>6</v>
      </c>
      <c r="E18" s="96">
        <f>'[3]Sky West_UA'!$HY$8</f>
        <v>0</v>
      </c>
      <c r="F18" s="96">
        <f>'[3]Sky West_AS'!$HY$8</f>
        <v>0</v>
      </c>
      <c r="G18" s="96">
        <f>'[3]Sky West_AA'!$HY$8</f>
        <v>0</v>
      </c>
      <c r="H18" s="96">
        <f>[3]Republic!$HY$8</f>
        <v>0</v>
      </c>
      <c r="I18" s="96">
        <f>[3]Republic_UA!$HY$8</f>
        <v>1</v>
      </c>
      <c r="J18" s="96">
        <f>'[3]Sky Regional'!$HY$8</f>
        <v>0</v>
      </c>
      <c r="K18" s="96">
        <f>'[3]American Eagle'!$HY$8</f>
        <v>0</v>
      </c>
      <c r="L18" s="96">
        <f>'Other Regional'!L18</f>
        <v>1</v>
      </c>
      <c r="M18" s="89">
        <f t="shared" si="8"/>
        <v>8</v>
      </c>
    </row>
    <row r="19" spans="1:13" x14ac:dyDescent="0.2">
      <c r="A19" s="46" t="s">
        <v>57</v>
      </c>
      <c r="B19" s="97">
        <f>[3]Pinnacle!$HY$9</f>
        <v>0</v>
      </c>
      <c r="C19" s="92">
        <f>[3]MESA_UA!$HY$9</f>
        <v>0</v>
      </c>
      <c r="D19" s="97">
        <f>'[3]Sky West'!$HY$9</f>
        <v>0</v>
      </c>
      <c r="E19" s="97">
        <f>'[3]Sky West_UA'!$HY$9</f>
        <v>0</v>
      </c>
      <c r="F19" s="97">
        <f>'[3]Sky West_AS'!$HY$9</f>
        <v>0</v>
      </c>
      <c r="G19" s="97">
        <f>'[3]Sky West_AA'!$HY$9</f>
        <v>0</v>
      </c>
      <c r="H19" s="97">
        <f>[3]Republic!$HY$9</f>
        <v>0</v>
      </c>
      <c r="I19" s="97">
        <f>[3]Republic_UA!$HY$9</f>
        <v>2</v>
      </c>
      <c r="J19" s="97">
        <f>'[3]Sky Regional'!$HY$9</f>
        <v>0</v>
      </c>
      <c r="K19" s="97">
        <f>'[3]American Eagle'!$HY$9</f>
        <v>0</v>
      </c>
      <c r="L19" s="97">
        <f>'Other Regional'!L19</f>
        <v>1</v>
      </c>
      <c r="M19" s="93">
        <f t="shared" si="8"/>
        <v>3</v>
      </c>
    </row>
    <row r="20" spans="1:13" x14ac:dyDescent="0.2">
      <c r="A20" s="50" t="s">
        <v>58</v>
      </c>
      <c r="B20" s="94">
        <f t="shared" ref="B20:L20" si="9">SUM(B18:B19)</f>
        <v>0</v>
      </c>
      <c r="C20" s="94">
        <f t="shared" si="9"/>
        <v>0</v>
      </c>
      <c r="D20" s="94">
        <f t="shared" si="9"/>
        <v>6</v>
      </c>
      <c r="E20" s="94">
        <f t="shared" si="9"/>
        <v>0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3</v>
      </c>
      <c r="J20" s="94">
        <f t="shared" si="9"/>
        <v>0</v>
      </c>
      <c r="K20" s="94">
        <f t="shared" si="9"/>
        <v>0</v>
      </c>
      <c r="L20" s="94">
        <f t="shared" si="9"/>
        <v>2</v>
      </c>
      <c r="M20" s="95">
        <f t="shared" si="8"/>
        <v>11</v>
      </c>
    </row>
    <row r="21" spans="1:13" ht="15.75" thickBot="1" x14ac:dyDescent="0.3">
      <c r="A21" s="54" t="s">
        <v>28</v>
      </c>
      <c r="B21" s="98">
        <f>SUM(B20,B17)</f>
        <v>1353</v>
      </c>
      <c r="C21" s="98">
        <f t="shared" ref="C21:K21" si="11">SUM(C20,C17)</f>
        <v>164</v>
      </c>
      <c r="D21" s="98">
        <f t="shared" si="11"/>
        <v>6262</v>
      </c>
      <c r="E21" s="98">
        <f t="shared" si="11"/>
        <v>8</v>
      </c>
      <c r="F21" s="98">
        <f t="shared" ref="F21:G21" si="12">SUM(F20,F17)</f>
        <v>0</v>
      </c>
      <c r="G21" s="98">
        <f t="shared" si="12"/>
        <v>34</v>
      </c>
      <c r="H21" s="98">
        <f t="shared" si="11"/>
        <v>170</v>
      </c>
      <c r="I21" s="98">
        <f t="shared" si="11"/>
        <v>114</v>
      </c>
      <c r="J21" s="98">
        <f t="shared" si="11"/>
        <v>0</v>
      </c>
      <c r="K21" s="98">
        <f t="shared" si="11"/>
        <v>160</v>
      </c>
      <c r="L21" s="98">
        <f>SUM(L20,L17)</f>
        <v>326</v>
      </c>
      <c r="M21" s="99">
        <f t="shared" si="8"/>
        <v>8591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[3]Pinnacle!$HY$47</f>
        <v>0</v>
      </c>
      <c r="C25" s="88">
        <f>[3]MESA_UA!$HY$47</f>
        <v>0</v>
      </c>
      <c r="D25" s="96">
        <f>'[3]Sky West'!$HY$47</f>
        <v>0</v>
      </c>
      <c r="E25" s="96">
        <f>'[3]Sky West_UA'!$HY$47</f>
        <v>0</v>
      </c>
      <c r="F25" s="96">
        <f>'[3]Sky West_AS'!$HY$47</f>
        <v>0</v>
      </c>
      <c r="G25" s="96">
        <f>'[3]Sky West_AA'!$HY$47</f>
        <v>38</v>
      </c>
      <c r="H25" s="96">
        <f>[3]Republic!$HY$47</f>
        <v>776</v>
      </c>
      <c r="I25" s="96">
        <f>[3]Republic_UA!$HY$47</f>
        <v>0</v>
      </c>
      <c r="J25" s="96">
        <f>'[3]Sky Regional'!$HY$47</f>
        <v>0</v>
      </c>
      <c r="K25" s="96">
        <f>'[3]American Eagle'!$HY$47</f>
        <v>1252</v>
      </c>
      <c r="L25" s="96">
        <f>'Other Regional'!L25</f>
        <v>1524</v>
      </c>
      <c r="M25" s="89">
        <f>SUM(B25:L25)</f>
        <v>3590</v>
      </c>
    </row>
    <row r="26" spans="1:13" x14ac:dyDescent="0.2">
      <c r="A26" s="46" t="s">
        <v>38</v>
      </c>
      <c r="B26" s="96">
        <f>[3]Pinnacle!$HY$48</f>
        <v>0</v>
      </c>
      <c r="C26" s="88">
        <f>[3]MESA_UA!$HY$48</f>
        <v>0</v>
      </c>
      <c r="D26" s="96">
        <f>'[3]Sky West'!$HY$48</f>
        <v>0</v>
      </c>
      <c r="E26" s="96">
        <f>'[3]Sky West_UA'!$HY$48</f>
        <v>0</v>
      </c>
      <c r="F26" s="96">
        <f>'[3]Sky West_AS'!$HY$48</f>
        <v>0</v>
      </c>
      <c r="G26" s="96">
        <f>'[3]Sky West_AA'!$HY$48</f>
        <v>0</v>
      </c>
      <c r="H26" s="96">
        <f>[3]Republic!$HY$48</f>
        <v>0</v>
      </c>
      <c r="I26" s="96">
        <f>[3]Republic_UA!$HY$48</f>
        <v>0</v>
      </c>
      <c r="J26" s="96">
        <f>'[3]Sky Regional'!$HY$48</f>
        <v>0</v>
      </c>
      <c r="K26" s="96">
        <f>'[3]American Eagle'!$HY$48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38</v>
      </c>
      <c r="H27" s="106">
        <f t="shared" si="13"/>
        <v>776</v>
      </c>
      <c r="I27" s="106">
        <f t="shared" si="13"/>
        <v>0</v>
      </c>
      <c r="J27" s="106">
        <f t="shared" si="13"/>
        <v>0</v>
      </c>
      <c r="K27" s="106">
        <f t="shared" si="13"/>
        <v>1252</v>
      </c>
      <c r="L27" s="106">
        <f t="shared" si="13"/>
        <v>1524</v>
      </c>
      <c r="M27" s="107">
        <f>SUM(B27:L27)</f>
        <v>3590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[3]Pinnacle!$HY$52</f>
        <v>0</v>
      </c>
      <c r="C30" s="88">
        <f>[3]MESA_UA!$HY$52</f>
        <v>0</v>
      </c>
      <c r="D30" s="96">
        <f>'[3]Sky West'!$HY$52</f>
        <v>0</v>
      </c>
      <c r="E30" s="96">
        <f>'[3]Sky West_UA'!$HY$52</f>
        <v>0</v>
      </c>
      <c r="F30" s="96">
        <f>'[3]Sky West_AS'!$HY$52</f>
        <v>0</v>
      </c>
      <c r="G30" s="96">
        <f>'[3]Sky West_AA'!$HY$52</f>
        <v>0</v>
      </c>
      <c r="H30" s="96">
        <f>[3]Republic!$HY$52</f>
        <v>0</v>
      </c>
      <c r="I30" s="96">
        <f>[3]Republic_UA!$HY$52</f>
        <v>0</v>
      </c>
      <c r="J30" s="96">
        <f>'[3]Sky Regional'!$HY$52</f>
        <v>0</v>
      </c>
      <c r="K30" s="96">
        <f>'[3]American Eagle'!$HY$52</f>
        <v>750</v>
      </c>
      <c r="L30" s="96">
        <f>'Other Regional'!L30</f>
        <v>1960</v>
      </c>
      <c r="M30" s="89">
        <f t="shared" ref="M30:M37" si="15">SUM(B30:L30)</f>
        <v>2710</v>
      </c>
    </row>
    <row r="31" spans="1:13" x14ac:dyDescent="0.2">
      <c r="A31" s="46" t="s">
        <v>60</v>
      </c>
      <c r="B31" s="96">
        <f>[3]Pinnacle!$HY$53</f>
        <v>0</v>
      </c>
      <c r="C31" s="88">
        <f>[3]MESA_UA!$HY$53</f>
        <v>0</v>
      </c>
      <c r="D31" s="96">
        <f>'[3]Sky West'!$HY$53</f>
        <v>0</v>
      </c>
      <c r="E31" s="96">
        <f>'[3]Sky West_UA'!$HY$53</f>
        <v>0</v>
      </c>
      <c r="F31" s="96">
        <f>'[3]Sky West_AS'!$HY$53</f>
        <v>0</v>
      </c>
      <c r="G31" s="96">
        <f>'[3]Sky West_AA'!$HY$53</f>
        <v>0</v>
      </c>
      <c r="H31" s="96">
        <f>[3]Republic!$HY$53</f>
        <v>0</v>
      </c>
      <c r="I31" s="96">
        <f>[3]Republic_UA!$HY$53</f>
        <v>0</v>
      </c>
      <c r="J31" s="96">
        <f>'[3]Sky Regional'!$HY$53</f>
        <v>0</v>
      </c>
      <c r="K31" s="96">
        <f>'[3]American Eagle'!$HY$53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0</v>
      </c>
      <c r="I32" s="106">
        <f t="shared" si="16"/>
        <v>0</v>
      </c>
      <c r="J32" s="106">
        <f t="shared" si="16"/>
        <v>0</v>
      </c>
      <c r="K32" s="106">
        <f t="shared" si="16"/>
        <v>750</v>
      </c>
      <c r="L32" s="106">
        <f>SUM(L30:L31)</f>
        <v>1960</v>
      </c>
      <c r="M32" s="107">
        <f t="shared" si="15"/>
        <v>2710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[3]Pinnacle!$HY$57</f>
        <v>0</v>
      </c>
      <c r="C35" s="88">
        <f>[3]MESA_UA!$HY$57</f>
        <v>0</v>
      </c>
      <c r="D35" s="96">
        <f>'[3]Sky West'!$HY$57</f>
        <v>0</v>
      </c>
      <c r="E35" s="96">
        <f>'[3]Sky West_UA'!$HY$57</f>
        <v>0</v>
      </c>
      <c r="F35" s="96">
        <f>'[3]Sky West_AS'!$HY$57</f>
        <v>0</v>
      </c>
      <c r="G35" s="96">
        <f>'[3]Sky West_AA'!$HY$57</f>
        <v>0</v>
      </c>
      <c r="H35" s="96">
        <f>[3]Republic!$HY$57</f>
        <v>0</v>
      </c>
      <c r="I35" s="96">
        <f>[3]Republic!$HY$57</f>
        <v>0</v>
      </c>
      <c r="J35" s="96">
        <f>[3]Republic!$HY$57</f>
        <v>0</v>
      </c>
      <c r="K35" s="96">
        <f>'[3]American Eagle'!$HY$57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[3]Pinnacle!$HY$58</f>
        <v>0</v>
      </c>
      <c r="C36" s="88">
        <f>[3]MESA_UA!$HY$58</f>
        <v>0</v>
      </c>
      <c r="D36" s="96">
        <f>'[3]Sky West'!$HY$58</f>
        <v>0</v>
      </c>
      <c r="E36" s="96">
        <f>'[3]Sky West_UA'!$HY$58</f>
        <v>0</v>
      </c>
      <c r="F36" s="96">
        <f>'[3]Sky West_AS'!$HY$58</f>
        <v>0</v>
      </c>
      <c r="G36" s="96">
        <f>'[3]Sky West_AA'!$HY$58</f>
        <v>0</v>
      </c>
      <c r="H36" s="96">
        <f>[3]Republic!$HY$58</f>
        <v>0</v>
      </c>
      <c r="I36" s="96">
        <f>[3]Republic!$HY$58</f>
        <v>0</v>
      </c>
      <c r="J36" s="96">
        <f>[3]Republic!$HY$58</f>
        <v>0</v>
      </c>
      <c r="K36" s="96">
        <f>'[3]American Eagle'!$HY$58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38</v>
      </c>
      <c r="H40" s="96">
        <f t="shared" si="20"/>
        <v>776</v>
      </c>
      <c r="I40" s="96">
        <f t="shared" si="20"/>
        <v>0</v>
      </c>
      <c r="J40" s="96">
        <f t="shared" si="20"/>
        <v>0</v>
      </c>
      <c r="K40" s="96">
        <f>SUM(K35,K30,K25)</f>
        <v>2002</v>
      </c>
      <c r="L40" s="96">
        <f>L35+L30+L25</f>
        <v>3484</v>
      </c>
      <c r="M40" s="89">
        <f>SUM(B40:L40)</f>
        <v>6300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38</v>
      </c>
      <c r="H42" s="109">
        <f t="shared" si="20"/>
        <v>776</v>
      </c>
      <c r="I42" s="109">
        <f t="shared" si="20"/>
        <v>0</v>
      </c>
      <c r="J42" s="109">
        <f t="shared" si="20"/>
        <v>0</v>
      </c>
      <c r="K42" s="109">
        <f>SUM(K37,K32,K27)</f>
        <v>2002</v>
      </c>
      <c r="L42" s="109">
        <f>SUM(L37,L32,L27)</f>
        <v>3484</v>
      </c>
      <c r="M42" s="110">
        <f>SUM(B42:L42)</f>
        <v>6300</v>
      </c>
    </row>
    <row r="44" spans="1:13" x14ac:dyDescent="0.2">
      <c r="A44" s="301" t="s">
        <v>121</v>
      </c>
      <c r="B44" s="255">
        <f>[3]Pinnacle!$HY$70+[3]Pinnacle!$HY$73</f>
        <v>15223</v>
      </c>
      <c r="D44" s="256">
        <f>'[3]Sky West'!$HY$70+'[3]Sky West'!$HY$73</f>
        <v>59776</v>
      </c>
      <c r="E44" s="2"/>
      <c r="F44" s="2"/>
      <c r="G44" s="2"/>
      <c r="L44" s="256">
        <f>+'Other Regional'!L46</f>
        <v>0</v>
      </c>
      <c r="M44" s="245">
        <f>SUM(B44:L44)</f>
        <v>74999</v>
      </c>
    </row>
    <row r="45" spans="1:13" x14ac:dyDescent="0.2">
      <c r="A45" s="314" t="s">
        <v>122</v>
      </c>
      <c r="B45" s="255">
        <f>[3]Pinnacle!$HY$71+[3]Pinnacle!$HY$74</f>
        <v>21639</v>
      </c>
      <c r="D45" s="256">
        <f>'[3]Sky West'!$HY$71+'[3]Sky West'!$HY$74</f>
        <v>104432</v>
      </c>
      <c r="E45" s="2"/>
      <c r="F45" s="2"/>
      <c r="G45" s="2"/>
      <c r="L45" s="256">
        <f>+'Other Regional'!L47</f>
        <v>0</v>
      </c>
      <c r="M45" s="245">
        <f>SUM(B45:L45)</f>
        <v>126071</v>
      </c>
    </row>
    <row r="46" spans="1:13" x14ac:dyDescent="0.2">
      <c r="A46" s="246" t="s">
        <v>123</v>
      </c>
      <c r="B46" s="247">
        <f>SUM(B44:B45)</f>
        <v>36862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August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D12" sqref="D1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44774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America'!$HY$22</f>
        <v>0</v>
      </c>
      <c r="C5" s="88">
        <f>'[3]Shuttle America_Delta'!$HY$22</f>
        <v>0</v>
      </c>
      <c r="D5" s="363">
        <f>[3]Horizon_AS!$HY$22+[3]Horizon_AS!$HY$32</f>
        <v>0</v>
      </c>
      <c r="E5" s="363">
        <f>'[3]Air Wisconsin'!$HY$22</f>
        <v>0</v>
      </c>
      <c r="F5" s="363">
        <f>[3]Jazz_AC!$HY$22+[3]Jazz_AC!$HY$32</f>
        <v>6632</v>
      </c>
      <c r="G5" s="363">
        <f>[3]PSA!$HY$22</f>
        <v>3084</v>
      </c>
      <c r="H5" s="88">
        <f>'[3]Atlantic Southeast'!$HY$22+'[3]Atlantic Southeast'!$HY$32</f>
        <v>0</v>
      </c>
      <c r="I5" s="88">
        <f>'[3]Continental Express'!$HY$22</f>
        <v>0</v>
      </c>
      <c r="J5" s="96">
        <f>'[3]Go Jet_UA'!$HY$22</f>
        <v>11</v>
      </c>
      <c r="K5" s="13">
        <f>'[3]Go Jet'!$HY$22+'[3]Go Jet'!$HY$32</f>
        <v>0</v>
      </c>
      <c r="L5" s="89">
        <f>SUM(B5:K5)</f>
        <v>9727</v>
      </c>
    </row>
    <row r="6" spans="1:12" s="6" customFormat="1" x14ac:dyDescent="0.2">
      <c r="A6" s="46" t="s">
        <v>31</v>
      </c>
      <c r="B6" s="88">
        <f>'[3]Shuttle America'!$HY$23</f>
        <v>0</v>
      </c>
      <c r="C6" s="88">
        <f>'[3]Shuttle America_Delta'!$HY$23</f>
        <v>0</v>
      </c>
      <c r="D6" s="363">
        <f>[3]Horizon_AS!$HY$23+[3]Horizon_AS!$HY$33</f>
        <v>0</v>
      </c>
      <c r="E6" s="363">
        <f>'[3]Air Wisconsin'!$HY$23</f>
        <v>0</v>
      </c>
      <c r="F6" s="363">
        <f>[3]Jazz_AC!$HY$23+[3]Jazz_AC!$HY$33</f>
        <v>6411</v>
      </c>
      <c r="G6" s="363">
        <f>[3]PSA!$HY$23</f>
        <v>2980</v>
      </c>
      <c r="H6" s="88">
        <f>'[3]Atlantic Southeast'!$HY$23+'[3]Atlantic Southeast'!$HY$33</f>
        <v>0</v>
      </c>
      <c r="I6" s="88">
        <f>'[3]Continental Express'!$HY$23</f>
        <v>0</v>
      </c>
      <c r="J6" s="96">
        <f>'[3]Go Jet_UA'!$HY$23</f>
        <v>26</v>
      </c>
      <c r="K6" s="7">
        <f>'[3]Go Jet'!$HY$23+'[3]Go Jet'!$HY$33</f>
        <v>0</v>
      </c>
      <c r="L6" s="93">
        <f>SUM(B6:K6)</f>
        <v>9417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0</v>
      </c>
      <c r="F7" s="106">
        <f t="shared" si="1"/>
        <v>13043</v>
      </c>
      <c r="G7" s="106">
        <f t="shared" si="0"/>
        <v>6064</v>
      </c>
      <c r="H7" s="106">
        <f t="shared" si="0"/>
        <v>0</v>
      </c>
      <c r="I7" s="106">
        <f t="shared" si="0"/>
        <v>0</v>
      </c>
      <c r="J7" s="106">
        <f t="shared" si="0"/>
        <v>37</v>
      </c>
      <c r="K7" s="106">
        <f>SUM(K5:K6)</f>
        <v>0</v>
      </c>
      <c r="L7" s="107">
        <f>SUM(B7:K7)</f>
        <v>19144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America'!$HY$27</f>
        <v>0</v>
      </c>
      <c r="C10" s="88">
        <f>'[3]Shuttle America_Delta'!$HY$27</f>
        <v>0</v>
      </c>
      <c r="D10" s="363">
        <f>[3]Horizon_AS!$HY$27+[3]Horizon_AS!$HY$37</f>
        <v>0</v>
      </c>
      <c r="E10" s="363">
        <f>'[3]Air Wisconsin'!$HY$27</f>
        <v>0</v>
      </c>
      <c r="F10" s="363">
        <f>[3]Jazz_AC!$HY$27+[3]Jazz_AC!$HY$37</f>
        <v>85</v>
      </c>
      <c r="G10" s="363">
        <f>[3]PSA!$HY$27</f>
        <v>100</v>
      </c>
      <c r="H10" s="13">
        <f>'[3]Atlantic Southeast'!$HY$27+'[3]Atlantic Southeast'!$HY$37</f>
        <v>0</v>
      </c>
      <c r="I10" s="88">
        <f>'[3]Continental Express'!$HY$27</f>
        <v>0</v>
      </c>
      <c r="J10" s="96">
        <f>'[3]Go Jet_UA'!$HY$27</f>
        <v>0</v>
      </c>
      <c r="K10" s="13">
        <f>'[3]Go Jet'!$HY$27+'[3]Go Jet'!$HY$37</f>
        <v>0</v>
      </c>
      <c r="L10" s="89">
        <f>SUM(B10:K10)</f>
        <v>185</v>
      </c>
    </row>
    <row r="11" spans="1:12" x14ac:dyDescent="0.2">
      <c r="A11" s="46" t="s">
        <v>33</v>
      </c>
      <c r="B11" s="88">
        <f>'[3]Shuttle America'!$HY$28</f>
        <v>0</v>
      </c>
      <c r="C11" s="88">
        <f>'[3]Shuttle America_Delta'!$HY$28</f>
        <v>0</v>
      </c>
      <c r="D11" s="363">
        <f>[3]Horizon_AS!$HY$28+[3]Horizon_AS!$HY$38</f>
        <v>0</v>
      </c>
      <c r="E11" s="363">
        <f>'[3]Air Wisconsin'!$HY$28</f>
        <v>0</v>
      </c>
      <c r="F11" s="363">
        <f>[3]Jazz_AC!$HY$28+[3]Jazz_AC!$HY$38</f>
        <v>84</v>
      </c>
      <c r="G11" s="363">
        <f>[3]PSA!$HY$28</f>
        <v>115</v>
      </c>
      <c r="H11" s="7">
        <f>'[3]Atlantic Southeast'!$HY$28+'[3]Atlantic Southeast'!$HY$38</f>
        <v>0</v>
      </c>
      <c r="I11" s="88">
        <f>'[3]Continental Express'!$HY$28</f>
        <v>0</v>
      </c>
      <c r="J11" s="96">
        <f>'[3]Go Jet_UA'!$HY$28</f>
        <v>3</v>
      </c>
      <c r="K11" s="7">
        <f>'[3]Go Jet'!$HY$28+'[3]Go Jet'!$HY$38</f>
        <v>0</v>
      </c>
      <c r="L11" s="93">
        <f>SUM(B11:K11)</f>
        <v>202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169</v>
      </c>
      <c r="G12" s="109">
        <f t="shared" si="2"/>
        <v>215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3</v>
      </c>
      <c r="K12" s="109">
        <f t="shared" ref="K12" si="5">SUM(K10:K11)</f>
        <v>0</v>
      </c>
      <c r="L12" s="110">
        <f>SUM(B12:K12)</f>
        <v>387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America'!$HY$4</f>
        <v>0</v>
      </c>
      <c r="C15" s="86">
        <f>'[3]Shuttle America_Delta'!$HY$4</f>
        <v>0</v>
      </c>
      <c r="D15" s="364">
        <f>[3]Horizon_AS!$HY$4</f>
        <v>0</v>
      </c>
      <c r="E15" s="364">
        <f>'[3]Air Wisconsin'!$HY$4</f>
        <v>0</v>
      </c>
      <c r="F15" s="364">
        <f>[3]Jazz_AC!$HY$4+[3]Jazz_AC!$HY$15</f>
        <v>114</v>
      </c>
      <c r="G15" s="364">
        <f>[3]PSA!$HY$4</f>
        <v>47</v>
      </c>
      <c r="H15" s="87">
        <f>'[3]Atlantic Southeast'!$HY$4+'[3]Atlantic Southeast'!$HY$15</f>
        <v>0</v>
      </c>
      <c r="I15" s="87">
        <f>'[3]Continental Express'!$HY$4</f>
        <v>0</v>
      </c>
      <c r="J15" s="86">
        <f>'[3]Go Jet_UA'!$HY$4</f>
        <v>1</v>
      </c>
      <c r="K15" s="13">
        <f>'[3]Go Jet'!$HY$4+'[3]Go Jet'!$HY$15</f>
        <v>0</v>
      </c>
      <c r="L15" s="89">
        <f>SUM(B15:K15)</f>
        <v>162</v>
      </c>
    </row>
    <row r="16" spans="1:12" x14ac:dyDescent="0.2">
      <c r="A16" s="46" t="s">
        <v>54</v>
      </c>
      <c r="B16" s="90">
        <f>'[3]Shuttle America'!$HY$5</f>
        <v>0</v>
      </c>
      <c r="C16" s="90">
        <f>'[3]Shuttle America_Delta'!$HY$5</f>
        <v>0</v>
      </c>
      <c r="D16" s="365">
        <f>[3]Horizon_AS!$HY$5</f>
        <v>0</v>
      </c>
      <c r="E16" s="365">
        <f>'[3]Air Wisconsin'!$HY$5</f>
        <v>0</v>
      </c>
      <c r="F16" s="365">
        <f>[3]Jazz_AC!$HY$5+[3]Jazz_AC!$HY$16</f>
        <v>114</v>
      </c>
      <c r="G16" s="365">
        <f>[3]PSA!$HY$5</f>
        <v>47</v>
      </c>
      <c r="H16" s="91">
        <f>'[3]Atlantic Southeast'!$HY$5+'[3]Atlantic Southeast'!$HY$16</f>
        <v>0</v>
      </c>
      <c r="I16" s="91">
        <f>'[3]Continental Express'!$HY$5</f>
        <v>0</v>
      </c>
      <c r="J16" s="90">
        <f>'[3]Go Jet_UA'!$HY$5</f>
        <v>1</v>
      </c>
      <c r="K16" s="7">
        <f>'[3]Go Jet'!$HY$5+'[3]Go Jet'!$HY$16</f>
        <v>0</v>
      </c>
      <c r="L16" s="93">
        <f>SUM(B16:K16)</f>
        <v>162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228</v>
      </c>
      <c r="G17" s="94">
        <f t="shared" si="6"/>
        <v>94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2</v>
      </c>
      <c r="K17" s="224">
        <f>SUM(K15:K16)</f>
        <v>0</v>
      </c>
      <c r="L17" s="95">
        <f t="shared" ref="L17:L21" si="9">SUM(B17:K17)</f>
        <v>324</v>
      </c>
    </row>
    <row r="18" spans="1:15" x14ac:dyDescent="0.2">
      <c r="A18" s="46" t="s">
        <v>56</v>
      </c>
      <c r="B18" s="96">
        <f>'[3]Shuttle America'!$HY$8</f>
        <v>0</v>
      </c>
      <c r="C18" s="96">
        <f>'[3]Shuttle America_Delta'!$HY$8</f>
        <v>0</v>
      </c>
      <c r="D18" s="96">
        <f>[3]Horizon_AS!$HY$8</f>
        <v>0</v>
      </c>
      <c r="E18" s="96">
        <f>'[3]Air Wisconsin'!$HY$8</f>
        <v>1</v>
      </c>
      <c r="F18" s="96">
        <f>[3]Jazz_AC!$HY$8</f>
        <v>0</v>
      </c>
      <c r="G18" s="96">
        <f>[3]PSA!$HY$8</f>
        <v>0</v>
      </c>
      <c r="H18" s="88">
        <f>'[3]Atlantic Southeast'!$HY$8</f>
        <v>0</v>
      </c>
      <c r="I18" s="88">
        <f>'[3]Continental Express'!$HY$8</f>
        <v>0</v>
      </c>
      <c r="J18" s="96">
        <f>'[3]Go Jet_UA'!$HY$8</f>
        <v>0</v>
      </c>
      <c r="K18" s="13">
        <f>'[3]Go Jet'!$HY$8</f>
        <v>0</v>
      </c>
      <c r="L18" s="89">
        <f t="shared" si="9"/>
        <v>1</v>
      </c>
      <c r="O18" s="304"/>
    </row>
    <row r="19" spans="1:15" x14ac:dyDescent="0.2">
      <c r="A19" s="46" t="s">
        <v>57</v>
      </c>
      <c r="B19" s="97">
        <f>'[3]Shuttle America'!$HY$9</f>
        <v>0</v>
      </c>
      <c r="C19" s="97">
        <f>'[3]Shuttle America_Delta'!$HY$9</f>
        <v>0</v>
      </c>
      <c r="D19" s="97">
        <f>[3]Horizon_AS!$HY$9</f>
        <v>0</v>
      </c>
      <c r="E19" s="97">
        <f>'[3]Air Wisconsin'!$HY$9</f>
        <v>1</v>
      </c>
      <c r="F19" s="97">
        <f>[3]Jazz_AC!$HY$9</f>
        <v>0</v>
      </c>
      <c r="G19" s="97">
        <f>[3]PSA!$HY$9</f>
        <v>0</v>
      </c>
      <c r="H19" s="92">
        <f>'[3]Atlantic Southeast'!$HY$9</f>
        <v>0</v>
      </c>
      <c r="I19" s="92">
        <f>'[3]Continental Express'!$HY$9</f>
        <v>0</v>
      </c>
      <c r="J19" s="97">
        <f>'[3]Go Jet_UA'!$HY$9</f>
        <v>0</v>
      </c>
      <c r="K19" s="7">
        <f>'[3]Go Jet'!$HY$9</f>
        <v>0</v>
      </c>
      <c r="L19" s="93">
        <f t="shared" si="9"/>
        <v>1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2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2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2</v>
      </c>
      <c r="F21" s="98">
        <f t="shared" si="14"/>
        <v>228</v>
      </c>
      <c r="G21" s="98">
        <f t="shared" si="13"/>
        <v>94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2</v>
      </c>
      <c r="K21" s="98">
        <f t="shared" ref="K21" si="16">SUM(K20,K17)</f>
        <v>0</v>
      </c>
      <c r="L21" s="99">
        <f t="shared" si="9"/>
        <v>326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America'!$HY$47</f>
        <v>0</v>
      </c>
      <c r="C25" s="96">
        <f>'[3]Shuttle America_Delta'!$HY$47</f>
        <v>0</v>
      </c>
      <c r="D25" s="96">
        <f>[3]Horizon_AS!$HY$47</f>
        <v>0</v>
      </c>
      <c r="E25" s="96">
        <f>'[3]Air Wisconsin'!$HY$47</f>
        <v>0</v>
      </c>
      <c r="F25" s="96">
        <f>[3]Jazz_AC!$HY$47</f>
        <v>1500</v>
      </c>
      <c r="G25" s="96">
        <f>[3]PSA!$HY$47</f>
        <v>24</v>
      </c>
      <c r="H25" s="88">
        <f>'[3]Atlantic Southeast'!$HY$47</f>
        <v>0</v>
      </c>
      <c r="I25" s="88">
        <f>'[3]Continental Express'!$HY$47</f>
        <v>0</v>
      </c>
      <c r="J25" s="96">
        <f>'[3]Go Jet_UA'!$HY$47</f>
        <v>0</v>
      </c>
      <c r="K25" s="96">
        <f>'[3]Go Jet'!$HY$47</f>
        <v>0</v>
      </c>
      <c r="L25" s="89">
        <f>SUM(B25:K25)</f>
        <v>1524</v>
      </c>
    </row>
    <row r="26" spans="1:15" x14ac:dyDescent="0.2">
      <c r="A26" s="46" t="s">
        <v>38</v>
      </c>
      <c r="B26" s="96">
        <f>'[3]Shuttle America'!$HY$48</f>
        <v>0</v>
      </c>
      <c r="C26" s="96">
        <f>'[3]Shuttle America_Delta'!$HY$48</f>
        <v>0</v>
      </c>
      <c r="D26" s="96">
        <f>[3]Horizon_AS!$HY$48</f>
        <v>0</v>
      </c>
      <c r="E26" s="96">
        <f>'[3]Air Wisconsin'!$HY$48</f>
        <v>0</v>
      </c>
      <c r="F26" s="96">
        <f>[3]Jazz_AC!$HY$48</f>
        <v>0</v>
      </c>
      <c r="G26" s="96">
        <f>[3]PSA!$HY$48</f>
        <v>0</v>
      </c>
      <c r="H26" s="88">
        <f>'[3]Atlantic Southeast'!$HY$48</f>
        <v>0</v>
      </c>
      <c r="I26" s="88">
        <f>'[3]Continental Express'!$HY$48</f>
        <v>0</v>
      </c>
      <c r="J26" s="96">
        <f>'[3]Go Jet_UA'!$HY$48</f>
        <v>0</v>
      </c>
      <c r="K26" s="96">
        <f>'[3]Go Jet'!$HY$48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1500</v>
      </c>
      <c r="G27" s="106">
        <f t="shared" si="17"/>
        <v>24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1524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America'!$HY$52</f>
        <v>0</v>
      </c>
      <c r="C30" s="96">
        <f>'[3]Shuttle America_Delta'!$HY$52</f>
        <v>0</v>
      </c>
      <c r="D30" s="96">
        <f>[3]Horizon_AS!$HY$52</f>
        <v>0</v>
      </c>
      <c r="E30" s="96">
        <f>'[3]Air Wisconsin'!$HY$52</f>
        <v>0</v>
      </c>
      <c r="F30" s="96">
        <f>[3]Jazz_AC!$HY$52</f>
        <v>1950</v>
      </c>
      <c r="G30" s="96">
        <f>[3]PSA!$HY$52</f>
        <v>10</v>
      </c>
      <c r="H30" s="88">
        <f>'[3]Atlantic Southeast'!$HY$52</f>
        <v>0</v>
      </c>
      <c r="I30" s="88">
        <f>'[3]Continental Express'!$HY$52</f>
        <v>0</v>
      </c>
      <c r="J30" s="96">
        <f>'[3]Go Jet_UA'!$HY$52</f>
        <v>0</v>
      </c>
      <c r="K30" s="96">
        <f>'[3]Go Jet'!$HY$52</f>
        <v>0</v>
      </c>
      <c r="L30" s="89">
        <f>SUM(B30:K30)</f>
        <v>1960</v>
      </c>
    </row>
    <row r="31" spans="1:15" x14ac:dyDescent="0.2">
      <c r="A31" s="46" t="s">
        <v>60</v>
      </c>
      <c r="B31" s="96">
        <f>'[3]Shuttle America'!$HY$53</f>
        <v>0</v>
      </c>
      <c r="C31" s="96">
        <f>'[3]Shuttle America_Delta'!$HY$53</f>
        <v>0</v>
      </c>
      <c r="D31" s="96">
        <f>[3]Horizon_AS!$HY$53</f>
        <v>0</v>
      </c>
      <c r="E31" s="96">
        <f>'[3]Air Wisconsin'!$HY$53</f>
        <v>0</v>
      </c>
      <c r="F31" s="96">
        <f>[3]Jazz_AC!$HY$53</f>
        <v>0</v>
      </c>
      <c r="G31" s="96">
        <f>[3]PSA!$HY$53</f>
        <v>0</v>
      </c>
      <c r="H31" s="88">
        <f>'[3]Atlantic Southeast'!$HY$53</f>
        <v>0</v>
      </c>
      <c r="I31" s="88">
        <f>'[3]Continental Express'!$HY$53</f>
        <v>0</v>
      </c>
      <c r="J31" s="96">
        <f>'[3]Go Jet_UA'!$HY$53</f>
        <v>0</v>
      </c>
      <c r="K31" s="96">
        <f>'[3]Go Jet'!$HY$53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1950</v>
      </c>
      <c r="G32" s="106">
        <f t="shared" si="20"/>
        <v>10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1960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America'!$HY$57</f>
        <v>0</v>
      </c>
      <c r="C35" s="96">
        <f>'[3]Shuttle America_Delta'!$HY$57</f>
        <v>0</v>
      </c>
      <c r="D35" s="96">
        <f>[3]Horizon_AS!$HY$57</f>
        <v>0</v>
      </c>
      <c r="E35" s="96">
        <f>'[3]Air Wisconsin'!$HY$57</f>
        <v>0</v>
      </c>
      <c r="F35" s="96">
        <f>[3]Jazz_AC!$HY$57</f>
        <v>0</v>
      </c>
      <c r="G35" s="96">
        <f>[3]PSA!$HY$57</f>
        <v>0</v>
      </c>
      <c r="H35" s="88">
        <f>'[3]Atlantic Southeast'!$HY$57</f>
        <v>0</v>
      </c>
      <c r="I35" s="88">
        <f>'[3]Continental Express'!$HY$57</f>
        <v>0</v>
      </c>
      <c r="J35" s="96">
        <f>'[3]Go Jet_UA'!$AJ$57</f>
        <v>0</v>
      </c>
      <c r="K35" s="96">
        <f>'[3]Go Jet'!$HY$57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3450</v>
      </c>
      <c r="G40" s="96">
        <f t="shared" si="27"/>
        <v>34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3484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3450</v>
      </c>
      <c r="G42" s="109">
        <f t="shared" si="33"/>
        <v>34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3484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America_Delta'!$HY$70+'[3]Shuttle America_Delta'!$HY$73</f>
        <v>0</v>
      </c>
      <c r="D46" s="2"/>
      <c r="E46" s="2"/>
      <c r="H46" s="256">
        <f>'[3]Atlantic Southeast'!$HY$70+'[3]Atlantic Southeast'!$HY$73</f>
        <v>0</v>
      </c>
      <c r="K46" s="256">
        <f>'[3]Go Jet'!$HY$70+'[3]Go Jet'!$HY$73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America_Delta'!$HY$71+'[3]Shuttle America_Delta'!$HY$74</f>
        <v>0</v>
      </c>
      <c r="D47" s="2"/>
      <c r="E47" s="2"/>
      <c r="H47" s="256">
        <f>'[3]Atlantic Southeast'!$HY$71+'[3]Atlantic Southeast'!$HY$74</f>
        <v>0</v>
      </c>
      <c r="K47" s="256">
        <f>'[3]Go Jet'!$HY$71+'[3]Go Jet'!$HY$74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August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6" zoomScale="115" zoomScaleNormal="115" workbookViewId="0">
      <selection activeCell="I14" sqref="I1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44774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Misc'!$HY$22</f>
        <v>0</v>
      </c>
      <c r="C5" s="152">
        <f>[3]Ryan!$HY$22</f>
        <v>0</v>
      </c>
      <c r="D5" s="152">
        <f>'[3]Charter Misc'!$HY$32</f>
        <v>0</v>
      </c>
      <c r="E5" s="152">
        <f>[3]Omni!$HY$32+[3]Omni!$HY$22</f>
        <v>0</v>
      </c>
      <c r="F5" s="152">
        <f>[3]Xtra!$HY$32+[3]Xtra!$HY$22</f>
        <v>0</v>
      </c>
      <c r="G5" s="273">
        <f>SUM(B5:F5)</f>
        <v>0</v>
      </c>
    </row>
    <row r="6" spans="1:17" x14ac:dyDescent="0.2">
      <c r="A6" s="46" t="s">
        <v>31</v>
      </c>
      <c r="B6" s="339">
        <f>'[3]Charter Misc'!$HY$23</f>
        <v>0</v>
      </c>
      <c r="C6" s="155">
        <f>[3]Ryan!$HY$23</f>
        <v>0</v>
      </c>
      <c r="D6" s="155">
        <f>'[3]Charter Misc'!$HY$33</f>
        <v>0</v>
      </c>
      <c r="E6" s="155">
        <f>[3]Omni!$HY$33+[3]Omni!$HY$23</f>
        <v>0</v>
      </c>
      <c r="F6" s="155">
        <f>[3]Xtra!$HY$33+[3]Xtra!$HY$23</f>
        <v>0</v>
      </c>
      <c r="G6" s="272">
        <f>SUM(B6:F6)</f>
        <v>0</v>
      </c>
    </row>
    <row r="7" spans="1:17" ht="15.75" thickBot="1" x14ac:dyDescent="0.3">
      <c r="A7" s="151" t="s">
        <v>7</v>
      </c>
      <c r="B7" s="340">
        <f>SUM(B5:B6)</f>
        <v>0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0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Misc'!$HY$4</f>
        <v>0</v>
      </c>
      <c r="C10" s="152">
        <f>[3]Ryan!$HY$4</f>
        <v>0</v>
      </c>
      <c r="D10" s="152">
        <f>'[3]Charter Misc'!$HY$15</f>
        <v>0</v>
      </c>
      <c r="E10" s="152">
        <f>[3]Omni!$HY$15</f>
        <v>0</v>
      </c>
      <c r="F10" s="152">
        <f>[3]Xtra!$HY$15+[3]Xtra!$HY$4</f>
        <v>0</v>
      </c>
      <c r="G10" s="272">
        <f>SUM(B10:F10)</f>
        <v>0</v>
      </c>
    </row>
    <row r="11" spans="1:17" x14ac:dyDescent="0.2">
      <c r="A11" s="150" t="s">
        <v>80</v>
      </c>
      <c r="B11" s="338">
        <f>'[3]Charter Misc'!$HY$5</f>
        <v>0</v>
      </c>
      <c r="C11" s="152">
        <f>[3]Ryan!$HY$5</f>
        <v>0</v>
      </c>
      <c r="D11" s="152">
        <f>'[3]Charter Misc'!$HY$16</f>
        <v>0</v>
      </c>
      <c r="E11" s="152">
        <f>[3]Omni!$HY$16+[3]Omni!$HY$5</f>
        <v>0</v>
      </c>
      <c r="F11" s="152">
        <f>[3]Xtra!$HY$16+[3]Xtra!$HY$5</f>
        <v>0</v>
      </c>
      <c r="G11" s="272">
        <f>SUM(B11:F11)</f>
        <v>0</v>
      </c>
    </row>
    <row r="12" spans="1:17" ht="15.75" thickBot="1" x14ac:dyDescent="0.3">
      <c r="A12" s="215" t="s">
        <v>28</v>
      </c>
      <c r="B12" s="342">
        <f>SUM(B10:B11)</f>
        <v>0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0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 t="shared" ref="N21:N26" si="3"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4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5">L22-B22</f>
        <v>947971</v>
      </c>
      <c r="H22" s="437">
        <f t="shared" ref="H22" si="6">M22-C22</f>
        <v>977482</v>
      </c>
      <c r="I22" s="437">
        <f t="shared" ref="I22" si="7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 t="shared" si="3"/>
        <v>2095351</v>
      </c>
      <c r="O22" s="270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9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10">L23-B23</f>
        <v>1278578</v>
      </c>
      <c r="H23" s="437">
        <f t="shared" ref="H23" si="11">M23-C23</f>
        <v>1301724</v>
      </c>
      <c r="I23" s="437">
        <f t="shared" ref="I23" si="12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 t="shared" si="3"/>
        <v>2828968</v>
      </c>
      <c r="O23" s="270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8">
        <f>+[10]Charter!B24</f>
        <v>82562</v>
      </c>
      <c r="C24" s="437">
        <f>+[10]Charter!C24</f>
        <v>71256</v>
      </c>
      <c r="D24" s="437">
        <f t="shared" ref="D24" si="13">SUM(B24:C24)</f>
        <v>153818</v>
      </c>
      <c r="E24" s="270">
        <f>[11]Charter!D24</f>
        <v>49936</v>
      </c>
      <c r="F24" s="189">
        <f t="shared" si="0"/>
        <v>2.0803027875680873</v>
      </c>
      <c r="G24" s="438">
        <f t="shared" ref="G24" si="14">L24-B24</f>
        <v>1258721</v>
      </c>
      <c r="H24" s="437">
        <f t="shared" ref="H24" si="15">M24-C24</f>
        <v>1186481</v>
      </c>
      <c r="I24" s="437">
        <f t="shared" ref="I24" si="16">SUM(G24:H24)</f>
        <v>2445202</v>
      </c>
      <c r="J24" s="270">
        <f>[11]Charter!I24</f>
        <v>1634797</v>
      </c>
      <c r="K24" s="190">
        <f t="shared" si="2"/>
        <v>0.49572209882939594</v>
      </c>
      <c r="L24" s="438">
        <f>+[10]Charter!L24</f>
        <v>1341283</v>
      </c>
      <c r="M24" s="437">
        <f>+[10]Charter!M24</f>
        <v>1257737</v>
      </c>
      <c r="N24" s="437">
        <f t="shared" si="3"/>
        <v>2599020</v>
      </c>
      <c r="O24" s="270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8">
        <f>+[12]Charter!B25</f>
        <v>57347</v>
      </c>
      <c r="C25" s="437">
        <f>+[12]Charter!C25</f>
        <v>73929</v>
      </c>
      <c r="D25" s="437">
        <f t="shared" ref="D25" si="17">SUM(B25:C25)</f>
        <v>131276</v>
      </c>
      <c r="E25" s="270">
        <f>[13]Charter!D25</f>
        <v>31864</v>
      </c>
      <c r="F25" s="178">
        <f t="shared" si="0"/>
        <v>3.1198845091639469</v>
      </c>
      <c r="G25" s="438">
        <f t="shared" ref="G25" si="18">L25-B25</f>
        <v>1304355</v>
      </c>
      <c r="H25" s="437">
        <f t="shared" ref="H25" si="19">M25-C25</f>
        <v>1261482</v>
      </c>
      <c r="I25" s="437">
        <f t="shared" ref="I25" si="20">SUM(G25:H25)</f>
        <v>2565837</v>
      </c>
      <c r="J25" s="270">
        <f>[13]Charter!I25</f>
        <v>2056407</v>
      </c>
      <c r="K25" s="184">
        <f t="shared" si="2"/>
        <v>0.24772819777407876</v>
      </c>
      <c r="L25" s="438">
        <f>+[12]Charter!L25</f>
        <v>1361702</v>
      </c>
      <c r="M25" s="437">
        <f>+[12]Charter!M25</f>
        <v>1335411</v>
      </c>
      <c r="N25" s="437">
        <f t="shared" si="3"/>
        <v>2697113</v>
      </c>
      <c r="O25" s="270">
        <f>[13]Charter!N25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8">
        <f>+[14]Charter!B26</f>
        <v>85825</v>
      </c>
      <c r="C26" s="437">
        <f>+[14]Charter!C26</f>
        <v>94178</v>
      </c>
      <c r="D26" s="437">
        <f t="shared" ref="D26" si="21">SUM(B26:C26)</f>
        <v>180003</v>
      </c>
      <c r="E26" s="270">
        <f>[15]Charter!D26</f>
        <v>42467</v>
      </c>
      <c r="F26" s="189">
        <f t="shared" si="0"/>
        <v>3.2386558975204278</v>
      </c>
      <c r="G26" s="438">
        <f t="shared" ref="G26" si="22">L26-B26</f>
        <v>1343898</v>
      </c>
      <c r="H26" s="437">
        <f t="shared" ref="H26" si="23">M26-C26</f>
        <v>1322980</v>
      </c>
      <c r="I26" s="437">
        <f t="shared" ref="I26" si="24">SUM(G26:H26)</f>
        <v>2666878</v>
      </c>
      <c r="J26" s="270">
        <f>[15]Charter!I26</f>
        <v>2395931</v>
      </c>
      <c r="K26" s="190">
        <f t="shared" si="2"/>
        <v>0.11308631175104793</v>
      </c>
      <c r="L26" s="438">
        <f>+[14]Charter!L26</f>
        <v>1429723</v>
      </c>
      <c r="M26" s="437">
        <f>+[14]Charter!M26</f>
        <v>1417158</v>
      </c>
      <c r="N26" s="437">
        <f t="shared" si="3"/>
        <v>2846881</v>
      </c>
      <c r="O26" s="270">
        <f>[15]Charter!N26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438">
        <f>+[2]Charter!B27</f>
        <v>94721</v>
      </c>
      <c r="C27" s="437">
        <f>+[2]Charter!C27</f>
        <v>85909</v>
      </c>
      <c r="D27" s="437">
        <f t="shared" ref="D27" si="25">SUM(B27:C27)</f>
        <v>180630</v>
      </c>
      <c r="E27" s="270">
        <f>[16]Charter!D27</f>
        <v>63577</v>
      </c>
      <c r="F27" s="178">
        <f t="shared" si="0"/>
        <v>1.8411217893263288</v>
      </c>
      <c r="G27" s="438">
        <f t="shared" ref="G27" si="26">L27-B27</f>
        <v>1385146</v>
      </c>
      <c r="H27" s="437">
        <f t="shared" ref="H27" si="27">M27-C27</f>
        <v>1393042</v>
      </c>
      <c r="I27" s="437">
        <f t="shared" ref="I27" si="28">SUM(G27:H27)</f>
        <v>2778188</v>
      </c>
      <c r="J27" s="270">
        <f>[16]Charter!I27</f>
        <v>2795105</v>
      </c>
      <c r="K27" s="184">
        <f t="shared" si="2"/>
        <v>-6.0523665479472145E-3</v>
      </c>
      <c r="L27" s="438">
        <f>+[2]Charter!L27</f>
        <v>1479867</v>
      </c>
      <c r="M27" s="437">
        <f>+[2]Charter!M27</f>
        <v>1478951</v>
      </c>
      <c r="N27" s="437">
        <f t="shared" ref="N27" si="29">SUM(L27:M27)</f>
        <v>2958818</v>
      </c>
      <c r="O27" s="270">
        <f>[16]Charter!N27</f>
        <v>2858682</v>
      </c>
      <c r="P27" s="178">
        <f t="shared" si="8"/>
        <v>3.5028730023136535E-2</v>
      </c>
    </row>
    <row r="28" spans="1:16" ht="14.1" customHeight="1" x14ac:dyDescent="0.2">
      <c r="A28" s="188" t="s">
        <v>108</v>
      </c>
      <c r="B28" s="438">
        <f>+'Intl Detail'!$Q$4+'Intl Detail'!$Q$9</f>
        <v>94137</v>
      </c>
      <c r="C28" s="437">
        <f>+'Intl Detail'!$Q$5+'Intl Detail'!$Q$10</f>
        <v>87466</v>
      </c>
      <c r="D28" s="437">
        <f t="shared" ref="D28" si="30">SUM(B28:C28)</f>
        <v>181603</v>
      </c>
      <c r="E28" s="270">
        <f>[1]Charter!D28</f>
        <v>67922</v>
      </c>
      <c r="F28" s="189">
        <f t="shared" si="0"/>
        <v>1.6736992432496098</v>
      </c>
      <c r="G28" s="438">
        <f t="shared" ref="G28" si="31">L28-B28</f>
        <v>1367706</v>
      </c>
      <c r="H28" s="437">
        <f t="shared" ref="H28" si="32">M28-C28</f>
        <v>1363902</v>
      </c>
      <c r="I28" s="437">
        <f t="shared" ref="I28" si="33">SUM(G28:H28)</f>
        <v>2731608</v>
      </c>
      <c r="J28" s="270">
        <f>[1]Charter!I28</f>
        <v>2595445</v>
      </c>
      <c r="K28" s="190">
        <f t="shared" si="2"/>
        <v>5.2462294519822227E-2</v>
      </c>
      <c r="L28" s="438">
        <f>+'Monthly Summary'!$B$11</f>
        <v>1461843</v>
      </c>
      <c r="M28" s="437">
        <f>+'Monthly Summary'!$C$11</f>
        <v>1451368</v>
      </c>
      <c r="N28" s="437">
        <f t="shared" ref="N28" si="34">SUM(L28:M28)</f>
        <v>2913211</v>
      </c>
      <c r="O28" s="270">
        <f>[1]Charter!N28</f>
        <v>2663367</v>
      </c>
      <c r="P28" s="189">
        <f t="shared" si="8"/>
        <v>9.3807575148299127E-2</v>
      </c>
    </row>
    <row r="29" spans="1:16" ht="14.1" customHeight="1" x14ac:dyDescent="0.2">
      <c r="A29" s="175" t="s">
        <v>109</v>
      </c>
      <c r="B29" s="262"/>
      <c r="C29" s="264"/>
      <c r="D29" s="437"/>
      <c r="E29" s="270"/>
      <c r="F29" s="178" t="e">
        <f t="shared" si="0"/>
        <v>#DIV/0!</v>
      </c>
      <c r="G29" s="262"/>
      <c r="H29" s="264"/>
      <c r="I29" s="263"/>
      <c r="J29" s="270"/>
      <c r="K29" s="184" t="e">
        <f t="shared" si="2"/>
        <v>#DIV/0!</v>
      </c>
      <c r="L29" s="262"/>
      <c r="M29" s="264"/>
      <c r="N29" s="263"/>
      <c r="O29" s="270"/>
      <c r="P29" s="178" t="e">
        <f t="shared" si="8"/>
        <v>#DIV/0!</v>
      </c>
    </row>
    <row r="30" spans="1:16" ht="14.1" customHeight="1" x14ac:dyDescent="0.2">
      <c r="A30" s="188" t="s">
        <v>110</v>
      </c>
      <c r="B30" s="262"/>
      <c r="C30" s="264"/>
      <c r="D30" s="437"/>
      <c r="E30" s="270"/>
      <c r="F30" s="189" t="e">
        <f t="shared" si="0"/>
        <v>#DIV/0!</v>
      </c>
      <c r="G30" s="262"/>
      <c r="H30" s="264"/>
      <c r="I30" s="263"/>
      <c r="J30" s="270"/>
      <c r="K30" s="190" t="e">
        <f t="shared" si="2"/>
        <v>#DIV/0!</v>
      </c>
      <c r="L30" s="262"/>
      <c r="M30" s="264"/>
      <c r="N30" s="263"/>
      <c r="O30" s="270"/>
      <c r="P30" s="189" t="e">
        <f t="shared" si="8"/>
        <v>#DIV/0!</v>
      </c>
    </row>
    <row r="31" spans="1:16" ht="14.1" customHeight="1" x14ac:dyDescent="0.2">
      <c r="A31" s="175" t="s">
        <v>111</v>
      </c>
      <c r="B31" s="262"/>
      <c r="C31" s="264"/>
      <c r="D31" s="437"/>
      <c r="E31" s="270"/>
      <c r="F31" s="178" t="e">
        <f t="shared" si="0"/>
        <v>#DIV/0!</v>
      </c>
      <c r="G31" s="262"/>
      <c r="H31" s="264"/>
      <c r="I31" s="263"/>
      <c r="J31" s="270"/>
      <c r="K31" s="184" t="e">
        <f t="shared" si="2"/>
        <v>#DIV/0!</v>
      </c>
      <c r="L31" s="262"/>
      <c r="M31" s="264"/>
      <c r="N31" s="263"/>
      <c r="O31" s="270"/>
      <c r="P31" s="178" t="e">
        <f t="shared" si="8"/>
        <v>#DIV/0!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8"/>
        <v>#DIV/0!</v>
      </c>
    </row>
    <row r="33" spans="1:16" ht="13.5" thickBot="1" x14ac:dyDescent="0.25">
      <c r="A33" s="185" t="s">
        <v>76</v>
      </c>
      <c r="B33" s="195">
        <f>SUM(B21:B32)</f>
        <v>698859</v>
      </c>
      <c r="C33" s="196">
        <f>SUM(C21:C32)</f>
        <v>701349</v>
      </c>
      <c r="D33" s="196">
        <f>SUM(D21:D32)</f>
        <v>1400208</v>
      </c>
      <c r="E33" s="197">
        <f>SUM(E21:E32)</f>
        <v>436639</v>
      </c>
      <c r="F33" s="180">
        <f>(D33-E33)/E33</f>
        <v>2.2067863841754858</v>
      </c>
      <c r="G33" s="198">
        <f>SUM(G21:G32)</f>
        <v>9801050</v>
      </c>
      <c r="H33" s="196">
        <f>SUM(H21:H32)</f>
        <v>9734926</v>
      </c>
      <c r="I33" s="196">
        <f>SUM(I21:I32)</f>
        <v>19535976</v>
      </c>
      <c r="J33" s="199">
        <f>SUM(J21:J32)</f>
        <v>15251510</v>
      </c>
      <c r="K33" s="181">
        <f>(I33-J33)/J33</f>
        <v>0.28092077440201002</v>
      </c>
      <c r="L33" s="198">
        <f>SUM(L21:L32)</f>
        <v>10499909</v>
      </c>
      <c r="M33" s="196">
        <f>SUM(M21:M32)</f>
        <v>10436275</v>
      </c>
      <c r="N33" s="196">
        <f>SUM(N21:N32)</f>
        <v>20936184</v>
      </c>
      <c r="O33" s="197">
        <f>SUM(O21:O32)</f>
        <v>15688149</v>
      </c>
      <c r="P33" s="179">
        <f>(N33-O33)/O33</f>
        <v>0.33452225625852994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August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E6" sqref="E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44774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248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Air'!$HY$4</f>
        <v>32</v>
      </c>
      <c r="C4" s="133">
        <f>[3]DHL!$HY$4+[3]DHL_Atlas!$HY$4+[3]DHL_Atlas!$HY$8+[3]DHL_Atlas!$HY$15</f>
        <v>0</v>
      </c>
      <c r="D4" s="133">
        <f>[3]Airborne!$HY$4+[3]Airborne!$HY$15</f>
        <v>0</v>
      </c>
      <c r="E4" s="96">
        <f>[3]DHL_Bemidji!$HY$4</f>
        <v>44</v>
      </c>
      <c r="F4" s="96">
        <f>[3]Bemidji!$HY$4</f>
        <v>212</v>
      </c>
      <c r="G4" s="133">
        <f>[3]DHL_Encore!$HY$4+[3]DHL_Encore!$HY$15</f>
        <v>0</v>
      </c>
      <c r="H4" s="133">
        <f>[3]DHL_Mesa!$HY$4+[3]DHL_Mesa!$HY$15</f>
        <v>42</v>
      </c>
      <c r="I4" s="133">
        <f>[3]Encore!$HY$4+[3]Encore!$HY$15</f>
        <v>0</v>
      </c>
      <c r="J4" s="133">
        <f>[3]FedEx!$HY$4+[3]FedEx!$HY$15</f>
        <v>131</v>
      </c>
      <c r="K4" s="133">
        <f>[3]IFL!$HY$4+[3]IFL!$HY$15</f>
        <v>17</v>
      </c>
      <c r="L4" s="133">
        <f>[3]DHL_Kalitta!$HY$4+[3]DHL_Kalitta!$HY$15</f>
        <v>0</v>
      </c>
      <c r="M4" s="96">
        <f>'[3]Mountain Cargo'!$HY$4</f>
        <v>22</v>
      </c>
      <c r="N4" s="133">
        <f>[3]DHL_Southair!$HY$4+[3]DHL_Southair!$HY$15</f>
        <v>0</v>
      </c>
      <c r="O4" s="133">
        <f>[3]DHL_Swift!$HY$4+[3]DHL_Swift!$HY$15</f>
        <v>4</v>
      </c>
      <c r="P4" s="133">
        <f>+'[3]Sun Country Cargo'!$HY$4+'[3]Sun Country Cargo'!$HY$8+'[3]Sun Country Cargo'!$HY$15</f>
        <v>35</v>
      </c>
      <c r="Q4" s="133">
        <f>[3]UPS!$HY$4+[3]UPS!$HY$15</f>
        <v>135</v>
      </c>
      <c r="R4" s="96">
        <f>'[3]Misc Cargo'!$HY$4</f>
        <v>0</v>
      </c>
      <c r="S4" s="403">
        <f>SUM(B4:R4)</f>
        <v>674</v>
      </c>
      <c r="U4" s="370"/>
      <c r="V4" s="363"/>
      <c r="W4" s="231"/>
    </row>
    <row r="5" spans="1:23" x14ac:dyDescent="0.2">
      <c r="A5" s="38" t="s">
        <v>54</v>
      </c>
      <c r="B5" s="404">
        <f>'[3]Atlas Air'!$HY$5</f>
        <v>32</v>
      </c>
      <c r="C5" s="157">
        <f>[3]DHL!$HY$5+[3]DHL_Atlas!$HY$5+[3]DHL_Atlas!$HY$9+[3]DHL_Atlas!$HY$16</f>
        <v>0</v>
      </c>
      <c r="D5" s="157">
        <f>[3]Airborne!$HY$5</f>
        <v>0</v>
      </c>
      <c r="E5" s="97">
        <f>[3]DHL_Bemidji!$HY$5</f>
        <v>44</v>
      </c>
      <c r="F5" s="97">
        <f>[3]Bemidji!$HY$5</f>
        <v>212</v>
      </c>
      <c r="G5" s="157">
        <f>[3]DHL_Encore!$HY$5</f>
        <v>0</v>
      </c>
      <c r="H5" s="157">
        <f>[3]DHL_Mesa!$HY$5</f>
        <v>42</v>
      </c>
      <c r="I5" s="157">
        <f>[3]Encore!$HY$5</f>
        <v>0</v>
      </c>
      <c r="J5" s="157">
        <f>[3]FedEx!$HY$5</f>
        <v>131</v>
      </c>
      <c r="K5" s="157">
        <f>[3]IFL!$HY$5</f>
        <v>17</v>
      </c>
      <c r="L5" s="157">
        <f>[3]DHL_Kalitta!$HY$5</f>
        <v>0</v>
      </c>
      <c r="M5" s="97">
        <f>'[3]Mountain Cargo'!$HY$5</f>
        <v>22</v>
      </c>
      <c r="N5" s="157">
        <f>[3]DHL_Southair!$HY$5</f>
        <v>0</v>
      </c>
      <c r="O5" s="157">
        <f>[3]DHL_Swift!$HY$5</f>
        <v>4</v>
      </c>
      <c r="P5" s="157">
        <f>+'[3]Sun Country Cargo'!$HY$5+'[3]Sun Country Cargo'!$HY$9+'[3]Sun Country Cargo'!$HY$16</f>
        <v>36</v>
      </c>
      <c r="Q5" s="157">
        <f>[3]UPS!$HY$5+[3]UPS!$HY$16</f>
        <v>134</v>
      </c>
      <c r="R5" s="97">
        <f>'[3]Misc Cargo'!$HY$5</f>
        <v>0</v>
      </c>
      <c r="S5" s="403">
        <f>SUM(B5:R5)</f>
        <v>674</v>
      </c>
      <c r="U5" s="370"/>
      <c r="V5" s="363"/>
      <c r="W5" s="231"/>
    </row>
    <row r="6" spans="1:23" s="156" customFormat="1" x14ac:dyDescent="0.2">
      <c r="A6" s="160" t="s">
        <v>55</v>
      </c>
      <c r="B6" s="405">
        <f t="shared" ref="B6:R6" si="0">SUM(B4:B5)</f>
        <v>64</v>
      </c>
      <c r="C6" s="406">
        <f t="shared" si="0"/>
        <v>0</v>
      </c>
      <c r="D6" s="406">
        <f t="shared" ref="D6:E6" si="1">SUM(D4:D5)</f>
        <v>0</v>
      </c>
      <c r="E6" s="94">
        <f t="shared" si="1"/>
        <v>88</v>
      </c>
      <c r="F6" s="94">
        <f t="shared" si="0"/>
        <v>424</v>
      </c>
      <c r="G6" s="406">
        <f t="shared" si="0"/>
        <v>0</v>
      </c>
      <c r="H6" s="406">
        <f t="shared" ref="H6" si="2">SUM(H4:H5)</f>
        <v>84</v>
      </c>
      <c r="I6" s="406">
        <f t="shared" si="0"/>
        <v>0</v>
      </c>
      <c r="J6" s="406">
        <f t="shared" si="0"/>
        <v>262</v>
      </c>
      <c r="K6" s="406">
        <f t="shared" si="0"/>
        <v>34</v>
      </c>
      <c r="L6" s="406">
        <f t="shared" si="0"/>
        <v>0</v>
      </c>
      <c r="M6" s="94">
        <f t="shared" si="0"/>
        <v>44</v>
      </c>
      <c r="N6" s="406">
        <f t="shared" si="0"/>
        <v>0</v>
      </c>
      <c r="O6" s="406">
        <f t="shared" si="0"/>
        <v>8</v>
      </c>
      <c r="P6" s="406">
        <f t="shared" si="0"/>
        <v>71</v>
      </c>
      <c r="Q6" s="406">
        <f t="shared" si="0"/>
        <v>269</v>
      </c>
      <c r="R6" s="94">
        <f t="shared" si="0"/>
        <v>0</v>
      </c>
      <c r="S6" s="403">
        <f t="shared" ref="S6:S10" si="3">SUM(B6:R6)</f>
        <v>1348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Cargo'!$HY$8</f>
        <v>0</v>
      </c>
      <c r="S8" s="403">
        <f t="shared" si="3"/>
        <v>0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Cargo'!$HY$9</f>
        <v>0</v>
      </c>
      <c r="S9" s="403">
        <f t="shared" si="3"/>
        <v>0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0</v>
      </c>
      <c r="S10" s="403">
        <f t="shared" si="3"/>
        <v>0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64</v>
      </c>
      <c r="C12" s="162">
        <f t="shared" si="7"/>
        <v>0</v>
      </c>
      <c r="D12" s="162">
        <f t="shared" ref="D12:E12" si="8">D6+D10</f>
        <v>0</v>
      </c>
      <c r="E12" s="163">
        <f t="shared" si="8"/>
        <v>88</v>
      </c>
      <c r="F12" s="163">
        <f t="shared" si="7"/>
        <v>424</v>
      </c>
      <c r="G12" s="162">
        <f t="shared" si="7"/>
        <v>0</v>
      </c>
      <c r="H12" s="162">
        <f t="shared" ref="H12" si="9">H6+H10</f>
        <v>84</v>
      </c>
      <c r="I12" s="162">
        <f t="shared" si="7"/>
        <v>0</v>
      </c>
      <c r="J12" s="162">
        <f t="shared" si="7"/>
        <v>262</v>
      </c>
      <c r="K12" s="162">
        <f t="shared" si="7"/>
        <v>34</v>
      </c>
      <c r="L12" s="162">
        <f t="shared" si="7"/>
        <v>0</v>
      </c>
      <c r="M12" s="163">
        <f t="shared" si="7"/>
        <v>44</v>
      </c>
      <c r="N12" s="162">
        <f t="shared" si="7"/>
        <v>0</v>
      </c>
      <c r="O12" s="162">
        <f t="shared" si="7"/>
        <v>8</v>
      </c>
      <c r="P12" s="162">
        <f t="shared" si="7"/>
        <v>71</v>
      </c>
      <c r="Q12" s="162">
        <f t="shared" si="7"/>
        <v>269</v>
      </c>
      <c r="R12" s="163">
        <f t="shared" si="7"/>
        <v>0</v>
      </c>
      <c r="S12" s="409">
        <f>SUM(B12:R12)</f>
        <v>1348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Air'!$HY$47</f>
        <v>2202948</v>
      </c>
      <c r="C16" s="133">
        <f>[3]DHL!$HY$47+[3]DHL_Atlas!$HY$47</f>
        <v>0</v>
      </c>
      <c r="D16" s="133">
        <f>[3]Airborne!$HY$47</f>
        <v>0</v>
      </c>
      <c r="E16" s="133">
        <f>[3]DHL_Bemidji!$HY$47</f>
        <v>58798</v>
      </c>
      <c r="F16" s="475" t="s">
        <v>86</v>
      </c>
      <c r="G16" s="133">
        <f>[3]DHL_Encore!$HY$47</f>
        <v>0</v>
      </c>
      <c r="H16" s="133">
        <f>[3]DHL_Mesa!$HY$47</f>
        <v>1000141</v>
      </c>
      <c r="I16" s="133">
        <f>[3]Encore!$HY$47</f>
        <v>0</v>
      </c>
      <c r="J16" s="133">
        <f>[3]FedEx!$HY$47</f>
        <v>8097001</v>
      </c>
      <c r="K16" s="133">
        <f>[3]IFL!$HY$47</f>
        <v>58989</v>
      </c>
      <c r="L16" s="133">
        <f>[3]DHL_Kalitta!$HY$47</f>
        <v>0</v>
      </c>
      <c r="M16" s="96">
        <f>'[3]Mountain Cargo'!$HY$47</f>
        <v>0</v>
      </c>
      <c r="N16" s="133">
        <f>[3]DHL_Southair!$HY$47</f>
        <v>0</v>
      </c>
      <c r="O16" s="133">
        <f>[3]DHL_Swift!$HY$47</f>
        <v>92759</v>
      </c>
      <c r="P16" s="133">
        <f>+'[3]Sun Country Cargo'!$HY$47</f>
        <v>1278230</v>
      </c>
      <c r="Q16" s="133">
        <f>[3]UPS!$HY$47</f>
        <v>6223606</v>
      </c>
      <c r="R16" s="96">
        <f>'[3]Misc Cargo'!$HY$47</f>
        <v>0</v>
      </c>
      <c r="S16" s="403">
        <f>SUM(B16:E16)+SUM(G16:R16)</f>
        <v>19012472</v>
      </c>
      <c r="U16" s="370"/>
      <c r="V16" s="370"/>
      <c r="W16" s="231"/>
    </row>
    <row r="17" spans="1:23" x14ac:dyDescent="0.2">
      <c r="A17" s="38" t="s">
        <v>38</v>
      </c>
      <c r="B17" s="193">
        <f>'[3]Atlas Air'!$HY$48</f>
        <v>0</v>
      </c>
      <c r="C17" s="133">
        <f>[3]DHL!$HY$48</f>
        <v>0</v>
      </c>
      <c r="D17" s="133">
        <f>[3]Airborne!$HY$48</f>
        <v>0</v>
      </c>
      <c r="E17" s="133">
        <f>[3]DHL_Bemidji!$HY$48</f>
        <v>0</v>
      </c>
      <c r="F17" s="476"/>
      <c r="G17" s="133">
        <f>[3]DHL_Encore!$HY$48</f>
        <v>0</v>
      </c>
      <c r="H17" s="133">
        <f>[3]DHL_Mesa!$HY$48</f>
        <v>0</v>
      </c>
      <c r="I17" s="133">
        <f>[3]Encore!$HY$48</f>
        <v>0</v>
      </c>
      <c r="J17" s="133">
        <f>[3]FedEx!$HY$48</f>
        <v>0</v>
      </c>
      <c r="K17" s="133">
        <f>[3]IFL!$HY$48</f>
        <v>0</v>
      </c>
      <c r="L17" s="133">
        <f>[3]DHL_Kalitta!$HY$48</f>
        <v>0</v>
      </c>
      <c r="M17" s="96">
        <f>'[3]Mountain Cargo'!$HY$48</f>
        <v>54978</v>
      </c>
      <c r="N17" s="133">
        <f>[3]DHL_Southair!$HY$48</f>
        <v>0</v>
      </c>
      <c r="O17" s="133">
        <f>[3]DHL_Swift!$HY$48</f>
        <v>0</v>
      </c>
      <c r="P17" s="133">
        <f>+'[3]Sun Country Cargo'!$HY$48</f>
        <v>0</v>
      </c>
      <c r="Q17" s="133">
        <f>[3]UPS!$HY$48</f>
        <v>949981</v>
      </c>
      <c r="R17" s="96">
        <f>'[3]Misc Cargo'!$HY$48</f>
        <v>0</v>
      </c>
      <c r="S17" s="403">
        <f>SUM(B17:E17)+SUM(G17:R17)</f>
        <v>1004959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2202948</v>
      </c>
      <c r="C18" s="237">
        <f>SUM(C16:C17)</f>
        <v>0</v>
      </c>
      <c r="D18" s="237">
        <f>SUM(D16:D17)</f>
        <v>0</v>
      </c>
      <c r="E18" s="237">
        <f>SUM(E16:E17)</f>
        <v>58798</v>
      </c>
      <c r="F18" s="476"/>
      <c r="G18" s="237">
        <f>SUM(G16:G17)</f>
        <v>0</v>
      </c>
      <c r="H18" s="237">
        <f>SUM(H16:H17)</f>
        <v>1000141</v>
      </c>
      <c r="I18" s="237">
        <f>SUM(I16:I17)</f>
        <v>0</v>
      </c>
      <c r="J18" s="237">
        <f>SUM(J16:J17)</f>
        <v>8097001</v>
      </c>
      <c r="K18" s="237">
        <f>SUM(K16:K17)</f>
        <v>58989</v>
      </c>
      <c r="L18" s="237">
        <f t="shared" ref="L18:R18" si="10">SUM(L16:L17)</f>
        <v>0</v>
      </c>
      <c r="M18" s="238">
        <f t="shared" si="10"/>
        <v>54978</v>
      </c>
      <c r="N18" s="237">
        <f t="shared" si="10"/>
        <v>0</v>
      </c>
      <c r="O18" s="237">
        <f t="shared" si="10"/>
        <v>92759</v>
      </c>
      <c r="P18" s="237">
        <f t="shared" si="10"/>
        <v>1278230</v>
      </c>
      <c r="Q18" s="237">
        <f t="shared" si="10"/>
        <v>7173587</v>
      </c>
      <c r="R18" s="238">
        <f t="shared" si="10"/>
        <v>0</v>
      </c>
      <c r="S18" s="415">
        <f>SUM(B18:E18)+SUM(G18:R18)</f>
        <v>20017431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Air'!$HY$52</f>
        <v>1784054</v>
      </c>
      <c r="C21" s="133">
        <f>[3]DHL!$HY$52+[3]DHL_Atlas!$HY$52</f>
        <v>0</v>
      </c>
      <c r="D21" s="133">
        <f>[3]Airborne!$HY$52</f>
        <v>0</v>
      </c>
      <c r="E21" s="133">
        <f>[3]DHL_Bemidji!$HY$52</f>
        <v>52746</v>
      </c>
      <c r="F21" s="476"/>
      <c r="G21" s="133">
        <f>[3]DHL_Encore!$HY$52</f>
        <v>0</v>
      </c>
      <c r="H21" s="133">
        <f>[3]DHL_Mesa!$HY$52</f>
        <v>399147</v>
      </c>
      <c r="I21" s="133">
        <f>[3]Encore!$HY$52</f>
        <v>0</v>
      </c>
      <c r="J21" s="133">
        <f>[3]FedEx!$HY$52</f>
        <v>7190797</v>
      </c>
      <c r="K21" s="133">
        <f>[3]IFL!$HY$52</f>
        <v>0</v>
      </c>
      <c r="L21" s="133">
        <f>[3]DHL_Kalitta!$HY$52</f>
        <v>0</v>
      </c>
      <c r="M21" s="96">
        <f>'[3]Mountain Cargo'!$HY$52</f>
        <v>114157</v>
      </c>
      <c r="N21" s="133">
        <f>[3]DHL_Southair!$HY$52</f>
        <v>0</v>
      </c>
      <c r="O21" s="133">
        <f>[3]DHL_Swift!$HY$52</f>
        <v>3953</v>
      </c>
      <c r="P21" s="133">
        <f>+'[3]Sun Country Cargo'!$HY$52</f>
        <v>971723</v>
      </c>
      <c r="Q21" s="133">
        <f>[3]UPS!$HY$52</f>
        <v>5445605</v>
      </c>
      <c r="R21" s="96">
        <f>'[3]Misc Cargo'!$HY$52</f>
        <v>0</v>
      </c>
      <c r="S21" s="403">
        <f>SUM(B21:E21)+SUM(G21:R21)</f>
        <v>15962182</v>
      </c>
      <c r="U21" s="370"/>
      <c r="V21" s="370"/>
      <c r="W21" s="231"/>
    </row>
    <row r="22" spans="1:23" x14ac:dyDescent="0.2">
      <c r="A22" s="38" t="s">
        <v>60</v>
      </c>
      <c r="B22" s="193">
        <f>'[3]Atlas Air'!$HY$53</f>
        <v>0</v>
      </c>
      <c r="C22" s="133">
        <f>[3]DHL!$HY$53</f>
        <v>0</v>
      </c>
      <c r="D22" s="133">
        <f>[3]Airborne!$HY$53</f>
        <v>0</v>
      </c>
      <c r="E22" s="133">
        <f>[3]DHL_Bemidji!$HY$53</f>
        <v>0</v>
      </c>
      <c r="F22" s="476"/>
      <c r="G22" s="133">
        <f>[3]DHL_Encore!$HY$53</f>
        <v>0</v>
      </c>
      <c r="H22" s="133">
        <f>[3]DHL_Mesa!$HY$53</f>
        <v>0</v>
      </c>
      <c r="I22" s="133">
        <f>[3]Encore!$HY$53</f>
        <v>0</v>
      </c>
      <c r="J22" s="133">
        <f>[3]FedEx!$HY$53</f>
        <v>0</v>
      </c>
      <c r="K22" s="133">
        <f>[3]IFL!$HY$53</f>
        <v>0</v>
      </c>
      <c r="L22" s="133">
        <f>[3]DHL_Kalitta!$HY$53</f>
        <v>0</v>
      </c>
      <c r="M22" s="96">
        <f>'[3]Mountain Cargo'!$HY$53</f>
        <v>0</v>
      </c>
      <c r="N22" s="133">
        <f>[3]DHL_Southair!$HY$53</f>
        <v>0</v>
      </c>
      <c r="O22" s="133">
        <f>[3]DHL_Swift!$HY$53</f>
        <v>0</v>
      </c>
      <c r="P22" s="133">
        <f>+'[3]Sun Country Cargo'!$HY$53</f>
        <v>0</v>
      </c>
      <c r="Q22" s="133">
        <f>[3]UPS!$HY$53</f>
        <v>562293</v>
      </c>
      <c r="R22" s="96">
        <f>'[3]Misc Cargo'!$HY$53</f>
        <v>0</v>
      </c>
      <c r="S22" s="403">
        <f>SUM(B22:E22)+SUM(G22:R22)</f>
        <v>562293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1784054</v>
      </c>
      <c r="C23" s="237">
        <f>SUM(C21:C22)</f>
        <v>0</v>
      </c>
      <c r="D23" s="237">
        <f t="shared" ref="D23:E23" si="11">SUM(D21:D22)</f>
        <v>0</v>
      </c>
      <c r="E23" s="237">
        <f t="shared" si="11"/>
        <v>52746</v>
      </c>
      <c r="F23" s="476"/>
      <c r="G23" s="237">
        <f t="shared" ref="G23:R23" si="12">SUM(G21:G22)</f>
        <v>0</v>
      </c>
      <c r="H23" s="237">
        <f t="shared" ref="H23" si="13">SUM(H21:H22)</f>
        <v>399147</v>
      </c>
      <c r="I23" s="237">
        <f t="shared" si="12"/>
        <v>0</v>
      </c>
      <c r="J23" s="237">
        <f t="shared" si="12"/>
        <v>7190797</v>
      </c>
      <c r="K23" s="237">
        <f t="shared" si="12"/>
        <v>0</v>
      </c>
      <c r="L23" s="237">
        <f t="shared" si="12"/>
        <v>0</v>
      </c>
      <c r="M23" s="238">
        <f t="shared" si="12"/>
        <v>114157</v>
      </c>
      <c r="N23" s="237">
        <f t="shared" si="12"/>
        <v>0</v>
      </c>
      <c r="O23" s="237">
        <f t="shared" si="12"/>
        <v>3953</v>
      </c>
      <c r="P23" s="237">
        <f t="shared" si="12"/>
        <v>971723</v>
      </c>
      <c r="Q23" s="237">
        <f t="shared" si="12"/>
        <v>6007898</v>
      </c>
      <c r="R23" s="238">
        <f t="shared" si="12"/>
        <v>0</v>
      </c>
      <c r="S23" s="415">
        <f>SUM(B23:E23)+SUM(G23:R23)</f>
        <v>16524475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Air'!$HY$57</f>
        <v>0</v>
      </c>
      <c r="C26" s="133">
        <f>[3]DHL!$HY$57</f>
        <v>0</v>
      </c>
      <c r="D26" s="133">
        <f>[3]Airborne!$HY$57</f>
        <v>0</v>
      </c>
      <c r="E26" s="133">
        <f>[3]DHL_Bemidji!$HY$57</f>
        <v>0</v>
      </c>
      <c r="F26" s="476"/>
      <c r="G26" s="133">
        <f>[3]DHL_Encore!$HY$57</f>
        <v>0</v>
      </c>
      <c r="H26" s="133">
        <f>[3]DHL_Mesa!$HY$57</f>
        <v>0</v>
      </c>
      <c r="I26" s="133">
        <f>[3]Encore!$HY$57</f>
        <v>0</v>
      </c>
      <c r="J26" s="133">
        <f>[3]FedEx!$HY$57</f>
        <v>0</v>
      </c>
      <c r="K26" s="133">
        <f>[3]IFL!$HY$57</f>
        <v>0</v>
      </c>
      <c r="L26" s="133">
        <f>[3]DHL_Kalitta!$HY$57</f>
        <v>0</v>
      </c>
      <c r="M26" s="96">
        <f>'[3]Mountain Cargo'!$HY$57</f>
        <v>0</v>
      </c>
      <c r="N26" s="133">
        <f>[3]DHL_Southair!$HY$57</f>
        <v>0</v>
      </c>
      <c r="O26" s="133">
        <f>[3]DHL_Swift!$HY$57</f>
        <v>0</v>
      </c>
      <c r="P26" s="133">
        <f>+'[3]Sun Country Cargo'!$HY$57</f>
        <v>0</v>
      </c>
      <c r="Q26" s="133">
        <f>[3]UPS!$HY$57</f>
        <v>0</v>
      </c>
      <c r="R26" s="96">
        <f>'[3]Misc Cargo'!$HY$57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Air'!$HY$58</f>
        <v>0</v>
      </c>
      <c r="C27" s="133">
        <f>[3]DHL!$HY$58</f>
        <v>0</v>
      </c>
      <c r="D27" s="133">
        <f>[3]Airborne!$HY$58</f>
        <v>0</v>
      </c>
      <c r="E27" s="133">
        <f>[3]DHL_Bemidji!$HY$58</f>
        <v>0</v>
      </c>
      <c r="F27" s="476"/>
      <c r="G27" s="133">
        <f>[3]DHL_Encore!$HY$58</f>
        <v>0</v>
      </c>
      <c r="H27" s="133">
        <f>[3]DHL_Mesa!$HY$58</f>
        <v>0</v>
      </c>
      <c r="I27" s="133">
        <f>[3]Encore!$HY$58</f>
        <v>0</v>
      </c>
      <c r="J27" s="133">
        <f>[3]FedEx!$HY$58</f>
        <v>0</v>
      </c>
      <c r="K27" s="133">
        <f>[3]IFL!$HY$58</f>
        <v>0</v>
      </c>
      <c r="L27" s="133">
        <f>[3]DHL_Kalitta!$HY$58</f>
        <v>0</v>
      </c>
      <c r="M27" s="96">
        <f>'[3]Mountain Cargo'!$HY$58</f>
        <v>0</v>
      </c>
      <c r="N27" s="133">
        <f>[3]DHL_Southair!$HY$58</f>
        <v>0</v>
      </c>
      <c r="O27" s="133">
        <f>[3]DHL_Swift!$HY$58</f>
        <v>0</v>
      </c>
      <c r="P27" s="133">
        <f>+'[3]Sun Country Cargo'!$HY$58</f>
        <v>0</v>
      </c>
      <c r="Q27" s="133">
        <f>[3]UPS!$HY$58</f>
        <v>0</v>
      </c>
      <c r="R27" s="96">
        <f>'[3]Misc Cargo'!$HY$58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3987002</v>
      </c>
      <c r="C31" s="133">
        <f t="shared" ref="C31:R33" si="17">C26+C21+C16</f>
        <v>0</v>
      </c>
      <c r="D31" s="133">
        <f t="shared" si="17"/>
        <v>0</v>
      </c>
      <c r="E31" s="133">
        <f t="shared" si="17"/>
        <v>111544</v>
      </c>
      <c r="F31" s="476"/>
      <c r="G31" s="133">
        <f t="shared" ref="G31:P33" si="18">G26+G21+G16</f>
        <v>0</v>
      </c>
      <c r="H31" s="133">
        <f t="shared" ref="H31" si="19">H26+H21+H16</f>
        <v>1399288</v>
      </c>
      <c r="I31" s="133">
        <f t="shared" si="18"/>
        <v>0</v>
      </c>
      <c r="J31" s="133">
        <f t="shared" si="18"/>
        <v>15287798</v>
      </c>
      <c r="K31" s="133">
        <f t="shared" si="18"/>
        <v>58989</v>
      </c>
      <c r="L31" s="133">
        <f t="shared" si="18"/>
        <v>0</v>
      </c>
      <c r="M31" s="96">
        <f>M26+M21+M16</f>
        <v>114157</v>
      </c>
      <c r="N31" s="133">
        <f t="shared" si="18"/>
        <v>0</v>
      </c>
      <c r="O31" s="133">
        <f t="shared" si="18"/>
        <v>96712</v>
      </c>
      <c r="P31" s="133">
        <f t="shared" si="18"/>
        <v>2249953</v>
      </c>
      <c r="Q31" s="133">
        <f t="shared" si="17"/>
        <v>11669211</v>
      </c>
      <c r="R31" s="96">
        <f>R26+R21+R16</f>
        <v>0</v>
      </c>
      <c r="S31" s="403">
        <f>SUM(B31:E31)+SUM(G31:R31)</f>
        <v>34974654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54978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1512274</v>
      </c>
      <c r="R32" s="96">
        <f>R27+R22+R17</f>
        <v>0</v>
      </c>
      <c r="S32" s="403">
        <f>SUM(B32:E32)+SUM(G32:R32)</f>
        <v>1567252</v>
      </c>
    </row>
    <row r="33" spans="1:19" ht="18" customHeight="1" thickBot="1" x14ac:dyDescent="0.25">
      <c r="A33" s="161" t="s">
        <v>46</v>
      </c>
      <c r="B33" s="408">
        <f>B28+B23+B18</f>
        <v>3987002</v>
      </c>
      <c r="C33" s="162">
        <f t="shared" ref="C33:I33" si="21">C28+C23+C18</f>
        <v>0</v>
      </c>
      <c r="D33" s="162">
        <f t="shared" si="21"/>
        <v>0</v>
      </c>
      <c r="E33" s="162">
        <f t="shared" si="21"/>
        <v>111544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1399288</v>
      </c>
      <c r="I33" s="162">
        <f t="shared" si="21"/>
        <v>0</v>
      </c>
      <c r="J33" s="162">
        <f t="shared" si="18"/>
        <v>15287798</v>
      </c>
      <c r="K33" s="162">
        <f t="shared" si="18"/>
        <v>58989</v>
      </c>
      <c r="L33" s="162">
        <f t="shared" si="18"/>
        <v>0</v>
      </c>
      <c r="M33" s="163">
        <f>M28+M23+M18</f>
        <v>169135</v>
      </c>
      <c r="N33" s="162">
        <f t="shared" si="18"/>
        <v>0</v>
      </c>
      <c r="O33" s="162">
        <f t="shared" si="18"/>
        <v>96712</v>
      </c>
      <c r="P33" s="162">
        <f t="shared" si="17"/>
        <v>2249953</v>
      </c>
      <c r="Q33" s="162">
        <f t="shared" si="17"/>
        <v>13181485</v>
      </c>
      <c r="R33" s="163">
        <f t="shared" si="17"/>
        <v>0</v>
      </c>
      <c r="S33" s="409">
        <f>SUM(B33:E33)+SUM(G33:R33)</f>
        <v>36541906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August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N23" sqref="N2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44774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3333201</v>
      </c>
      <c r="C5" s="96">
        <f>'Regional Major'!M25</f>
        <v>3590</v>
      </c>
      <c r="D5" s="96">
        <f>Cargo!S16</f>
        <v>19012472</v>
      </c>
      <c r="E5" s="96">
        <f>SUM(B5:D5)</f>
        <v>22349263</v>
      </c>
      <c r="F5" s="96">
        <f>E5*0.00045359237</f>
        <v>10137.45517192331</v>
      </c>
      <c r="G5" s="96">
        <f>'[1]Cargo Summary'!F5</f>
        <v>10506.610156515419</v>
      </c>
      <c r="H5" s="78">
        <f>(F5-G5)/G5</f>
        <v>-3.5135498423645856E-2</v>
      </c>
      <c r="I5" s="96">
        <f>+F5+'[2]Cargo Summary'!I5</f>
        <v>76176.637096813633</v>
      </c>
      <c r="J5" s="96">
        <f>+'[1]Cargo Summary'!I5</f>
        <v>74407.874528855435</v>
      </c>
      <c r="K5" s="66">
        <f>(I5-J5)/J5</f>
        <v>2.3771174477941449E-2</v>
      </c>
      <c r="M5" s="14"/>
      <c r="O5" s="446"/>
    </row>
    <row r="6" spans="1:18" x14ac:dyDescent="0.2">
      <c r="A6" s="46" t="s">
        <v>16</v>
      </c>
      <c r="B6" s="140">
        <f>'Major Airline Stats'!K29</f>
        <v>1492566</v>
      </c>
      <c r="C6" s="96">
        <f>'Regional Major'!M26</f>
        <v>0</v>
      </c>
      <c r="D6" s="96">
        <f>Cargo!S17</f>
        <v>1004959</v>
      </c>
      <c r="E6" s="96">
        <f>SUM(B6:D6)</f>
        <v>2497525</v>
      </c>
      <c r="F6" s="96">
        <f>E6*0.00045359237</f>
        <v>1132.8582838842499</v>
      </c>
      <c r="G6" s="96">
        <f>'[1]Cargo Summary'!F6</f>
        <v>1039.7040188573499</v>
      </c>
      <c r="H6" s="3">
        <f>(F6-G6)/G6</f>
        <v>8.9596907713483637E-2</v>
      </c>
      <c r="I6" s="96">
        <f>+F6+'[2]Cargo Summary'!I6</f>
        <v>11738.563209651738</v>
      </c>
      <c r="J6" s="96">
        <f>+'[1]Cargo Summary'!I6</f>
        <v>7178.8631048010793</v>
      </c>
      <c r="K6" s="66">
        <f>(I6-J6)/J6</f>
        <v>0.63515629679596808</v>
      </c>
      <c r="M6" s="14"/>
    </row>
    <row r="7" spans="1:18" ht="18" customHeight="1" thickBot="1" x14ac:dyDescent="0.25">
      <c r="A7" s="55" t="s">
        <v>71</v>
      </c>
      <c r="B7" s="142">
        <f>SUM(B5:B6)</f>
        <v>4825767</v>
      </c>
      <c r="C7" s="106">
        <f t="shared" ref="C7:J7" si="0">SUM(C5:C6)</f>
        <v>3590</v>
      </c>
      <c r="D7" s="106">
        <f t="shared" si="0"/>
        <v>20017431</v>
      </c>
      <c r="E7" s="106">
        <f t="shared" si="0"/>
        <v>24846788</v>
      </c>
      <c r="F7" s="106">
        <f t="shared" si="0"/>
        <v>11270.31345580756</v>
      </c>
      <c r="G7" s="106">
        <f t="shared" si="0"/>
        <v>11546.314175372769</v>
      </c>
      <c r="H7" s="29">
        <f>(F7-G7)/G7</f>
        <v>-2.3903794351438405E-2</v>
      </c>
      <c r="I7" s="106">
        <f t="shared" si="0"/>
        <v>87915.200306465369</v>
      </c>
      <c r="J7" s="106">
        <f t="shared" si="0"/>
        <v>81586.737633656507</v>
      </c>
      <c r="K7" s="252">
        <f>(I7-J7)/J7</f>
        <v>7.756729655284339E-2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3814352</v>
      </c>
      <c r="C10" s="96">
        <f>'Regional Major'!M30</f>
        <v>2710</v>
      </c>
      <c r="D10" s="96">
        <f>Cargo!S21</f>
        <v>15962182</v>
      </c>
      <c r="E10" s="96">
        <f>SUM(B10:D10)</f>
        <v>19779244</v>
      </c>
      <c r="F10" s="96">
        <f>E10*0.00045359237</f>
        <v>8971.7141627682795</v>
      </c>
      <c r="G10" s="96">
        <f>'[1]Cargo Summary'!F10</f>
        <v>7787.2553696301602</v>
      </c>
      <c r="H10" s="3">
        <f>(F10-G10)/G10</f>
        <v>0.15210221533987947</v>
      </c>
      <c r="I10" s="96">
        <f>+F10+'[2]Cargo Summary'!I10</f>
        <v>60072.867749555582</v>
      </c>
      <c r="J10" s="96">
        <f>+'[1]Cargo Summary'!I10</f>
        <v>59427.91117698462</v>
      </c>
      <c r="K10" s="66">
        <f>(I10-J10)/J10</f>
        <v>1.0852755208746795E-2</v>
      </c>
      <c r="M10" s="14"/>
      <c r="O10" s="446"/>
    </row>
    <row r="11" spans="1:18" x14ac:dyDescent="0.2">
      <c r="A11" s="46" t="s">
        <v>16</v>
      </c>
      <c r="B11" s="140">
        <f>'Major Airline Stats'!K34</f>
        <v>32670</v>
      </c>
      <c r="C11" s="96">
        <f>'Regional Major'!M31</f>
        <v>0</v>
      </c>
      <c r="D11" s="96">
        <f>Cargo!S22</f>
        <v>562293</v>
      </c>
      <c r="E11" s="96">
        <f>SUM(B11:D11)</f>
        <v>594963</v>
      </c>
      <c r="F11" s="96">
        <f>E11*0.00045359237</f>
        <v>269.87067723231002</v>
      </c>
      <c r="G11" s="96">
        <f>'[1]Cargo Summary'!F11</f>
        <v>1101.9477782382301</v>
      </c>
      <c r="H11" s="26">
        <f>(F11-G11)/G11</f>
        <v>-0.75509667285343285</v>
      </c>
      <c r="I11" s="96">
        <f>+F11+'[2]Cargo Summary'!I11</f>
        <v>8893.6075524607077</v>
      </c>
      <c r="J11" s="96">
        <f>+'[1]Cargo Summary'!I11</f>
        <v>7224.8891225849793</v>
      </c>
      <c r="K11" s="66">
        <f>(I11-J11)/J11</f>
        <v>0.23096803308154862</v>
      </c>
      <c r="M11" s="14"/>
    </row>
    <row r="12" spans="1:18" ht="18" customHeight="1" thickBot="1" x14ac:dyDescent="0.25">
      <c r="A12" s="55" t="s">
        <v>72</v>
      </c>
      <c r="B12" s="142">
        <f>SUM(B10:B11)</f>
        <v>3847022</v>
      </c>
      <c r="C12" s="106">
        <f t="shared" ref="C12:J12" si="1">SUM(C10:C11)</f>
        <v>2710</v>
      </c>
      <c r="D12" s="106">
        <f t="shared" si="1"/>
        <v>16524475</v>
      </c>
      <c r="E12" s="106">
        <f t="shared" si="1"/>
        <v>20374207</v>
      </c>
      <c r="F12" s="106">
        <f t="shared" si="1"/>
        <v>9241.5848400005889</v>
      </c>
      <c r="G12" s="106">
        <f t="shared" si="1"/>
        <v>8889.2031478683894</v>
      </c>
      <c r="H12" s="29">
        <f>(F12-G12)/G12</f>
        <v>3.9641538872547857E-2</v>
      </c>
      <c r="I12" s="106">
        <f>SUM(I10:I11)</f>
        <v>68966.47530201629</v>
      </c>
      <c r="J12" s="106">
        <f t="shared" si="1"/>
        <v>66652.800299569601</v>
      </c>
      <c r="K12" s="252">
        <f>(I12-J12)/J12</f>
        <v>3.4712345048488975E-2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</v>
      </c>
      <c r="K15" s="66" t="e">
        <f>(I15-J15)/J15</f>
        <v>#DIV/0!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</v>
      </c>
      <c r="K17" s="252" t="e">
        <f>(I17-J17)/J17</f>
        <v>#DIV/0!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7147553</v>
      </c>
      <c r="C20" s="96">
        <f t="shared" ref="C20:D21" si="3">C15+C10+C5</f>
        <v>6300</v>
      </c>
      <c r="D20" s="96">
        <f t="shared" si="3"/>
        <v>34974654</v>
      </c>
      <c r="E20" s="96">
        <f>SUM(B20:D20)</f>
        <v>42128507</v>
      </c>
      <c r="F20" s="96">
        <f>E20*0.00045359237</f>
        <v>19109.169334691589</v>
      </c>
      <c r="G20" s="96">
        <f>'[1]Cargo Summary'!F20</f>
        <v>18293.865526145579</v>
      </c>
      <c r="H20" s="3">
        <f>(F20-G20)/G20</f>
        <v>4.4567060328544489E-2</v>
      </c>
      <c r="I20" s="96">
        <f>+F20+'[2]Cargo Summary'!I20</f>
        <v>136249.50484636924</v>
      </c>
      <c r="J20" s="96">
        <f>+'[1]Cargo Summary'!I20</f>
        <v>133835.78570584004</v>
      </c>
      <c r="K20" s="66">
        <f>(I20-J20)/J20</f>
        <v>1.8034930850515201E-2</v>
      </c>
      <c r="M20" s="14"/>
    </row>
    <row r="21" spans="1:13" x14ac:dyDescent="0.2">
      <c r="A21" s="46" t="s">
        <v>16</v>
      </c>
      <c r="B21" s="140">
        <f>B16+B11+B6</f>
        <v>1525236</v>
      </c>
      <c r="C21" s="97">
        <f t="shared" si="3"/>
        <v>0</v>
      </c>
      <c r="D21" s="97">
        <f t="shared" si="3"/>
        <v>1567252</v>
      </c>
      <c r="E21" s="96">
        <f>SUM(B21:D21)</f>
        <v>3092488</v>
      </c>
      <c r="F21" s="96">
        <f>E21*0.00045359237</f>
        <v>1402.72896111656</v>
      </c>
      <c r="G21" s="96">
        <f>'[1]Cargo Summary'!F21</f>
        <v>2141.6517970955802</v>
      </c>
      <c r="H21" s="3">
        <f>(F21-G21)/G21</f>
        <v>-0.34502473136908479</v>
      </c>
      <c r="I21" s="96">
        <f>+F21+'[2]Cargo Summary'!I21</f>
        <v>20632.170762112451</v>
      </c>
      <c r="J21" s="96">
        <f>+'[1]Cargo Summary'!I21</f>
        <v>14403.75222738606</v>
      </c>
      <c r="K21" s="66">
        <f>(I21-J21)/J21</f>
        <v>0.43241638959077699</v>
      </c>
      <c r="M21" s="14"/>
    </row>
    <row r="22" spans="1:13" ht="18" customHeight="1" thickBot="1" x14ac:dyDescent="0.25">
      <c r="A22" s="68" t="s">
        <v>62</v>
      </c>
      <c r="B22" s="143">
        <f>SUM(B20:B21)</f>
        <v>8672789</v>
      </c>
      <c r="C22" s="144">
        <f t="shared" ref="C22:J22" si="4">SUM(C20:C21)</f>
        <v>6300</v>
      </c>
      <c r="D22" s="144">
        <f t="shared" si="4"/>
        <v>36541906</v>
      </c>
      <c r="E22" s="144">
        <f>SUM(E20:E21)</f>
        <v>45220995</v>
      </c>
      <c r="F22" s="144">
        <f t="shared" si="4"/>
        <v>20511.898295808151</v>
      </c>
      <c r="G22" s="144">
        <f t="shared" si="4"/>
        <v>20435.517323241158</v>
      </c>
      <c r="H22" s="258">
        <f>(F22-G22)/G22</f>
        <v>3.7376578903693851E-3</v>
      </c>
      <c r="I22" s="144">
        <f>SUM(I20:I21)</f>
        <v>156881.67560848169</v>
      </c>
      <c r="J22" s="144">
        <f t="shared" si="4"/>
        <v>148239.53793322609</v>
      </c>
      <c r="K22" s="259">
        <f>(I22-J22)/J22</f>
        <v>5.8298466089043072E-2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8"/>
  <sheetViews>
    <sheetView zoomScaleNormal="100" workbookViewId="0">
      <selection activeCell="G37" sqref="G37"/>
    </sheetView>
  </sheetViews>
  <sheetFormatPr defaultRowHeight="12.75" x14ac:dyDescent="0.2"/>
  <cols>
    <col min="2" max="2" width="11.42578125" bestFit="1" customWidth="1"/>
    <col min="3" max="4" width="9.28515625" bestFit="1" customWidth="1"/>
    <col min="5" max="5" width="12.28515625" bestFit="1" customWidth="1"/>
    <col min="6" max="6" width="9.28515625" bestFit="1" customWidth="1"/>
    <col min="7" max="7" width="9.42578125" bestFit="1" customWidth="1"/>
    <col min="8" max="8" width="10.5703125" bestFit="1" customWidth="1"/>
    <col min="9" max="9" width="9.28515625" bestFit="1" customWidth="1"/>
    <col min="11" max="11" width="11.42578125" bestFit="1" customWidth="1"/>
    <col min="12" max="12" width="15.85546875" bestFit="1" customWidth="1"/>
    <col min="13" max="13" width="14.42578125" bestFit="1" customWidth="1"/>
    <col min="14" max="14" width="12.28515625" bestFit="1" customWidth="1"/>
    <col min="15" max="15" width="16.5703125" bestFit="1" customWidth="1"/>
    <col min="16" max="16" width="15.85546875" bestFit="1" customWidth="1"/>
    <col min="17" max="17" width="11.85546875" bestFit="1" customWidth="1"/>
    <col min="18" max="18" width="9.8554687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44774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44774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135</v>
      </c>
      <c r="D5" s="417">
        <f>SUM(D6:D7)</f>
        <v>187</v>
      </c>
      <c r="E5" s="418">
        <f>(C5-D5)/D5</f>
        <v>-0.27807486631016043</v>
      </c>
      <c r="F5" s="417">
        <f>SUM(F6:F7)</f>
        <v>1182</v>
      </c>
      <c r="G5" s="417">
        <f>SUM(G6:G7)</f>
        <v>1175</v>
      </c>
      <c r="H5" s="419">
        <f>(F5-G5)/G5</f>
        <v>5.9574468085106386E-3</v>
      </c>
      <c r="I5" s="418">
        <f>+F5/$F$34</f>
        <v>0.1138728323699422</v>
      </c>
      <c r="J5" s="283" t="s">
        <v>210</v>
      </c>
      <c r="K5" s="40"/>
      <c r="L5" s="417">
        <f>SUM(L6:L7)</f>
        <v>6236955</v>
      </c>
      <c r="M5" s="417">
        <f>SUM(M6:M7)</f>
        <v>7015661</v>
      </c>
      <c r="N5" s="418">
        <f>(L5-M5)/M5</f>
        <v>-0.11099538589450089</v>
      </c>
      <c r="O5" s="417">
        <f>SUM(O6:O7)</f>
        <v>45261861</v>
      </c>
      <c r="P5" s="417">
        <f>SUM(P6:P7)</f>
        <v>37662630</v>
      </c>
      <c r="Q5" s="419">
        <f>(O5-P5)/P5</f>
        <v>0.20177111901107278</v>
      </c>
      <c r="R5" s="418">
        <f>O5/$O$34</f>
        <v>0.16197101719750145</v>
      </c>
      <c r="T5" s="433"/>
    </row>
    <row r="6" spans="1:20" ht="14.1" customHeight="1" x14ac:dyDescent="0.2">
      <c r="A6" s="38"/>
      <c r="B6" s="343" t="s">
        <v>211</v>
      </c>
      <c r="C6" s="347">
        <f>+'[3]Atlas Air'!$HY$19</f>
        <v>64</v>
      </c>
      <c r="D6" s="231">
        <f>+'[3]Atlas Air'!$HK$19</f>
        <v>64</v>
      </c>
      <c r="E6" s="349">
        <f>(C6-D6)/D6</f>
        <v>0</v>
      </c>
      <c r="F6" s="347">
        <f>+SUM('[3]Atlas Air'!$HR$19:$HY$19)</f>
        <v>484</v>
      </c>
      <c r="G6" s="231">
        <f>+SUM('[3]Atlas Air'!$HD$19:$HK$19)</f>
        <v>347</v>
      </c>
      <c r="H6" s="348">
        <f>(F6-G6)/G6</f>
        <v>0.39481268011527376</v>
      </c>
      <c r="I6" s="349">
        <f>+F6/$F$34</f>
        <v>4.6628131021194605E-2</v>
      </c>
      <c r="J6" s="38"/>
      <c r="K6" s="343" t="s">
        <v>211</v>
      </c>
      <c r="L6" s="347">
        <f>+'[3]Atlas Air'!$HY$64</f>
        <v>3987002</v>
      </c>
      <c r="M6" s="231">
        <f>+'[3]Atlas Air'!$HK$64</f>
        <v>3380053</v>
      </c>
      <c r="N6" s="349">
        <f>(L6-M6)/M6</f>
        <v>0.17956789434958564</v>
      </c>
      <c r="O6" s="231">
        <f>+SUM('[3]Atlas Air'!$HR$64:$HY$64)</f>
        <v>26537552</v>
      </c>
      <c r="P6" s="231">
        <f>+SUM('[3]Atlas Air'!$HD$64:$HK$64)</f>
        <v>15181700</v>
      </c>
      <c r="Q6" s="348">
        <f>(O6-P6)/P6</f>
        <v>0.74799607422093706</v>
      </c>
      <c r="R6" s="349">
        <f>O6/$O$34</f>
        <v>9.4965478581881313E-2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Cargo'!$HY$19</f>
        <v>71</v>
      </c>
      <c r="D7" s="231">
        <f>+'[3]Sun Country Cargo'!$HK$19</f>
        <v>123</v>
      </c>
      <c r="E7" s="349">
        <f>(C7-D7)/D7</f>
        <v>-0.42276422764227645</v>
      </c>
      <c r="F7" s="347">
        <f>+SUM('[3]Sun Country Cargo'!$HR$19:$HY$19)</f>
        <v>698</v>
      </c>
      <c r="G7" s="231">
        <f>+SUM('[3]Sun Country Cargo'!$HD$19:$HK$19)</f>
        <v>828</v>
      </c>
      <c r="H7" s="348">
        <f>(F7-G7)/G7</f>
        <v>-0.1570048309178744</v>
      </c>
      <c r="I7" s="349">
        <f>+F7/$F$34</f>
        <v>6.724470134874759E-2</v>
      </c>
      <c r="J7" s="38"/>
      <c r="K7" s="343" t="s">
        <v>49</v>
      </c>
      <c r="L7" s="347">
        <f>+'[3]Sun Country Cargo'!$HY$64</f>
        <v>2249953</v>
      </c>
      <c r="M7" s="231">
        <f>+'[3]Sun Country Cargo'!$HK$64</f>
        <v>3635608</v>
      </c>
      <c r="N7" s="349">
        <f>(L7-M7)/M7</f>
        <v>-0.38113432471267528</v>
      </c>
      <c r="O7" s="231">
        <f>+SUM('[3]Sun Country Cargo'!$HR$64:$HY$64)</f>
        <v>18724309</v>
      </c>
      <c r="P7" s="231">
        <f>+SUM('[3]Sun Country Cargo'!$HD$64:$HK$64)</f>
        <v>22480930</v>
      </c>
      <c r="Q7" s="348">
        <f>(O7-P7)/P7</f>
        <v>-0.16710256203813631</v>
      </c>
      <c r="R7" s="349">
        <f>O7/$O$34</f>
        <v>6.7005538615620142E-2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180</v>
      </c>
      <c r="D9" s="417">
        <f>SUM(D10:D18)</f>
        <v>140</v>
      </c>
      <c r="E9" s="418">
        <f>(C9-D9)/D9</f>
        <v>0.2857142857142857</v>
      </c>
      <c r="F9" s="417">
        <f>SUM(F10:F18)</f>
        <v>1162</v>
      </c>
      <c r="G9" s="417">
        <f>SUM(G10:G18)</f>
        <v>1066</v>
      </c>
      <c r="H9" s="419">
        <f>(F9-G9)/G9</f>
        <v>9.0056285178236398E-2</v>
      </c>
      <c r="I9" s="418">
        <f t="shared" ref="I9:I18" si="0">+F9/$F$34</f>
        <v>0.11194605009633911</v>
      </c>
      <c r="J9" s="283" t="s">
        <v>212</v>
      </c>
      <c r="K9" s="40"/>
      <c r="L9" s="417">
        <f>SUM(L10:L18)</f>
        <v>1607544</v>
      </c>
      <c r="M9" s="417">
        <f>SUM(M10:M18)</f>
        <v>1564437.78</v>
      </c>
      <c r="N9" s="418">
        <f t="shared" ref="N9:N18" si="1">(L9-M9)/M9</f>
        <v>2.7553809139024991E-2</v>
      </c>
      <c r="O9" s="417">
        <f>SUM(O10:O18)</f>
        <v>12715053</v>
      </c>
      <c r="P9" s="417">
        <f>SUM(P10:P18)</f>
        <v>10807591.779999999</v>
      </c>
      <c r="Q9" s="419">
        <f t="shared" ref="Q9:Q18" si="2">(O9-P9)/P9</f>
        <v>0.17649271538270489</v>
      </c>
      <c r="R9" s="418">
        <f t="shared" ref="R9:R18" si="3">O9/$O$34</f>
        <v>4.5501223825731386E-2</v>
      </c>
      <c r="T9" s="433"/>
    </row>
    <row r="10" spans="1:20" ht="14.1" customHeight="1" x14ac:dyDescent="0.2">
      <c r="A10" s="283"/>
      <c r="B10" s="343" t="s">
        <v>213</v>
      </c>
      <c r="C10" s="347">
        <f>+[3]Airborne!$HY$19</f>
        <v>0</v>
      </c>
      <c r="D10" s="231">
        <f>+[3]Airborne!$HK$19</f>
        <v>2</v>
      </c>
      <c r="E10" s="349">
        <f>(C10-D10)/D10</f>
        <v>-1</v>
      </c>
      <c r="F10" s="347">
        <f>+SUM([3]Airborne!$HR$19:$HY$19)</f>
        <v>12</v>
      </c>
      <c r="G10" s="231">
        <f>+SUM([3]Airborne!$HD$19:$HK$19)</f>
        <v>2</v>
      </c>
      <c r="H10" s="348">
        <f>(F10-G10)/G10</f>
        <v>5</v>
      </c>
      <c r="I10" s="349">
        <f t="shared" si="0"/>
        <v>1.1560693641618498E-3</v>
      </c>
      <c r="J10" s="283"/>
      <c r="K10" s="343" t="s">
        <v>213</v>
      </c>
      <c r="L10" s="347">
        <f>+[3]Airborne!$HY$64</f>
        <v>0</v>
      </c>
      <c r="M10" s="231">
        <f>+[3]Airborne!$HK$64</f>
        <v>59711</v>
      </c>
      <c r="N10" s="349">
        <f t="shared" si="1"/>
        <v>-1</v>
      </c>
      <c r="O10" s="347">
        <f>+SUM([3]Airborne!$HR$64:$HY$64)</f>
        <v>352522</v>
      </c>
      <c r="P10" s="231">
        <f>+SUM([3]Airborne!$HD$64:$HK$64)</f>
        <v>59711</v>
      </c>
      <c r="Q10" s="348">
        <f t="shared" si="2"/>
        <v>4.9038033193213977</v>
      </c>
      <c r="R10" s="349">
        <f t="shared" si="3"/>
        <v>1.2615112517025671E-3</v>
      </c>
      <c r="T10" s="433"/>
    </row>
    <row r="11" spans="1:20" ht="14.1" customHeight="1" x14ac:dyDescent="0.2">
      <c r="A11" s="283"/>
      <c r="B11" s="40" t="s">
        <v>211</v>
      </c>
      <c r="C11" s="347">
        <f>+[3]DHL_Atlas!$HY$19</f>
        <v>0</v>
      </c>
      <c r="D11" s="231">
        <f>+[3]DHL_Atlas!$HK$19</f>
        <v>0</v>
      </c>
      <c r="E11" s="349" t="e">
        <f t="shared" ref="E11:E18" si="4">(C11-D11)/D11</f>
        <v>#DIV/0!</v>
      </c>
      <c r="F11" s="347">
        <f>+SUM([3]DHL_Atlas!$HR$19:$HY$19)</f>
        <v>0</v>
      </c>
      <c r="G11" s="231">
        <f>+SUM([3]DHL_Atlas!$HD$19:$HK$19)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+[3]DHL_Atlas!$HY$64</f>
        <v>0</v>
      </c>
      <c r="M11" s="231">
        <f>+[3]DHL_Atlas!$HK$64</f>
        <v>0</v>
      </c>
      <c r="N11" s="349" t="e">
        <f t="shared" si="1"/>
        <v>#DIV/0!</v>
      </c>
      <c r="O11" s="347">
        <f>+SUM([3]DHL_Atlas!$HR$64:$HY$64)</f>
        <v>0</v>
      </c>
      <c r="P11" s="231">
        <f>+SUM([3]DHL_Atlas!$HD$64:$HK$64)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+[3]DHL!$HY$19</f>
        <v>0</v>
      </c>
      <c r="D12" s="231">
        <f>+[3]DHL!$HK$19</f>
        <v>0</v>
      </c>
      <c r="E12" s="349" t="e">
        <f t="shared" si="4"/>
        <v>#DIV/0!</v>
      </c>
      <c r="F12" s="347">
        <f>+SUM([3]DHL!$HR$19:$HY$19)</f>
        <v>0</v>
      </c>
      <c r="G12" s="231">
        <f>+SUM([3]DHL!$HD$19:$HK$19)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+[3]DHL!$HY$64</f>
        <v>0</v>
      </c>
      <c r="M12" s="231">
        <f>+[3]DHL!$HK$64</f>
        <v>0</v>
      </c>
      <c r="N12" s="349" t="e">
        <f t="shared" si="1"/>
        <v>#DIV/0!</v>
      </c>
      <c r="O12" s="347">
        <f>+SUM([3]DHL!$HR$64:$HY$64)</f>
        <v>0</v>
      </c>
      <c r="P12" s="231">
        <f>+SUM([3]DHL!$HD$64:$HK$64)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+[3]DHL_Bemidji!$HY$19</f>
        <v>88</v>
      </c>
      <c r="D13" s="231">
        <f>+[3]DHL_Bemidji!$HK$19</f>
        <v>28</v>
      </c>
      <c r="E13" s="349">
        <f>(C13-D13)/D13</f>
        <v>2.1428571428571428</v>
      </c>
      <c r="F13" s="347">
        <f>+SUM([3]DHL_Bemidji!$HR$19:$HY$19)</f>
        <v>640</v>
      </c>
      <c r="G13" s="231">
        <f>+SUM([3]DHL_Bemidji!$HD$19:$HK$19)</f>
        <v>28</v>
      </c>
      <c r="H13" s="348">
        <f t="shared" si="5"/>
        <v>21.857142857142858</v>
      </c>
      <c r="I13" s="349">
        <f t="shared" si="0"/>
        <v>6.1657032755298651E-2</v>
      </c>
      <c r="J13" s="283"/>
      <c r="K13" s="343" t="s">
        <v>83</v>
      </c>
      <c r="L13" s="347">
        <f>+[3]DHL_Bemidji!$HY$64</f>
        <v>111544</v>
      </c>
      <c r="M13" s="231">
        <f>+[3]DHL_Bemidji!$HK$64</f>
        <v>47962</v>
      </c>
      <c r="N13" s="349">
        <f t="shared" si="1"/>
        <v>1.3256744923064092</v>
      </c>
      <c r="O13" s="347">
        <f>+SUM([3]DHL_Bemidji!$HR$64:$HY$64)</f>
        <v>862897</v>
      </c>
      <c r="P13" s="231">
        <f>+SUM([3]DHL_Bemidji!$HD$64:$HK$64)</f>
        <v>47962</v>
      </c>
      <c r="Q13" s="348">
        <f t="shared" si="2"/>
        <v>16.991263917267837</v>
      </c>
      <c r="R13" s="349">
        <f t="shared" si="3"/>
        <v>3.0879045125138008E-3</v>
      </c>
      <c r="T13" s="433"/>
    </row>
    <row r="14" spans="1:20" ht="14.1" customHeight="1" x14ac:dyDescent="0.2">
      <c r="A14" s="283"/>
      <c r="B14" s="40" t="s">
        <v>201</v>
      </c>
      <c r="C14" s="347">
        <f>+[3]Encore!$HY$19+[3]DHL_Encore!$HY$12</f>
        <v>0</v>
      </c>
      <c r="D14" s="231">
        <f>+[3]Encore!$HK$19+[3]DHL_Encore!$HK$19</f>
        <v>60</v>
      </c>
      <c r="E14" s="349">
        <f t="shared" si="4"/>
        <v>-1</v>
      </c>
      <c r="F14" s="347">
        <f>+SUM([3]Encore!$HR$19:$HY$19)+SUM([3]DHL_Encore!$HR$19:$HY$19)</f>
        <v>0</v>
      </c>
      <c r="G14" s="231">
        <f>+SUM([3]Encore!$HD$19:$HK$19)+SUM([3]DHL_Encore!$HD$19:$HK$19)</f>
        <v>650</v>
      </c>
      <c r="H14" s="348">
        <f t="shared" si="5"/>
        <v>-1</v>
      </c>
      <c r="I14" s="349">
        <f t="shared" si="0"/>
        <v>0</v>
      </c>
      <c r="J14" s="283"/>
      <c r="K14" s="40" t="s">
        <v>201</v>
      </c>
      <c r="L14" s="347">
        <f>+[3]Encore!$HY$64+[3]DHL_Encore!$HY$64</f>
        <v>0</v>
      </c>
      <c r="M14" s="231">
        <f>+[3]Encore!$HEW$64+[3]DHL_Encore!$HK$64</f>
        <v>94771</v>
      </c>
      <c r="N14" s="349">
        <f>(L14-M14)/M14</f>
        <v>-1</v>
      </c>
      <c r="O14" s="347">
        <f>+SUM([3]Encore!$HR$64:$HY$64)+SUM([3]DHL_Encore!$HR$64:$HY$64)</f>
        <v>0</v>
      </c>
      <c r="P14" s="231">
        <f>+SUM([3]Encore!$HD$64:$HK$64)+SUM([3]DHL_Encore!$HD$64:$HK$64)</f>
        <v>1112668</v>
      </c>
      <c r="Q14" s="348">
        <f t="shared" si="2"/>
        <v>-1</v>
      </c>
      <c r="R14" s="349">
        <f t="shared" si="3"/>
        <v>0</v>
      </c>
      <c r="T14" s="433"/>
    </row>
    <row r="15" spans="1:20" ht="14.1" customHeight="1" x14ac:dyDescent="0.2">
      <c r="A15" s="283"/>
      <c r="B15" s="40" t="s">
        <v>215</v>
      </c>
      <c r="C15" s="347">
        <f>+[3]DHL_Kalitta!$HY$19</f>
        <v>0</v>
      </c>
      <c r="D15" s="231">
        <f>+[3]DHL_Kalitta!$HK$19</f>
        <v>8</v>
      </c>
      <c r="E15" s="349">
        <f t="shared" si="4"/>
        <v>-1</v>
      </c>
      <c r="F15" s="347">
        <f>+SUM([3]DHL_Kalitta!$HR$19:$HY$19)</f>
        <v>2</v>
      </c>
      <c r="G15" s="231">
        <f>+SUM([3]DHL_Kalitta!$HD$19:$HK$19)</f>
        <v>92</v>
      </c>
      <c r="H15" s="348">
        <f t="shared" si="5"/>
        <v>-0.97826086956521741</v>
      </c>
      <c r="I15" s="349">
        <f t="shared" si="0"/>
        <v>1.9267822736030829E-4</v>
      </c>
      <c r="J15" s="283"/>
      <c r="K15" s="40" t="s">
        <v>215</v>
      </c>
      <c r="L15" s="347">
        <f>+[3]DHL_Kalitta!$HY$64</f>
        <v>0</v>
      </c>
      <c r="M15" s="231">
        <f>+[3]DHL_Kalitta!$HK$64</f>
        <v>254000.78</v>
      </c>
      <c r="N15" s="349">
        <f t="shared" si="1"/>
        <v>-1</v>
      </c>
      <c r="O15" s="347">
        <f>+SUM([3]DHL_Kalitta!$HR$64:$HY$64)</f>
        <v>43161</v>
      </c>
      <c r="P15" s="231">
        <f>+SUM([3]DHL_Kalitta!$HD$64:$HK$64)</f>
        <v>2433493.7799999998</v>
      </c>
      <c r="Q15" s="348">
        <f t="shared" si="2"/>
        <v>-0.98226377221313466</v>
      </c>
      <c r="R15" s="349">
        <f t="shared" si="3"/>
        <v>1.544530189172151E-4</v>
      </c>
      <c r="T15" s="433"/>
    </row>
    <row r="16" spans="1:20" ht="14.1" customHeight="1" x14ac:dyDescent="0.2">
      <c r="A16" s="283"/>
      <c r="B16" s="343" t="s">
        <v>51</v>
      </c>
      <c r="C16" s="347">
        <f>+[3]Encore!$HY$19+[3]DHL_Mesa!$HY$12</f>
        <v>84</v>
      </c>
      <c r="D16" s="231">
        <f>+[3]Encore!$HK$19+[3]DHL_Mesa!$HK$19</f>
        <v>0</v>
      </c>
      <c r="E16" s="349" t="e">
        <f t="shared" ref="E16" si="6">(C16-D16)/D16</f>
        <v>#DIV/0!</v>
      </c>
      <c r="F16" s="347">
        <f>+SUM([3]Encore!$HR$19:$HY$19)+SUM([3]DHL_Mesa!$HR$19:$HY$19)</f>
        <v>230</v>
      </c>
      <c r="G16" s="231">
        <f>+SUM([3]Encore!$HD$19:$HK$19)+SUM([3]DHL_Mesa!$HD$19:$HK$19)</f>
        <v>0</v>
      </c>
      <c r="H16" s="348" t="e">
        <f t="shared" ref="H16" si="7">(F16-G16)/G16</f>
        <v>#DIV/0!</v>
      </c>
      <c r="I16" s="349">
        <f t="shared" si="0"/>
        <v>2.2157996146435453E-2</v>
      </c>
      <c r="J16" s="283"/>
      <c r="K16" s="343" t="s">
        <v>51</v>
      </c>
      <c r="L16" s="347">
        <f>+[3]Encore!$HY$64+[3]DHL_Mesa!$HY$64</f>
        <v>1399288</v>
      </c>
      <c r="M16" s="231">
        <f>+[3]Encore!$HEW$64+[3]DHL_Mesa!$HK$64</f>
        <v>0</v>
      </c>
      <c r="N16" s="349" t="e">
        <f t="shared" ref="N16" si="8">(L16-M16)/M16</f>
        <v>#DIV/0!</v>
      </c>
      <c r="O16" s="347">
        <f>+SUM([3]Encore!$HR$64:$HY$64)+SUM([3]DHL_Mesa!$HR$64:$HY$64)</f>
        <v>4147124</v>
      </c>
      <c r="P16" s="231">
        <f>+SUM([3]Encore!$HD$64:$HK$64)+SUM([3]DHL_Mesa!$HD$64:$HK$64)</f>
        <v>0</v>
      </c>
      <c r="Q16" s="348" t="e">
        <f t="shared" ref="Q16" si="9">(O16-P16)/P16</f>
        <v>#DIV/0!</v>
      </c>
      <c r="R16" s="349">
        <f t="shared" si="3"/>
        <v>1.4840615871366205E-2</v>
      </c>
      <c r="T16" s="433"/>
    </row>
    <row r="17" spans="1:20" ht="14.1" customHeight="1" x14ac:dyDescent="0.2">
      <c r="A17" s="283"/>
      <c r="B17" s="40" t="s">
        <v>216</v>
      </c>
      <c r="C17" s="347">
        <f>+[3]DHL_Southair!$HY$19</f>
        <v>0</v>
      </c>
      <c r="D17" s="231">
        <f>+[3]DHL_Southair!$HK$19</f>
        <v>0</v>
      </c>
      <c r="E17" s="349" t="e">
        <f t="shared" si="4"/>
        <v>#DIV/0!</v>
      </c>
      <c r="F17" s="347">
        <f>+SUM([3]DHL_Southair!$HR$19:$HY$19)</f>
        <v>0</v>
      </c>
      <c r="G17" s="231">
        <f>+SUM([3]DHL_Southair!$HD$19:$HK$19)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+[3]DHL_Southair!$HY$64</f>
        <v>0</v>
      </c>
      <c r="M17" s="231">
        <f>+[3]DHL_Southair!$HK$64</f>
        <v>0</v>
      </c>
      <c r="N17" s="349" t="e">
        <f t="shared" si="1"/>
        <v>#DIV/0!</v>
      </c>
      <c r="O17" s="347">
        <f>+SUM([3]DHL_Southair!$HR$64:$HY$64)</f>
        <v>0</v>
      </c>
      <c r="P17" s="231">
        <f>+SUM([3]DHL_Southair!$HD$64:$HK$64)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+[3]DHL_Swift!$HY$19</f>
        <v>8</v>
      </c>
      <c r="D18" s="231">
        <f>+[3]DHL_Swift!$HK$19</f>
        <v>42</v>
      </c>
      <c r="E18" s="349">
        <f t="shared" si="4"/>
        <v>-0.80952380952380953</v>
      </c>
      <c r="F18" s="347">
        <f>+SUM([3]DHL_Swift!$HR$19:$HY$19)</f>
        <v>278</v>
      </c>
      <c r="G18" s="231">
        <f>+SUM([3]DHL_Swift!$HD$19:$HK$19)</f>
        <v>282</v>
      </c>
      <c r="H18" s="348">
        <f t="shared" si="5"/>
        <v>-1.4184397163120567E-2</v>
      </c>
      <c r="I18" s="349">
        <f t="shared" si="0"/>
        <v>2.6782273603082853E-2</v>
      </c>
      <c r="J18" s="283"/>
      <c r="K18" s="40" t="s">
        <v>217</v>
      </c>
      <c r="L18" s="347">
        <f>+[3]DHL_Swift!$HY$64</f>
        <v>96712</v>
      </c>
      <c r="M18" s="231">
        <f>+[3]DHL_Swift!$HK$64</f>
        <v>1107993</v>
      </c>
      <c r="N18" s="349">
        <f t="shared" si="1"/>
        <v>-0.91271424999977435</v>
      </c>
      <c r="O18" s="347">
        <f>+SUM([3]DHL_Swift!$HR$64:$HY$64)</f>
        <v>7309349</v>
      </c>
      <c r="P18" s="231">
        <f>+SUM([3]DHL_Swift!$HD$64:$HK$64)</f>
        <v>6894187</v>
      </c>
      <c r="Q18" s="348">
        <f t="shared" si="2"/>
        <v>6.0219138239215153E-2</v>
      </c>
      <c r="R18" s="349">
        <f t="shared" si="3"/>
        <v>2.6156739171231604E-2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340</v>
      </c>
      <c r="D20" s="417">
        <f>SUM(D21:D24)</f>
        <v>368</v>
      </c>
      <c r="E20" s="418">
        <f>(C20-D20)/D20</f>
        <v>-7.6086956521739135E-2</v>
      </c>
      <c r="F20" s="421">
        <f>SUM(F21:F24)</f>
        <v>2648</v>
      </c>
      <c r="G20" s="417">
        <f>SUM(G21:G24)</f>
        <v>2866</v>
      </c>
      <c r="H20" s="419">
        <f t="shared" ref="H20:H21" si="10">(F20-G20)/G20</f>
        <v>-7.6064200976971391E-2</v>
      </c>
      <c r="I20" s="418">
        <f>+F20/$F$34</f>
        <v>0.25510597302504817</v>
      </c>
      <c r="J20" s="283"/>
      <c r="K20" s="40"/>
      <c r="L20" s="421">
        <f>SUM(L21:L24)</f>
        <v>15515922</v>
      </c>
      <c r="M20" s="417">
        <f>SUM(M21:M24)</f>
        <v>16370806</v>
      </c>
      <c r="N20" s="418">
        <f>(L20-M20)/M20</f>
        <v>-5.2220031194554505E-2</v>
      </c>
      <c r="O20" s="421">
        <f>SUM(O21:O24)</f>
        <v>119887624</v>
      </c>
      <c r="P20" s="417">
        <f>SUM(P21:P24)</f>
        <v>132372286</v>
      </c>
      <c r="Q20" s="419">
        <f t="shared" ref="Q20:Q22" si="11">(O20-P20)/P20</f>
        <v>-9.4314772202392885E-2</v>
      </c>
      <c r="R20" s="418">
        <f>O20/$O$34</f>
        <v>0.42902169684696762</v>
      </c>
      <c r="T20" s="433"/>
    </row>
    <row r="21" spans="1:20" ht="14.1" customHeight="1" x14ac:dyDescent="0.2">
      <c r="A21" s="38"/>
      <c r="B21" s="343" t="s">
        <v>185</v>
      </c>
      <c r="C21" s="347">
        <f>+[3]FedEx!$HY$19</f>
        <v>262</v>
      </c>
      <c r="D21" s="231">
        <f>+[3]FedEx!$HK$19</f>
        <v>290</v>
      </c>
      <c r="E21" s="349">
        <f>(C21-D21)/D21</f>
        <v>-9.6551724137931033E-2</v>
      </c>
      <c r="F21" s="347">
        <f>+SUM([3]FedEx!$HR$19:$HY$19)</f>
        <v>2070</v>
      </c>
      <c r="G21" s="231">
        <f>+SUM([3]FedEx!$HD$19:$HK$19)</f>
        <v>2268</v>
      </c>
      <c r="H21" s="348">
        <f t="shared" si="10"/>
        <v>-8.7301587301587297E-2</v>
      </c>
      <c r="I21" s="349">
        <f>+F21/$F$34</f>
        <v>0.19942196531791909</v>
      </c>
      <c r="J21" s="399"/>
      <c r="K21" s="343" t="s">
        <v>185</v>
      </c>
      <c r="L21" s="347">
        <f>+[3]FedEx!$HY$64</f>
        <v>15287798</v>
      </c>
      <c r="M21" s="231">
        <f>+[3]FedEx!$HK$64</f>
        <v>16135313</v>
      </c>
      <c r="N21" s="349">
        <f>(L21-M21)/M21</f>
        <v>-5.2525476264389789E-2</v>
      </c>
      <c r="O21" s="347">
        <f>+SUM([3]FedEx!$HR$64:$HY$64)</f>
        <v>118271348</v>
      </c>
      <c r="P21" s="231">
        <f>+SUM([3]FedEx!$HD$64:$HK$64)</f>
        <v>130830006</v>
      </c>
      <c r="Q21" s="348">
        <f t="shared" si="11"/>
        <v>-9.5992183933707079E-2</v>
      </c>
      <c r="R21" s="349">
        <f>O21/$O$34</f>
        <v>0.42323780148765155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Cargo'!$HY$19</f>
        <v>44</v>
      </c>
      <c r="D22" s="231">
        <f>+'[3]Mountain Cargo'!$HK$19</f>
        <v>42</v>
      </c>
      <c r="E22" s="349">
        <f>(C22-D22)/D22</f>
        <v>4.7619047619047616E-2</v>
      </c>
      <c r="F22" s="347">
        <f>+SUM('[3]Mountain Cargo'!$HR$19:$HY$19)</f>
        <v>334</v>
      </c>
      <c r="G22" s="231">
        <f>+SUM('[3]Mountain Cargo'!$HD$19:$HK$19)</f>
        <v>342</v>
      </c>
      <c r="H22" s="348">
        <f>(F22-G22)/G22</f>
        <v>-2.3391812865497075E-2</v>
      </c>
      <c r="I22" s="349">
        <f>+F22/$F$34</f>
        <v>3.2177263969171484E-2</v>
      </c>
      <c r="J22" s="399"/>
      <c r="K22" s="343" t="s">
        <v>218</v>
      </c>
      <c r="L22" s="347">
        <f>+'[3]Mountain Cargo'!$HY$64</f>
        <v>169135</v>
      </c>
      <c r="M22" s="231">
        <f>+'[3]Mountain Cargo'!$HK$64</f>
        <v>170324</v>
      </c>
      <c r="N22" s="349">
        <f>(L22-M22)/M22</f>
        <v>-6.9808130386792228E-3</v>
      </c>
      <c r="O22" s="347">
        <f>+SUM('[3]Mountain Cargo'!$HR$64:$HY$64)</f>
        <v>1155463</v>
      </c>
      <c r="P22" s="231">
        <f>+SUM('[3]Mountain Cargo'!$HD$64:$HK$64)</f>
        <v>1146502</v>
      </c>
      <c r="Q22" s="348">
        <f t="shared" si="11"/>
        <v>7.815947987879655E-3</v>
      </c>
      <c r="R22" s="349">
        <f>O22/$O$34</f>
        <v>4.1348613006450758E-3</v>
      </c>
      <c r="T22" s="433"/>
    </row>
    <row r="23" spans="1:20" ht="14.1" customHeight="1" x14ac:dyDescent="0.2">
      <c r="A23" s="38"/>
      <c r="B23" s="343" t="s">
        <v>177</v>
      </c>
      <c r="C23" s="347">
        <f>+[3]IFL!$HY$19</f>
        <v>34</v>
      </c>
      <c r="D23" s="231">
        <f>+[3]IFL!$HK$19</f>
        <v>36</v>
      </c>
      <c r="E23" s="349">
        <f>(C23-D23)/D23</f>
        <v>-5.5555555555555552E-2</v>
      </c>
      <c r="F23" s="347">
        <f>+SUM([3]IFL!$HR$19:$HY$19)</f>
        <v>244</v>
      </c>
      <c r="G23" s="231">
        <f>+SUM([3]IFL!$HD$19:$HK$19)</f>
        <v>256</v>
      </c>
      <c r="H23" s="348">
        <f>(F23-G23)/G23</f>
        <v>-4.6875E-2</v>
      </c>
      <c r="I23" s="349">
        <f>+F23/$F$34</f>
        <v>2.3506743737957612E-2</v>
      </c>
      <c r="J23" s="283"/>
      <c r="K23" s="343" t="s">
        <v>177</v>
      </c>
      <c r="L23" s="347">
        <f>+[3]IFL!$HY$64</f>
        <v>58989</v>
      </c>
      <c r="M23" s="231">
        <f>+[3]IFL!$HK$64</f>
        <v>65169</v>
      </c>
      <c r="N23" s="349">
        <f>(L23-M23)/M23</f>
        <v>-9.48303641301846E-2</v>
      </c>
      <c r="O23" s="347">
        <f>+SUM([3]IFL!$HR$64:$HY$64)</f>
        <v>460813</v>
      </c>
      <c r="P23" s="231">
        <f>+SUM([3]IFL!$HD$64:$HK$64)</f>
        <v>395778</v>
      </c>
      <c r="Q23" s="348">
        <f>(O23-P23)/P23</f>
        <v>0.16432191784283109</v>
      </c>
      <c r="R23" s="349">
        <f>O23/$O$34</f>
        <v>1.649034058670991E-3</v>
      </c>
      <c r="T23" s="433"/>
    </row>
    <row r="24" spans="1:20" ht="14.1" customHeight="1" x14ac:dyDescent="0.2">
      <c r="A24" s="283"/>
      <c r="B24" s="343" t="s">
        <v>84</v>
      </c>
      <c r="C24" s="347">
        <f>+'[3]CSA Air'!$HY$19</f>
        <v>0</v>
      </c>
      <c r="D24" s="231">
        <f>+'[3]CSA Air'!$HK$19</f>
        <v>0</v>
      </c>
      <c r="E24" s="349" t="e">
        <f>(C24-D24)/D24</f>
        <v>#DIV/0!</v>
      </c>
      <c r="F24" s="347">
        <f>+SUM('[3]CSA Air'!$HR$19:$HY$19)</f>
        <v>0</v>
      </c>
      <c r="G24" s="231">
        <f>+SUM('[3]CSA Air'!$HD$19:$HK$19)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Air'!$HY$64</f>
        <v>0</v>
      </c>
      <c r="M24" s="231">
        <f>+'[3]CSA Air'!$HK$64</f>
        <v>0</v>
      </c>
      <c r="N24" s="349" t="e">
        <f>(L24-M24)/M24</f>
        <v>#DIV/0!</v>
      </c>
      <c r="O24" s="347">
        <f>+SUM('[3]CSA Air'!$HR$64:$HY$64)</f>
        <v>0</v>
      </c>
      <c r="P24" s="231">
        <f>+SUM('[3]CSA Air'!$HD$64:$HK$64)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693</v>
      </c>
      <c r="D26" s="417">
        <f>SUM(D27:D28)</f>
        <v>741</v>
      </c>
      <c r="E26" s="418">
        <f>(C26-D26)/D26</f>
        <v>-6.4777327935222673E-2</v>
      </c>
      <c r="F26" s="417">
        <f>SUM(F27:F28)</f>
        <v>5386</v>
      </c>
      <c r="G26" s="417">
        <f>SUM(G27:G28)</f>
        <v>5791</v>
      </c>
      <c r="H26" s="419">
        <f>(F26-G26)/G26</f>
        <v>-6.993610775341047E-2</v>
      </c>
      <c r="I26" s="418">
        <f>+F26/$F$34</f>
        <v>0.51888246628131018</v>
      </c>
      <c r="J26" s="283" t="s">
        <v>82</v>
      </c>
      <c r="K26" s="40"/>
      <c r="L26" s="417">
        <f>SUM(L27:L28)</f>
        <v>13181485</v>
      </c>
      <c r="M26" s="417">
        <f>SUM(M27:M28)</f>
        <v>13222592</v>
      </c>
      <c r="N26" s="418">
        <f>(L26-M26)/M26</f>
        <v>-3.1088458299250252E-3</v>
      </c>
      <c r="O26" s="417">
        <f>SUM(O27:O28)</f>
        <v>101579660</v>
      </c>
      <c r="P26" s="417">
        <f>SUM(P27:P28)</f>
        <v>108524297</v>
      </c>
      <c r="Q26" s="419">
        <f>(O26-P26)/P26</f>
        <v>-6.3991540991046453E-2</v>
      </c>
      <c r="R26" s="418">
        <f>O26/$O$34</f>
        <v>0.36350606212979952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+[3]UPS!$HY$19</f>
        <v>269</v>
      </c>
      <c r="D27" s="231">
        <f>+[3]UPS!$HK$19</f>
        <v>305</v>
      </c>
      <c r="E27" s="349">
        <f>(C27-D27)/D27</f>
        <v>-0.11803278688524591</v>
      </c>
      <c r="F27" s="347">
        <f>+SUM([3]UPS!$HR$19:$HY$19)</f>
        <v>2238</v>
      </c>
      <c r="G27" s="231">
        <f>+SUM([3]UPS!$HD$19:$HK$19)</f>
        <v>2457</v>
      </c>
      <c r="H27" s="348">
        <f>(F27-G27)/G27</f>
        <v>-8.9133089133089136E-2</v>
      </c>
      <c r="I27" s="349">
        <f>+F27/$F$34</f>
        <v>0.21560693641618497</v>
      </c>
      <c r="J27" s="283"/>
      <c r="K27" s="343" t="s">
        <v>82</v>
      </c>
      <c r="L27" s="347">
        <f>+[3]UPS!$HY$64</f>
        <v>13181485</v>
      </c>
      <c r="M27" s="231">
        <f>+[3]UPS!$HK$64</f>
        <v>13222592</v>
      </c>
      <c r="N27" s="349">
        <f>(L27-M27)/M27</f>
        <v>-3.1088458299250252E-3</v>
      </c>
      <c r="O27" s="347">
        <f>+SUM([3]UPS!$HR$64:$HY$64)</f>
        <v>101579660</v>
      </c>
      <c r="P27" s="231">
        <f>+SUM([3]UPS!$HD$64:$HK$64)</f>
        <v>108524297</v>
      </c>
      <c r="Q27" s="348">
        <f>(O27-P27)/P27</f>
        <v>-6.3991540991046453E-2</v>
      </c>
      <c r="R27" s="349">
        <f>O27/$O$34</f>
        <v>0.36350606212979952</v>
      </c>
      <c r="S27" s="370"/>
      <c r="T27" s="435"/>
    </row>
    <row r="28" spans="1:20" x14ac:dyDescent="0.2">
      <c r="A28" s="283"/>
      <c r="B28" s="343" t="s">
        <v>83</v>
      </c>
      <c r="C28" s="347">
        <f>+[3]Bemidji!$HY$19</f>
        <v>424</v>
      </c>
      <c r="D28" s="231">
        <f>+[3]Bemidji!$HK$19</f>
        <v>436</v>
      </c>
      <c r="E28" s="349">
        <f>(C28-D28)/D28</f>
        <v>-2.7522935779816515E-2</v>
      </c>
      <c r="F28" s="347">
        <f>+SUM([3]Bemidji!$HR$19:$HY$19)</f>
        <v>3148</v>
      </c>
      <c r="G28" s="231">
        <f>+SUM([3]Bemidji!$HD$19:$HK$19)</f>
        <v>3334</v>
      </c>
      <c r="H28" s="348">
        <f t="shared" ref="H28" si="14">(F28-G28)/G28</f>
        <v>-5.5788842231553691E-2</v>
      </c>
      <c r="I28" s="349">
        <f>+F28/$F$34</f>
        <v>0.30327552986512524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Cargo'!$HY$19</f>
        <v>0</v>
      </c>
      <c r="D30" s="417">
        <f>+'[3]Misc Cargo'!$HK$19</f>
        <v>0</v>
      </c>
      <c r="E30" s="418" t="e">
        <f>(C30-D30)/D30</f>
        <v>#DIV/0!</v>
      </c>
      <c r="F30" s="421">
        <f>+SUM('[3]Misc Cargo'!$HR$19:$HY$19)</f>
        <v>2</v>
      </c>
      <c r="G30" s="417">
        <f>+SUM('[3]Misc Cargo'!$HD$19:$HK$19)</f>
        <v>6</v>
      </c>
      <c r="H30" s="419">
        <f>(F30-G30)/G30</f>
        <v>-0.66666666666666663</v>
      </c>
      <c r="I30" s="418">
        <f>+F30/$F$34</f>
        <v>1.9267822736030829E-4</v>
      </c>
      <c r="J30" s="283" t="s">
        <v>127</v>
      </c>
      <c r="K30" s="40"/>
      <c r="L30" s="421">
        <f>+'[3]Misc Cargo'!$HY$64</f>
        <v>0</v>
      </c>
      <c r="M30" s="417">
        <f>+'[3]Misc Cargo'!$HK$64</f>
        <v>0</v>
      </c>
      <c r="N30" s="418" t="e">
        <f>(L30-M30)/M30</f>
        <v>#DIV/0!</v>
      </c>
      <c r="O30" s="421">
        <f>+SUM('[3]Misc Cargo'!$HR$64:$HY$64)</f>
        <v>0</v>
      </c>
      <c r="P30" s="417">
        <f>+SUM('[3]Misc Cargo'!$HD$64:$HK$64)</f>
        <v>7505</v>
      </c>
      <c r="Q30" s="419">
        <f>(O30-P30)/P30</f>
        <v>-1</v>
      </c>
      <c r="R30" s="418">
        <f>O30/$O$34</f>
        <v>0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1348</v>
      </c>
      <c r="D34" s="374">
        <f>+D30+D26+D20+D9+D5</f>
        <v>1436</v>
      </c>
      <c r="E34" s="375">
        <f>(C34-D34)/D34</f>
        <v>-6.1281337047353758E-2</v>
      </c>
      <c r="F34" s="374">
        <f>+F30+F26+F20+F9+F5</f>
        <v>10380</v>
      </c>
      <c r="G34" s="374">
        <f>+G30+G26+G20+G9+G5</f>
        <v>10904</v>
      </c>
      <c r="H34" s="376">
        <f>(F34-G34)/G34</f>
        <v>-4.8055759354365374E-2</v>
      </c>
      <c r="I34" s="385"/>
      <c r="K34" s="40"/>
      <c r="L34" s="374">
        <f>+L30+L26+L20+L9+L5</f>
        <v>36541906</v>
      </c>
      <c r="M34" s="374">
        <f>+M30+M26+M20+M9+M5</f>
        <v>38173496.780000001</v>
      </c>
      <c r="N34" s="377">
        <f>(L34-M34)/M34</f>
        <v>-4.2741454611903151E-2</v>
      </c>
      <c r="O34" s="374">
        <f>+O30+O26+O20+O9+O5</f>
        <v>279444198</v>
      </c>
      <c r="P34" s="374">
        <f>+P30+P26+P20+P9+P5</f>
        <v>289374309.77999997</v>
      </c>
      <c r="Q34" s="376">
        <f t="shared" ref="Q34" si="15">(O34-P34)/P34</f>
        <v>-3.4315802904374783E-2</v>
      </c>
      <c r="R34" s="385"/>
      <c r="T34" s="433"/>
    </row>
    <row r="35" spans="2:20" x14ac:dyDescent="0.2">
      <c r="L35" s="282"/>
      <c r="T35" s="433"/>
    </row>
    <row r="36" spans="2:20" x14ac:dyDescent="0.2">
      <c r="D36" s="2"/>
    </row>
    <row r="37" spans="2:20" x14ac:dyDescent="0.2">
      <c r="D37" s="2"/>
      <c r="O37" s="2"/>
    </row>
    <row r="38" spans="2:20" x14ac:dyDescent="0.2">
      <c r="D38" s="2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8" orientation="portrait" r:id="rId1"/>
  <headerFooter>
    <oddHeader>&amp;C&amp;"Arial,Bold"MSP Cargo 
August 2022</oddHeader>
  </headerFooter>
  <colBreaks count="1" manualBreakCount="1">
    <brk id="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2023-01-26T18:22:25Z</dcterms:modified>
</cp:coreProperties>
</file>