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9\"/>
    </mc:Choice>
  </mc:AlternateContent>
  <xr:revisionPtr revIDLastSave="0" documentId="13_ncr:1_{D6FCB3BD-746F-418D-95F6-DD43D2CCF896}" xr6:coauthVersionLast="47" xr6:coauthVersionMax="47" xr10:uidLastSave="{00000000-0000-0000-0000-000000000000}"/>
  <bookViews>
    <workbookView xWindow="27705" yWindow="390" windowWidth="20445" windowHeight="13845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6">Cargo!$A$1:$P$37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Activity'!$A$1:$R$69</definedName>
    <definedName name="_xlnm.Print_Area" localSheetId="2">'Other Major Airline Stats'!$A$2:$J$50</definedName>
    <definedName name="_xlnm.Print_Area" localSheetId="4">'Other Regional'!$A$1:$J$47</definedName>
    <definedName name="_xlnm.Print_Area" localSheetId="3">'Regional Major'!$A$1:$M$47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17" l="1"/>
  <c r="O11" i="17"/>
  <c r="M11" i="17"/>
  <c r="L11" i="17"/>
  <c r="N11" i="17" s="1"/>
  <c r="G11" i="17"/>
  <c r="F11" i="17"/>
  <c r="H11" i="17" s="1"/>
  <c r="D11" i="17"/>
  <c r="C11" i="17"/>
  <c r="E11" i="17" s="1"/>
  <c r="P9" i="17"/>
  <c r="O9" i="17"/>
  <c r="M9" i="17"/>
  <c r="L9" i="17"/>
  <c r="N9" i="17" s="1"/>
  <c r="G9" i="17"/>
  <c r="F9" i="17"/>
  <c r="H9" i="17" s="1"/>
  <c r="D9" i="17"/>
  <c r="C9" i="17"/>
  <c r="E9" i="17" s="1"/>
  <c r="P7" i="17"/>
  <c r="O7" i="17"/>
  <c r="M7" i="17"/>
  <c r="L7" i="17"/>
  <c r="N7" i="17" s="1"/>
  <c r="G7" i="17"/>
  <c r="F7" i="17"/>
  <c r="D7" i="17"/>
  <c r="C7" i="17"/>
  <c r="E7" i="17" s="1"/>
  <c r="Q9" i="17"/>
  <c r="H27" i="8"/>
  <c r="H26" i="8"/>
  <c r="H22" i="8"/>
  <c r="H21" i="8"/>
  <c r="H17" i="8"/>
  <c r="H16" i="8"/>
  <c r="H5" i="8"/>
  <c r="H4" i="8"/>
  <c r="C27" i="8"/>
  <c r="C26" i="8"/>
  <c r="C22" i="8"/>
  <c r="C21" i="8"/>
  <c r="C23" i="8" s="1"/>
  <c r="C17" i="8"/>
  <c r="C16" i="8"/>
  <c r="C18" i="8" s="1"/>
  <c r="C5" i="8"/>
  <c r="C4" i="8"/>
  <c r="B27" i="8"/>
  <c r="B26" i="8"/>
  <c r="B22" i="8"/>
  <c r="B21" i="8"/>
  <c r="B17" i="8"/>
  <c r="B16" i="8"/>
  <c r="B5" i="8"/>
  <c r="B4" i="8"/>
  <c r="C10" i="8"/>
  <c r="C28" i="8"/>
  <c r="C32" i="8"/>
  <c r="M21" i="16"/>
  <c r="M17" i="16"/>
  <c r="M16" i="16"/>
  <c r="Q11" i="17" l="1"/>
  <c r="C31" i="8"/>
  <c r="C6" i="8"/>
  <c r="C12" i="8" s="1"/>
  <c r="Q7" i="17"/>
  <c r="H7" i="17"/>
  <c r="C33" i="8"/>
  <c r="I10" i="16"/>
  <c r="I9" i="16"/>
  <c r="I5" i="16"/>
  <c r="I4" i="16"/>
  <c r="I22" i="16"/>
  <c r="I21" i="16"/>
  <c r="I17" i="16"/>
  <c r="I16" i="16"/>
  <c r="I28" i="16"/>
  <c r="I27" i="16"/>
  <c r="I35" i="16"/>
  <c r="I34" i="16"/>
  <c r="G27" i="17"/>
  <c r="F27" i="17"/>
  <c r="G25" i="17"/>
  <c r="F25" i="17"/>
  <c r="G23" i="17"/>
  <c r="F23" i="17"/>
  <c r="G21" i="17"/>
  <c r="F21" i="17"/>
  <c r="G19" i="17"/>
  <c r="F19" i="17"/>
  <c r="G17" i="17"/>
  <c r="F17" i="17"/>
  <c r="G15" i="17"/>
  <c r="F15" i="17"/>
  <c r="G13" i="17"/>
  <c r="F13" i="17"/>
  <c r="I37" i="16" l="1"/>
  <c r="I6" i="16"/>
  <c r="I30" i="16"/>
  <c r="I11" i="16"/>
  <c r="I23" i="16"/>
  <c r="I18" i="16"/>
  <c r="J32" i="7"/>
  <c r="O32" i="7"/>
  <c r="E32" i="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P31" i="17"/>
  <c r="M31" i="17"/>
  <c r="P29" i="17"/>
  <c r="M29" i="17"/>
  <c r="P27" i="17"/>
  <c r="M27" i="17"/>
  <c r="D27" i="17"/>
  <c r="D25" i="17"/>
  <c r="P23" i="17"/>
  <c r="M23" i="17"/>
  <c r="D23" i="17"/>
  <c r="P21" i="17"/>
  <c r="M21" i="17"/>
  <c r="D21" i="17"/>
  <c r="P19" i="17"/>
  <c r="M19" i="17"/>
  <c r="D19" i="17"/>
  <c r="P17" i="17"/>
  <c r="M17" i="17"/>
  <c r="D17" i="17"/>
  <c r="P15" i="17"/>
  <c r="M15" i="17"/>
  <c r="D15" i="17"/>
  <c r="P13" i="17"/>
  <c r="M13" i="17"/>
  <c r="D13" i="17"/>
  <c r="P5" i="17"/>
  <c r="M5" i="17"/>
  <c r="P64" i="9"/>
  <c r="M64" i="9"/>
  <c r="G64" i="9"/>
  <c r="D64" i="9"/>
  <c r="P63" i="9"/>
  <c r="M63" i="9"/>
  <c r="G63" i="9"/>
  <c r="D63" i="9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5" i="9"/>
  <c r="M55" i="9"/>
  <c r="G55" i="9"/>
  <c r="D55" i="9"/>
  <c r="P53" i="9"/>
  <c r="M53" i="9"/>
  <c r="G53" i="9"/>
  <c r="D53" i="9"/>
  <c r="P51" i="9"/>
  <c r="M51" i="9"/>
  <c r="G51" i="9"/>
  <c r="D51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9" i="9"/>
  <c r="M39" i="9"/>
  <c r="G39" i="9"/>
  <c r="D39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1" i="9"/>
  <c r="M31" i="9"/>
  <c r="G31" i="9"/>
  <c r="D31" i="9"/>
  <c r="P29" i="9"/>
  <c r="M29" i="9"/>
  <c r="G29" i="9"/>
  <c r="D29" i="9"/>
  <c r="P27" i="9"/>
  <c r="M27" i="9"/>
  <c r="G27" i="9"/>
  <c r="D27" i="9"/>
  <c r="P26" i="9"/>
  <c r="M26" i="9"/>
  <c r="G26" i="9"/>
  <c r="D26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18" i="9"/>
  <c r="M18" i="9"/>
  <c r="G18" i="9"/>
  <c r="D18" i="9"/>
  <c r="P17" i="9"/>
  <c r="M17" i="9"/>
  <c r="G17" i="9"/>
  <c r="D17" i="9"/>
  <c r="P16" i="9"/>
  <c r="M16" i="9"/>
  <c r="G16" i="9"/>
  <c r="D16" i="9"/>
  <c r="P13" i="9"/>
  <c r="M13" i="9"/>
  <c r="G13" i="9"/>
  <c r="D13" i="9"/>
  <c r="P11" i="9"/>
  <c r="M11" i="9"/>
  <c r="G11" i="9"/>
  <c r="D11" i="9"/>
  <c r="P9" i="9"/>
  <c r="M9" i="9"/>
  <c r="G9" i="9"/>
  <c r="D9" i="9"/>
  <c r="P8" i="9"/>
  <c r="M8" i="9"/>
  <c r="G8" i="9"/>
  <c r="D8" i="9"/>
  <c r="P7" i="9"/>
  <c r="M7" i="9"/>
  <c r="G7" i="9"/>
  <c r="D7" i="9"/>
  <c r="P4" i="9"/>
  <c r="M4" i="9"/>
  <c r="G4" i="9"/>
  <c r="D4" i="9"/>
  <c r="O64" i="9"/>
  <c r="L64" i="9"/>
  <c r="F64" i="9"/>
  <c r="C64" i="9"/>
  <c r="O63" i="9"/>
  <c r="L63" i="9"/>
  <c r="F63" i="9"/>
  <c r="C63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5" i="9"/>
  <c r="L55" i="9"/>
  <c r="F55" i="9"/>
  <c r="C55" i="9"/>
  <c r="O53" i="9"/>
  <c r="L53" i="9"/>
  <c r="F53" i="9"/>
  <c r="C53" i="9"/>
  <c r="O51" i="9"/>
  <c r="L51" i="9"/>
  <c r="F51" i="9"/>
  <c r="C51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9" i="9"/>
  <c r="L39" i="9"/>
  <c r="F39" i="9"/>
  <c r="C39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1" i="9"/>
  <c r="L31" i="9"/>
  <c r="F31" i="9"/>
  <c r="C31" i="9"/>
  <c r="O29" i="9"/>
  <c r="L29" i="9"/>
  <c r="F29" i="9"/>
  <c r="C29" i="9"/>
  <c r="O27" i="9"/>
  <c r="L27" i="9"/>
  <c r="F27" i="9"/>
  <c r="C27" i="9"/>
  <c r="O26" i="9"/>
  <c r="L26" i="9"/>
  <c r="F26" i="9"/>
  <c r="C26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18" i="9"/>
  <c r="L18" i="9"/>
  <c r="F18" i="9"/>
  <c r="C18" i="9"/>
  <c r="O17" i="9"/>
  <c r="L17" i="9"/>
  <c r="F17" i="9"/>
  <c r="C17" i="9"/>
  <c r="O16" i="9"/>
  <c r="L16" i="9"/>
  <c r="F16" i="9"/>
  <c r="C16" i="9"/>
  <c r="O13" i="9"/>
  <c r="L13" i="9"/>
  <c r="F13" i="9"/>
  <c r="C13" i="9"/>
  <c r="O11" i="9"/>
  <c r="L11" i="9"/>
  <c r="F11" i="9"/>
  <c r="C11" i="9"/>
  <c r="O9" i="9"/>
  <c r="L9" i="9"/>
  <c r="F9" i="9"/>
  <c r="C9" i="9"/>
  <c r="O8" i="9"/>
  <c r="L8" i="9"/>
  <c r="F8" i="9"/>
  <c r="C8" i="9"/>
  <c r="O7" i="9"/>
  <c r="L7" i="9"/>
  <c r="F7" i="9"/>
  <c r="C7" i="9"/>
  <c r="O4" i="9"/>
  <c r="L4" i="9"/>
  <c r="F4" i="9"/>
  <c r="C4" i="9"/>
  <c r="M35" i="16"/>
  <c r="L35" i="16"/>
  <c r="K35" i="16"/>
  <c r="J35" i="16"/>
  <c r="H35" i="16"/>
  <c r="G35" i="16"/>
  <c r="F35" i="16"/>
  <c r="E35" i="16"/>
  <c r="D35" i="16"/>
  <c r="C35" i="16"/>
  <c r="B35" i="16"/>
  <c r="M34" i="16"/>
  <c r="L34" i="16"/>
  <c r="K34" i="16"/>
  <c r="J34" i="16"/>
  <c r="H34" i="16"/>
  <c r="G34" i="16"/>
  <c r="F34" i="16"/>
  <c r="E34" i="16"/>
  <c r="D34" i="16"/>
  <c r="C34" i="16"/>
  <c r="B34" i="16"/>
  <c r="M28" i="16"/>
  <c r="L28" i="16"/>
  <c r="K28" i="16"/>
  <c r="J28" i="16"/>
  <c r="H28" i="16"/>
  <c r="G28" i="16"/>
  <c r="F28" i="16"/>
  <c r="E28" i="16"/>
  <c r="D28" i="16"/>
  <c r="C28" i="16"/>
  <c r="B28" i="16"/>
  <c r="M27" i="16"/>
  <c r="L27" i="16"/>
  <c r="K27" i="16"/>
  <c r="J27" i="16"/>
  <c r="H27" i="16"/>
  <c r="G27" i="16"/>
  <c r="F27" i="16"/>
  <c r="E27" i="16"/>
  <c r="D27" i="16"/>
  <c r="C27" i="16"/>
  <c r="B27" i="16"/>
  <c r="M22" i="16"/>
  <c r="L22" i="16"/>
  <c r="K22" i="16"/>
  <c r="J22" i="16"/>
  <c r="H22" i="16"/>
  <c r="G22" i="16"/>
  <c r="F22" i="16"/>
  <c r="E22" i="16"/>
  <c r="D22" i="16"/>
  <c r="C22" i="16"/>
  <c r="B22" i="16"/>
  <c r="L21" i="16"/>
  <c r="K21" i="16"/>
  <c r="J21" i="16"/>
  <c r="H21" i="16"/>
  <c r="G21" i="16"/>
  <c r="F21" i="16"/>
  <c r="E21" i="16"/>
  <c r="D21" i="16"/>
  <c r="C21" i="16"/>
  <c r="B21" i="16"/>
  <c r="L17" i="16"/>
  <c r="K17" i="16"/>
  <c r="J17" i="16"/>
  <c r="H17" i="16"/>
  <c r="G17" i="16"/>
  <c r="F17" i="16"/>
  <c r="E17" i="16"/>
  <c r="D17" i="16"/>
  <c r="C17" i="16"/>
  <c r="B17" i="16"/>
  <c r="L16" i="16"/>
  <c r="K16" i="16"/>
  <c r="J16" i="16"/>
  <c r="H16" i="16"/>
  <c r="G16" i="16"/>
  <c r="F16" i="16"/>
  <c r="E16" i="16"/>
  <c r="D16" i="16"/>
  <c r="C16" i="16"/>
  <c r="B16" i="16"/>
  <c r="M10" i="16"/>
  <c r="L10" i="16"/>
  <c r="K10" i="16"/>
  <c r="J10" i="16"/>
  <c r="H10" i="16"/>
  <c r="G10" i="16"/>
  <c r="F10" i="16"/>
  <c r="E10" i="16"/>
  <c r="D10" i="16"/>
  <c r="C10" i="16"/>
  <c r="B10" i="16"/>
  <c r="M9" i="16"/>
  <c r="L9" i="16"/>
  <c r="K9" i="16"/>
  <c r="J9" i="16"/>
  <c r="H9" i="16"/>
  <c r="G9" i="16"/>
  <c r="F9" i="16"/>
  <c r="E9" i="16"/>
  <c r="D9" i="16"/>
  <c r="C9" i="16"/>
  <c r="B9" i="16"/>
  <c r="M5" i="16"/>
  <c r="L5" i="16"/>
  <c r="K5" i="16"/>
  <c r="J5" i="16"/>
  <c r="H5" i="16"/>
  <c r="G5" i="16"/>
  <c r="F5" i="16"/>
  <c r="E5" i="16"/>
  <c r="D5" i="16"/>
  <c r="C5" i="16"/>
  <c r="B5" i="16"/>
  <c r="M4" i="16"/>
  <c r="L4" i="16"/>
  <c r="K4" i="16"/>
  <c r="J4" i="16"/>
  <c r="H4" i="16"/>
  <c r="G4" i="16"/>
  <c r="F4" i="16"/>
  <c r="E4" i="16"/>
  <c r="D4" i="16"/>
  <c r="C4" i="16"/>
  <c r="B4" i="16"/>
  <c r="O31" i="17"/>
  <c r="L31" i="17"/>
  <c r="O29" i="17"/>
  <c r="L29" i="17"/>
  <c r="O27" i="17"/>
  <c r="L27" i="17"/>
  <c r="C27" i="17"/>
  <c r="C25" i="17"/>
  <c r="O23" i="17"/>
  <c r="L23" i="17"/>
  <c r="C23" i="17"/>
  <c r="O21" i="17"/>
  <c r="L21" i="17"/>
  <c r="C21" i="17"/>
  <c r="O19" i="17"/>
  <c r="L19" i="17"/>
  <c r="C19" i="17"/>
  <c r="O17" i="17"/>
  <c r="L17" i="17"/>
  <c r="C17" i="17"/>
  <c r="O15" i="17"/>
  <c r="L15" i="17"/>
  <c r="C15" i="17"/>
  <c r="O13" i="17"/>
  <c r="L13" i="17"/>
  <c r="C13" i="17"/>
  <c r="O5" i="17"/>
  <c r="L5" i="17"/>
  <c r="O27" i="8"/>
  <c r="N27" i="8"/>
  <c r="M27" i="8"/>
  <c r="K27" i="8"/>
  <c r="J27" i="8"/>
  <c r="I27" i="8"/>
  <c r="F27" i="8"/>
  <c r="E27" i="8"/>
  <c r="D27" i="8"/>
  <c r="O26" i="8"/>
  <c r="N26" i="8"/>
  <c r="M26" i="8"/>
  <c r="K26" i="8"/>
  <c r="J26" i="8"/>
  <c r="I26" i="8"/>
  <c r="F26" i="8"/>
  <c r="E26" i="8"/>
  <c r="D26" i="8"/>
  <c r="O22" i="8"/>
  <c r="N22" i="8"/>
  <c r="M22" i="8"/>
  <c r="K22" i="8"/>
  <c r="J22" i="8"/>
  <c r="I22" i="8"/>
  <c r="F22" i="8"/>
  <c r="E22" i="8"/>
  <c r="D22" i="8"/>
  <c r="O21" i="8"/>
  <c r="N21" i="8"/>
  <c r="M21" i="8"/>
  <c r="K21" i="8"/>
  <c r="J21" i="8"/>
  <c r="I21" i="8"/>
  <c r="F21" i="8"/>
  <c r="E21" i="8"/>
  <c r="D21" i="8"/>
  <c r="O17" i="8"/>
  <c r="N17" i="8"/>
  <c r="M17" i="8"/>
  <c r="K17" i="8"/>
  <c r="J17" i="8"/>
  <c r="I17" i="8"/>
  <c r="F17" i="8"/>
  <c r="E17" i="8"/>
  <c r="D17" i="8"/>
  <c r="O16" i="8"/>
  <c r="N16" i="8"/>
  <c r="M16" i="8"/>
  <c r="K16" i="8"/>
  <c r="J16" i="8"/>
  <c r="I16" i="8"/>
  <c r="F16" i="8"/>
  <c r="E16" i="8"/>
  <c r="D16" i="8"/>
  <c r="O9" i="8"/>
  <c r="O8" i="8"/>
  <c r="O5" i="8"/>
  <c r="N5" i="8"/>
  <c r="M5" i="8"/>
  <c r="L5" i="8"/>
  <c r="K5" i="8"/>
  <c r="J5" i="8"/>
  <c r="I5" i="8"/>
  <c r="F5" i="8"/>
  <c r="E5" i="8"/>
  <c r="D5" i="8"/>
  <c r="O4" i="8"/>
  <c r="N4" i="8"/>
  <c r="M4" i="8"/>
  <c r="L4" i="8"/>
  <c r="K4" i="8"/>
  <c r="J4" i="8"/>
  <c r="I4" i="8"/>
  <c r="F4" i="8"/>
  <c r="E4" i="8"/>
  <c r="D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1" i="1"/>
  <c r="B21" i="1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N17" i="16" l="1"/>
  <c r="N21" i="16"/>
  <c r="N22" i="16"/>
  <c r="N16" i="16"/>
  <c r="N5" i="16"/>
  <c r="N9" i="16"/>
  <c r="N4" i="16"/>
  <c r="N10" i="16"/>
  <c r="P16" i="8"/>
  <c r="O31" i="7"/>
  <c r="J31" i="7"/>
  <c r="E31" i="7"/>
  <c r="Q15" i="17" l="1"/>
  <c r="N15" i="17"/>
  <c r="I23" i="8"/>
  <c r="I10" i="8"/>
  <c r="I6" i="8" l="1"/>
  <c r="I12" i="8" s="1"/>
  <c r="E15" i="17"/>
  <c r="I32" i="8"/>
  <c r="H15" i="17"/>
  <c r="I31" i="8"/>
  <c r="I18" i="8"/>
  <c r="I28" i="8"/>
  <c r="I33" i="8" l="1"/>
  <c r="O30" i="7"/>
  <c r="O29" i="7"/>
  <c r="J30" i="7"/>
  <c r="E30" i="7"/>
  <c r="E29" i="7"/>
  <c r="J29" i="7" l="1"/>
  <c r="O28" i="7" l="1"/>
  <c r="J28" i="7"/>
  <c r="E28" i="7"/>
  <c r="H17" i="4" l="1"/>
  <c r="K17" i="4"/>
  <c r="E4" i="9"/>
  <c r="N4" i="9"/>
  <c r="Q4" i="9" l="1"/>
  <c r="H4" i="9"/>
  <c r="D30" i="3"/>
  <c r="D12" i="3"/>
  <c r="D7" i="3"/>
  <c r="D44" i="3"/>
  <c r="D40" i="3"/>
  <c r="D18" i="3"/>
  <c r="D22" i="3" l="1"/>
  <c r="D23" i="3" s="1"/>
  <c r="D35" i="3"/>
  <c r="D43" i="3"/>
  <c r="D45" i="3" s="1"/>
  <c r="O27" i="7"/>
  <c r="J27" i="7"/>
  <c r="E27" i="7"/>
  <c r="F50" i="9" l="1"/>
  <c r="O26" i="7"/>
  <c r="J26" i="7"/>
  <c r="E26" i="7"/>
  <c r="O25" i="7" l="1"/>
  <c r="J25" i="7"/>
  <c r="E25" i="7"/>
  <c r="F68" i="9" l="1"/>
  <c r="F40" i="2"/>
  <c r="F35" i="2"/>
  <c r="F30" i="2"/>
  <c r="F21" i="2"/>
  <c r="F17" i="2"/>
  <c r="F11" i="2"/>
  <c r="F6" i="2"/>
  <c r="F44" i="2"/>
  <c r="G40" i="2"/>
  <c r="G30" i="2"/>
  <c r="G17" i="2"/>
  <c r="G6" i="2"/>
  <c r="G35" i="2" l="1"/>
  <c r="G11" i="2"/>
  <c r="G21" i="2"/>
  <c r="G23" i="2" s="1"/>
  <c r="G44" i="2"/>
  <c r="F23" i="2"/>
  <c r="F43" i="2"/>
  <c r="F45" i="2" s="1"/>
  <c r="G43" i="2"/>
  <c r="G45" i="2" l="1"/>
  <c r="O24" i="7"/>
  <c r="J24" i="7"/>
  <c r="E24" i="7"/>
  <c r="O23" i="7" l="1"/>
  <c r="J23" i="7"/>
  <c r="E23" i="7"/>
  <c r="O22" i="7" l="1"/>
  <c r="E22" i="7"/>
  <c r="J22" i="7"/>
  <c r="Q64" i="9" l="1"/>
  <c r="E64" i="9"/>
  <c r="N64" i="9"/>
  <c r="E46" i="9" l="1"/>
  <c r="G68" i="9"/>
  <c r="N46" i="9"/>
  <c r="L68" i="9"/>
  <c r="M68" i="9"/>
  <c r="P68" i="9"/>
  <c r="D68" i="9"/>
  <c r="O68" i="9"/>
  <c r="C68" i="9"/>
  <c r="Q46" i="9"/>
  <c r="H46" i="9"/>
  <c r="H64" i="9"/>
  <c r="E13" i="17" l="1"/>
  <c r="D10" i="8"/>
  <c r="O21" i="7"/>
  <c r="J21" i="7"/>
  <c r="E21" i="7"/>
  <c r="D6" i="8" l="1"/>
  <c r="D12" i="8" s="1"/>
  <c r="D23" i="8"/>
  <c r="D32" i="8"/>
  <c r="D28" i="8"/>
  <c r="D18" i="8"/>
  <c r="N13" i="17"/>
  <c r="Q13" i="17"/>
  <c r="H13" i="17"/>
  <c r="D31" i="8"/>
  <c r="H11" i="2" l="1"/>
  <c r="H21" i="2"/>
  <c r="H35" i="2"/>
  <c r="H6" i="2"/>
  <c r="D33" i="8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J3" i="17"/>
  <c r="C50" i="9"/>
  <c r="I45" i="2" l="1"/>
  <c r="G17" i="4"/>
  <c r="G27" i="4"/>
  <c r="C15" i="9"/>
  <c r="G12" i="4"/>
  <c r="G20" i="4"/>
  <c r="G32" i="4"/>
  <c r="C20" i="9"/>
  <c r="C33" i="9"/>
  <c r="C6" i="9"/>
  <c r="C57" i="9"/>
  <c r="D17" i="15"/>
  <c r="D27" i="15"/>
  <c r="D37" i="15"/>
  <c r="G7" i="4"/>
  <c r="H6" i="16"/>
  <c r="G41" i="4"/>
  <c r="D41" i="15"/>
  <c r="D7" i="15"/>
  <c r="D32" i="15"/>
  <c r="H30" i="16"/>
  <c r="J11" i="16"/>
  <c r="J23" i="16"/>
  <c r="J37" i="16"/>
  <c r="D12" i="15"/>
  <c r="G37" i="4"/>
  <c r="H11" i="16"/>
  <c r="H23" i="16"/>
  <c r="H37" i="16"/>
  <c r="D20" i="15"/>
  <c r="J6" i="16"/>
  <c r="J18" i="16"/>
  <c r="J30" i="16"/>
  <c r="G40" i="4"/>
  <c r="D40" i="15"/>
  <c r="H18" i="16"/>
  <c r="C69" i="9" l="1"/>
  <c r="C67" i="9" s="1"/>
  <c r="G21" i="4"/>
  <c r="D21" i="15"/>
  <c r="G42" i="4"/>
  <c r="D42" i="15"/>
  <c r="O57" i="9"/>
  <c r="N63" i="9"/>
  <c r="H63" i="9"/>
  <c r="E63" i="9"/>
  <c r="Q62" i="9"/>
  <c r="N61" i="9"/>
  <c r="H61" i="9"/>
  <c r="E61" i="9"/>
  <c r="Q60" i="9"/>
  <c r="N59" i="9"/>
  <c r="H59" i="9"/>
  <c r="E59" i="9"/>
  <c r="P57" i="9"/>
  <c r="Q58" i="9"/>
  <c r="M57" i="9"/>
  <c r="D57" i="9"/>
  <c r="Q55" i="9"/>
  <c r="N55" i="9"/>
  <c r="E55" i="9"/>
  <c r="N53" i="9"/>
  <c r="E53" i="9"/>
  <c r="Q51" i="9"/>
  <c r="M50" i="9"/>
  <c r="N51" i="9"/>
  <c r="H51" i="9"/>
  <c r="G50" i="9"/>
  <c r="D50" i="9"/>
  <c r="P50" i="9"/>
  <c r="L50" i="9"/>
  <c r="Q48" i="9"/>
  <c r="N48" i="9"/>
  <c r="H48" i="9"/>
  <c r="N44" i="9"/>
  <c r="E44" i="9"/>
  <c r="N42" i="9"/>
  <c r="E42" i="9"/>
  <c r="N40" i="9"/>
  <c r="H40" i="9"/>
  <c r="Q38" i="9"/>
  <c r="N38" i="9"/>
  <c r="H38" i="9"/>
  <c r="N37" i="9"/>
  <c r="E37" i="9"/>
  <c r="N36" i="9"/>
  <c r="H36" i="9"/>
  <c r="M33" i="9"/>
  <c r="E35" i="9"/>
  <c r="Q34" i="9"/>
  <c r="N34" i="9"/>
  <c r="H34" i="9"/>
  <c r="G33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M69" i="9" l="1"/>
  <c r="M67" i="9" s="1"/>
  <c r="N9" i="9"/>
  <c r="L33" i="9"/>
  <c r="N33" i="9" s="1"/>
  <c r="D33" i="9"/>
  <c r="E33" i="9" s="1"/>
  <c r="N50" i="9"/>
  <c r="G6" i="9"/>
  <c r="P6" i="9"/>
  <c r="Q6" i="9" s="1"/>
  <c r="N11" i="9"/>
  <c r="E13" i="9"/>
  <c r="L15" i="9"/>
  <c r="N15" i="9" s="1"/>
  <c r="Q16" i="9"/>
  <c r="E38" i="9"/>
  <c r="P33" i="9"/>
  <c r="O50" i="9"/>
  <c r="Q50" i="9" s="1"/>
  <c r="E8" i="9"/>
  <c r="N8" i="9"/>
  <c r="F20" i="9"/>
  <c r="H20" i="9" s="1"/>
  <c r="O33" i="9"/>
  <c r="N35" i="9"/>
  <c r="Q36" i="9"/>
  <c r="E39" i="9"/>
  <c r="N39" i="9"/>
  <c r="Q40" i="9"/>
  <c r="E60" i="9"/>
  <c r="N60" i="9"/>
  <c r="E62" i="9"/>
  <c r="N62" i="9"/>
  <c r="H37" i="9"/>
  <c r="H53" i="9"/>
  <c r="F6" i="9"/>
  <c r="L6" i="9"/>
  <c r="N6" i="9" s="1"/>
  <c r="H8" i="9"/>
  <c r="D15" i="9"/>
  <c r="E18" i="9"/>
  <c r="E21" i="9"/>
  <c r="H24" i="9"/>
  <c r="E31" i="9"/>
  <c r="F33" i="9"/>
  <c r="H35" i="9"/>
  <c r="E40" i="9"/>
  <c r="E48" i="9"/>
  <c r="H50" i="9"/>
  <c r="E51" i="9"/>
  <c r="H15" i="9"/>
  <c r="H22" i="9"/>
  <c r="E6" i="9"/>
  <c r="E9" i="9"/>
  <c r="L20" i="9"/>
  <c r="N20" i="9" s="1"/>
  <c r="D20" i="9"/>
  <c r="E23" i="9"/>
  <c r="H26" i="9"/>
  <c r="H42" i="9"/>
  <c r="Q57" i="9"/>
  <c r="G57" i="9"/>
  <c r="G69" i="9" s="1"/>
  <c r="Q59" i="9"/>
  <c r="H17" i="9"/>
  <c r="E25" i="9"/>
  <c r="H29" i="9"/>
  <c r="E34" i="9"/>
  <c r="E36" i="9"/>
  <c r="H39" i="9"/>
  <c r="H44" i="9"/>
  <c r="E58" i="9"/>
  <c r="N58" i="9"/>
  <c r="Q61" i="9"/>
  <c r="Q63" i="9"/>
  <c r="Q11" i="9"/>
  <c r="Q15" i="9"/>
  <c r="Q17" i="9"/>
  <c r="Q20" i="9"/>
  <c r="Q22" i="9"/>
  <c r="Q24" i="9"/>
  <c r="Q26" i="9"/>
  <c r="Q29" i="9"/>
  <c r="Q35" i="9"/>
  <c r="Q37" i="9"/>
  <c r="Q39" i="9"/>
  <c r="Q42" i="9"/>
  <c r="Q44" i="9"/>
  <c r="E50" i="9"/>
  <c r="Q53" i="9"/>
  <c r="H55" i="9"/>
  <c r="F57" i="9"/>
  <c r="L57" i="9"/>
  <c r="H58" i="9"/>
  <c r="H60" i="9"/>
  <c r="H62" i="9"/>
  <c r="F69" i="9" l="1"/>
  <c r="I4" i="9" s="1"/>
  <c r="P69" i="9"/>
  <c r="P67" i="9" s="1"/>
  <c r="L69" i="9"/>
  <c r="N69" i="9" s="1"/>
  <c r="D69" i="9"/>
  <c r="D67" i="9" s="1"/>
  <c r="G67" i="9"/>
  <c r="O69" i="9"/>
  <c r="R4" i="9" s="1"/>
  <c r="Q33" i="9"/>
  <c r="E20" i="9"/>
  <c r="E68" i="9"/>
  <c r="N68" i="9"/>
  <c r="H57" i="9"/>
  <c r="H33" i="9"/>
  <c r="H6" i="9"/>
  <c r="Q68" i="9"/>
  <c r="N57" i="9"/>
  <c r="E15" i="9"/>
  <c r="H68" i="9"/>
  <c r="E57" i="9"/>
  <c r="L67" i="9" l="1"/>
  <c r="Q69" i="9"/>
  <c r="R69" i="9" s="1"/>
  <c r="R46" i="9"/>
  <c r="O67" i="9"/>
  <c r="F67" i="9"/>
  <c r="I46" i="9"/>
  <c r="I6" i="9"/>
  <c r="I64" i="9"/>
  <c r="R60" i="9"/>
  <c r="R64" i="9"/>
  <c r="R58" i="9"/>
  <c r="R37" i="9"/>
  <c r="R24" i="9"/>
  <c r="R48" i="9"/>
  <c r="R33" i="9"/>
  <c r="R68" i="9"/>
  <c r="R25" i="9"/>
  <c r="R35" i="9"/>
  <c r="R26" i="9"/>
  <c r="R21" i="9"/>
  <c r="R44" i="9"/>
  <c r="R16" i="9"/>
  <c r="R57" i="9"/>
  <c r="R22" i="9"/>
  <c r="R63" i="9"/>
  <c r="R15" i="9"/>
  <c r="R59" i="9"/>
  <c r="R11" i="9"/>
  <c r="R53" i="9"/>
  <c r="R29" i="9"/>
  <c r="R62" i="9"/>
  <c r="R9" i="9"/>
  <c r="R8" i="9"/>
  <c r="R50" i="9"/>
  <c r="R34" i="9"/>
  <c r="R55" i="9"/>
  <c r="R42" i="9"/>
  <c r="R61" i="9"/>
  <c r="R7" i="9"/>
  <c r="R36" i="9"/>
  <c r="R18" i="9"/>
  <c r="R27" i="9"/>
  <c r="R20" i="9"/>
  <c r="R31" i="9"/>
  <c r="R17" i="9"/>
  <c r="R6" i="9"/>
  <c r="R39" i="9"/>
  <c r="R38" i="9"/>
  <c r="R23" i="9"/>
  <c r="R51" i="9"/>
  <c r="R13" i="9"/>
  <c r="R40" i="9"/>
  <c r="I68" i="9"/>
  <c r="I33" i="9"/>
  <c r="I57" i="9"/>
  <c r="H69" i="9"/>
  <c r="I69" i="9" s="1"/>
  <c r="I63" i="9"/>
  <c r="I61" i="9"/>
  <c r="I11" i="9"/>
  <c r="I59" i="9"/>
  <c r="I7" i="9"/>
  <c r="I38" i="9"/>
  <c r="I55" i="9"/>
  <c r="I50" i="9"/>
  <c r="I15" i="9"/>
  <c r="I16" i="9"/>
  <c r="I26" i="9"/>
  <c r="I42" i="9"/>
  <c r="I21" i="9"/>
  <c r="I39" i="9"/>
  <c r="I44" i="9"/>
  <c r="I62" i="9"/>
  <c r="I8" i="9"/>
  <c r="I53" i="9"/>
  <c r="I25" i="9"/>
  <c r="I34" i="9"/>
  <c r="I36" i="9"/>
  <c r="I23" i="9"/>
  <c r="I31" i="9"/>
  <c r="I51" i="9"/>
  <c r="I37" i="9"/>
  <c r="I24" i="9"/>
  <c r="I35" i="9"/>
  <c r="I22" i="9"/>
  <c r="I13" i="9"/>
  <c r="I60" i="9"/>
  <c r="I18" i="9"/>
  <c r="I29" i="9"/>
  <c r="I20" i="9"/>
  <c r="I58" i="9"/>
  <c r="I9" i="9"/>
  <c r="I27" i="9"/>
  <c r="I17" i="9"/>
  <c r="I40" i="9"/>
  <c r="I48" i="9"/>
  <c r="E69" i="9"/>
  <c r="R67" i="9" l="1"/>
  <c r="Q67" i="9"/>
  <c r="N67" i="9"/>
  <c r="E67" i="9"/>
  <c r="H67" i="9"/>
  <c r="I67" i="9"/>
  <c r="J2" i="9" l="1"/>
  <c r="M34" i="17" l="1"/>
  <c r="P34" i="17" l="1"/>
  <c r="H23" i="17"/>
  <c r="Q23" i="17"/>
  <c r="Q31" i="17"/>
  <c r="E21" i="17"/>
  <c r="E23" i="17"/>
  <c r="H21" i="17"/>
  <c r="Q21" i="17"/>
  <c r="Q29" i="17"/>
  <c r="Q5" i="17"/>
  <c r="Q17" i="17"/>
  <c r="H19" i="17"/>
  <c r="Q19" i="17"/>
  <c r="E25" i="17"/>
  <c r="E27" i="17"/>
  <c r="H27" i="17"/>
  <c r="E17" i="17"/>
  <c r="N17" i="17"/>
  <c r="H17" i="17"/>
  <c r="E19" i="17"/>
  <c r="N21" i="17"/>
  <c r="H25" i="17"/>
  <c r="N29" i="17"/>
  <c r="L34" i="17"/>
  <c r="Q27" i="17"/>
  <c r="O34" i="17"/>
  <c r="R11" i="17" s="1"/>
  <c r="N5" i="17"/>
  <c r="N19" i="17"/>
  <c r="N23" i="17"/>
  <c r="N27" i="17"/>
  <c r="N31" i="17"/>
  <c r="R7" i="17" l="1"/>
  <c r="R9" i="17"/>
  <c r="R15" i="17"/>
  <c r="R17" i="17"/>
  <c r="R5" i="17"/>
  <c r="R13" i="17"/>
  <c r="R31" i="17"/>
  <c r="R29" i="17"/>
  <c r="R23" i="17"/>
  <c r="R19" i="17"/>
  <c r="R27" i="17"/>
  <c r="R21" i="17"/>
  <c r="Q34" i="17"/>
  <c r="N34" i="17"/>
  <c r="I45" i="15" l="1"/>
  <c r="I44" i="15"/>
  <c r="I36" i="15"/>
  <c r="I37" i="15" l="1"/>
  <c r="E11" i="16"/>
  <c r="E37" i="16"/>
  <c r="I12" i="15"/>
  <c r="I20" i="15"/>
  <c r="I32" i="15"/>
  <c r="E30" i="16"/>
  <c r="I7" i="15"/>
  <c r="I27" i="15"/>
  <c r="E23" i="16"/>
  <c r="I17" i="15"/>
  <c r="I41" i="15"/>
  <c r="E6" i="16"/>
  <c r="E18" i="16"/>
  <c r="I40" i="15"/>
  <c r="I21" i="15" l="1"/>
  <c r="I42" i="15"/>
  <c r="E36" i="15"/>
  <c r="E17" i="15" l="1"/>
  <c r="C18" i="3"/>
  <c r="E27" i="15"/>
  <c r="J7" i="4"/>
  <c r="C30" i="3"/>
  <c r="E22" i="3"/>
  <c r="I17" i="4"/>
  <c r="I37" i="4"/>
  <c r="J40" i="4"/>
  <c r="E44" i="3"/>
  <c r="C44" i="3"/>
  <c r="E7" i="15"/>
  <c r="J20" i="4"/>
  <c r="E12" i="15"/>
  <c r="E20" i="15"/>
  <c r="E32" i="15"/>
  <c r="C22" i="3"/>
  <c r="C7" i="3"/>
  <c r="C40" i="3"/>
  <c r="E7" i="3"/>
  <c r="E18" i="3"/>
  <c r="E30" i="3"/>
  <c r="J17" i="4"/>
  <c r="J27" i="4"/>
  <c r="J41" i="4"/>
  <c r="E41" i="15"/>
  <c r="E12" i="3"/>
  <c r="E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E40" i="3"/>
  <c r="E43" i="3"/>
  <c r="C43" i="3"/>
  <c r="E21" i="15" l="1"/>
  <c r="E23" i="3"/>
  <c r="C23" i="3"/>
  <c r="C45" i="3"/>
  <c r="J21" i="4"/>
  <c r="I42" i="4"/>
  <c r="E45" i="3"/>
  <c r="I21" i="4"/>
  <c r="E42" i="15"/>
  <c r="J42" i="4"/>
  <c r="J10" i="15" l="1"/>
  <c r="J18" i="15"/>
  <c r="J5" i="15"/>
  <c r="J15" i="15"/>
  <c r="J6" i="15"/>
  <c r="J16" i="15"/>
  <c r="J11" i="15"/>
  <c r="J19" i="15"/>
  <c r="J32" i="8" l="1"/>
  <c r="J18" i="8"/>
  <c r="J6" i="8"/>
  <c r="J31" i="8"/>
  <c r="J10" i="8"/>
  <c r="J12" i="8" l="1"/>
  <c r="J23" i="8"/>
  <c r="J28" i="8"/>
  <c r="J33" i="8" l="1"/>
  <c r="F41" i="4" l="1"/>
  <c r="F20" i="4"/>
  <c r="F17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K23" i="16" l="1"/>
  <c r="K30" i="16"/>
  <c r="K6" i="16"/>
  <c r="K37" i="16"/>
  <c r="K18" i="16"/>
  <c r="K11" i="16"/>
  <c r="K10" i="8" l="1"/>
  <c r="K18" i="8" l="1"/>
  <c r="K28" i="8"/>
  <c r="K31" i="8"/>
  <c r="K23" i="8"/>
  <c r="K6" i="8"/>
  <c r="K12" i="8" s="1"/>
  <c r="K32" i="8"/>
  <c r="N18" i="8"/>
  <c r="D30" i="2"/>
  <c r="B30" i="3"/>
  <c r="C27" i="4"/>
  <c r="K27" i="4"/>
  <c r="E23" i="8"/>
  <c r="D35" i="2"/>
  <c r="B35" i="3"/>
  <c r="F35" i="3"/>
  <c r="H35" i="3"/>
  <c r="E32" i="4"/>
  <c r="B32" i="15"/>
  <c r="H32" i="15"/>
  <c r="M31" i="8"/>
  <c r="D17" i="4"/>
  <c r="F17" i="15"/>
  <c r="D20" i="4"/>
  <c r="B20" i="15"/>
  <c r="C17" i="2"/>
  <c r="F18" i="3"/>
  <c r="I18" i="3"/>
  <c r="D21" i="2"/>
  <c r="H22" i="3"/>
  <c r="C11" i="2"/>
  <c r="D11" i="2"/>
  <c r="K12" i="4"/>
  <c r="C12" i="15"/>
  <c r="B7" i="15"/>
  <c r="J49" i="3"/>
  <c r="J51" i="2" s="1"/>
  <c r="O33" i="7"/>
  <c r="J33" i="7"/>
  <c r="E33" i="7"/>
  <c r="K47" i="2"/>
  <c r="J45" i="15"/>
  <c r="J44" i="15"/>
  <c r="N20" i="16"/>
  <c r="N8" i="16"/>
  <c r="K42" i="2"/>
  <c r="K37" i="2"/>
  <c r="K36" i="2"/>
  <c r="K32" i="2"/>
  <c r="K8" i="2"/>
  <c r="M34" i="4"/>
  <c r="M33" i="4"/>
  <c r="M14" i="4"/>
  <c r="B10" i="8"/>
  <c r="E10" i="8"/>
  <c r="F10" i="8"/>
  <c r="H10" i="8"/>
  <c r="L10" i="8"/>
  <c r="M10" i="8"/>
  <c r="N10" i="8"/>
  <c r="L33" i="8"/>
  <c r="N32" i="8" l="1"/>
  <c r="M37" i="16"/>
  <c r="H18" i="3"/>
  <c r="H23" i="3" s="1"/>
  <c r="C17" i="4"/>
  <c r="K37" i="4"/>
  <c r="F32" i="8"/>
  <c r="G37" i="16"/>
  <c r="B18" i="3"/>
  <c r="B37" i="16"/>
  <c r="D37" i="16"/>
  <c r="H44" i="3"/>
  <c r="J48" i="3"/>
  <c r="J50" i="2" s="1"/>
  <c r="K50" i="2" s="1"/>
  <c r="C30" i="16"/>
  <c r="G30" i="16"/>
  <c r="M11" i="16"/>
  <c r="K41" i="4"/>
  <c r="N28" i="8"/>
  <c r="B22" i="3"/>
  <c r="K20" i="4"/>
  <c r="B46" i="4"/>
  <c r="B47" i="4" s="1"/>
  <c r="B44" i="3"/>
  <c r="D44" i="2"/>
  <c r="B18" i="8"/>
  <c r="L18" i="16"/>
  <c r="C6" i="16"/>
  <c r="C7" i="7"/>
  <c r="G18" i="3"/>
  <c r="H20" i="15"/>
  <c r="M28" i="8"/>
  <c r="B28" i="8"/>
  <c r="H37" i="15"/>
  <c r="E40" i="2"/>
  <c r="B40" i="2"/>
  <c r="G40" i="15"/>
  <c r="M18" i="16"/>
  <c r="B27" i="15"/>
  <c r="B30" i="16"/>
  <c r="D30" i="16"/>
  <c r="L30" i="16"/>
  <c r="E6" i="2"/>
  <c r="F12" i="15"/>
  <c r="I22" i="3"/>
  <c r="I23" i="3" s="1"/>
  <c r="B17" i="15"/>
  <c r="F12" i="7"/>
  <c r="B12" i="7"/>
  <c r="M6" i="8"/>
  <c r="M12" i="8" s="1"/>
  <c r="D20" i="1"/>
  <c r="O32" i="8"/>
  <c r="F41" i="15"/>
  <c r="B41" i="15"/>
  <c r="D41" i="4"/>
  <c r="E28" i="8"/>
  <c r="K40" i="4"/>
  <c r="G18" i="16"/>
  <c r="E43" i="2"/>
  <c r="B43" i="2"/>
  <c r="G32" i="15"/>
  <c r="C32" i="15"/>
  <c r="G44" i="3"/>
  <c r="B23" i="16"/>
  <c r="F11" i="16"/>
  <c r="D6" i="16"/>
  <c r="B6" i="16"/>
  <c r="G6" i="16"/>
  <c r="H12" i="15"/>
  <c r="H12" i="4"/>
  <c r="G12" i="3"/>
  <c r="C21" i="2"/>
  <c r="C23" i="2" s="1"/>
  <c r="H20" i="4"/>
  <c r="H17" i="15"/>
  <c r="D32" i="4"/>
  <c r="I35" i="3"/>
  <c r="O23" i="8"/>
  <c r="F23" i="8"/>
  <c r="F27" i="15"/>
  <c r="J28" i="3"/>
  <c r="J28" i="2" s="1"/>
  <c r="K28" i="2" s="1"/>
  <c r="B5" i="5" s="1"/>
  <c r="M23" i="8"/>
  <c r="K33" i="8"/>
  <c r="F30" i="16"/>
  <c r="G7" i="3"/>
  <c r="E7" i="7"/>
  <c r="C12" i="7"/>
  <c r="N6" i="8"/>
  <c r="N12" i="8" s="1"/>
  <c r="K32" i="4"/>
  <c r="D27" i="4"/>
  <c r="O18" i="8"/>
  <c r="F18" i="8"/>
  <c r="H31" i="8"/>
  <c r="G23" i="16"/>
  <c r="F6" i="16"/>
  <c r="F7" i="3"/>
  <c r="I7" i="3"/>
  <c r="B6" i="8"/>
  <c r="B12" i="8" s="1"/>
  <c r="B40" i="4"/>
  <c r="K7" i="4"/>
  <c r="C7" i="4"/>
  <c r="J10" i="3"/>
  <c r="J9" i="2" s="1"/>
  <c r="B17" i="2"/>
  <c r="D21" i="1"/>
  <c r="G41" i="15"/>
  <c r="J36" i="15"/>
  <c r="L36" i="4" s="1"/>
  <c r="M36" i="4" s="1"/>
  <c r="C16" i="5" s="1"/>
  <c r="B37" i="4"/>
  <c r="O31" i="8"/>
  <c r="F28" i="8"/>
  <c r="D40" i="4"/>
  <c r="H40" i="3"/>
  <c r="B40" i="3"/>
  <c r="D40" i="2"/>
  <c r="F44" i="3"/>
  <c r="B32" i="8"/>
  <c r="O10" i="8"/>
  <c r="H7" i="15"/>
  <c r="D12" i="4"/>
  <c r="G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J26" i="15"/>
  <c r="L26" i="4" s="1"/>
  <c r="M26" i="4" s="1"/>
  <c r="C6" i="5" s="1"/>
  <c r="B23" i="8"/>
  <c r="L23" i="16"/>
  <c r="D37" i="4"/>
  <c r="B40" i="15"/>
  <c r="J20" i="3"/>
  <c r="J19" i="2" s="1"/>
  <c r="K19" i="2" s="1"/>
  <c r="P8" i="8"/>
  <c r="G43" i="3"/>
  <c r="B27" i="4"/>
  <c r="L19" i="4"/>
  <c r="M19" i="4" s="1"/>
  <c r="F31" i="8"/>
  <c r="D7" i="4"/>
  <c r="J39" i="3"/>
  <c r="J39" i="2" s="1"/>
  <c r="K39" i="2" s="1"/>
  <c r="B16" i="5" s="1"/>
  <c r="B32" i="4"/>
  <c r="E35" i="2"/>
  <c r="B35" i="2"/>
  <c r="H23" i="8"/>
  <c r="D43" i="2"/>
  <c r="D23" i="16"/>
  <c r="L11" i="16"/>
  <c r="C40" i="4"/>
  <c r="E31" i="8"/>
  <c r="F43" i="3"/>
  <c r="B41" i="4"/>
  <c r="C32" i="4"/>
  <c r="B18" i="16"/>
  <c r="D18" i="16"/>
  <c r="H7" i="3"/>
  <c r="C6" i="2"/>
  <c r="G7" i="15"/>
  <c r="E7" i="4"/>
  <c r="J16" i="3"/>
  <c r="J15" i="2" s="1"/>
  <c r="K15" i="2" s="1"/>
  <c r="H40" i="15"/>
  <c r="F6" i="8"/>
  <c r="F12" i="8" s="1"/>
  <c r="P5" i="8"/>
  <c r="C19" i="1" s="1"/>
  <c r="P27" i="8"/>
  <c r="D16" i="5" s="1"/>
  <c r="C44" i="2"/>
  <c r="F23" i="16"/>
  <c r="J5" i="3"/>
  <c r="J4" i="2" s="1"/>
  <c r="K4" i="2" s="1"/>
  <c r="B5" i="1" s="1"/>
  <c r="C7" i="15"/>
  <c r="L5" i="4"/>
  <c r="M5" i="4" s="1"/>
  <c r="L16" i="4"/>
  <c r="M16" i="4" s="1"/>
  <c r="F20" i="15"/>
  <c r="F21" i="15" s="1"/>
  <c r="I30" i="3"/>
  <c r="I43" i="3"/>
  <c r="J34" i="3"/>
  <c r="J34" i="2" s="1"/>
  <c r="K34" i="2" s="1"/>
  <c r="B11" i="5" s="1"/>
  <c r="J29" i="3"/>
  <c r="J29" i="2" s="1"/>
  <c r="F12" i="3"/>
  <c r="G35" i="3"/>
  <c r="J31" i="15"/>
  <c r="L31" i="4" s="1"/>
  <c r="H18" i="8"/>
  <c r="C30" i="2"/>
  <c r="I40" i="3"/>
  <c r="I44" i="3"/>
  <c r="P9" i="8"/>
  <c r="N28" i="16"/>
  <c r="F18" i="16"/>
  <c r="C23" i="16"/>
  <c r="H40" i="4"/>
  <c r="H37" i="4"/>
  <c r="J38" i="3"/>
  <c r="J38" i="2" s="1"/>
  <c r="F40" i="3"/>
  <c r="H28" i="8"/>
  <c r="H32" i="8"/>
  <c r="D5" i="5"/>
  <c r="G37" i="15"/>
  <c r="L18" i="4"/>
  <c r="M18" i="4" s="1"/>
  <c r="M32" i="8"/>
  <c r="B11" i="16"/>
  <c r="K51" i="2"/>
  <c r="J21" i="3"/>
  <c r="J20" i="2" s="1"/>
  <c r="K20" i="2" s="1"/>
  <c r="G22" i="3"/>
  <c r="H41" i="4"/>
  <c r="P26" i="8"/>
  <c r="D15" i="5" s="1"/>
  <c r="C37" i="15"/>
  <c r="G30" i="3"/>
  <c r="J46" i="15"/>
  <c r="L44" i="4" s="1"/>
  <c r="M44" i="4" s="1"/>
  <c r="L37" i="16"/>
  <c r="D11" i="16"/>
  <c r="J47" i="15"/>
  <c r="L45" i="4" s="1"/>
  <c r="M45" i="4" s="1"/>
  <c r="F22" i="3"/>
  <c r="F23" i="3" s="1"/>
  <c r="B21" i="2"/>
  <c r="E37" i="4"/>
  <c r="J30" i="15"/>
  <c r="L30" i="4" s="1"/>
  <c r="M30" i="4" s="1"/>
  <c r="C10" i="5" s="1"/>
  <c r="H27" i="15"/>
  <c r="P22" i="8"/>
  <c r="D11" i="5" s="1"/>
  <c r="G27" i="15"/>
  <c r="C41" i="15"/>
  <c r="E41" i="4"/>
  <c r="F30" i="3"/>
  <c r="P17" i="8"/>
  <c r="F37" i="16"/>
  <c r="G11" i="16"/>
  <c r="C11" i="16"/>
  <c r="D6" i="2"/>
  <c r="L6" i="4"/>
  <c r="M6" i="4" s="1"/>
  <c r="F7" i="7"/>
  <c r="E11" i="2"/>
  <c r="B11" i="2"/>
  <c r="B12" i="3"/>
  <c r="C20" i="4"/>
  <c r="B37" i="15"/>
  <c r="P21" i="8"/>
  <c r="H27" i="4"/>
  <c r="M6" i="16"/>
  <c r="J6" i="3"/>
  <c r="J5" i="2" s="1"/>
  <c r="K5" i="2" s="1"/>
  <c r="C5" i="1" s="1"/>
  <c r="B7" i="3"/>
  <c r="F7" i="15"/>
  <c r="H7" i="4"/>
  <c r="D7" i="7"/>
  <c r="I12" i="3"/>
  <c r="D17" i="2"/>
  <c r="D23" i="2" s="1"/>
  <c r="C17" i="15"/>
  <c r="E17" i="4"/>
  <c r="D12" i="7"/>
  <c r="E12" i="7"/>
  <c r="O6" i="8"/>
  <c r="H41" i="15"/>
  <c r="B31" i="8"/>
  <c r="M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G17" i="5"/>
  <c r="J7" i="5"/>
  <c r="H22" i="1"/>
  <c r="D38" i="1"/>
  <c r="E37" i="1" s="1"/>
  <c r="G7" i="5"/>
  <c r="G22" i="5"/>
  <c r="L6" i="8"/>
  <c r="L12" i="8" s="1"/>
  <c r="O28" i="8"/>
  <c r="H6" i="8"/>
  <c r="H12" i="8" s="1"/>
  <c r="B6" i="2"/>
  <c r="J17" i="3"/>
  <c r="J16" i="2" s="1"/>
  <c r="C41" i="4"/>
  <c r="C40" i="15"/>
  <c r="J25" i="15"/>
  <c r="L25" i="4" s="1"/>
  <c r="C27" i="15"/>
  <c r="E40" i="4"/>
  <c r="E27" i="4"/>
  <c r="M30" i="16"/>
  <c r="N27" i="16"/>
  <c r="C18" i="16"/>
  <c r="M23" i="16"/>
  <c r="N34" i="16"/>
  <c r="J12" i="5"/>
  <c r="J21" i="5"/>
  <c r="P4" i="8"/>
  <c r="B19" i="1" s="1"/>
  <c r="E6" i="8"/>
  <c r="N31" i="8"/>
  <c r="N23" i="8"/>
  <c r="E32" i="8"/>
  <c r="B43" i="3"/>
  <c r="B32" i="7"/>
  <c r="B12" i="15"/>
  <c r="L10" i="4"/>
  <c r="M10" i="4" s="1"/>
  <c r="F40" i="15"/>
  <c r="J35" i="15"/>
  <c r="L35" i="4" s="1"/>
  <c r="F37" i="15"/>
  <c r="E44" i="2"/>
  <c r="E30" i="2"/>
  <c r="B44" i="2"/>
  <c r="B30" i="2"/>
  <c r="J33" i="3"/>
  <c r="J33" i="2" s="1"/>
  <c r="E18" i="8"/>
  <c r="C37" i="16"/>
  <c r="N35" i="16"/>
  <c r="L11" i="4"/>
  <c r="M11" i="4" s="1"/>
  <c r="L15" i="4"/>
  <c r="M15" i="4" s="1"/>
  <c r="L6" i="16"/>
  <c r="B7" i="7"/>
  <c r="F32" i="15"/>
  <c r="C43" i="2"/>
  <c r="C35" i="2"/>
  <c r="D21" i="4"/>
  <c r="B7" i="4"/>
  <c r="C12" i="4"/>
  <c r="H12" i="3"/>
  <c r="G10" i="7"/>
  <c r="B18" i="1" s="1"/>
  <c r="C37" i="4"/>
  <c r="H43" i="3"/>
  <c r="H30" i="3"/>
  <c r="N18" i="16" l="1"/>
  <c r="N23" i="16"/>
  <c r="H11" i="1"/>
  <c r="C32" i="7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I45" i="3"/>
  <c r="C21" i="4"/>
  <c r="B23" i="2"/>
  <c r="B33" i="1"/>
  <c r="P10" i="8"/>
  <c r="H45" i="3"/>
  <c r="M33" i="8"/>
  <c r="G45" i="3"/>
  <c r="D45" i="2"/>
  <c r="O12" i="8"/>
  <c r="G23" i="3"/>
  <c r="B33" i="8"/>
  <c r="G42" i="15"/>
  <c r="H21" i="15"/>
  <c r="B42" i="4"/>
  <c r="D7" i="1"/>
  <c r="J17" i="2"/>
  <c r="K17" i="2" s="1"/>
  <c r="J12" i="3"/>
  <c r="J44" i="3"/>
  <c r="E45" i="2"/>
  <c r="O33" i="8"/>
  <c r="E21" i="4"/>
  <c r="D17" i="5"/>
  <c r="F45" i="3"/>
  <c r="F42" i="15"/>
  <c r="D18" i="1"/>
  <c r="C10" i="1"/>
  <c r="L27" i="4"/>
  <c r="M27" i="4" s="1"/>
  <c r="C21" i="15"/>
  <c r="D42" i="4"/>
  <c r="F33" i="8"/>
  <c r="J11" i="2"/>
  <c r="K11" i="2" s="1"/>
  <c r="K9" i="2"/>
  <c r="H33" i="8"/>
  <c r="J35" i="3"/>
  <c r="J40" i="3"/>
  <c r="J44" i="2"/>
  <c r="K44" i="2" s="1"/>
  <c r="J32" i="15"/>
  <c r="M25" i="4"/>
  <c r="C5" i="5" s="1"/>
  <c r="J30" i="3"/>
  <c r="N6" i="16"/>
  <c r="J7" i="3"/>
  <c r="P23" i="8"/>
  <c r="B21" i="4"/>
  <c r="P18" i="8"/>
  <c r="P31" i="8"/>
  <c r="G12" i="7"/>
  <c r="N11" i="16"/>
  <c r="J22" i="5"/>
  <c r="K29" i="2"/>
  <c r="B6" i="5" s="1"/>
  <c r="B7" i="5" s="1"/>
  <c r="J21" i="2"/>
  <c r="K21" i="2" s="1"/>
  <c r="H42" i="4"/>
  <c r="L32" i="4"/>
  <c r="M32" i="4" s="1"/>
  <c r="C37" i="1"/>
  <c r="H42" i="15"/>
  <c r="J22" i="3"/>
  <c r="E23" i="2"/>
  <c r="J27" i="15"/>
  <c r="B16" i="1"/>
  <c r="C17" i="1"/>
  <c r="N37" i="16"/>
  <c r="L41" i="4"/>
  <c r="M41" i="4" s="1"/>
  <c r="D19" i="1"/>
  <c r="J6" i="2"/>
  <c r="K6" i="2" s="1"/>
  <c r="D5" i="1" s="1"/>
  <c r="L20" i="4"/>
  <c r="M20" i="4" s="1"/>
  <c r="P32" i="8"/>
  <c r="G7" i="7"/>
  <c r="N30" i="16"/>
  <c r="P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N33" i="8"/>
  <c r="J37" i="15"/>
  <c r="J18" i="3"/>
  <c r="L17" i="4"/>
  <c r="M17" i="4" s="1"/>
  <c r="D10" i="5"/>
  <c r="E12" i="8"/>
  <c r="P6" i="8"/>
  <c r="E42" i="4"/>
  <c r="C42" i="15"/>
  <c r="J40" i="15"/>
  <c r="J41" i="15"/>
  <c r="E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J43" i="3"/>
  <c r="D32" i="7" l="1"/>
  <c r="B8" i="1"/>
  <c r="F18" i="1"/>
  <c r="J21" i="15"/>
  <c r="D6" i="1"/>
  <c r="C8" i="1"/>
  <c r="C33" i="1" s="1"/>
  <c r="P12" i="8"/>
  <c r="B10" i="1"/>
  <c r="F19" i="1"/>
  <c r="J45" i="2"/>
  <c r="K45" i="2" s="1"/>
  <c r="J45" i="3"/>
  <c r="F7" i="1"/>
  <c r="J23" i="2"/>
  <c r="K23" i="2" s="1"/>
  <c r="B27" i="1"/>
  <c r="B21" i="5"/>
  <c r="B28" i="1"/>
  <c r="L42" i="4"/>
  <c r="M42" i="4" s="1"/>
  <c r="J42" i="15"/>
  <c r="J23" i="3"/>
  <c r="B17" i="1"/>
  <c r="D17" i="1" s="1"/>
  <c r="K43" i="2"/>
  <c r="C11" i="5"/>
  <c r="C28" i="1"/>
  <c r="C27" i="1"/>
  <c r="P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F32" i="7" l="1"/>
  <c r="D22" i="1"/>
  <c r="F22" i="1" s="1"/>
  <c r="D10" i="1"/>
  <c r="D8" i="1"/>
  <c r="F8" i="1" s="1"/>
  <c r="F6" i="1"/>
  <c r="C11" i="1"/>
  <c r="M32" i="7" s="1"/>
  <c r="B32" i="1"/>
  <c r="B11" i="1"/>
  <c r="L32" i="7" s="1"/>
  <c r="D28" i="1"/>
  <c r="B22" i="1"/>
  <c r="B29" i="1"/>
  <c r="C12" i="5"/>
  <c r="C21" i="5"/>
  <c r="E21" i="5" s="1"/>
  <c r="F21" i="5" s="1"/>
  <c r="H21" i="5" s="1"/>
  <c r="E11" i="5"/>
  <c r="F11" i="5" s="1"/>
  <c r="C29" i="1"/>
  <c r="F5" i="5"/>
  <c r="E7" i="5"/>
  <c r="F16" i="1"/>
  <c r="D22" i="5"/>
  <c r="F15" i="5"/>
  <c r="E17" i="5"/>
  <c r="D27" i="1" s="1"/>
  <c r="B22" i="5"/>
  <c r="E20" i="5"/>
  <c r="H6" i="5"/>
  <c r="F10" i="5"/>
  <c r="F17" i="1"/>
  <c r="H32" i="7" l="1"/>
  <c r="G32" i="7"/>
  <c r="N32" i="7"/>
  <c r="P32" i="7" s="1"/>
  <c r="F10" i="1"/>
  <c r="C32" i="1"/>
  <c r="F28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32" i="7" l="1"/>
  <c r="K32" i="7" s="1"/>
  <c r="F22" i="5"/>
  <c r="H22" i="5" s="1"/>
  <c r="H20" i="5"/>
  <c r="C31" i="17" l="1"/>
  <c r="C5" i="17"/>
  <c r="C29" i="17"/>
  <c r="F5" i="17" l="1"/>
  <c r="F29" i="17"/>
  <c r="C34" i="17"/>
  <c r="F31" i="17"/>
  <c r="F34" i="17" l="1"/>
  <c r="I9" i="17" l="1"/>
  <c r="I11" i="17"/>
  <c r="I31" i="17"/>
  <c r="I7" i="17"/>
  <c r="I13" i="17"/>
  <c r="I17" i="17"/>
  <c r="I29" i="17"/>
  <c r="I27" i="17"/>
  <c r="I5" i="17"/>
  <c r="I19" i="17"/>
  <c r="I25" i="17"/>
  <c r="I23" i="17"/>
  <c r="I21" i="17"/>
  <c r="I15" i="17"/>
  <c r="D29" i="17" l="1"/>
  <c r="E29" i="17" s="1"/>
  <c r="D31" i="17"/>
  <c r="D5" i="17"/>
  <c r="E5" i="17" s="1"/>
  <c r="G5" i="17" l="1"/>
  <c r="H5" i="17" s="1"/>
  <c r="G29" i="17"/>
  <c r="H29" i="17" s="1"/>
  <c r="D34" i="17"/>
  <c r="E34" i="17" s="1"/>
  <c r="E31" i="17"/>
  <c r="G31" i="17"/>
  <c r="G34" i="17" l="1"/>
  <c r="H34" i="17" s="1"/>
  <c r="H31" i="17"/>
  <c r="B31" i="7" l="1"/>
  <c r="C31" i="7" l="1"/>
  <c r="D31" i="7" s="1"/>
  <c r="F31" i="7" s="1"/>
  <c r="L31" i="7" l="1"/>
  <c r="G31" i="7" l="1"/>
  <c r="M31" i="7" l="1"/>
  <c r="H31" i="7" l="1"/>
  <c r="I31" i="7" s="1"/>
  <c r="K31" i="7" s="1"/>
  <c r="N31" i="7"/>
  <c r="P31" i="7" s="1"/>
  <c r="B30" i="7" l="1"/>
  <c r="C30" i="7" l="1"/>
  <c r="D30" i="7"/>
  <c r="F30" i="7" s="1"/>
  <c r="M30" i="7" l="1"/>
  <c r="H30" i="7" s="1"/>
  <c r="L30" i="7" l="1"/>
  <c r="N30" i="7" l="1"/>
  <c r="P30" i="7" s="1"/>
  <c r="G30" i="7"/>
  <c r="I30" i="7" s="1"/>
  <c r="K30" i="7" s="1"/>
  <c r="B29" i="7" l="1"/>
  <c r="C29" i="7" l="1"/>
  <c r="D29" i="7" s="1"/>
  <c r="F29" i="7" s="1"/>
  <c r="L29" i="7" l="1"/>
  <c r="G29" i="7" l="1"/>
  <c r="M29" i="7" l="1"/>
  <c r="H29" i="7" l="1"/>
  <c r="I29" i="7" s="1"/>
  <c r="K29" i="7" s="1"/>
  <c r="N29" i="7"/>
  <c r="P29" i="7" s="1"/>
  <c r="B28" i="7" l="1"/>
  <c r="C28" i="7" l="1"/>
  <c r="D28" i="7"/>
  <c r="F28" i="7" s="1"/>
  <c r="M28" i="7" l="1"/>
  <c r="H28" i="7" s="1"/>
  <c r="L28" i="7" l="1"/>
  <c r="N28" i="7" l="1"/>
  <c r="P28" i="7" s="1"/>
  <c r="G28" i="7"/>
  <c r="I28" i="7" s="1"/>
  <c r="K28" i="7" s="1"/>
  <c r="B27" i="7" l="1"/>
  <c r="C27" i="7" l="1"/>
  <c r="D27" i="7" s="1"/>
  <c r="F27" i="7" s="1"/>
  <c r="L27" i="7" l="1"/>
  <c r="G27" i="7" l="1"/>
  <c r="M27" i="7" l="1"/>
  <c r="H27" i="7" l="1"/>
  <c r="I27" i="7" s="1"/>
  <c r="K27" i="7" s="1"/>
  <c r="N27" i="7"/>
  <c r="P27" i="7" s="1"/>
  <c r="B26" i="7" l="1"/>
  <c r="C26" i="7" l="1"/>
  <c r="D26" i="7" s="1"/>
  <c r="F26" i="7" s="1"/>
  <c r="M26" i="7" l="1"/>
  <c r="H26" i="7" s="1"/>
  <c r="L26" i="7" l="1"/>
  <c r="N26" i="7" l="1"/>
  <c r="P26" i="7" s="1"/>
  <c r="G26" i="7"/>
  <c r="I26" i="7" s="1"/>
  <c r="K26" i="7" s="1"/>
  <c r="B25" i="7" l="1"/>
  <c r="C25" i="7" l="1"/>
  <c r="D25" i="7" s="1"/>
  <c r="F25" i="7" s="1"/>
  <c r="L25" i="7" l="1"/>
  <c r="G25" i="7" l="1"/>
  <c r="M25" i="7" l="1"/>
  <c r="H25" i="7" l="1"/>
  <c r="I25" i="7" s="1"/>
  <c r="K25" i="7" s="1"/>
  <c r="N25" i="7"/>
  <c r="P25" i="7" s="1"/>
  <c r="B24" i="7" l="1"/>
  <c r="C24" i="7" l="1"/>
  <c r="D24" i="7" s="1"/>
  <c r="F24" i="7" s="1"/>
  <c r="M24" i="7" l="1"/>
  <c r="H24" i="7" s="1"/>
  <c r="L24" i="7" l="1"/>
  <c r="N24" i="7" l="1"/>
  <c r="P24" i="7" s="1"/>
  <c r="G24" i="7"/>
  <c r="I24" i="7" s="1"/>
  <c r="K24" i="7" s="1"/>
  <c r="B23" i="7" l="1"/>
  <c r="C23" i="7" l="1"/>
  <c r="D23" i="7" s="1"/>
  <c r="F23" i="7" s="1"/>
  <c r="L23" i="7" l="1"/>
  <c r="G23" i="7" l="1"/>
  <c r="M23" i="7" l="1"/>
  <c r="H23" i="7" l="1"/>
  <c r="I23" i="7" s="1"/>
  <c r="K23" i="7" s="1"/>
  <c r="N23" i="7"/>
  <c r="P23" i="7" s="1"/>
  <c r="B22" i="7" l="1"/>
  <c r="C22" i="7" l="1"/>
  <c r="D22" i="7" s="1"/>
  <c r="F22" i="7" s="1"/>
  <c r="M22" i="7" l="1"/>
  <c r="H22" i="7" s="1"/>
  <c r="L22" i="7" l="1"/>
  <c r="N22" i="7" l="1"/>
  <c r="P22" i="7" s="1"/>
  <c r="G22" i="7"/>
  <c r="I22" i="7" s="1"/>
  <c r="K22" i="7" s="1"/>
  <c r="C21" i="7" l="1"/>
  <c r="C33" i="7" s="1"/>
  <c r="B21" i="7"/>
  <c r="B33" i="7" l="1"/>
  <c r="D21" i="7"/>
  <c r="F21" i="7" l="1"/>
  <c r="D33" i="7"/>
  <c r="F33" i="7" s="1"/>
  <c r="M21" i="7"/>
  <c r="L21" i="7"/>
  <c r="L33" i="7" l="1"/>
  <c r="G21" i="7"/>
  <c r="N21" i="7"/>
  <c r="H21" i="7"/>
  <c r="H33" i="7" s="1"/>
  <c r="M33" i="7"/>
  <c r="P21" i="7" l="1"/>
  <c r="N33" i="7"/>
  <c r="P33" i="7" s="1"/>
  <c r="I21" i="7"/>
  <c r="G33" i="7"/>
  <c r="I33" i="7" l="1"/>
  <c r="K33" i="7" s="1"/>
  <c r="K21" i="7"/>
  <c r="D33" i="1" l="1"/>
  <c r="I16" i="5"/>
  <c r="G5" i="1"/>
  <c r="I5" i="1" l="1"/>
  <c r="G16" i="1"/>
  <c r="I6" i="5"/>
  <c r="K6" i="5" l="1"/>
  <c r="I16" i="1"/>
  <c r="G6" i="1"/>
  <c r="D32" i="1"/>
  <c r="G27" i="1"/>
  <c r="I5" i="5"/>
  <c r="I15" i="5"/>
  <c r="I10" i="5"/>
  <c r="I6" i="1" l="1"/>
  <c r="I17" i="5"/>
  <c r="K17" i="5" s="1"/>
  <c r="K15" i="5"/>
  <c r="D34" i="1"/>
  <c r="E33" i="1" s="1"/>
  <c r="K10" i="5"/>
  <c r="I7" i="5"/>
  <c r="K7" i="5" s="1"/>
  <c r="K5" i="5"/>
  <c r="I20" i="5"/>
  <c r="I27" i="1"/>
  <c r="G17" i="1"/>
  <c r="E32" i="1" l="1"/>
  <c r="I17" i="1"/>
  <c r="K20" i="5"/>
  <c r="G7" i="1"/>
  <c r="I11" i="5"/>
  <c r="G28" i="1"/>
  <c r="K11" i="5" l="1"/>
  <c r="I21" i="5"/>
  <c r="I12" i="5"/>
  <c r="K12" i="5" s="1"/>
  <c r="I7" i="1"/>
  <c r="G8" i="1"/>
  <c r="I28" i="1"/>
  <c r="G29" i="1"/>
  <c r="I29" i="1" s="1"/>
  <c r="G18" i="1"/>
  <c r="I18" i="1" l="1"/>
  <c r="I8" i="1"/>
  <c r="K21" i="5"/>
  <c r="I22" i="5"/>
  <c r="K22" i="5" s="1"/>
  <c r="G19" i="1" l="1"/>
  <c r="G10" i="1"/>
  <c r="I10" i="1" l="1"/>
  <c r="G11" i="1"/>
  <c r="I11" i="1" s="1"/>
  <c r="G20" i="1"/>
  <c r="I20" i="1" s="1"/>
  <c r="I19" i="1"/>
  <c r="G21" i="1"/>
  <c r="I21" i="1" s="1"/>
  <c r="G22" i="1" l="1"/>
  <c r="I22" i="1" s="1"/>
</calcChain>
</file>

<file path=xl/sharedStrings.xml><?xml version="1.0" encoding="utf-8"?>
<sst xmlns="http://schemas.openxmlformats.org/spreadsheetml/2006/main" count="604" uniqueCount="233">
  <si>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</si>
  <si>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</si>
  <si>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</si>
  <si>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</si>
  <si>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</si>
  <si>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</si>
  <si>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</si>
  <si>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</si>
  <si>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</si>
  <si>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</si>
  <si>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</si>
  <si>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</si>
  <si>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</si>
  <si>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</si>
  <si>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</si>
  <si>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</si>
  <si>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</si>
  <si>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</si>
  <si>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</si>
  <si>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</si>
  <si>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</si>
  <si>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</si>
  <si>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</si>
  <si>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</si>
  <si>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</si>
  <si>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</si>
  <si>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</si>
  <si>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</si>
  <si>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</si>
  <si>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</si>
  <si>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</si>
  <si>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</si>
  <si>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</si>
  <si>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</si>
  <si>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</si>
  <si>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</si>
  <si>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</si>
  <si>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</si>
  <si>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</si>
  <si>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</si>
  <si>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</si>
  <si>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</si>
  <si>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</si>
  <si>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</si>
  <si>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</si>
  <si>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</si>
  <si>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</si>
  <si>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</si>
  <si>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</si>
  <si>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</si>
  <si>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</si>
  <si>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</si>
  <si>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</si>
  <si>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</si>
  <si>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</si>
  <si>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</si>
  <si>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</si>
  <si>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</si>
  <si>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</si>
  <si>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</si>
  <si>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</si>
  <si>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</si>
  <si>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</si>
  <si>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</si>
  <si>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</si>
  <si>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</si>
  <si>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</si>
  <si>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</si>
  <si>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</si>
  <si>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</si>
  <si>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</si>
  <si>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</si>
  <si>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</si>
  <si>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</si>
  <si>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</si>
  <si>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</si>
  <si>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</si>
  <si>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</si>
  <si>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</si>
  <si>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</si>
  <si>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</si>
  <si>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</si>
  <si>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</si>
  <si>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</si>
  <si>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</si>
  <si>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</si>
  <si>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</si>
  <si>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</si>
  <si>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</si>
  <si>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</si>
  <si>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</si>
  <si>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</si>
  <si>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</si>
  <si>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</si>
  <si>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</si>
  <si>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</si>
  <si>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</si>
  <si>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</si>
  <si>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</si>
  <si>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</si>
  <si>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</si>
  <si>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</si>
  <si>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</si>
  <si>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</si>
  <si>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</si>
  <si>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</si>
  <si>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</si>
  <si>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</si>
  <si>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</si>
  <si>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</si>
  <si>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</si>
  <si>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</si>
  <si>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</si>
  <si>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</si>
  <si>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</si>
  <si>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</si>
  <si>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</si>
  <si>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</si>
  <si>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</si>
  <si>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</si>
  <si>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</si>
  <si>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</si>
  <si>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</si>
  <si>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</si>
  <si>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</si>
  <si>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</si>
  <si>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</si>
  <si>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</si>
  <si>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</si>
  <si>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</si>
  <si>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</si>
  <si>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</si>
  <si>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</si>
  <si>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</si>
  <si>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</si>
  <si>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</si>
  <si>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</si>
  <si>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</si>
  <si>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</si>
  <si>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</si>
  <si>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</si>
  <si>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</si>
  <si>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</si>
  <si>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</si>
  <si>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</si>
  <si>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</si>
  <si>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</si>
  <si>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</si>
  <si>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</si>
  <si>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</si>
  <si>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</si>
  <si>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</si>
  <si>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</si>
  <si>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</si>
  <si>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</si>
  <si>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</si>
  <si>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</si>
  <si>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</si>
  <si>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</si>
  <si>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</si>
  <si>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</si>
  <si>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</si>
  <si>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</si>
  <si>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</si>
  <si>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</si>
  <si>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</si>
  <si>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</si>
  <si>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</si>
  <si>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</si>
  <si>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</si>
  <si>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</si>
  <si>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</si>
  <si>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</si>
  <si>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</si>
  <si>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</si>
  <si>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</si>
  <si>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</si>
  <si>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</si>
  <si>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</si>
  <si>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</si>
  <si>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</si>
  <si>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</si>
  <si>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</si>
  <si>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</si>
  <si>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</si>
  <si>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</si>
  <si>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</si>
  <si>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</si>
  <si>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</si>
  <si>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</si>
  <si>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</si>
  <si>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</si>
  <si>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</si>
  <si>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</si>
  <si>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</si>
  <si>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</si>
  <si>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Monthly Total 2018</t>
  </si>
  <si>
    <t>Y-T-D 2018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</si>
  <si>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</si>
  <si>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</si>
  <si>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</si>
  <si>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</si>
  <si>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</si>
  <si>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</si>
  <si>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</si>
  <si>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Sky Regional - Air Canada</t>
  </si>
  <si>
    <t>Metric Tons 2018</t>
  </si>
  <si>
    <t>Total 2018</t>
  </si>
  <si>
    <t>Horizon Air - Alaska</t>
  </si>
  <si>
    <t>Sky West - American</t>
  </si>
  <si>
    <t>Monthly Total 2019</t>
  </si>
  <si>
    <t>Y-T-D 2019</t>
  </si>
  <si>
    <t xml:space="preserve">2018 YTD </t>
  </si>
  <si>
    <t>Jet Blue</t>
  </si>
  <si>
    <t>Total 2019</t>
  </si>
  <si>
    <t>Metric Tons 2019</t>
  </si>
  <si>
    <t>Atlas Air -Amazon</t>
  </si>
  <si>
    <t>Atlas Air - Amazon</t>
  </si>
  <si>
    <t>Monthly Ops 2019</t>
  </si>
  <si>
    <t>Ops YTD 2019</t>
  </si>
  <si>
    <t>Current Month 2019</t>
  </si>
  <si>
    <t>YTD 2019</t>
  </si>
  <si>
    <t>2019 % Cargo</t>
  </si>
  <si>
    <t>Aer Lingus</t>
  </si>
  <si>
    <t>Major Cargo</t>
  </si>
  <si>
    <t>Encore Air Cargo</t>
  </si>
  <si>
    <t>Encore</t>
  </si>
  <si>
    <t>December 2018</t>
  </si>
  <si>
    <t>Kalittia - DHL</t>
  </si>
  <si>
    <t>DHL</t>
  </si>
  <si>
    <t>Kalitta - DHL</t>
  </si>
  <si>
    <t>Atlas - DHL</t>
  </si>
  <si>
    <t>ABX - DHL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</si>
</sst>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0" fillId="0" borderId="15" xfId="0" applyNumberFormat="1" applyBorder="1"/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/>
    <xf numFmtId="41" fontId="0" fillId="0" borderId="37" xfId="0" applyNumberFormat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Border="1"/>
    <xf numFmtId="1" fontId="0" fillId="0" borderId="41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42" xfId="0" applyBorder="1"/>
    <xf numFmtId="2" fontId="0" fillId="0" borderId="0" xfId="0" applyNumberFormat="1"/>
    <xf numFmtId="17" fontId="0" fillId="0" borderId="0" xfId="0" applyNumberFormat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0" fontId="22" fillId="0" borderId="0" xfId="0" applyFont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4" fontId="4" fillId="0" borderId="0" xfId="2" applyFont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9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9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/>
    <xf numFmtId="0" fontId="27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1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9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6" xfId="0" applyNumberFormat="1" applyFont="1" applyBorder="1"/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Border="1"/>
    <xf numFmtId="41" fontId="4" fillId="0" borderId="13" xfId="0" applyNumberFormat="1" applyFont="1" applyBorder="1"/>
    <xf numFmtId="0" fontId="1" fillId="0" borderId="0" xfId="0" applyFont="1"/>
    <xf numFmtId="0" fontId="4" fillId="0" borderId="39" xfId="0" applyFont="1" applyBorder="1"/>
    <xf numFmtId="0" fontId="0" fillId="0" borderId="26" xfId="0" applyBorder="1"/>
    <xf numFmtId="3" fontId="4" fillId="0" borderId="39" xfId="0" applyNumberFormat="1" applyFont="1" applyBorder="1"/>
    <xf numFmtId="10" fontId="4" fillId="0" borderId="24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0" fontId="28" fillId="11" borderId="0" xfId="0" applyFont="1" applyFill="1" applyAlignment="1">
      <alignment horizontal="center"/>
    </xf>
    <xf numFmtId="3" fontId="29" fillId="0" borderId="75" xfId="0" applyNumberFormat="1" applyFont="1" applyBorder="1"/>
    <xf numFmtId="165" fontId="29" fillId="0" borderId="57" xfId="1" applyNumberFormat="1" applyFont="1" applyBorder="1"/>
    <xf numFmtId="10" fontId="29" fillId="0" borderId="75" xfId="0" applyNumberFormat="1" applyFont="1" applyBorder="1"/>
    <xf numFmtId="10" fontId="29" fillId="0" borderId="58" xfId="3" applyNumberFormat="1" applyFont="1" applyBorder="1"/>
    <xf numFmtId="165" fontId="29" fillId="0" borderId="75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10" fontId="4" fillId="0" borderId="12" xfId="3" applyNumberFormat="1" applyFont="1" applyBorder="1"/>
    <xf numFmtId="10" fontId="4" fillId="0" borderId="15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7" fontId="0" fillId="0" borderId="9" xfId="0" applyNumberFormat="1" applyBorder="1" applyAlignment="1">
      <alignment horizontal="center"/>
    </xf>
    <xf numFmtId="37" fontId="0" fillId="0" borderId="67" xfId="0" applyNumberFormat="1" applyBorder="1" applyAlignment="1">
      <alignment horizontal="center"/>
    </xf>
    <xf numFmtId="41" fontId="0" fillId="0" borderId="76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13" xfId="0" applyNumberFormat="1" applyBorder="1"/>
    <xf numFmtId="0" fontId="0" fillId="0" borderId="0" xfId="0" applyBorder="1"/>
    <xf numFmtId="0" fontId="7" fillId="0" borderId="5" xfId="0" applyFont="1" applyBorder="1"/>
    <xf numFmtId="0" fontId="4" fillId="0" borderId="3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7" fontId="0" fillId="0" borderId="67" xfId="1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0" fillId="0" borderId="0" xfId="1" applyNumberFormat="1" applyFont="1"/>
    <xf numFmtId="37" fontId="0" fillId="0" borderId="60" xfId="0" applyNumberFormat="1" applyBorder="1" applyAlignment="1">
      <alignment horizontal="center"/>
    </xf>
    <xf numFmtId="37" fontId="0" fillId="0" borderId="62" xfId="0" applyNumberFormat="1" applyBorder="1" applyAlignment="1">
      <alignment horizontal="center"/>
    </xf>
    <xf numFmtId="37" fontId="0" fillId="0" borderId="0" xfId="0" applyNumberFormat="1" applyAlignment="1">
      <alignment horizontal="center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December%20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April%20201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y%20201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9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une%202018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uly%202018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9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August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ember%202019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9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September%20201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9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October%202018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November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anuary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February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rch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2171550</v>
          </cell>
          <cell r="G5">
            <v>29029272</v>
          </cell>
        </row>
        <row r="6">
          <cell r="D6">
            <v>630242</v>
          </cell>
          <cell r="G6">
            <v>7753247</v>
          </cell>
        </row>
        <row r="7">
          <cell r="D7">
            <v>150</v>
          </cell>
          <cell r="G7">
            <v>4629</v>
          </cell>
        </row>
        <row r="10">
          <cell r="D10">
            <v>98485</v>
          </cell>
          <cell r="G10">
            <v>1258937</v>
          </cell>
        </row>
        <row r="16">
          <cell r="D16">
            <v>16984</v>
          </cell>
          <cell r="G16">
            <v>221554</v>
          </cell>
        </row>
        <row r="17">
          <cell r="D17">
            <v>12126</v>
          </cell>
          <cell r="G17">
            <v>149108</v>
          </cell>
        </row>
        <row r="18">
          <cell r="D18">
            <v>2</v>
          </cell>
          <cell r="G18">
            <v>38</v>
          </cell>
        </row>
        <row r="19">
          <cell r="D19">
            <v>1389</v>
          </cell>
          <cell r="G19">
            <v>15446</v>
          </cell>
        </row>
        <row r="20">
          <cell r="D20">
            <v>1332</v>
          </cell>
          <cell r="G20">
            <v>20113</v>
          </cell>
        </row>
        <row r="21">
          <cell r="D21">
            <v>56</v>
          </cell>
          <cell r="G21">
            <v>1126</v>
          </cell>
        </row>
        <row r="27">
          <cell r="D27">
            <v>18366.936635188678</v>
          </cell>
          <cell r="G27">
            <v>214183.49939819757</v>
          </cell>
        </row>
        <row r="28">
          <cell r="D28">
            <v>2135.4874767872798</v>
          </cell>
          <cell r="G28">
            <v>25362.365171192276</v>
          </cell>
        </row>
        <row r="32">
          <cell r="B32">
            <v>908104</v>
          </cell>
          <cell r="D32">
            <v>11528009</v>
          </cell>
        </row>
        <row r="33">
          <cell r="B33">
            <v>498985</v>
          </cell>
          <cell r="D33">
            <v>6858648</v>
          </cell>
        </row>
      </sheetData>
      <sheetData sheetId="1"/>
      <sheetData sheetId="2"/>
      <sheetData sheetId="3"/>
      <sheetData sheetId="4"/>
      <sheetData sheetId="5">
        <row r="32">
          <cell r="D32">
            <v>213291</v>
          </cell>
          <cell r="I32">
            <v>2687136</v>
          </cell>
          <cell r="N32">
            <v>2900427</v>
          </cell>
        </row>
      </sheetData>
      <sheetData sheetId="6"/>
      <sheetData sheetId="7">
        <row r="5">
          <cell r="F5">
            <v>10397.092805288419</v>
          </cell>
          <cell r="I5">
            <v>120192.30927504107</v>
          </cell>
        </row>
        <row r="6">
          <cell r="F6">
            <v>905.99043128978997</v>
          </cell>
          <cell r="I6">
            <v>10382.277117707112</v>
          </cell>
        </row>
        <row r="10">
          <cell r="F10">
            <v>7969.8438299002601</v>
          </cell>
          <cell r="I10">
            <v>93991.19012315647</v>
          </cell>
        </row>
        <row r="11">
          <cell r="F11">
            <v>1229.49704549749</v>
          </cell>
          <cell r="I11">
            <v>14980.088053485169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18366.936635188678</v>
          </cell>
        </row>
        <row r="21">
          <cell r="F21">
            <v>2135.4874767872798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134432</v>
          </cell>
          <cell r="C24">
            <v>115520</v>
          </cell>
          <cell r="L24">
            <v>1618032</v>
          </cell>
          <cell r="M24">
            <v>1517998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242418</v>
          </cell>
          <cell r="I24">
            <v>2750844</v>
          </cell>
          <cell r="N24">
            <v>2993262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120364</v>
          </cell>
          <cell r="C25">
            <v>132909</v>
          </cell>
          <cell r="L25">
            <v>1678373</v>
          </cell>
          <cell r="M25">
            <v>1662439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246334</v>
          </cell>
          <cell r="I25">
            <v>2981156</v>
          </cell>
          <cell r="N25">
            <v>3227490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140743</v>
          </cell>
          <cell r="C26">
            <v>147358</v>
          </cell>
          <cell r="L26">
            <v>1839721</v>
          </cell>
          <cell r="M26">
            <v>1827624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260189</v>
          </cell>
          <cell r="I26">
            <v>3255476</v>
          </cell>
          <cell r="N26">
            <v>3515665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155961</v>
          </cell>
          <cell r="C27">
            <v>140807</v>
          </cell>
          <cell r="L27">
            <v>1926360</v>
          </cell>
          <cell r="M27">
            <v>1918669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266074</v>
          </cell>
          <cell r="I27">
            <v>3398934</v>
          </cell>
          <cell r="N27">
            <v>3665008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155262</v>
          </cell>
          <cell r="C28">
            <v>151595</v>
          </cell>
          <cell r="L28">
            <v>1929609</v>
          </cell>
          <cell r="M28">
            <v>1915988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275867</v>
          </cell>
          <cell r="I28">
            <v>3463238</v>
          </cell>
          <cell r="N28">
            <v>3739105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28311897</v>
          </cell>
        </row>
        <row r="6">
          <cell r="G6">
            <v>6905713</v>
          </cell>
        </row>
        <row r="7">
          <cell r="G7">
            <v>5590</v>
          </cell>
        </row>
        <row r="10">
          <cell r="G10">
            <v>1110753</v>
          </cell>
        </row>
        <row r="16">
          <cell r="G16">
            <v>211521</v>
          </cell>
        </row>
        <row r="17">
          <cell r="G17">
            <v>130380</v>
          </cell>
        </row>
        <row r="18">
          <cell r="G18">
            <v>62</v>
          </cell>
        </row>
        <row r="19">
          <cell r="G19">
            <v>13024</v>
          </cell>
        </row>
        <row r="20">
          <cell r="G20">
            <v>17285</v>
          </cell>
        </row>
        <row r="21">
          <cell r="G21">
            <v>851</v>
          </cell>
        </row>
        <row r="27">
          <cell r="G27">
            <v>185392.43948120743</v>
          </cell>
        </row>
        <row r="28">
          <cell r="G28">
            <v>22892.731163974211</v>
          </cell>
        </row>
        <row r="32">
          <cell r="D32">
            <v>11074965</v>
          </cell>
        </row>
        <row r="33">
          <cell r="D33">
            <v>6514889</v>
          </cell>
        </row>
      </sheetData>
      <sheetData sheetId="1"/>
      <sheetData sheetId="2"/>
      <sheetData sheetId="3"/>
      <sheetData sheetId="4"/>
      <sheetData sheetId="5">
        <row r="31">
          <cell r="B31">
            <v>104027</v>
          </cell>
          <cell r="C31">
            <v>106500</v>
          </cell>
          <cell r="L31">
            <v>1480403</v>
          </cell>
          <cell r="M31">
            <v>1486197</v>
          </cell>
        </row>
      </sheetData>
      <sheetData sheetId="6"/>
      <sheetData sheetId="7">
        <row r="5">
          <cell r="I5">
            <v>102166.89548940412</v>
          </cell>
        </row>
        <row r="6">
          <cell r="I6">
            <v>9589.6920363952413</v>
          </cell>
        </row>
        <row r="10">
          <cell r="I10">
            <v>83225.543991803279</v>
          </cell>
        </row>
        <row r="11">
          <cell r="I11">
            <v>13303.039127578968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134390</v>
          </cell>
          <cell r="C29">
            <v>135820</v>
          </cell>
          <cell r="L29">
            <v>1618828</v>
          </cell>
          <cell r="M29">
            <v>1629734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225661</v>
          </cell>
          <cell r="I29">
            <v>2824553</v>
          </cell>
          <cell r="N29">
            <v>3050214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B30">
            <v>127725</v>
          </cell>
          <cell r="C30">
            <v>122290</v>
          </cell>
          <cell r="L30">
            <v>1685445</v>
          </cell>
          <cell r="M30">
            <v>1699277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208545</v>
          </cell>
          <cell r="I30">
            <v>3017398</v>
          </cell>
          <cell r="N30">
            <v>3225943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178822</v>
          </cell>
          <cell r="I31">
            <v>2743099</v>
          </cell>
          <cell r="N31">
            <v>2921921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M4">
            <v>103</v>
          </cell>
        </row>
        <row r="5">
          <cell r="GM5">
            <v>103</v>
          </cell>
        </row>
        <row r="8">
          <cell r="GM8"/>
        </row>
        <row r="9">
          <cell r="GM9"/>
        </row>
        <row r="19"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FS19">
            <v>182</v>
          </cell>
          <cell r="FT19">
            <v>194</v>
          </cell>
          <cell r="FU19">
            <v>200</v>
          </cell>
          <cell r="FV19">
            <v>180</v>
          </cell>
          <cell r="FW19">
            <v>202</v>
          </cell>
          <cell r="FX19">
            <v>200</v>
          </cell>
          <cell r="FY19">
            <v>202</v>
          </cell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  <cell r="GG19">
            <v>200</v>
          </cell>
          <cell r="GH19">
            <v>210</v>
          </cell>
          <cell r="GI19">
            <v>210</v>
          </cell>
          <cell r="GJ19">
            <v>204</v>
          </cell>
          <cell r="GK19">
            <v>216</v>
          </cell>
          <cell r="GL19">
            <v>196</v>
          </cell>
          <cell r="GM19">
            <v>206</v>
          </cell>
        </row>
        <row r="22">
          <cell r="GM22">
            <v>542</v>
          </cell>
        </row>
        <row r="23">
          <cell r="GM23">
            <v>446</v>
          </cell>
        </row>
        <row r="27">
          <cell r="GM27"/>
        </row>
        <row r="28">
          <cell r="GM28"/>
        </row>
        <row r="41"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FS41">
            <v>867</v>
          </cell>
          <cell r="FT41">
            <v>901</v>
          </cell>
          <cell r="FU41">
            <v>922</v>
          </cell>
          <cell r="FV41">
            <v>804</v>
          </cell>
          <cell r="FW41">
            <v>850</v>
          </cell>
          <cell r="FX41">
            <v>850</v>
          </cell>
          <cell r="FY41">
            <v>919</v>
          </cell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  <cell r="GG41">
            <v>897</v>
          </cell>
          <cell r="GH41">
            <v>1083</v>
          </cell>
          <cell r="GI41">
            <v>876</v>
          </cell>
          <cell r="GJ41">
            <v>890</v>
          </cell>
          <cell r="GK41">
            <v>889</v>
          </cell>
          <cell r="GL41">
            <v>772</v>
          </cell>
          <cell r="GM41">
            <v>988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</sheetData>
      <sheetData sheetId="3"/>
      <sheetData sheetId="4">
        <row r="4">
          <cell r="GM4"/>
        </row>
        <row r="5">
          <cell r="GM5"/>
        </row>
        <row r="8">
          <cell r="GM8"/>
        </row>
        <row r="9">
          <cell r="GM9"/>
        </row>
        <row r="15">
          <cell r="GB15"/>
          <cell r="GC15"/>
          <cell r="GD15"/>
          <cell r="GE15">
            <v>1</v>
          </cell>
          <cell r="GF15">
            <v>26</v>
          </cell>
          <cell r="GG15">
            <v>30</v>
          </cell>
          <cell r="GH15">
            <v>31</v>
          </cell>
          <cell r="GI15">
            <v>31</v>
          </cell>
          <cell r="GJ15">
            <v>21</v>
          </cell>
          <cell r="GK15"/>
          <cell r="GL15"/>
          <cell r="GM15"/>
        </row>
        <row r="16">
          <cell r="GB16"/>
          <cell r="GC16"/>
          <cell r="GD16"/>
          <cell r="GE16">
            <v>1</v>
          </cell>
          <cell r="GF16">
            <v>26</v>
          </cell>
          <cell r="GG16">
            <v>30</v>
          </cell>
          <cell r="GH16">
            <v>31</v>
          </cell>
          <cell r="GI16">
            <v>31</v>
          </cell>
          <cell r="GJ16">
            <v>21</v>
          </cell>
          <cell r="GK16"/>
          <cell r="GL16"/>
          <cell r="GM16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FS19">
            <v>56</v>
          </cell>
          <cell r="FT19">
            <v>52</v>
          </cell>
          <cell r="FU19">
            <v>62</v>
          </cell>
          <cell r="FV19">
            <v>42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  <cell r="GG19">
            <v>60</v>
          </cell>
          <cell r="GH19">
            <v>62</v>
          </cell>
          <cell r="GI19">
            <v>62</v>
          </cell>
          <cell r="GJ19">
            <v>42</v>
          </cell>
          <cell r="GK19">
            <v>0</v>
          </cell>
          <cell r="GL19">
            <v>0</v>
          </cell>
          <cell r="GM19">
            <v>0</v>
          </cell>
        </row>
        <row r="22">
          <cell r="GM22"/>
        </row>
        <row r="23">
          <cell r="GM23"/>
        </row>
        <row r="27">
          <cell r="GM27"/>
        </row>
        <row r="28">
          <cell r="GM28"/>
        </row>
        <row r="32">
          <cell r="GB32"/>
          <cell r="GC32"/>
          <cell r="GD32"/>
          <cell r="GE32">
            <v>262</v>
          </cell>
          <cell r="GF32">
            <v>5627</v>
          </cell>
          <cell r="GG32">
            <v>7783</v>
          </cell>
          <cell r="GH32">
            <v>9152</v>
          </cell>
          <cell r="GI32">
            <v>8861</v>
          </cell>
          <cell r="GJ32">
            <v>5536</v>
          </cell>
          <cell r="GK32"/>
          <cell r="GL32"/>
          <cell r="GM32"/>
        </row>
        <row r="33">
          <cell r="GB33"/>
          <cell r="GC33"/>
          <cell r="GD33"/>
          <cell r="GE33">
            <v>232</v>
          </cell>
          <cell r="GF33">
            <v>6374</v>
          </cell>
          <cell r="GG33">
            <v>7822</v>
          </cell>
          <cell r="GH33">
            <v>7138</v>
          </cell>
          <cell r="GI33">
            <v>7957</v>
          </cell>
          <cell r="GJ33">
            <v>5202</v>
          </cell>
          <cell r="GK33"/>
          <cell r="GL33"/>
          <cell r="GM33"/>
        </row>
        <row r="37">
          <cell r="GB37"/>
          <cell r="GC37"/>
          <cell r="GD37"/>
          <cell r="GE37"/>
          <cell r="GF37"/>
          <cell r="GG37">
            <v>4</v>
          </cell>
          <cell r="GH37">
            <v>7</v>
          </cell>
          <cell r="GI37">
            <v>8</v>
          </cell>
          <cell r="GJ37">
            <v>5</v>
          </cell>
          <cell r="GK37"/>
          <cell r="GL37"/>
          <cell r="GM37"/>
        </row>
        <row r="38">
          <cell r="GB38"/>
          <cell r="GC38"/>
          <cell r="GD38"/>
          <cell r="GE38"/>
          <cell r="GF38"/>
          <cell r="GG38">
            <v>6</v>
          </cell>
          <cell r="GH38">
            <v>2</v>
          </cell>
          <cell r="GI38">
            <v>5</v>
          </cell>
          <cell r="GJ38">
            <v>6</v>
          </cell>
          <cell r="GK38"/>
          <cell r="GL38"/>
          <cell r="GM3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FS41">
            <v>12768</v>
          </cell>
          <cell r="FT41">
            <v>11329</v>
          </cell>
          <cell r="FU41">
            <v>15040</v>
          </cell>
          <cell r="FV41">
            <v>9320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  <cell r="GG41">
            <v>15605</v>
          </cell>
          <cell r="GH41">
            <v>16290</v>
          </cell>
          <cell r="GI41">
            <v>16818</v>
          </cell>
          <cell r="GJ41">
            <v>10738</v>
          </cell>
          <cell r="GK41">
            <v>0</v>
          </cell>
          <cell r="GL41">
            <v>0</v>
          </cell>
          <cell r="GM41">
            <v>0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</sheetData>
      <sheetData sheetId="5"/>
      <sheetData sheetId="6">
        <row r="4">
          <cell r="GM4"/>
        </row>
        <row r="5">
          <cell r="GM5"/>
        </row>
        <row r="8">
          <cell r="GM8"/>
        </row>
        <row r="9">
          <cell r="GM9"/>
        </row>
        <row r="15">
          <cell r="GB15"/>
          <cell r="GC15"/>
          <cell r="GD15"/>
          <cell r="GE15"/>
          <cell r="GF15"/>
          <cell r="GH15">
            <v>23</v>
          </cell>
          <cell r="GI15">
            <v>30</v>
          </cell>
          <cell r="GJ15">
            <v>30</v>
          </cell>
          <cell r="GK15">
            <v>31</v>
          </cell>
          <cell r="GL15">
            <v>30</v>
          </cell>
          <cell r="GM15">
            <v>29</v>
          </cell>
        </row>
        <row r="16">
          <cell r="GB16"/>
          <cell r="GC16"/>
          <cell r="GD16"/>
          <cell r="GE16"/>
          <cell r="GF16"/>
          <cell r="GH16">
            <v>23</v>
          </cell>
          <cell r="GI16">
            <v>30</v>
          </cell>
          <cell r="GJ16">
            <v>30</v>
          </cell>
          <cell r="GK16">
            <v>31</v>
          </cell>
          <cell r="GL16">
            <v>30</v>
          </cell>
          <cell r="GM16">
            <v>29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46</v>
          </cell>
          <cell r="GI19">
            <v>60</v>
          </cell>
          <cell r="GJ19">
            <v>60</v>
          </cell>
          <cell r="GK19">
            <v>62</v>
          </cell>
          <cell r="GL19">
            <v>60</v>
          </cell>
          <cell r="GM19">
            <v>58</v>
          </cell>
        </row>
        <row r="22">
          <cell r="GM22"/>
        </row>
        <row r="23">
          <cell r="GM23"/>
        </row>
        <row r="27">
          <cell r="GM27"/>
        </row>
        <row r="28">
          <cell r="GM28"/>
        </row>
        <row r="32">
          <cell r="GB32"/>
          <cell r="GC32"/>
          <cell r="GD32"/>
          <cell r="GE32"/>
          <cell r="GF32"/>
          <cell r="GG32"/>
          <cell r="GH32">
            <v>3556</v>
          </cell>
          <cell r="GI32">
            <v>4421</v>
          </cell>
          <cell r="GJ32">
            <v>4042</v>
          </cell>
          <cell r="GK32">
            <v>4640</v>
          </cell>
          <cell r="GL32">
            <v>2887</v>
          </cell>
          <cell r="GM32">
            <v>3499</v>
          </cell>
        </row>
        <row r="33">
          <cell r="GB33"/>
          <cell r="GC33"/>
          <cell r="GD33"/>
          <cell r="GE33"/>
          <cell r="GF33"/>
          <cell r="GG33"/>
          <cell r="GH33">
            <v>3362</v>
          </cell>
          <cell r="GI33">
            <v>4246</v>
          </cell>
          <cell r="GJ33">
            <v>4572</v>
          </cell>
          <cell r="GK33">
            <v>3591</v>
          </cell>
          <cell r="GL33">
            <v>2987</v>
          </cell>
          <cell r="GM33">
            <v>3375</v>
          </cell>
        </row>
        <row r="37">
          <cell r="GB37"/>
          <cell r="GC37"/>
          <cell r="GD37"/>
          <cell r="GE37"/>
          <cell r="GF37"/>
          <cell r="GG37"/>
          <cell r="GH37">
            <v>30</v>
          </cell>
          <cell r="GI37">
            <v>43</v>
          </cell>
          <cell r="GJ37">
            <v>35</v>
          </cell>
          <cell r="GK37">
            <v>15</v>
          </cell>
          <cell r="GL37">
            <v>17</v>
          </cell>
          <cell r="GM37">
            <v>43</v>
          </cell>
        </row>
        <row r="38">
          <cell r="GB38"/>
          <cell r="GC38"/>
          <cell r="GD38"/>
          <cell r="GE38"/>
          <cell r="GF38"/>
          <cell r="GG38"/>
          <cell r="GH38">
            <v>23</v>
          </cell>
          <cell r="GI38">
            <v>42</v>
          </cell>
          <cell r="GJ38">
            <v>12</v>
          </cell>
          <cell r="GK38">
            <v>12</v>
          </cell>
          <cell r="GL38">
            <v>14</v>
          </cell>
          <cell r="GM38">
            <v>39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6918</v>
          </cell>
          <cell r="GI41">
            <v>8667</v>
          </cell>
          <cell r="GJ41">
            <v>8614</v>
          </cell>
          <cell r="GK41">
            <v>8231</v>
          </cell>
          <cell r="GL41">
            <v>5874</v>
          </cell>
          <cell r="GM41">
            <v>6874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</sheetData>
      <sheetData sheetId="7">
        <row r="4">
          <cell r="GM4">
            <v>92</v>
          </cell>
        </row>
        <row r="5">
          <cell r="GM5">
            <v>91</v>
          </cell>
        </row>
        <row r="8">
          <cell r="GM8"/>
        </row>
        <row r="9">
          <cell r="GM9"/>
        </row>
        <row r="19"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FS19">
            <v>120</v>
          </cell>
          <cell r="FT19">
            <v>124</v>
          </cell>
          <cell r="FU19">
            <v>124</v>
          </cell>
          <cell r="FV19">
            <v>120</v>
          </cell>
          <cell r="FW19">
            <v>126</v>
          </cell>
          <cell r="FX19">
            <v>114</v>
          </cell>
          <cell r="FY19">
            <v>117</v>
          </cell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  <cell r="GG19">
            <v>232</v>
          </cell>
          <cell r="GH19">
            <v>252</v>
          </cell>
          <cell r="GI19">
            <v>254</v>
          </cell>
          <cell r="GJ19">
            <v>234</v>
          </cell>
          <cell r="GK19">
            <v>186</v>
          </cell>
          <cell r="GL19">
            <v>177</v>
          </cell>
          <cell r="GM19">
            <v>183</v>
          </cell>
        </row>
        <row r="22">
          <cell r="GM22">
            <v>11163</v>
          </cell>
        </row>
        <row r="23">
          <cell r="GM23">
            <v>11006</v>
          </cell>
        </row>
        <row r="27">
          <cell r="GM27">
            <v>379</v>
          </cell>
        </row>
        <row r="28">
          <cell r="GM28">
            <v>429</v>
          </cell>
        </row>
        <row r="41"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FS41">
            <v>19748</v>
          </cell>
          <cell r="FT41">
            <v>20085</v>
          </cell>
          <cell r="FU41">
            <v>20429</v>
          </cell>
          <cell r="FV41">
            <v>19752</v>
          </cell>
          <cell r="FW41">
            <v>19950</v>
          </cell>
          <cell r="FX41">
            <v>17882</v>
          </cell>
          <cell r="FY41">
            <v>16707</v>
          </cell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  <cell r="GG41">
            <v>27787</v>
          </cell>
          <cell r="GH41">
            <v>30455</v>
          </cell>
          <cell r="GI41">
            <v>30483</v>
          </cell>
          <cell r="GJ41">
            <v>27540</v>
          </cell>
          <cell r="GK41">
            <v>22019</v>
          </cell>
          <cell r="GL41">
            <v>18836</v>
          </cell>
          <cell r="GM41">
            <v>22169</v>
          </cell>
        </row>
        <row r="47">
          <cell r="GM47">
            <v>17377</v>
          </cell>
        </row>
        <row r="48">
          <cell r="GM48">
            <v>501</v>
          </cell>
        </row>
        <row r="52">
          <cell r="GM52">
            <v>2417</v>
          </cell>
        </row>
        <row r="53">
          <cell r="GM53">
            <v>1058</v>
          </cell>
        </row>
        <row r="57">
          <cell r="GM57"/>
        </row>
        <row r="58">
          <cell r="GM58"/>
        </row>
      </sheetData>
      <sheetData sheetId="8"/>
      <sheetData sheetId="9">
        <row r="4">
          <cell r="GM4">
            <v>532</v>
          </cell>
        </row>
        <row r="5">
          <cell r="GM5">
            <v>527</v>
          </cell>
        </row>
        <row r="8">
          <cell r="GM8"/>
        </row>
        <row r="9">
          <cell r="GM9"/>
        </row>
        <row r="19"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FS19">
            <v>1327</v>
          </cell>
          <cell r="FT19">
            <v>1351</v>
          </cell>
          <cell r="FU19">
            <v>1322</v>
          </cell>
          <cell r="FV19">
            <v>1188</v>
          </cell>
          <cell r="FW19">
            <v>1267</v>
          </cell>
          <cell r="FX19">
            <v>1062</v>
          </cell>
          <cell r="FY19">
            <v>1104</v>
          </cell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  <cell r="GG19">
            <v>1140</v>
          </cell>
          <cell r="GH19">
            <v>1194</v>
          </cell>
          <cell r="GI19">
            <v>1219</v>
          </cell>
          <cell r="GJ19">
            <v>1160</v>
          </cell>
          <cell r="GK19">
            <v>1228</v>
          </cell>
          <cell r="GL19">
            <v>1087</v>
          </cell>
          <cell r="GM19">
            <v>1059</v>
          </cell>
        </row>
        <row r="22">
          <cell r="GM22">
            <v>67874</v>
          </cell>
        </row>
        <row r="23">
          <cell r="GM23">
            <v>69369</v>
          </cell>
        </row>
        <row r="27">
          <cell r="GM27">
            <v>2548</v>
          </cell>
        </row>
        <row r="28">
          <cell r="GM28">
            <v>2491</v>
          </cell>
        </row>
        <row r="41"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FS41">
            <v>164437</v>
          </cell>
          <cell r="FT41">
            <v>164580</v>
          </cell>
          <cell r="FU41">
            <v>165586</v>
          </cell>
          <cell r="FV41">
            <v>133585</v>
          </cell>
          <cell r="FW41">
            <v>154703</v>
          </cell>
          <cell r="FX41">
            <v>128867</v>
          </cell>
          <cell r="FY41">
            <v>131599</v>
          </cell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  <cell r="GG41">
            <v>146519</v>
          </cell>
          <cell r="GH41">
            <v>151465</v>
          </cell>
          <cell r="GI41">
            <v>152922</v>
          </cell>
          <cell r="GJ41">
            <v>139818</v>
          </cell>
          <cell r="GK41">
            <v>151617</v>
          </cell>
          <cell r="GL41">
            <v>134668</v>
          </cell>
          <cell r="GM41">
            <v>137243</v>
          </cell>
        </row>
        <row r="47">
          <cell r="GM47">
            <v>26722</v>
          </cell>
        </row>
        <row r="48">
          <cell r="GM48">
            <v>38742</v>
          </cell>
        </row>
        <row r="52">
          <cell r="GM52">
            <v>7615</v>
          </cell>
        </row>
        <row r="53">
          <cell r="GM53">
            <v>58545</v>
          </cell>
        </row>
        <row r="57">
          <cell r="GM57"/>
        </row>
        <row r="58">
          <cell r="GM58"/>
        </row>
      </sheetData>
      <sheetData sheetId="10"/>
      <sheetData sheetId="11">
        <row r="4">
          <cell r="GM4">
            <v>848</v>
          </cell>
        </row>
        <row r="5">
          <cell r="GM5">
            <v>841</v>
          </cell>
        </row>
        <row r="8">
          <cell r="GM8">
            <v>63</v>
          </cell>
        </row>
        <row r="9">
          <cell r="GM9">
            <v>61</v>
          </cell>
        </row>
        <row r="15">
          <cell r="GB15">
            <v>160</v>
          </cell>
          <cell r="GC15">
            <v>217</v>
          </cell>
          <cell r="GD15">
            <v>300</v>
          </cell>
          <cell r="GE15">
            <v>133</v>
          </cell>
          <cell r="GF15">
            <v>18</v>
          </cell>
          <cell r="GG15">
            <v>15</v>
          </cell>
          <cell r="GH15">
            <v>5</v>
          </cell>
          <cell r="GI15">
            <v>8</v>
          </cell>
          <cell r="GJ15">
            <v>4</v>
          </cell>
          <cell r="GK15">
            <v>21</v>
          </cell>
          <cell r="GL15">
            <v>25</v>
          </cell>
          <cell r="GM15">
            <v>109</v>
          </cell>
        </row>
        <row r="16">
          <cell r="GB16">
            <v>161</v>
          </cell>
          <cell r="GC16">
            <v>219</v>
          </cell>
          <cell r="GD16">
            <v>303</v>
          </cell>
          <cell r="GE16">
            <v>124</v>
          </cell>
          <cell r="GF16">
            <v>19</v>
          </cell>
          <cell r="GG16">
            <v>14</v>
          </cell>
          <cell r="GH16">
            <v>5</v>
          </cell>
          <cell r="GI16">
            <v>7</v>
          </cell>
          <cell r="GJ16">
            <v>4</v>
          </cell>
          <cell r="GK16">
            <v>19</v>
          </cell>
          <cell r="GL16">
            <v>24</v>
          </cell>
          <cell r="GM16">
            <v>112</v>
          </cell>
        </row>
        <row r="19"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FS19">
            <v>1475</v>
          </cell>
          <cell r="FT19">
            <v>1529</v>
          </cell>
          <cell r="FU19">
            <v>1575</v>
          </cell>
          <cell r="FV19">
            <v>1188</v>
          </cell>
          <cell r="FW19">
            <v>1382</v>
          </cell>
          <cell r="FX19">
            <v>1306</v>
          </cell>
          <cell r="FY19">
            <v>1650</v>
          </cell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  <cell r="GG19">
            <v>1821</v>
          </cell>
          <cell r="GH19">
            <v>1904</v>
          </cell>
          <cell r="GI19">
            <v>1904</v>
          </cell>
          <cell r="GJ19">
            <v>1519</v>
          </cell>
          <cell r="GK19">
            <v>1713</v>
          </cell>
          <cell r="GL19">
            <v>1668</v>
          </cell>
          <cell r="GM19">
            <v>2034</v>
          </cell>
        </row>
        <row r="22">
          <cell r="GM22">
            <v>123091</v>
          </cell>
        </row>
        <row r="23">
          <cell r="GM23">
            <v>131405</v>
          </cell>
        </row>
        <row r="27">
          <cell r="GM27">
            <v>1766</v>
          </cell>
        </row>
        <row r="28">
          <cell r="GM28">
            <v>1963</v>
          </cell>
        </row>
        <row r="32">
          <cell r="GB32">
            <v>20211</v>
          </cell>
          <cell r="GC32">
            <v>29015</v>
          </cell>
          <cell r="GD32">
            <v>44793</v>
          </cell>
          <cell r="GE32">
            <v>20268</v>
          </cell>
          <cell r="GF32">
            <v>2433</v>
          </cell>
          <cell r="GG32">
            <v>1643</v>
          </cell>
          <cell r="GH32">
            <v>592</v>
          </cell>
          <cell r="GI32">
            <v>853</v>
          </cell>
          <cell r="GJ32">
            <v>345</v>
          </cell>
          <cell r="GK32">
            <v>2076</v>
          </cell>
          <cell r="GL32">
            <v>2540</v>
          </cell>
          <cell r="GM32">
            <v>10020</v>
          </cell>
        </row>
        <row r="33">
          <cell r="GB33">
            <v>19540</v>
          </cell>
          <cell r="GC33">
            <v>31523</v>
          </cell>
          <cell r="GD33">
            <v>45489</v>
          </cell>
          <cell r="GE33">
            <v>9986</v>
          </cell>
          <cell r="GF33">
            <v>2084</v>
          </cell>
          <cell r="GG33">
            <v>1873</v>
          </cell>
          <cell r="GH33">
            <v>607</v>
          </cell>
          <cell r="GI33">
            <v>1918</v>
          </cell>
          <cell r="GJ33">
            <v>437</v>
          </cell>
          <cell r="GK33">
            <v>2308</v>
          </cell>
          <cell r="GL33">
            <v>3363</v>
          </cell>
          <cell r="GM33">
            <v>16951</v>
          </cell>
        </row>
        <row r="37">
          <cell r="GB37">
            <v>206</v>
          </cell>
          <cell r="GC37">
            <v>177</v>
          </cell>
          <cell r="GD37">
            <v>249</v>
          </cell>
          <cell r="GE37">
            <v>142</v>
          </cell>
          <cell r="GF37">
            <v>23</v>
          </cell>
          <cell r="GG37">
            <v>8</v>
          </cell>
          <cell r="GH37">
            <v>14</v>
          </cell>
          <cell r="GI37">
            <v>11</v>
          </cell>
          <cell r="GJ37">
            <v>0</v>
          </cell>
          <cell r="GK37">
            <v>37</v>
          </cell>
          <cell r="GL37">
            <v>46</v>
          </cell>
          <cell r="GM37">
            <v>242</v>
          </cell>
        </row>
        <row r="38">
          <cell r="GB38">
            <v>253</v>
          </cell>
          <cell r="GC38">
            <v>233</v>
          </cell>
          <cell r="GD38">
            <v>314</v>
          </cell>
          <cell r="GE38">
            <v>105</v>
          </cell>
          <cell r="GF38">
            <v>22</v>
          </cell>
          <cell r="GG38">
            <v>11</v>
          </cell>
          <cell r="GH38">
            <v>11</v>
          </cell>
          <cell r="GI38">
            <v>10</v>
          </cell>
          <cell r="GJ38">
            <v>2</v>
          </cell>
          <cell r="GK38">
            <v>36</v>
          </cell>
          <cell r="GL38">
            <v>46</v>
          </cell>
          <cell r="GM38">
            <v>282</v>
          </cell>
        </row>
        <row r="41"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FS41">
            <v>173230</v>
          </cell>
          <cell r="FT41">
            <v>198882</v>
          </cell>
          <cell r="FU41">
            <v>194148</v>
          </cell>
          <cell r="FV41">
            <v>132514</v>
          </cell>
          <cell r="FW41">
            <v>171893</v>
          </cell>
          <cell r="FX41">
            <v>160206</v>
          </cell>
          <cell r="FY41">
            <v>210536</v>
          </cell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  <cell r="GG41">
            <v>246891</v>
          </cell>
          <cell r="GH41">
            <v>256488</v>
          </cell>
          <cell r="GI41">
            <v>264607</v>
          </cell>
          <cell r="GJ41">
            <v>186033</v>
          </cell>
          <cell r="GK41">
            <v>229272</v>
          </cell>
          <cell r="GL41">
            <v>220027</v>
          </cell>
          <cell r="GM41">
            <v>281467</v>
          </cell>
        </row>
        <row r="47">
          <cell r="GM47">
            <v>28579</v>
          </cell>
        </row>
        <row r="48">
          <cell r="GM48">
            <v>338445</v>
          </cell>
        </row>
        <row r="52">
          <cell r="GM52">
            <v>165</v>
          </cell>
        </row>
        <row r="53">
          <cell r="GM53">
            <v>346984</v>
          </cell>
        </row>
        <row r="57">
          <cell r="GM57"/>
        </row>
        <row r="58">
          <cell r="GM58"/>
        </row>
        <row r="70">
          <cell r="GM70">
            <v>131405</v>
          </cell>
        </row>
        <row r="71">
          <cell r="GM71"/>
        </row>
        <row r="73">
          <cell r="GM73">
            <v>16951</v>
          </cell>
        </row>
        <row r="74">
          <cell r="GM74"/>
        </row>
      </sheetData>
      <sheetData sheetId="12">
        <row r="4">
          <cell r="GM4">
            <v>80</v>
          </cell>
        </row>
        <row r="5">
          <cell r="GM5">
            <v>79</v>
          </cell>
        </row>
        <row r="8">
          <cell r="GM8"/>
        </row>
        <row r="9">
          <cell r="GM9"/>
        </row>
        <row r="19"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FS19">
            <v>148</v>
          </cell>
          <cell r="FT19">
            <v>166</v>
          </cell>
          <cell r="FU19">
            <v>156</v>
          </cell>
          <cell r="FV19">
            <v>144</v>
          </cell>
          <cell r="FW19">
            <v>164</v>
          </cell>
          <cell r="FX19">
            <v>118</v>
          </cell>
          <cell r="FY19">
            <v>146</v>
          </cell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  <cell r="GG19">
            <v>130</v>
          </cell>
          <cell r="GH19">
            <v>159</v>
          </cell>
          <cell r="GI19">
            <v>174</v>
          </cell>
          <cell r="GJ19">
            <v>164</v>
          </cell>
          <cell r="GK19">
            <v>166</v>
          </cell>
          <cell r="GL19">
            <v>175</v>
          </cell>
          <cell r="GM19">
            <v>159</v>
          </cell>
        </row>
        <row r="22">
          <cell r="GM22">
            <v>511</v>
          </cell>
        </row>
        <row r="23">
          <cell r="GM23">
            <v>489</v>
          </cell>
        </row>
        <row r="27">
          <cell r="GM27"/>
        </row>
        <row r="28">
          <cell r="GM28"/>
        </row>
        <row r="41"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FS41">
            <v>826</v>
          </cell>
          <cell r="FT41">
            <v>863</v>
          </cell>
          <cell r="FU41">
            <v>885</v>
          </cell>
          <cell r="FV41">
            <v>790</v>
          </cell>
          <cell r="FW41">
            <v>933</v>
          </cell>
          <cell r="FX41">
            <v>603</v>
          </cell>
          <cell r="FY41">
            <v>708</v>
          </cell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  <cell r="GG41">
            <v>834</v>
          </cell>
          <cell r="GH41">
            <v>876</v>
          </cell>
          <cell r="GI41">
            <v>1150</v>
          </cell>
          <cell r="GJ41">
            <v>921</v>
          </cell>
          <cell r="GK41">
            <v>958</v>
          </cell>
          <cell r="GL41">
            <v>950</v>
          </cell>
          <cell r="GM41">
            <v>1000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</sheetData>
      <sheetData sheetId="13">
        <row r="4">
          <cell r="GM4"/>
        </row>
        <row r="5">
          <cell r="GM5"/>
        </row>
        <row r="8">
          <cell r="GM8"/>
        </row>
        <row r="9">
          <cell r="GM9"/>
        </row>
        <row r="15">
          <cell r="GB15"/>
          <cell r="GC15"/>
          <cell r="GD15"/>
          <cell r="GE15"/>
          <cell r="GF15">
            <v>1</v>
          </cell>
          <cell r="GG15">
            <v>10</v>
          </cell>
          <cell r="GH15">
            <v>17</v>
          </cell>
          <cell r="GI15">
            <v>18</v>
          </cell>
          <cell r="GJ15">
            <v>8</v>
          </cell>
          <cell r="GK15"/>
          <cell r="GL15"/>
          <cell r="GM15"/>
        </row>
        <row r="16">
          <cell r="GB16"/>
          <cell r="GC16"/>
          <cell r="GD16"/>
          <cell r="GE16"/>
          <cell r="GF16">
            <v>1</v>
          </cell>
          <cell r="GG16">
            <v>10</v>
          </cell>
          <cell r="GH16">
            <v>17</v>
          </cell>
          <cell r="GI16">
            <v>18</v>
          </cell>
          <cell r="GJ16">
            <v>8</v>
          </cell>
          <cell r="GK16"/>
          <cell r="GL16"/>
          <cell r="GM16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FS19">
            <v>22</v>
          </cell>
          <cell r="FT19">
            <v>36</v>
          </cell>
          <cell r="FU19">
            <v>36</v>
          </cell>
          <cell r="FV19">
            <v>17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  <cell r="GG19">
            <v>20</v>
          </cell>
          <cell r="GH19">
            <v>34</v>
          </cell>
          <cell r="GI19">
            <v>36</v>
          </cell>
          <cell r="GJ19">
            <v>16</v>
          </cell>
          <cell r="GK19">
            <v>0</v>
          </cell>
          <cell r="GL19">
            <v>0</v>
          </cell>
          <cell r="GM19">
            <v>0</v>
          </cell>
        </row>
        <row r="22">
          <cell r="GM22"/>
        </row>
        <row r="23">
          <cell r="GM23"/>
        </row>
        <row r="27">
          <cell r="GM27"/>
        </row>
        <row r="28">
          <cell r="GM28"/>
        </row>
        <row r="32">
          <cell r="GB32"/>
          <cell r="GC32"/>
          <cell r="GD32"/>
          <cell r="GE32"/>
          <cell r="GF32">
            <v>236</v>
          </cell>
          <cell r="GG32">
            <v>2273</v>
          </cell>
          <cell r="GH32">
            <v>4241</v>
          </cell>
          <cell r="GI32">
            <v>4552</v>
          </cell>
          <cell r="GJ32">
            <v>1912</v>
          </cell>
          <cell r="GK32"/>
          <cell r="GL32"/>
          <cell r="GM32"/>
        </row>
        <row r="33">
          <cell r="GB33"/>
          <cell r="GC33"/>
          <cell r="GD33"/>
          <cell r="GE33"/>
          <cell r="GF33">
            <v>250</v>
          </cell>
          <cell r="GG33">
            <v>2511</v>
          </cell>
          <cell r="GH33">
            <v>4049</v>
          </cell>
          <cell r="GI33">
            <v>4374</v>
          </cell>
          <cell r="GJ33">
            <v>1704</v>
          </cell>
          <cell r="GK33"/>
          <cell r="GL33"/>
          <cell r="GM33"/>
        </row>
        <row r="37">
          <cell r="GB37"/>
          <cell r="GC37"/>
          <cell r="GD37"/>
          <cell r="GE37"/>
          <cell r="GF37">
            <v>1</v>
          </cell>
          <cell r="GG37"/>
          <cell r="GH37">
            <v>11</v>
          </cell>
          <cell r="GI37">
            <v>11</v>
          </cell>
          <cell r="GJ37"/>
          <cell r="GK37"/>
          <cell r="GL37"/>
          <cell r="GM37"/>
        </row>
        <row r="38">
          <cell r="GB38"/>
          <cell r="GC38"/>
          <cell r="GD38"/>
          <cell r="GE38"/>
          <cell r="GF38"/>
          <cell r="GG38"/>
          <cell r="GH38">
            <v>9</v>
          </cell>
          <cell r="GI38">
            <v>3</v>
          </cell>
          <cell r="GJ38"/>
          <cell r="GK38"/>
          <cell r="GL38"/>
          <cell r="GM3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FS41">
            <v>5345</v>
          </cell>
          <cell r="FT41">
            <v>8876</v>
          </cell>
          <cell r="FU41">
            <v>8987</v>
          </cell>
          <cell r="FV41">
            <v>3930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  <cell r="GG41">
            <v>4784</v>
          </cell>
          <cell r="GH41">
            <v>8290</v>
          </cell>
          <cell r="GI41">
            <v>8926</v>
          </cell>
          <cell r="GJ41">
            <v>3616</v>
          </cell>
          <cell r="GK41">
            <v>0</v>
          </cell>
          <cell r="GL41">
            <v>0</v>
          </cell>
          <cell r="GM41">
            <v>0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</sheetData>
      <sheetData sheetId="14">
        <row r="4">
          <cell r="GM4">
            <v>5590</v>
          </cell>
        </row>
        <row r="5">
          <cell r="GM5">
            <v>5581</v>
          </cell>
        </row>
        <row r="8">
          <cell r="GM8">
            <v>4</v>
          </cell>
        </row>
        <row r="9">
          <cell r="GM9">
            <v>8</v>
          </cell>
        </row>
        <row r="15">
          <cell r="GB15">
            <v>574</v>
          </cell>
          <cell r="GC15">
            <v>585</v>
          </cell>
          <cell r="GD15">
            <v>646</v>
          </cell>
          <cell r="GE15">
            <v>477</v>
          </cell>
          <cell r="GF15">
            <v>505</v>
          </cell>
          <cell r="GG15">
            <v>494</v>
          </cell>
          <cell r="GH15">
            <v>495</v>
          </cell>
          <cell r="GI15">
            <v>501</v>
          </cell>
          <cell r="GJ15">
            <v>554</v>
          </cell>
          <cell r="GK15">
            <v>560</v>
          </cell>
          <cell r="GL15">
            <v>492</v>
          </cell>
          <cell r="GM15">
            <v>532</v>
          </cell>
        </row>
        <row r="16">
          <cell r="GB16">
            <v>581</v>
          </cell>
          <cell r="GC16">
            <v>586</v>
          </cell>
          <cell r="GD16">
            <v>645</v>
          </cell>
          <cell r="GE16">
            <v>480</v>
          </cell>
          <cell r="GF16">
            <v>506</v>
          </cell>
          <cell r="GG16">
            <v>494</v>
          </cell>
          <cell r="GH16">
            <v>499</v>
          </cell>
          <cell r="GI16">
            <v>503</v>
          </cell>
          <cell r="GJ16">
            <v>557</v>
          </cell>
          <cell r="GK16">
            <v>560</v>
          </cell>
          <cell r="GL16">
            <v>490</v>
          </cell>
          <cell r="GM16">
            <v>523</v>
          </cell>
        </row>
        <row r="19"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FS19">
            <v>13480</v>
          </cell>
          <cell r="FT19">
            <v>14017</v>
          </cell>
          <cell r="FU19">
            <v>14261</v>
          </cell>
          <cell r="FV19">
            <v>12487</v>
          </cell>
          <cell r="FW19">
            <v>12655</v>
          </cell>
          <cell r="FX19">
            <v>11437</v>
          </cell>
          <cell r="FY19">
            <v>10997</v>
          </cell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  <cell r="GG19">
            <v>13437</v>
          </cell>
          <cell r="GH19">
            <v>14255</v>
          </cell>
          <cell r="GI19">
            <v>14227</v>
          </cell>
          <cell r="GJ19">
            <v>13154</v>
          </cell>
          <cell r="GK19">
            <v>13373</v>
          </cell>
          <cell r="GL19">
            <v>12203</v>
          </cell>
          <cell r="GM19">
            <v>12238</v>
          </cell>
        </row>
        <row r="22">
          <cell r="GM22">
            <v>752681</v>
          </cell>
        </row>
        <row r="23">
          <cell r="GM23">
            <v>764375</v>
          </cell>
        </row>
        <row r="27">
          <cell r="GM27">
            <v>25283</v>
          </cell>
        </row>
        <row r="28">
          <cell r="GM28">
            <v>24914</v>
          </cell>
        </row>
        <row r="32">
          <cell r="GB32">
            <v>87230</v>
          </cell>
          <cell r="GC32">
            <v>84747</v>
          </cell>
          <cell r="GD32">
            <v>103915</v>
          </cell>
          <cell r="GE32">
            <v>81869</v>
          </cell>
          <cell r="GF32">
            <v>80449</v>
          </cell>
          <cell r="GG32">
            <v>88997</v>
          </cell>
          <cell r="GH32">
            <v>95813</v>
          </cell>
          <cell r="GI32">
            <v>94654</v>
          </cell>
          <cell r="GJ32">
            <v>90229</v>
          </cell>
          <cell r="GK32">
            <v>88981</v>
          </cell>
          <cell r="GL32">
            <v>71982</v>
          </cell>
          <cell r="GM32">
            <v>76606</v>
          </cell>
        </row>
        <row r="33">
          <cell r="GB33">
            <v>82653</v>
          </cell>
          <cell r="GC33">
            <v>84302</v>
          </cell>
          <cell r="GD33">
            <v>103568</v>
          </cell>
          <cell r="GE33">
            <v>73960</v>
          </cell>
          <cell r="GF33">
            <v>89159</v>
          </cell>
          <cell r="GG33">
            <v>93359</v>
          </cell>
          <cell r="GH33">
            <v>87029</v>
          </cell>
          <cell r="GI33">
            <v>91355</v>
          </cell>
          <cell r="GJ33">
            <v>91455</v>
          </cell>
          <cell r="GK33">
            <v>86613</v>
          </cell>
          <cell r="GL33">
            <v>75260</v>
          </cell>
          <cell r="GM33">
            <v>87087</v>
          </cell>
        </row>
        <row r="37">
          <cell r="GB37">
            <v>2573</v>
          </cell>
          <cell r="GC37">
            <v>2264</v>
          </cell>
          <cell r="GD37">
            <v>2193</v>
          </cell>
          <cell r="GE37">
            <v>2505</v>
          </cell>
          <cell r="GF37">
            <v>2291</v>
          </cell>
          <cell r="GG37">
            <v>2140</v>
          </cell>
          <cell r="GH37">
            <v>2515</v>
          </cell>
          <cell r="GI37">
            <v>2252</v>
          </cell>
          <cell r="GJ37">
            <v>2182</v>
          </cell>
          <cell r="GK37">
            <v>2502</v>
          </cell>
          <cell r="GL37">
            <v>2014</v>
          </cell>
          <cell r="GM37">
            <v>1985</v>
          </cell>
        </row>
        <row r="38">
          <cell r="GB38">
            <v>2135</v>
          </cell>
          <cell r="GC38">
            <v>2288</v>
          </cell>
          <cell r="GD38">
            <v>2520</v>
          </cell>
          <cell r="GE38">
            <v>2490</v>
          </cell>
          <cell r="GF38">
            <v>2300</v>
          </cell>
          <cell r="GG38">
            <v>2285</v>
          </cell>
          <cell r="GH38">
            <v>2322</v>
          </cell>
          <cell r="GI38">
            <v>2227</v>
          </cell>
          <cell r="GJ38">
            <v>2147</v>
          </cell>
          <cell r="GK38">
            <v>2220</v>
          </cell>
          <cell r="GL38">
            <v>1781</v>
          </cell>
          <cell r="GM38">
            <v>2233</v>
          </cell>
        </row>
        <row r="41"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FS41">
            <v>1892530</v>
          </cell>
          <cell r="FT41">
            <v>1963810</v>
          </cell>
          <cell r="FU41">
            <v>2005395</v>
          </cell>
          <cell r="FV41">
            <v>1653558</v>
          </cell>
          <cell r="FW41">
            <v>1710446</v>
          </cell>
          <cell r="FX41">
            <v>1539785</v>
          </cell>
          <cell r="FY41">
            <v>1453797</v>
          </cell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  <cell r="GG41">
            <v>1973976</v>
          </cell>
          <cell r="GH41">
            <v>2079367</v>
          </cell>
          <cell r="GI41">
            <v>2032800</v>
          </cell>
          <cell r="GJ41">
            <v>1812022</v>
          </cell>
          <cell r="GK41">
            <v>1842273</v>
          </cell>
          <cell r="GL41">
            <v>1603565</v>
          </cell>
          <cell r="GM41">
            <v>1680749</v>
          </cell>
        </row>
        <row r="47">
          <cell r="GM47">
            <v>2603792</v>
          </cell>
        </row>
        <row r="48">
          <cell r="GM48">
            <v>1508677</v>
          </cell>
        </row>
        <row r="52">
          <cell r="GM52">
            <v>1396173</v>
          </cell>
        </row>
        <row r="53">
          <cell r="GM53">
            <v>1728868</v>
          </cell>
        </row>
        <row r="57">
          <cell r="GM57"/>
        </row>
        <row r="58">
          <cell r="GM58"/>
        </row>
        <row r="70">
          <cell r="GM70">
            <v>423882</v>
          </cell>
        </row>
        <row r="71">
          <cell r="GM71">
            <v>340493</v>
          </cell>
        </row>
        <row r="73">
          <cell r="GM73">
            <v>48294</v>
          </cell>
        </row>
        <row r="74">
          <cell r="GM74">
            <v>38793</v>
          </cell>
        </row>
      </sheetData>
      <sheetData sheetId="15"/>
      <sheetData sheetId="16">
        <row r="4">
          <cell r="GM4">
            <v>109</v>
          </cell>
        </row>
        <row r="5">
          <cell r="GM5">
            <v>108</v>
          </cell>
        </row>
        <row r="8">
          <cell r="GM8"/>
        </row>
        <row r="9">
          <cell r="GM9"/>
        </row>
        <row r="19"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FS19">
            <v>300</v>
          </cell>
          <cell r="FT19">
            <v>312</v>
          </cell>
          <cell r="FU19">
            <v>316</v>
          </cell>
          <cell r="FV19">
            <v>300</v>
          </cell>
          <cell r="FW19">
            <v>286</v>
          </cell>
          <cell r="FX19">
            <v>244</v>
          </cell>
          <cell r="FY19">
            <v>216</v>
          </cell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  <cell r="GG19">
            <v>324</v>
          </cell>
          <cell r="GH19">
            <v>346</v>
          </cell>
          <cell r="GI19">
            <v>326</v>
          </cell>
          <cell r="GJ19">
            <v>330</v>
          </cell>
          <cell r="GK19">
            <v>289</v>
          </cell>
          <cell r="GL19">
            <v>235</v>
          </cell>
          <cell r="GM19">
            <v>217</v>
          </cell>
        </row>
        <row r="22">
          <cell r="GM22">
            <v>17060</v>
          </cell>
        </row>
        <row r="23">
          <cell r="GM23">
            <v>18043</v>
          </cell>
        </row>
        <row r="27">
          <cell r="GM27">
            <v>110</v>
          </cell>
        </row>
        <row r="28">
          <cell r="GM28">
            <v>140</v>
          </cell>
        </row>
        <row r="41"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FS41">
            <v>41449</v>
          </cell>
          <cell r="FT41">
            <v>45702</v>
          </cell>
          <cell r="FU41">
            <v>48043</v>
          </cell>
          <cell r="FV41">
            <v>40905</v>
          </cell>
          <cell r="FW41">
            <v>40541</v>
          </cell>
          <cell r="FX41">
            <v>36479</v>
          </cell>
          <cell r="FY41">
            <v>35408</v>
          </cell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  <cell r="GG41">
            <v>50836</v>
          </cell>
          <cell r="GH41">
            <v>54937</v>
          </cell>
          <cell r="GI41">
            <v>52285</v>
          </cell>
          <cell r="GJ41">
            <v>44272</v>
          </cell>
          <cell r="GK41">
            <v>39928</v>
          </cell>
          <cell r="GL41">
            <v>33811</v>
          </cell>
          <cell r="GM41">
            <v>35103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</sheetData>
      <sheetData sheetId="17"/>
      <sheetData sheetId="18">
        <row r="8">
          <cell r="GM8"/>
        </row>
        <row r="9">
          <cell r="GM9"/>
        </row>
        <row r="15">
          <cell r="GB15">
            <v>4</v>
          </cell>
          <cell r="GC15"/>
          <cell r="GD15">
            <v>15</v>
          </cell>
          <cell r="GE15">
            <v>24</v>
          </cell>
          <cell r="GF15">
            <v>31</v>
          </cell>
          <cell r="GG15">
            <v>30</v>
          </cell>
          <cell r="GH15">
            <v>31</v>
          </cell>
          <cell r="GI15">
            <v>31</v>
          </cell>
          <cell r="GJ15">
            <v>30</v>
          </cell>
          <cell r="GK15">
            <v>25</v>
          </cell>
          <cell r="GL15">
            <v>16</v>
          </cell>
          <cell r="GM15">
            <v>18</v>
          </cell>
        </row>
        <row r="16">
          <cell r="GB16">
            <v>4</v>
          </cell>
          <cell r="GC16"/>
          <cell r="GD16">
            <v>15</v>
          </cell>
          <cell r="GE16">
            <v>24</v>
          </cell>
          <cell r="GF16">
            <v>31</v>
          </cell>
          <cell r="GG16">
            <v>30</v>
          </cell>
          <cell r="GH16">
            <v>31</v>
          </cell>
          <cell r="GI16">
            <v>31</v>
          </cell>
          <cell r="GJ16">
            <v>30</v>
          </cell>
          <cell r="GK16">
            <v>25</v>
          </cell>
          <cell r="GL16">
            <v>16</v>
          </cell>
          <cell r="GM16">
            <v>18</v>
          </cell>
        </row>
        <row r="19"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FS19">
            <v>92</v>
          </cell>
          <cell r="FT19">
            <v>94</v>
          </cell>
          <cell r="FU19">
            <v>98</v>
          </cell>
          <cell r="FV19">
            <v>74</v>
          </cell>
          <cell r="FW19">
            <v>48</v>
          </cell>
          <cell r="FX19">
            <v>34</v>
          </cell>
          <cell r="FY19">
            <v>32</v>
          </cell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  <cell r="GK19">
            <v>50</v>
          </cell>
          <cell r="GL19">
            <v>32</v>
          </cell>
          <cell r="GM19">
            <v>36</v>
          </cell>
        </row>
        <row r="32">
          <cell r="GB32">
            <v>585</v>
          </cell>
          <cell r="GC32"/>
          <cell r="GD32">
            <v>1635</v>
          </cell>
          <cell r="GE32">
            <v>3226</v>
          </cell>
          <cell r="GF32">
            <v>4855</v>
          </cell>
          <cell r="GG32">
            <v>6780</v>
          </cell>
          <cell r="GH32">
            <v>6512</v>
          </cell>
          <cell r="GI32">
            <v>5189</v>
          </cell>
          <cell r="GJ32">
            <v>5061</v>
          </cell>
          <cell r="GK32">
            <v>3642</v>
          </cell>
          <cell r="GL32">
            <v>1822</v>
          </cell>
          <cell r="GM32">
            <v>1983</v>
          </cell>
        </row>
        <row r="33">
          <cell r="GB33">
            <v>515</v>
          </cell>
          <cell r="GC33"/>
          <cell r="GD33">
            <v>2134</v>
          </cell>
          <cell r="GE33">
            <v>3423</v>
          </cell>
          <cell r="GF33">
            <v>5973</v>
          </cell>
          <cell r="GG33">
            <v>6716</v>
          </cell>
          <cell r="GH33">
            <v>4733</v>
          </cell>
          <cell r="GI33">
            <v>5565</v>
          </cell>
          <cell r="GJ33">
            <v>5041</v>
          </cell>
          <cell r="GK33">
            <v>2995</v>
          </cell>
          <cell r="GL33">
            <v>1968</v>
          </cell>
          <cell r="GM33">
            <v>2276</v>
          </cell>
        </row>
        <row r="37">
          <cell r="GB37">
            <v>10</v>
          </cell>
          <cell r="GC37"/>
          <cell r="GD37">
            <v>29</v>
          </cell>
          <cell r="GE37">
            <v>35</v>
          </cell>
          <cell r="GF37">
            <v>30</v>
          </cell>
          <cell r="GG37">
            <v>37</v>
          </cell>
          <cell r="GH37">
            <v>73</v>
          </cell>
          <cell r="GI37">
            <v>54</v>
          </cell>
          <cell r="GJ37">
            <v>50</v>
          </cell>
          <cell r="GK37">
            <v>104</v>
          </cell>
          <cell r="GL37">
            <v>125</v>
          </cell>
          <cell r="GM37">
            <v>82</v>
          </cell>
        </row>
        <row r="38">
          <cell r="GB38">
            <v>5</v>
          </cell>
          <cell r="GC38"/>
          <cell r="GD38">
            <v>22</v>
          </cell>
          <cell r="GE38">
            <v>43</v>
          </cell>
          <cell r="GF38">
            <v>32</v>
          </cell>
          <cell r="GG38">
            <v>49</v>
          </cell>
          <cell r="GH38">
            <v>65</v>
          </cell>
          <cell r="GI38">
            <v>77</v>
          </cell>
          <cell r="GJ38">
            <v>57</v>
          </cell>
          <cell r="GK38">
            <v>76</v>
          </cell>
          <cell r="GL38">
            <v>154</v>
          </cell>
          <cell r="GM38">
            <v>94</v>
          </cell>
        </row>
        <row r="41"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FS41">
            <v>14092</v>
          </cell>
          <cell r="FT41">
            <v>13862</v>
          </cell>
          <cell r="FU41">
            <v>14451</v>
          </cell>
          <cell r="FV41">
            <v>11139</v>
          </cell>
          <cell r="FW41">
            <v>7045</v>
          </cell>
          <cell r="FX41">
            <v>4601</v>
          </cell>
          <cell r="FY41">
            <v>4299</v>
          </cell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  <cell r="GG41">
            <v>13496</v>
          </cell>
          <cell r="GH41">
            <v>11245</v>
          </cell>
          <cell r="GI41">
            <v>10754</v>
          </cell>
          <cell r="GJ41">
            <v>10102</v>
          </cell>
          <cell r="GK41">
            <v>6637</v>
          </cell>
          <cell r="GL41">
            <v>3790</v>
          </cell>
          <cell r="GM41">
            <v>4259</v>
          </cell>
        </row>
        <row r="47">
          <cell r="GM47">
            <v>3589</v>
          </cell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</sheetData>
      <sheetData sheetId="19">
        <row r="4">
          <cell r="GM4">
            <v>77</v>
          </cell>
        </row>
        <row r="5">
          <cell r="GM5">
            <v>76</v>
          </cell>
        </row>
        <row r="8">
          <cell r="GM8"/>
        </row>
        <row r="9">
          <cell r="GM9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FS19">
            <v>173</v>
          </cell>
          <cell r="FT19">
            <v>186</v>
          </cell>
          <cell r="FU19">
            <v>185</v>
          </cell>
          <cell r="FV19">
            <v>172</v>
          </cell>
          <cell r="FW19">
            <v>178</v>
          </cell>
          <cell r="FX19">
            <v>170</v>
          </cell>
          <cell r="FY19">
            <v>152</v>
          </cell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  <cell r="GG19">
            <v>172</v>
          </cell>
          <cell r="GH19">
            <v>178</v>
          </cell>
          <cell r="GI19">
            <v>186</v>
          </cell>
          <cell r="GJ19">
            <v>164</v>
          </cell>
          <cell r="GK19">
            <v>174</v>
          </cell>
          <cell r="GL19">
            <v>182</v>
          </cell>
          <cell r="GM19">
            <v>153</v>
          </cell>
        </row>
        <row r="22">
          <cell r="GM22">
            <v>7105</v>
          </cell>
        </row>
        <row r="23">
          <cell r="GM23">
            <v>6560</v>
          </cell>
        </row>
        <row r="27">
          <cell r="GM27">
            <v>177</v>
          </cell>
        </row>
        <row r="28">
          <cell r="GM28">
            <v>186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FS41">
            <v>22201</v>
          </cell>
          <cell r="FT41">
            <v>22956</v>
          </cell>
          <cell r="FU41">
            <v>20403</v>
          </cell>
          <cell r="FV41">
            <v>19609</v>
          </cell>
          <cell r="FW41">
            <v>17526</v>
          </cell>
          <cell r="FX41">
            <v>17231</v>
          </cell>
          <cell r="FY41">
            <v>14318</v>
          </cell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  <cell r="GG41">
            <v>23311</v>
          </cell>
          <cell r="GH41">
            <v>23641</v>
          </cell>
          <cell r="GI41">
            <v>24626</v>
          </cell>
          <cell r="GJ41">
            <v>17793</v>
          </cell>
          <cell r="GK41">
            <v>19540</v>
          </cell>
          <cell r="GL41">
            <v>15045</v>
          </cell>
          <cell r="GM41">
            <v>13665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</sheetData>
      <sheetData sheetId="20">
        <row r="4">
          <cell r="GM4">
            <v>238</v>
          </cell>
        </row>
        <row r="5">
          <cell r="GM5">
            <v>238</v>
          </cell>
        </row>
        <row r="8">
          <cell r="GM8"/>
        </row>
        <row r="9">
          <cell r="GM9"/>
        </row>
        <row r="19"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FS19">
            <v>748</v>
          </cell>
          <cell r="FT19">
            <v>812</v>
          </cell>
          <cell r="FU19">
            <v>822</v>
          </cell>
          <cell r="FV19">
            <v>652</v>
          </cell>
          <cell r="FW19">
            <v>666</v>
          </cell>
          <cell r="FX19">
            <v>450</v>
          </cell>
          <cell r="FY19">
            <v>408</v>
          </cell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  <cell r="GG19">
            <v>636</v>
          </cell>
          <cell r="GH19">
            <v>694</v>
          </cell>
          <cell r="GI19">
            <v>798</v>
          </cell>
          <cell r="GJ19">
            <v>676</v>
          </cell>
          <cell r="GK19">
            <v>792</v>
          </cell>
          <cell r="GL19">
            <v>498</v>
          </cell>
          <cell r="GM19">
            <v>476</v>
          </cell>
        </row>
        <row r="22">
          <cell r="GM22">
            <v>31660</v>
          </cell>
        </row>
        <row r="23">
          <cell r="GM23">
            <v>33541</v>
          </cell>
        </row>
        <row r="27">
          <cell r="GM27">
            <v>1312</v>
          </cell>
        </row>
        <row r="28">
          <cell r="GM28">
            <v>1261</v>
          </cell>
        </row>
        <row r="41"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FS41">
            <v>92739</v>
          </cell>
          <cell r="FT41">
            <v>101431</v>
          </cell>
          <cell r="FU41">
            <v>101481</v>
          </cell>
          <cell r="FV41">
            <v>78239</v>
          </cell>
          <cell r="FW41">
            <v>86741</v>
          </cell>
          <cell r="FX41">
            <v>66229</v>
          </cell>
          <cell r="FY41">
            <v>56503</v>
          </cell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  <cell r="GG41">
            <v>90880</v>
          </cell>
          <cell r="GH41">
            <v>98331</v>
          </cell>
          <cell r="GI41">
            <v>109723</v>
          </cell>
          <cell r="GJ41">
            <v>84860</v>
          </cell>
          <cell r="GK41">
            <v>101865</v>
          </cell>
          <cell r="GL41">
            <v>60611</v>
          </cell>
          <cell r="GM41">
            <v>65201</v>
          </cell>
        </row>
        <row r="47">
          <cell r="GM47">
            <v>26619</v>
          </cell>
        </row>
        <row r="48">
          <cell r="GM48">
            <v>34572</v>
          </cell>
        </row>
        <row r="52">
          <cell r="GM52">
            <v>5889</v>
          </cell>
        </row>
        <row r="53">
          <cell r="GM53">
            <v>58008</v>
          </cell>
        </row>
        <row r="57">
          <cell r="GM57"/>
        </row>
        <row r="58">
          <cell r="GM58"/>
        </row>
      </sheetData>
      <sheetData sheetId="21">
        <row r="4">
          <cell r="GM4"/>
        </row>
        <row r="5">
          <cell r="GM5"/>
        </row>
        <row r="8">
          <cell r="GM8"/>
        </row>
        <row r="9">
          <cell r="GM9"/>
        </row>
        <row r="15">
          <cell r="GB15">
            <v>17</v>
          </cell>
          <cell r="GC15">
            <v>14</v>
          </cell>
          <cell r="GD15">
            <v>18</v>
          </cell>
          <cell r="GE15">
            <v>16</v>
          </cell>
          <cell r="GF15">
            <v>19</v>
          </cell>
          <cell r="GG15">
            <v>17</v>
          </cell>
          <cell r="GH15">
            <v>16</v>
          </cell>
          <cell r="GI15">
            <v>16</v>
          </cell>
          <cell r="GJ15">
            <v>17</v>
          </cell>
          <cell r="GK15">
            <v>18</v>
          </cell>
          <cell r="GL15">
            <v>17</v>
          </cell>
          <cell r="GM15">
            <v>18</v>
          </cell>
        </row>
        <row r="16">
          <cell r="GB16">
            <v>17</v>
          </cell>
          <cell r="GC16">
            <v>14</v>
          </cell>
          <cell r="GD16">
            <v>18</v>
          </cell>
          <cell r="GE16">
            <v>16</v>
          </cell>
          <cell r="GF16">
            <v>19</v>
          </cell>
          <cell r="GG16">
            <v>17</v>
          </cell>
          <cell r="GH16">
            <v>16</v>
          </cell>
          <cell r="GI16">
            <v>16</v>
          </cell>
          <cell r="GJ16">
            <v>17</v>
          </cell>
          <cell r="GK16">
            <v>18</v>
          </cell>
          <cell r="GL16">
            <v>17</v>
          </cell>
          <cell r="GM16">
            <v>18</v>
          </cell>
        </row>
        <row r="19"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FS19">
            <v>40</v>
          </cell>
          <cell r="FT19">
            <v>36</v>
          </cell>
          <cell r="FU19">
            <v>34</v>
          </cell>
          <cell r="FV19">
            <v>32</v>
          </cell>
          <cell r="FW19">
            <v>36</v>
          </cell>
          <cell r="FX19">
            <v>34</v>
          </cell>
          <cell r="FY19">
            <v>36</v>
          </cell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  <cell r="GG19">
            <v>34</v>
          </cell>
          <cell r="GH19">
            <v>32</v>
          </cell>
          <cell r="GI19">
            <v>32</v>
          </cell>
          <cell r="GJ19">
            <v>34</v>
          </cell>
          <cell r="GK19">
            <v>36</v>
          </cell>
          <cell r="GL19">
            <v>34</v>
          </cell>
          <cell r="GM19">
            <v>36</v>
          </cell>
        </row>
        <row r="22">
          <cell r="GM22"/>
        </row>
        <row r="23">
          <cell r="GM23"/>
        </row>
        <row r="27">
          <cell r="GM27"/>
        </row>
        <row r="28">
          <cell r="GM28"/>
        </row>
        <row r="32">
          <cell r="GB32">
            <v>4395</v>
          </cell>
          <cell r="GC32">
            <v>2287</v>
          </cell>
          <cell r="GD32">
            <v>4533</v>
          </cell>
          <cell r="GE32">
            <v>4007</v>
          </cell>
          <cell r="GF32">
            <v>3686</v>
          </cell>
          <cell r="GG32">
            <v>4320</v>
          </cell>
          <cell r="GH32">
            <v>4349</v>
          </cell>
          <cell r="GI32">
            <v>4367</v>
          </cell>
          <cell r="GJ32">
            <v>4448</v>
          </cell>
          <cell r="GK32">
            <v>4759</v>
          </cell>
          <cell r="GL32">
            <v>4890</v>
          </cell>
          <cell r="GM32">
            <v>4803</v>
          </cell>
        </row>
        <row r="33">
          <cell r="GB33">
            <v>2970</v>
          </cell>
          <cell r="GC33">
            <v>3199</v>
          </cell>
          <cell r="GD33">
            <v>4202</v>
          </cell>
          <cell r="GE33">
            <v>3470</v>
          </cell>
          <cell r="GF33">
            <v>4314</v>
          </cell>
          <cell r="GG33">
            <v>4438</v>
          </cell>
          <cell r="GH33">
            <v>3436</v>
          </cell>
          <cell r="GI33">
            <v>4210</v>
          </cell>
          <cell r="GJ33">
            <v>4308</v>
          </cell>
          <cell r="GK33">
            <v>4014</v>
          </cell>
          <cell r="GL33">
            <v>3880</v>
          </cell>
          <cell r="GM33">
            <v>4617</v>
          </cell>
        </row>
        <row r="37">
          <cell r="GB37">
            <v>8</v>
          </cell>
          <cell r="GC37">
            <v>9</v>
          </cell>
          <cell r="GD37">
            <v>30</v>
          </cell>
          <cell r="GE37">
            <v>15</v>
          </cell>
          <cell r="GF37">
            <v>6</v>
          </cell>
          <cell r="GG37">
            <v>7</v>
          </cell>
          <cell r="GH37">
            <v>8</v>
          </cell>
          <cell r="GI37">
            <v>7</v>
          </cell>
          <cell r="GJ37">
            <v>6</v>
          </cell>
          <cell r="GK37">
            <v>8</v>
          </cell>
          <cell r="GL37">
            <v>7</v>
          </cell>
          <cell r="GM37">
            <v>14</v>
          </cell>
        </row>
        <row r="38">
          <cell r="GB38">
            <v>15</v>
          </cell>
          <cell r="GC38">
            <v>3</v>
          </cell>
          <cell r="GD38">
            <v>28</v>
          </cell>
          <cell r="GE38">
            <v>11</v>
          </cell>
          <cell r="GF38">
            <v>9</v>
          </cell>
          <cell r="GG38">
            <v>5</v>
          </cell>
          <cell r="GH38">
            <v>10</v>
          </cell>
          <cell r="GI38">
            <v>20</v>
          </cell>
          <cell r="GJ38">
            <v>10</v>
          </cell>
          <cell r="GK38">
            <v>9</v>
          </cell>
          <cell r="GL38">
            <v>17</v>
          </cell>
          <cell r="GM38">
            <v>11</v>
          </cell>
        </row>
        <row r="41"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FS41">
            <v>10094</v>
          </cell>
          <cell r="FT41">
            <v>8787</v>
          </cell>
          <cell r="FU41">
            <v>8652</v>
          </cell>
          <cell r="FV41">
            <v>7861</v>
          </cell>
          <cell r="FW41">
            <v>7733</v>
          </cell>
          <cell r="FX41">
            <v>7606</v>
          </cell>
          <cell r="FY41">
            <v>8481</v>
          </cell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  <cell r="GG41">
            <v>8758</v>
          </cell>
          <cell r="GH41">
            <v>7785</v>
          </cell>
          <cell r="GI41">
            <v>8577</v>
          </cell>
          <cell r="GJ41">
            <v>8756</v>
          </cell>
          <cell r="GK41">
            <v>8773</v>
          </cell>
          <cell r="GL41">
            <v>8770</v>
          </cell>
          <cell r="GM41">
            <v>9420</v>
          </cell>
        </row>
        <row r="47">
          <cell r="GM47">
            <v>481219</v>
          </cell>
        </row>
        <row r="48">
          <cell r="GM48"/>
        </row>
        <row r="52">
          <cell r="GM52">
            <v>260792</v>
          </cell>
        </row>
        <row r="53">
          <cell r="GM53"/>
        </row>
        <row r="57">
          <cell r="GM57"/>
        </row>
        <row r="58">
          <cell r="GM58"/>
        </row>
      </sheetData>
      <sheetData sheetId="22"/>
      <sheetData sheetId="23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</row>
      </sheetData>
      <sheetData sheetId="24">
        <row r="4">
          <cell r="GM4">
            <v>544</v>
          </cell>
        </row>
        <row r="5">
          <cell r="GM5">
            <v>534</v>
          </cell>
        </row>
        <row r="8">
          <cell r="GM8"/>
        </row>
        <row r="9">
          <cell r="GM9"/>
        </row>
        <row r="19"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FS19">
            <v>1373</v>
          </cell>
          <cell r="FT19">
            <v>1469</v>
          </cell>
          <cell r="FU19">
            <v>1491</v>
          </cell>
          <cell r="FV19">
            <v>1368</v>
          </cell>
          <cell r="FW19">
            <v>1477</v>
          </cell>
          <cell r="FX19">
            <v>1261</v>
          </cell>
          <cell r="FY19">
            <v>1218</v>
          </cell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  <cell r="GG19">
            <v>1388</v>
          </cell>
          <cell r="GH19">
            <v>1470</v>
          </cell>
          <cell r="GI19">
            <v>1426</v>
          </cell>
          <cell r="GJ19">
            <v>1264</v>
          </cell>
          <cell r="GK19">
            <v>1329</v>
          </cell>
          <cell r="GL19">
            <v>1021</v>
          </cell>
          <cell r="GM19">
            <v>1078</v>
          </cell>
        </row>
        <row r="22">
          <cell r="GM22">
            <v>65946</v>
          </cell>
        </row>
        <row r="23">
          <cell r="GM23">
            <v>65221</v>
          </cell>
        </row>
        <row r="27">
          <cell r="GM27">
            <v>1334</v>
          </cell>
        </row>
        <row r="28">
          <cell r="GM28">
            <v>1439</v>
          </cell>
        </row>
        <row r="41"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FS41">
            <v>170775</v>
          </cell>
          <cell r="FT41">
            <v>179912</v>
          </cell>
          <cell r="FU41">
            <v>184520</v>
          </cell>
          <cell r="FV41">
            <v>160682</v>
          </cell>
          <cell r="FW41">
            <v>178514</v>
          </cell>
          <cell r="FX41">
            <v>150256</v>
          </cell>
          <cell r="FY41">
            <v>143430</v>
          </cell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  <cell r="GG41">
            <v>163220</v>
          </cell>
          <cell r="GH41">
            <v>168704</v>
          </cell>
          <cell r="GI41">
            <v>169547</v>
          </cell>
          <cell r="GJ41">
            <v>150326</v>
          </cell>
          <cell r="GK41">
            <v>156978</v>
          </cell>
          <cell r="GL41">
            <v>119212</v>
          </cell>
          <cell r="GM41">
            <v>131167</v>
          </cell>
        </row>
        <row r="47">
          <cell r="GM47">
            <v>195437</v>
          </cell>
        </row>
        <row r="48">
          <cell r="GM48"/>
        </row>
        <row r="52">
          <cell r="GM52">
            <v>120223</v>
          </cell>
        </row>
        <row r="53">
          <cell r="GM53"/>
        </row>
        <row r="57">
          <cell r="GM57"/>
        </row>
        <row r="58">
          <cell r="GM58"/>
        </row>
        <row r="70">
          <cell r="GM70">
            <v>64985</v>
          </cell>
        </row>
        <row r="71">
          <cell r="GM71">
            <v>236</v>
          </cell>
        </row>
        <row r="73">
          <cell r="GM73"/>
        </row>
        <row r="74">
          <cell r="GM74"/>
        </row>
      </sheetData>
      <sheetData sheetId="25">
        <row r="4">
          <cell r="GM4">
            <v>321</v>
          </cell>
        </row>
        <row r="5">
          <cell r="GM5">
            <v>321</v>
          </cell>
        </row>
        <row r="8">
          <cell r="GM8"/>
        </row>
        <row r="9">
          <cell r="GM9"/>
        </row>
        <row r="19"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FS19">
            <v>718</v>
          </cell>
          <cell r="FT19">
            <v>740</v>
          </cell>
          <cell r="FU19">
            <v>744</v>
          </cell>
          <cell r="FV19">
            <v>618</v>
          </cell>
          <cell r="FW19">
            <v>602</v>
          </cell>
          <cell r="FX19">
            <v>666</v>
          </cell>
          <cell r="FY19">
            <v>706</v>
          </cell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  <cell r="GG19">
            <v>586</v>
          </cell>
          <cell r="GH19">
            <v>610</v>
          </cell>
          <cell r="GI19">
            <v>607</v>
          </cell>
          <cell r="GJ19">
            <v>591</v>
          </cell>
          <cell r="GK19">
            <v>600</v>
          </cell>
          <cell r="GL19">
            <v>642</v>
          </cell>
          <cell r="GM19">
            <v>642</v>
          </cell>
        </row>
        <row r="22">
          <cell r="GM22">
            <v>47317</v>
          </cell>
        </row>
        <row r="23">
          <cell r="GM23">
            <v>50415</v>
          </cell>
        </row>
        <row r="27">
          <cell r="GM27">
            <v>243</v>
          </cell>
        </row>
        <row r="28">
          <cell r="GM28">
            <v>258</v>
          </cell>
        </row>
        <row r="41"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FS41">
            <v>101895</v>
          </cell>
          <cell r="FT41">
            <v>108629</v>
          </cell>
          <cell r="FU41">
            <v>112678</v>
          </cell>
          <cell r="FV41">
            <v>83947</v>
          </cell>
          <cell r="FW41">
            <v>89265</v>
          </cell>
          <cell r="FX41">
            <v>87557</v>
          </cell>
          <cell r="FY41">
            <v>94845</v>
          </cell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  <cell r="GG41">
            <v>92696</v>
          </cell>
          <cell r="GH41">
            <v>98358</v>
          </cell>
          <cell r="GI41">
            <v>100921</v>
          </cell>
          <cell r="GJ41">
            <v>85493</v>
          </cell>
          <cell r="GK41">
            <v>93897</v>
          </cell>
          <cell r="GL41">
            <v>90870</v>
          </cell>
          <cell r="GM41">
            <v>97732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  <row r="70">
          <cell r="GM70"/>
        </row>
        <row r="71">
          <cell r="GM71"/>
        </row>
        <row r="73">
          <cell r="GM73"/>
        </row>
        <row r="74">
          <cell r="GM74"/>
        </row>
      </sheetData>
      <sheetData sheetId="26"/>
      <sheetData sheetId="27"/>
      <sheetData sheetId="28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</row>
      </sheetData>
      <sheetData sheetId="29">
        <row r="4">
          <cell r="GM4">
            <v>15</v>
          </cell>
        </row>
        <row r="5">
          <cell r="GM5">
            <v>15</v>
          </cell>
        </row>
        <row r="8">
          <cell r="GM8"/>
        </row>
        <row r="9">
          <cell r="GM9"/>
        </row>
        <row r="19"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FS19">
            <v>20</v>
          </cell>
          <cell r="FT19">
            <v>10</v>
          </cell>
          <cell r="FU19">
            <v>14</v>
          </cell>
          <cell r="FV19">
            <v>10</v>
          </cell>
          <cell r="FW19">
            <v>12</v>
          </cell>
          <cell r="FX19">
            <v>10</v>
          </cell>
          <cell r="FY19">
            <v>14</v>
          </cell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  <cell r="GG19">
            <v>108</v>
          </cell>
          <cell r="GH19">
            <v>163</v>
          </cell>
          <cell r="GI19">
            <v>153</v>
          </cell>
          <cell r="GJ19">
            <v>10</v>
          </cell>
          <cell r="GK19">
            <v>8</v>
          </cell>
          <cell r="GL19">
            <v>26</v>
          </cell>
          <cell r="GM19">
            <v>30</v>
          </cell>
        </row>
        <row r="22">
          <cell r="GM22">
            <v>1001</v>
          </cell>
        </row>
        <row r="23">
          <cell r="GM23">
            <v>857</v>
          </cell>
        </row>
        <row r="27">
          <cell r="GM27">
            <v>68</v>
          </cell>
        </row>
        <row r="28">
          <cell r="GM28">
            <v>65</v>
          </cell>
        </row>
        <row r="41"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FS41">
            <v>1197</v>
          </cell>
          <cell r="FT41">
            <v>346</v>
          </cell>
          <cell r="FU41">
            <v>412</v>
          </cell>
          <cell r="FV41">
            <v>440</v>
          </cell>
          <cell r="FW41">
            <v>459</v>
          </cell>
          <cell r="FX41">
            <v>511</v>
          </cell>
          <cell r="FY41">
            <v>631</v>
          </cell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  <cell r="GG41">
            <v>7311</v>
          </cell>
          <cell r="GH41">
            <v>9902</v>
          </cell>
          <cell r="GI41">
            <v>9652</v>
          </cell>
          <cell r="GJ41">
            <v>530</v>
          </cell>
          <cell r="GK41">
            <v>486</v>
          </cell>
          <cell r="GL41">
            <v>1637</v>
          </cell>
          <cell r="GM41">
            <v>1858</v>
          </cell>
        </row>
        <row r="47">
          <cell r="GM47">
            <v>43</v>
          </cell>
        </row>
        <row r="48">
          <cell r="GM48"/>
        </row>
        <row r="52">
          <cell r="GM52">
            <v>226</v>
          </cell>
        </row>
        <row r="53">
          <cell r="GM53"/>
        </row>
        <row r="57">
          <cell r="GM57"/>
        </row>
        <row r="58">
          <cell r="GM58"/>
        </row>
      </sheetData>
      <sheetData sheetId="30">
        <row r="4">
          <cell r="GN4">
            <v>1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2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42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</row>
      </sheetData>
      <sheetData sheetId="31">
        <row r="4">
          <cell r="GM4">
            <v>31</v>
          </cell>
        </row>
        <row r="5">
          <cell r="GM5">
            <v>31</v>
          </cell>
        </row>
        <row r="8">
          <cell r="GM8"/>
        </row>
        <row r="9">
          <cell r="GM9"/>
        </row>
        <row r="19"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FS19">
            <v>120</v>
          </cell>
          <cell r="FT19">
            <v>122</v>
          </cell>
          <cell r="FU19">
            <v>124</v>
          </cell>
          <cell r="FV19">
            <v>120</v>
          </cell>
          <cell r="FW19">
            <v>122</v>
          </cell>
          <cell r="FX19">
            <v>66</v>
          </cell>
          <cell r="FY19">
            <v>62</v>
          </cell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52</v>
          </cell>
          <cell r="GM19">
            <v>62</v>
          </cell>
        </row>
        <row r="22">
          <cell r="GM22">
            <v>2119</v>
          </cell>
        </row>
        <row r="23">
          <cell r="GM23">
            <v>2129</v>
          </cell>
        </row>
        <row r="27">
          <cell r="GM27">
            <v>66</v>
          </cell>
        </row>
        <row r="28">
          <cell r="GM28">
            <v>82</v>
          </cell>
        </row>
        <row r="41"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FS41">
            <v>8149</v>
          </cell>
          <cell r="FT41">
            <v>7915</v>
          </cell>
          <cell r="FU41">
            <v>8050</v>
          </cell>
          <cell r="FV41">
            <v>7540</v>
          </cell>
          <cell r="FW41">
            <v>7891</v>
          </cell>
          <cell r="FX41">
            <v>4457</v>
          </cell>
          <cell r="FY41">
            <v>4194</v>
          </cell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3399</v>
          </cell>
          <cell r="GM41">
            <v>4248</v>
          </cell>
        </row>
        <row r="47">
          <cell r="GM47">
            <v>2246</v>
          </cell>
        </row>
        <row r="48">
          <cell r="GM48"/>
        </row>
        <row r="52">
          <cell r="GM52"/>
        </row>
        <row r="53">
          <cell r="GM53">
            <v>3935</v>
          </cell>
        </row>
        <row r="57">
          <cell r="GM57"/>
        </row>
        <row r="58">
          <cell r="BF58"/>
        </row>
      </sheetData>
      <sheetData sheetId="32">
        <row r="4">
          <cell r="GM4"/>
        </row>
        <row r="5">
          <cell r="GM5"/>
        </row>
        <row r="8">
          <cell r="GM8"/>
        </row>
        <row r="9">
          <cell r="GM9"/>
        </row>
        <row r="15">
          <cell r="GM15"/>
        </row>
        <row r="16">
          <cell r="GM16"/>
        </row>
        <row r="19"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FS19">
            <v>56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22">
          <cell r="GM22"/>
        </row>
        <row r="23">
          <cell r="GM23"/>
        </row>
        <row r="27">
          <cell r="GM27"/>
        </row>
        <row r="28">
          <cell r="GM28"/>
        </row>
        <row r="32">
          <cell r="GM32"/>
        </row>
        <row r="33">
          <cell r="GM33"/>
        </row>
        <row r="37">
          <cell r="GM37"/>
        </row>
        <row r="38">
          <cell r="GM38"/>
        </row>
        <row r="41"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FS41">
            <v>2500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BG58"/>
        </row>
        <row r="70">
          <cell r="GM70"/>
        </row>
        <row r="71">
          <cell r="GM71"/>
        </row>
        <row r="73">
          <cell r="GM73"/>
        </row>
        <row r="74">
          <cell r="GM74"/>
        </row>
      </sheetData>
      <sheetData sheetId="33"/>
      <sheetData sheetId="34"/>
      <sheetData sheetId="35"/>
      <sheetData sheetId="36">
        <row r="19"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</row>
      </sheetData>
      <sheetData sheetId="37"/>
      <sheetData sheetId="38">
        <row r="4">
          <cell r="GM4">
            <v>48</v>
          </cell>
        </row>
        <row r="5">
          <cell r="GM5">
            <v>48</v>
          </cell>
        </row>
        <row r="8">
          <cell r="GM8"/>
        </row>
        <row r="9">
          <cell r="GM9"/>
        </row>
        <row r="19"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10</v>
          </cell>
          <cell r="FW19">
            <v>0</v>
          </cell>
          <cell r="FX19">
            <v>0</v>
          </cell>
          <cell r="FY19">
            <v>0</v>
          </cell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  <cell r="GG19">
            <v>0</v>
          </cell>
          <cell r="GH19">
            <v>96</v>
          </cell>
          <cell r="GI19">
            <v>132</v>
          </cell>
          <cell r="GJ19">
            <v>126</v>
          </cell>
          <cell r="GK19">
            <v>92</v>
          </cell>
          <cell r="GL19">
            <v>102</v>
          </cell>
          <cell r="GM19">
            <v>96</v>
          </cell>
        </row>
        <row r="22">
          <cell r="GM22">
            <v>2667</v>
          </cell>
        </row>
        <row r="23">
          <cell r="GM23">
            <v>2982</v>
          </cell>
        </row>
        <row r="27">
          <cell r="GM27">
            <v>114</v>
          </cell>
        </row>
        <row r="28">
          <cell r="GM28">
            <v>89</v>
          </cell>
        </row>
        <row r="41"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FS41">
            <v>0</v>
          </cell>
          <cell r="FT41">
            <v>0</v>
          </cell>
          <cell r="FU41">
            <v>93</v>
          </cell>
          <cell r="FV41">
            <v>379</v>
          </cell>
          <cell r="FW41">
            <v>0</v>
          </cell>
          <cell r="FX41">
            <v>0</v>
          </cell>
          <cell r="FY41">
            <v>0</v>
          </cell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  <cell r="GG41">
            <v>0</v>
          </cell>
          <cell r="GH41">
            <v>5779</v>
          </cell>
          <cell r="GI41">
            <v>8069</v>
          </cell>
          <cell r="GJ41">
            <v>6754</v>
          </cell>
          <cell r="GK41">
            <v>5298</v>
          </cell>
          <cell r="GL41">
            <v>5836</v>
          </cell>
          <cell r="GM41">
            <v>5649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BG58"/>
        </row>
      </sheetData>
      <sheetData sheetId="39"/>
      <sheetData sheetId="40">
        <row r="4">
          <cell r="GM4">
            <v>52</v>
          </cell>
        </row>
        <row r="5">
          <cell r="GM5">
            <v>52</v>
          </cell>
        </row>
        <row r="8">
          <cell r="GM8"/>
        </row>
        <row r="9">
          <cell r="GM9"/>
        </row>
        <row r="15">
          <cell r="GB15">
            <v>22</v>
          </cell>
          <cell r="GC15">
            <v>20</v>
          </cell>
          <cell r="GD15">
            <v>51</v>
          </cell>
          <cell r="GE15">
            <v>2</v>
          </cell>
          <cell r="GF15"/>
          <cell r="GH15"/>
          <cell r="GI15"/>
          <cell r="GJ15"/>
          <cell r="GK15"/>
          <cell r="GL15"/>
          <cell r="GM15"/>
        </row>
        <row r="16">
          <cell r="GB16">
            <v>23</v>
          </cell>
          <cell r="GC16">
            <v>21</v>
          </cell>
          <cell r="GD16">
            <v>50</v>
          </cell>
          <cell r="GE16">
            <v>1</v>
          </cell>
          <cell r="GF16"/>
          <cell r="GH16"/>
          <cell r="GI16"/>
          <cell r="GJ16"/>
          <cell r="GK16"/>
          <cell r="GL16"/>
          <cell r="GM16"/>
        </row>
        <row r="19"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FS19">
            <v>590</v>
          </cell>
          <cell r="FT19">
            <v>478</v>
          </cell>
          <cell r="FU19">
            <v>472</v>
          </cell>
          <cell r="FV19">
            <v>166</v>
          </cell>
          <cell r="FW19">
            <v>222</v>
          </cell>
          <cell r="FX19">
            <v>367</v>
          </cell>
          <cell r="FY19">
            <v>583</v>
          </cell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  <cell r="GG19">
            <v>96</v>
          </cell>
          <cell r="GH19">
            <v>90</v>
          </cell>
          <cell r="GI19">
            <v>102</v>
          </cell>
          <cell r="GJ19">
            <v>144</v>
          </cell>
          <cell r="GK19">
            <v>108</v>
          </cell>
          <cell r="GL19">
            <v>4</v>
          </cell>
          <cell r="GM19">
            <v>104</v>
          </cell>
        </row>
        <row r="22">
          <cell r="GM22">
            <v>3382</v>
          </cell>
        </row>
        <row r="23">
          <cell r="GM23">
            <v>3268</v>
          </cell>
        </row>
        <row r="27">
          <cell r="GM27">
            <v>111</v>
          </cell>
        </row>
        <row r="28">
          <cell r="GM28">
            <v>93</v>
          </cell>
        </row>
        <row r="32">
          <cell r="GB32">
            <v>1113</v>
          </cell>
          <cell r="GC32">
            <v>1097</v>
          </cell>
          <cell r="GD32">
            <v>2693</v>
          </cell>
          <cell r="GE32">
            <v>109</v>
          </cell>
          <cell r="GF32"/>
          <cell r="GG32"/>
          <cell r="GH32"/>
          <cell r="GI32"/>
          <cell r="GJ32"/>
          <cell r="GK32"/>
          <cell r="GL32"/>
          <cell r="GM32"/>
        </row>
        <row r="33">
          <cell r="GB33">
            <v>1359</v>
          </cell>
          <cell r="GC33">
            <v>1277</v>
          </cell>
          <cell r="GD33">
            <v>2988</v>
          </cell>
          <cell r="GE33">
            <v>61</v>
          </cell>
          <cell r="GF33"/>
          <cell r="GG33"/>
          <cell r="GH33"/>
          <cell r="GI33"/>
          <cell r="GJ33"/>
          <cell r="GK33"/>
          <cell r="GL33"/>
          <cell r="GM33"/>
        </row>
        <row r="37">
          <cell r="GB37">
            <v>19</v>
          </cell>
          <cell r="GC37">
            <v>24</v>
          </cell>
          <cell r="GD37">
            <v>62</v>
          </cell>
          <cell r="GE37">
            <v>5</v>
          </cell>
          <cell r="GF37"/>
          <cell r="GG37"/>
          <cell r="GH37"/>
          <cell r="GI37"/>
          <cell r="GJ37"/>
          <cell r="GK37"/>
          <cell r="GL37"/>
          <cell r="GM37"/>
        </row>
        <row r="38">
          <cell r="GB38">
            <v>5</v>
          </cell>
          <cell r="GC38">
            <v>16</v>
          </cell>
          <cell r="GD38">
            <v>48</v>
          </cell>
          <cell r="GE38">
            <v>1</v>
          </cell>
          <cell r="GF38"/>
          <cell r="GG38"/>
          <cell r="GH38"/>
          <cell r="GI38"/>
          <cell r="GJ38"/>
          <cell r="GK38"/>
          <cell r="GL38"/>
          <cell r="GM38"/>
        </row>
        <row r="41"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FS41">
            <v>36990</v>
          </cell>
          <cell r="FT41">
            <v>30084</v>
          </cell>
          <cell r="FU41">
            <v>29058</v>
          </cell>
          <cell r="FV41">
            <v>10075</v>
          </cell>
          <cell r="FW41">
            <v>13848</v>
          </cell>
          <cell r="FX41">
            <v>22476</v>
          </cell>
          <cell r="FY41">
            <v>32420</v>
          </cell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  <cell r="GG41">
            <v>5784</v>
          </cell>
          <cell r="GH41">
            <v>5755</v>
          </cell>
          <cell r="GI41">
            <v>6223</v>
          </cell>
          <cell r="GJ41">
            <v>8120</v>
          </cell>
          <cell r="GK41">
            <v>6515</v>
          </cell>
          <cell r="GL41">
            <v>242</v>
          </cell>
          <cell r="GM41">
            <v>6650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BK58"/>
        </row>
        <row r="70">
          <cell r="GM70">
            <v>1865</v>
          </cell>
        </row>
        <row r="71">
          <cell r="GM71">
            <v>1403</v>
          </cell>
        </row>
        <row r="73">
          <cell r="GM73"/>
        </row>
        <row r="74">
          <cell r="GM74"/>
        </row>
      </sheetData>
      <sheetData sheetId="41">
        <row r="4">
          <cell r="GM4">
            <v>2</v>
          </cell>
        </row>
        <row r="5">
          <cell r="GM5">
            <v>2</v>
          </cell>
        </row>
        <row r="8">
          <cell r="GM8"/>
        </row>
        <row r="9">
          <cell r="GM9"/>
        </row>
        <row r="19"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FS19">
            <v>6</v>
          </cell>
          <cell r="FT19">
            <v>0</v>
          </cell>
          <cell r="FU19">
            <v>1</v>
          </cell>
          <cell r="FV19">
            <v>0</v>
          </cell>
          <cell r="FW19">
            <v>0</v>
          </cell>
          <cell r="FX19">
            <v>0</v>
          </cell>
          <cell r="FY19">
            <v>28</v>
          </cell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  <cell r="GG19">
            <v>0</v>
          </cell>
          <cell r="GH19">
            <v>0</v>
          </cell>
          <cell r="GI19">
            <v>10</v>
          </cell>
          <cell r="GJ19">
            <v>20</v>
          </cell>
          <cell r="GK19">
            <v>10</v>
          </cell>
          <cell r="GL19">
            <v>6</v>
          </cell>
          <cell r="GM19">
            <v>4</v>
          </cell>
        </row>
        <row r="22">
          <cell r="GM22">
            <v>131</v>
          </cell>
        </row>
        <row r="23">
          <cell r="GM23">
            <v>129</v>
          </cell>
        </row>
        <row r="27">
          <cell r="GM27">
            <v>3</v>
          </cell>
        </row>
        <row r="28">
          <cell r="GM28">
            <v>5</v>
          </cell>
        </row>
        <row r="41"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FS41">
            <v>391</v>
          </cell>
          <cell r="FT41">
            <v>0</v>
          </cell>
          <cell r="FU41">
            <v>61</v>
          </cell>
          <cell r="FV41">
            <v>0</v>
          </cell>
          <cell r="FW41">
            <v>0</v>
          </cell>
          <cell r="FX41">
            <v>0</v>
          </cell>
          <cell r="FY41">
            <v>1760</v>
          </cell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  <cell r="GG41">
            <v>0</v>
          </cell>
          <cell r="GH41">
            <v>0</v>
          </cell>
          <cell r="GI41">
            <v>621</v>
          </cell>
          <cell r="GJ41">
            <v>1312</v>
          </cell>
          <cell r="GK41">
            <v>645</v>
          </cell>
          <cell r="GL41">
            <v>324</v>
          </cell>
          <cell r="GM41">
            <v>260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AJ57"/>
        </row>
        <row r="58">
          <cell r="AJ58"/>
        </row>
      </sheetData>
      <sheetData sheetId="42">
        <row r="4">
          <cell r="GM4">
            <v>93</v>
          </cell>
        </row>
        <row r="5">
          <cell r="GM5">
            <v>93</v>
          </cell>
        </row>
        <row r="8">
          <cell r="GM8"/>
        </row>
        <row r="9">
          <cell r="GM9"/>
        </row>
        <row r="19"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FS19">
            <v>96</v>
          </cell>
          <cell r="FT19">
            <v>76</v>
          </cell>
          <cell r="FU19">
            <v>106</v>
          </cell>
          <cell r="FV19">
            <v>210</v>
          </cell>
          <cell r="FW19">
            <v>174</v>
          </cell>
          <cell r="FX19">
            <v>174</v>
          </cell>
          <cell r="FY19">
            <v>182</v>
          </cell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  <cell r="GG19">
            <v>96</v>
          </cell>
          <cell r="GH19">
            <v>100</v>
          </cell>
          <cell r="GI19">
            <v>82</v>
          </cell>
          <cell r="GJ19">
            <v>114</v>
          </cell>
          <cell r="GK19">
            <v>92</v>
          </cell>
          <cell r="GL19">
            <v>124</v>
          </cell>
          <cell r="GM19">
            <v>186</v>
          </cell>
        </row>
        <row r="22">
          <cell r="GM22">
            <v>5957</v>
          </cell>
        </row>
        <row r="23">
          <cell r="GM23">
            <v>5944</v>
          </cell>
        </row>
        <row r="27">
          <cell r="GM27">
            <v>172</v>
          </cell>
        </row>
        <row r="28">
          <cell r="GM28">
            <v>181</v>
          </cell>
        </row>
        <row r="41"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FS41">
            <v>6171</v>
          </cell>
          <cell r="FT41">
            <v>5137</v>
          </cell>
          <cell r="FU41">
            <v>6907</v>
          </cell>
          <cell r="FV41">
            <v>13530</v>
          </cell>
          <cell r="FW41">
            <v>10955</v>
          </cell>
          <cell r="FX41">
            <v>10997</v>
          </cell>
          <cell r="FY41">
            <v>11594</v>
          </cell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  <cell r="GG41">
            <v>6002</v>
          </cell>
          <cell r="GH41">
            <v>6307</v>
          </cell>
          <cell r="GI41">
            <v>5084</v>
          </cell>
          <cell r="GJ41">
            <v>7065</v>
          </cell>
          <cell r="GK41">
            <v>5852</v>
          </cell>
          <cell r="GL41">
            <v>7766</v>
          </cell>
          <cell r="GM41">
            <v>11901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</sheetData>
      <sheetData sheetId="43"/>
      <sheetData sheetId="44">
        <row r="4">
          <cell r="GM4">
            <v>136</v>
          </cell>
        </row>
        <row r="5">
          <cell r="GM5">
            <v>136</v>
          </cell>
        </row>
        <row r="8">
          <cell r="GM8"/>
        </row>
        <row r="9">
          <cell r="GM9"/>
        </row>
        <row r="19"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FS19">
            <v>290</v>
          </cell>
          <cell r="FT19">
            <v>262</v>
          </cell>
          <cell r="FU19">
            <v>282</v>
          </cell>
          <cell r="FV19">
            <v>246</v>
          </cell>
          <cell r="FW19">
            <v>274</v>
          </cell>
          <cell r="FX19">
            <v>326</v>
          </cell>
          <cell r="FY19">
            <v>320</v>
          </cell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  <cell r="GG19">
            <v>196</v>
          </cell>
          <cell r="GH19">
            <v>176</v>
          </cell>
          <cell r="GI19">
            <v>238</v>
          </cell>
          <cell r="GJ19">
            <v>222</v>
          </cell>
          <cell r="GK19">
            <v>152</v>
          </cell>
          <cell r="GL19">
            <v>274</v>
          </cell>
          <cell r="GM19">
            <v>272</v>
          </cell>
        </row>
        <row r="22">
          <cell r="GM22">
            <v>8310</v>
          </cell>
        </row>
        <row r="23">
          <cell r="GM23">
            <v>8534</v>
          </cell>
        </row>
        <row r="27">
          <cell r="GM27">
            <v>284</v>
          </cell>
        </row>
        <row r="28">
          <cell r="GM28">
            <v>315</v>
          </cell>
        </row>
        <row r="41"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FS41">
            <v>20128</v>
          </cell>
          <cell r="FT41">
            <v>18318</v>
          </cell>
          <cell r="FU41">
            <v>20000</v>
          </cell>
          <cell r="FV41">
            <v>15314</v>
          </cell>
          <cell r="FW41">
            <v>17814</v>
          </cell>
          <cell r="FX41">
            <v>21051</v>
          </cell>
          <cell r="FY41">
            <v>20072</v>
          </cell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  <cell r="GG41">
            <v>13192</v>
          </cell>
          <cell r="GH41">
            <v>11988</v>
          </cell>
          <cell r="GI41">
            <v>16113</v>
          </cell>
          <cell r="GJ41">
            <v>13172</v>
          </cell>
          <cell r="GK41">
            <v>8964</v>
          </cell>
          <cell r="GL41">
            <v>15703</v>
          </cell>
          <cell r="GM41">
            <v>16844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</sheetData>
      <sheetData sheetId="45"/>
      <sheetData sheetId="46"/>
      <sheetData sheetId="47">
        <row r="4">
          <cell r="GM4">
            <v>1184</v>
          </cell>
        </row>
        <row r="5">
          <cell r="GM5">
            <v>1183</v>
          </cell>
        </row>
        <row r="8">
          <cell r="GM8"/>
        </row>
        <row r="9">
          <cell r="GM9">
            <v>4</v>
          </cell>
        </row>
        <row r="15">
          <cell r="GB15">
            <v>81</v>
          </cell>
          <cell r="GC15">
            <v>57</v>
          </cell>
          <cell r="GD15">
            <v>88</v>
          </cell>
          <cell r="GE15">
            <v>28</v>
          </cell>
          <cell r="GF15">
            <v>137</v>
          </cell>
          <cell r="GG15">
            <v>129</v>
          </cell>
          <cell r="GH15">
            <v>124</v>
          </cell>
          <cell r="GI15">
            <v>138</v>
          </cell>
          <cell r="GJ15">
            <v>85</v>
          </cell>
          <cell r="GK15">
            <v>104</v>
          </cell>
          <cell r="GL15">
            <v>104</v>
          </cell>
          <cell r="GM15">
            <v>104</v>
          </cell>
        </row>
        <row r="16">
          <cell r="GB16">
            <v>80</v>
          </cell>
          <cell r="GC16">
            <v>57</v>
          </cell>
          <cell r="GD16">
            <v>89</v>
          </cell>
          <cell r="GE16">
            <v>28</v>
          </cell>
          <cell r="GF16">
            <v>137</v>
          </cell>
          <cell r="GG16">
            <v>129</v>
          </cell>
          <cell r="GH16">
            <v>125</v>
          </cell>
          <cell r="GI16">
            <v>137</v>
          </cell>
          <cell r="GJ16">
            <v>85</v>
          </cell>
          <cell r="GK16">
            <v>105</v>
          </cell>
          <cell r="GL16">
            <v>104</v>
          </cell>
          <cell r="GM16">
            <v>102</v>
          </cell>
        </row>
        <row r="19"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FS19">
            <v>2040</v>
          </cell>
          <cell r="FT19">
            <v>2051</v>
          </cell>
          <cell r="FU19">
            <v>2292</v>
          </cell>
          <cell r="FV19">
            <v>1989</v>
          </cell>
          <cell r="FW19">
            <v>1900</v>
          </cell>
          <cell r="FX19">
            <v>1747</v>
          </cell>
          <cell r="FY19">
            <v>2664</v>
          </cell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  <cell r="GG19">
            <v>2205</v>
          </cell>
          <cell r="GH19">
            <v>2135</v>
          </cell>
          <cell r="GI19">
            <v>2422</v>
          </cell>
          <cell r="GJ19">
            <v>2271</v>
          </cell>
          <cell r="GK19">
            <v>2485</v>
          </cell>
          <cell r="GL19">
            <v>2268</v>
          </cell>
          <cell r="GM19">
            <v>2577</v>
          </cell>
        </row>
        <row r="22">
          <cell r="GM22">
            <v>71262</v>
          </cell>
        </row>
        <row r="23">
          <cell r="GM23">
            <v>70222</v>
          </cell>
        </row>
        <row r="27">
          <cell r="GM27">
            <v>1973</v>
          </cell>
        </row>
        <row r="28">
          <cell r="GM28">
            <v>2118</v>
          </cell>
        </row>
        <row r="32">
          <cell r="GB32">
            <v>4708</v>
          </cell>
          <cell r="GC32">
            <v>3190</v>
          </cell>
          <cell r="GD32">
            <v>5346</v>
          </cell>
          <cell r="GE32">
            <v>1792</v>
          </cell>
          <cell r="GF32">
            <v>9322</v>
          </cell>
          <cell r="GG32">
            <v>9063</v>
          </cell>
          <cell r="GH32">
            <v>8862</v>
          </cell>
          <cell r="GI32">
            <v>9764</v>
          </cell>
          <cell r="GJ32">
            <v>5492</v>
          </cell>
          <cell r="GK32">
            <v>6886</v>
          </cell>
          <cell r="GL32">
            <v>6774</v>
          </cell>
          <cell r="GM32">
            <v>6799</v>
          </cell>
        </row>
        <row r="33">
          <cell r="GB33">
            <v>4966</v>
          </cell>
          <cell r="GC33">
            <v>3571</v>
          </cell>
          <cell r="GD33">
            <v>5789</v>
          </cell>
          <cell r="GE33">
            <v>1890</v>
          </cell>
          <cell r="GF33">
            <v>9720</v>
          </cell>
          <cell r="GG33">
            <v>9250</v>
          </cell>
          <cell r="GH33">
            <v>8616</v>
          </cell>
          <cell r="GI33">
            <v>9458</v>
          </cell>
          <cell r="GJ33">
            <v>5610</v>
          </cell>
          <cell r="GK33">
            <v>6796</v>
          </cell>
          <cell r="GL33">
            <v>6435</v>
          </cell>
          <cell r="GM33">
            <v>6783</v>
          </cell>
        </row>
        <row r="37">
          <cell r="GB37">
            <v>89</v>
          </cell>
          <cell r="GC37">
            <v>62</v>
          </cell>
          <cell r="GD37">
            <v>69</v>
          </cell>
          <cell r="GE37">
            <v>28</v>
          </cell>
          <cell r="GF37">
            <v>153</v>
          </cell>
          <cell r="GG37">
            <v>116</v>
          </cell>
          <cell r="GH37">
            <v>138</v>
          </cell>
          <cell r="GI37">
            <v>159</v>
          </cell>
          <cell r="GJ37">
            <v>118</v>
          </cell>
          <cell r="GK37">
            <v>145</v>
          </cell>
          <cell r="GL37">
            <v>110</v>
          </cell>
          <cell r="GM37">
            <v>163</v>
          </cell>
        </row>
        <row r="38">
          <cell r="GB38">
            <v>68</v>
          </cell>
          <cell r="GC38">
            <v>52</v>
          </cell>
          <cell r="GD38">
            <v>52</v>
          </cell>
          <cell r="GE38">
            <v>16</v>
          </cell>
          <cell r="GF38">
            <v>137</v>
          </cell>
          <cell r="GG38">
            <v>128</v>
          </cell>
          <cell r="GH38">
            <v>119</v>
          </cell>
          <cell r="GI38">
            <v>211</v>
          </cell>
          <cell r="GJ38">
            <v>100</v>
          </cell>
          <cell r="GK38">
            <v>139</v>
          </cell>
          <cell r="GL38">
            <v>99</v>
          </cell>
          <cell r="GM38">
            <v>123</v>
          </cell>
        </row>
        <row r="41"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FS41">
            <v>125736</v>
          </cell>
          <cell r="FT41">
            <v>126774</v>
          </cell>
          <cell r="FU41">
            <v>142030</v>
          </cell>
          <cell r="FV41">
            <v>116082</v>
          </cell>
          <cell r="FW41">
            <v>112526</v>
          </cell>
          <cell r="FX41">
            <v>102854</v>
          </cell>
          <cell r="FY41">
            <v>156506</v>
          </cell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  <cell r="GG41">
            <v>140726</v>
          </cell>
          <cell r="GH41">
            <v>135365</v>
          </cell>
          <cell r="GI41">
            <v>149061</v>
          </cell>
          <cell r="GJ41">
            <v>133893</v>
          </cell>
          <cell r="GK41">
            <v>152393</v>
          </cell>
          <cell r="GL41">
            <v>133545</v>
          </cell>
          <cell r="GM41">
            <v>155066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  <row r="70">
          <cell r="GM70">
            <v>29628</v>
          </cell>
        </row>
        <row r="71">
          <cell r="GM71">
            <v>40594</v>
          </cell>
        </row>
        <row r="73">
          <cell r="GM73">
            <v>2862</v>
          </cell>
        </row>
        <row r="74">
          <cell r="GM74">
            <v>3921</v>
          </cell>
        </row>
      </sheetData>
      <sheetData sheetId="48">
        <row r="4">
          <cell r="GM4"/>
        </row>
        <row r="5">
          <cell r="GM5"/>
        </row>
        <row r="8">
          <cell r="GM8"/>
        </row>
        <row r="9">
          <cell r="GM9"/>
        </row>
        <row r="19"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22">
          <cell r="GM22"/>
        </row>
        <row r="23">
          <cell r="GM23"/>
        </row>
        <row r="27">
          <cell r="GM27"/>
        </row>
        <row r="28">
          <cell r="GM28"/>
        </row>
        <row r="41"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BG58"/>
        </row>
      </sheetData>
      <sheetData sheetId="49">
        <row r="4">
          <cell r="GM4">
            <v>221</v>
          </cell>
        </row>
        <row r="5">
          <cell r="GM5">
            <v>221</v>
          </cell>
        </row>
        <row r="8">
          <cell r="GM8"/>
        </row>
        <row r="9">
          <cell r="GM9"/>
        </row>
        <row r="19"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FS19">
            <v>425</v>
          </cell>
          <cell r="FT19">
            <v>439</v>
          </cell>
          <cell r="FU19">
            <v>438</v>
          </cell>
          <cell r="FV19">
            <v>428</v>
          </cell>
          <cell r="FW19">
            <v>460</v>
          </cell>
          <cell r="FX19">
            <v>430</v>
          </cell>
          <cell r="FY19">
            <v>375</v>
          </cell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  <cell r="GG19">
            <v>395</v>
          </cell>
          <cell r="GH19">
            <v>350</v>
          </cell>
          <cell r="GI19">
            <v>359</v>
          </cell>
          <cell r="GJ19">
            <v>453</v>
          </cell>
          <cell r="GK19">
            <v>478</v>
          </cell>
          <cell r="GL19">
            <v>432</v>
          </cell>
          <cell r="GM19">
            <v>442</v>
          </cell>
        </row>
        <row r="22">
          <cell r="GM22">
            <v>11839</v>
          </cell>
        </row>
        <row r="23">
          <cell r="GM23">
            <v>12740</v>
          </cell>
        </row>
        <row r="27">
          <cell r="GM27">
            <v>468</v>
          </cell>
        </row>
        <row r="28">
          <cell r="GM28">
            <v>509</v>
          </cell>
        </row>
        <row r="41"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FS41">
            <v>25672</v>
          </cell>
          <cell r="FT41">
            <v>24955</v>
          </cell>
          <cell r="FU41">
            <v>26182</v>
          </cell>
          <cell r="FV41">
            <v>23208</v>
          </cell>
          <cell r="FW41">
            <v>27236</v>
          </cell>
          <cell r="FX41">
            <v>25185</v>
          </cell>
          <cell r="FY41">
            <v>21563</v>
          </cell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  <cell r="GG41">
            <v>24257</v>
          </cell>
          <cell r="GH41">
            <v>20960</v>
          </cell>
          <cell r="GI41">
            <v>21656</v>
          </cell>
          <cell r="GJ41">
            <v>23265</v>
          </cell>
          <cell r="GK41">
            <v>26767</v>
          </cell>
          <cell r="GL41">
            <v>23151</v>
          </cell>
          <cell r="GM41">
            <v>24579</v>
          </cell>
        </row>
        <row r="47">
          <cell r="GM47">
            <v>90</v>
          </cell>
        </row>
        <row r="48">
          <cell r="GM48"/>
        </row>
        <row r="52">
          <cell r="GM52">
            <v>686</v>
          </cell>
        </row>
        <row r="53">
          <cell r="GM53"/>
        </row>
        <row r="57">
          <cell r="GM57"/>
        </row>
        <row r="58">
          <cell r="GM58"/>
        </row>
      </sheetData>
      <sheetData sheetId="50">
        <row r="4">
          <cell r="GM4">
            <v>236</v>
          </cell>
        </row>
        <row r="5">
          <cell r="GM5">
            <v>236</v>
          </cell>
        </row>
        <row r="8">
          <cell r="GM8"/>
        </row>
        <row r="9">
          <cell r="GM9"/>
        </row>
        <row r="19"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FS19">
            <v>444</v>
          </cell>
          <cell r="FT19">
            <v>454</v>
          </cell>
          <cell r="FU19">
            <v>498</v>
          </cell>
          <cell r="FV19">
            <v>410</v>
          </cell>
          <cell r="FW19">
            <v>452</v>
          </cell>
          <cell r="FX19">
            <v>418</v>
          </cell>
          <cell r="FY19">
            <v>430</v>
          </cell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  <cell r="GG19">
            <v>564</v>
          </cell>
          <cell r="GH19">
            <v>496</v>
          </cell>
          <cell r="GI19">
            <v>442</v>
          </cell>
          <cell r="GJ19">
            <v>376</v>
          </cell>
          <cell r="GK19">
            <v>516</v>
          </cell>
          <cell r="GL19">
            <v>496</v>
          </cell>
          <cell r="GM19">
            <v>472</v>
          </cell>
        </row>
        <row r="22">
          <cell r="GM22">
            <v>15364</v>
          </cell>
        </row>
        <row r="23">
          <cell r="GM23">
            <v>14913</v>
          </cell>
        </row>
        <row r="27">
          <cell r="GM27">
            <v>528</v>
          </cell>
        </row>
        <row r="28">
          <cell r="GM28">
            <v>508</v>
          </cell>
        </row>
        <row r="41"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FS41">
            <v>28449</v>
          </cell>
          <cell r="FT41">
            <v>29337</v>
          </cell>
          <cell r="FU41">
            <v>31546</v>
          </cell>
          <cell r="FV41">
            <v>25283</v>
          </cell>
          <cell r="FW41">
            <v>28092</v>
          </cell>
          <cell r="FX41">
            <v>25217</v>
          </cell>
          <cell r="FY41">
            <v>25895</v>
          </cell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  <cell r="GG41">
            <v>36958</v>
          </cell>
          <cell r="GH41">
            <v>32322</v>
          </cell>
          <cell r="GI41">
            <v>29179</v>
          </cell>
          <cell r="GJ41">
            <v>23578</v>
          </cell>
          <cell r="GK41">
            <v>31291</v>
          </cell>
          <cell r="GL41">
            <v>29915</v>
          </cell>
          <cell r="GM41">
            <v>30277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</sheetData>
      <sheetData sheetId="51">
        <row r="4">
          <cell r="GN4">
            <v>0</v>
          </cell>
        </row>
        <row r="8">
          <cell r="GM8"/>
        </row>
        <row r="9">
          <cell r="GM9"/>
        </row>
        <row r="15">
          <cell r="GB15">
            <v>78</v>
          </cell>
          <cell r="GC15">
            <v>65</v>
          </cell>
          <cell r="GD15">
            <v>85</v>
          </cell>
          <cell r="GE15">
            <v>80</v>
          </cell>
          <cell r="GF15">
            <v>92</v>
          </cell>
          <cell r="GG15">
            <v>89</v>
          </cell>
          <cell r="GH15">
            <v>93</v>
          </cell>
          <cell r="GI15">
            <v>93</v>
          </cell>
          <cell r="GJ15">
            <v>114</v>
          </cell>
          <cell r="GK15">
            <v>115</v>
          </cell>
          <cell r="GL15">
            <v>86</v>
          </cell>
          <cell r="GM15">
            <v>89</v>
          </cell>
        </row>
        <row r="16">
          <cell r="GB16">
            <v>78</v>
          </cell>
          <cell r="GC16">
            <v>65</v>
          </cell>
          <cell r="GD16">
            <v>85</v>
          </cell>
          <cell r="GE16">
            <v>80</v>
          </cell>
          <cell r="GF16">
            <v>92</v>
          </cell>
          <cell r="GG16">
            <v>89</v>
          </cell>
          <cell r="GH16">
            <v>93</v>
          </cell>
          <cell r="GI16">
            <v>93</v>
          </cell>
          <cell r="GJ16">
            <v>114</v>
          </cell>
          <cell r="GK16">
            <v>115</v>
          </cell>
          <cell r="GL16">
            <v>86</v>
          </cell>
          <cell r="GM16">
            <v>89</v>
          </cell>
        </row>
        <row r="19"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FS19">
            <v>180</v>
          </cell>
          <cell r="FT19">
            <v>182</v>
          </cell>
          <cell r="FU19">
            <v>182</v>
          </cell>
          <cell r="FV19">
            <v>178</v>
          </cell>
          <cell r="FW19">
            <v>186</v>
          </cell>
          <cell r="FX19">
            <v>172</v>
          </cell>
          <cell r="FY19">
            <v>174</v>
          </cell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  <cell r="GG19">
            <v>178</v>
          </cell>
          <cell r="GH19">
            <v>186</v>
          </cell>
          <cell r="GI19">
            <v>186</v>
          </cell>
          <cell r="GJ19">
            <v>228</v>
          </cell>
          <cell r="GK19">
            <v>230</v>
          </cell>
          <cell r="GL19">
            <v>172</v>
          </cell>
          <cell r="GM19">
            <v>178</v>
          </cell>
        </row>
        <row r="32">
          <cell r="GB32">
            <v>3712</v>
          </cell>
          <cell r="GC32">
            <v>3611</v>
          </cell>
          <cell r="GD32">
            <v>4585</v>
          </cell>
          <cell r="GE32">
            <v>4957</v>
          </cell>
          <cell r="GF32">
            <v>4807</v>
          </cell>
          <cell r="GG32">
            <v>5645</v>
          </cell>
          <cell r="GH32">
            <v>6256</v>
          </cell>
          <cell r="GI32">
            <v>5796</v>
          </cell>
          <cell r="GJ32">
            <v>6082</v>
          </cell>
          <cell r="GK32">
            <v>6120</v>
          </cell>
          <cell r="GL32">
            <v>4339</v>
          </cell>
          <cell r="GM32">
            <v>4982</v>
          </cell>
        </row>
        <row r="33">
          <cell r="GB33">
            <v>3782</v>
          </cell>
          <cell r="GC33">
            <v>3248</v>
          </cell>
          <cell r="GD33">
            <v>5053</v>
          </cell>
          <cell r="GE33">
            <v>4132</v>
          </cell>
          <cell r="GF33">
            <v>5213</v>
          </cell>
          <cell r="GG33">
            <v>6120</v>
          </cell>
          <cell r="GH33">
            <v>5412</v>
          </cell>
          <cell r="GI33">
            <v>5658</v>
          </cell>
          <cell r="GJ33">
            <v>6175</v>
          </cell>
          <cell r="GK33">
            <v>5823</v>
          </cell>
          <cell r="GL33">
            <v>4087</v>
          </cell>
          <cell r="GM33">
            <v>4713</v>
          </cell>
        </row>
        <row r="37">
          <cell r="GB37">
            <v>24</v>
          </cell>
          <cell r="GC37">
            <v>23</v>
          </cell>
          <cell r="GD37">
            <v>38</v>
          </cell>
          <cell r="GE37">
            <v>52</v>
          </cell>
          <cell r="GF37">
            <v>76</v>
          </cell>
          <cell r="GG37">
            <v>46</v>
          </cell>
          <cell r="GH37">
            <v>88</v>
          </cell>
          <cell r="GI37">
            <v>91</v>
          </cell>
          <cell r="GJ37">
            <v>72</v>
          </cell>
          <cell r="GK37">
            <v>80</v>
          </cell>
          <cell r="GL37">
            <v>62</v>
          </cell>
          <cell r="GM37">
            <v>52</v>
          </cell>
        </row>
        <row r="38">
          <cell r="GB38">
            <v>43</v>
          </cell>
          <cell r="GC38">
            <v>31</v>
          </cell>
          <cell r="GD38">
            <v>48</v>
          </cell>
          <cell r="GE38">
            <v>61</v>
          </cell>
          <cell r="GF38">
            <v>72</v>
          </cell>
          <cell r="GG38">
            <v>58</v>
          </cell>
          <cell r="GH38">
            <v>91</v>
          </cell>
          <cell r="GI38">
            <v>76</v>
          </cell>
          <cell r="GJ38">
            <v>79</v>
          </cell>
          <cell r="GK38">
            <v>65</v>
          </cell>
          <cell r="GL38">
            <v>55</v>
          </cell>
          <cell r="GM38">
            <v>54</v>
          </cell>
        </row>
        <row r="41"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FS41">
            <v>11868</v>
          </cell>
          <cell r="FT41">
            <v>11704</v>
          </cell>
          <cell r="FU41">
            <v>11949</v>
          </cell>
          <cell r="FV41">
            <v>11006</v>
          </cell>
          <cell r="FW41">
            <v>11354</v>
          </cell>
          <cell r="FX41">
            <v>8929</v>
          </cell>
          <cell r="FY41">
            <v>8624</v>
          </cell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  <cell r="GG41">
            <v>11765</v>
          </cell>
          <cell r="GH41">
            <v>11668</v>
          </cell>
          <cell r="GI41">
            <v>11454</v>
          </cell>
          <cell r="GJ41">
            <v>12257</v>
          </cell>
          <cell r="GK41">
            <v>11943</v>
          </cell>
          <cell r="GL41">
            <v>8426</v>
          </cell>
          <cell r="GM41">
            <v>9695</v>
          </cell>
        </row>
        <row r="47">
          <cell r="GM47">
            <v>1316</v>
          </cell>
        </row>
        <row r="48">
          <cell r="GM48">
            <v>33</v>
          </cell>
        </row>
        <row r="52">
          <cell r="GM52">
            <v>1166</v>
          </cell>
        </row>
        <row r="53">
          <cell r="GM53"/>
        </row>
      </sheetData>
      <sheetData sheetId="52">
        <row r="4">
          <cell r="GM4">
            <v>3385</v>
          </cell>
        </row>
        <row r="5">
          <cell r="GM5">
            <v>3376</v>
          </cell>
        </row>
        <row r="8">
          <cell r="GM8"/>
        </row>
        <row r="9">
          <cell r="GM9">
            <v>9</v>
          </cell>
        </row>
        <row r="15">
          <cell r="GB15">
            <v>191</v>
          </cell>
          <cell r="GC15">
            <v>148</v>
          </cell>
          <cell r="GD15">
            <v>190</v>
          </cell>
          <cell r="GE15">
            <v>244</v>
          </cell>
          <cell r="GF15">
            <v>111</v>
          </cell>
          <cell r="GG15">
            <v>182</v>
          </cell>
          <cell r="GH15">
            <v>203</v>
          </cell>
          <cell r="GI15">
            <v>212</v>
          </cell>
          <cell r="GJ15">
            <v>136</v>
          </cell>
          <cell r="GK15">
            <v>120</v>
          </cell>
          <cell r="GL15">
            <v>105</v>
          </cell>
          <cell r="GM15">
            <v>172</v>
          </cell>
        </row>
        <row r="16">
          <cell r="GB16">
            <v>188</v>
          </cell>
          <cell r="GC16">
            <v>149</v>
          </cell>
          <cell r="GD16">
            <v>190</v>
          </cell>
          <cell r="GE16">
            <v>245</v>
          </cell>
          <cell r="GF16">
            <v>110</v>
          </cell>
          <cell r="GG16">
            <v>185</v>
          </cell>
          <cell r="GH16">
            <v>206</v>
          </cell>
          <cell r="GI16">
            <v>212</v>
          </cell>
          <cell r="GJ16">
            <v>136</v>
          </cell>
          <cell r="GK16">
            <v>119</v>
          </cell>
          <cell r="GL16">
            <v>106</v>
          </cell>
          <cell r="GM16">
            <v>175</v>
          </cell>
        </row>
        <row r="19"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FS19">
            <v>8428</v>
          </cell>
          <cell r="FT19">
            <v>8805</v>
          </cell>
          <cell r="FU19">
            <v>8856</v>
          </cell>
          <cell r="FV19">
            <v>7859</v>
          </cell>
          <cell r="FW19">
            <v>8373</v>
          </cell>
          <cell r="FX19">
            <v>7696</v>
          </cell>
          <cell r="FY19">
            <v>7104</v>
          </cell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  <cell r="GG19">
            <v>8648</v>
          </cell>
          <cell r="GH19">
            <v>9119</v>
          </cell>
          <cell r="GI19">
            <v>9209</v>
          </cell>
          <cell r="GJ19">
            <v>7071</v>
          </cell>
          <cell r="GK19">
            <v>7534</v>
          </cell>
          <cell r="GL19">
            <v>6696</v>
          </cell>
          <cell r="GM19">
            <v>7117</v>
          </cell>
        </row>
        <row r="22">
          <cell r="GM22">
            <v>170271</v>
          </cell>
        </row>
        <row r="23">
          <cell r="GM23">
            <v>180037</v>
          </cell>
        </row>
        <row r="27">
          <cell r="GM27">
            <v>4994</v>
          </cell>
        </row>
        <row r="28">
          <cell r="GM28">
            <v>6045</v>
          </cell>
        </row>
        <row r="32">
          <cell r="GB32">
            <v>12102</v>
          </cell>
          <cell r="GC32">
            <v>9006</v>
          </cell>
          <cell r="GD32">
            <v>12038</v>
          </cell>
          <cell r="GE32">
            <v>14980</v>
          </cell>
          <cell r="GF32">
            <v>6317</v>
          </cell>
          <cell r="GG32">
            <v>11745</v>
          </cell>
          <cell r="GH32">
            <v>13428</v>
          </cell>
          <cell r="GI32">
            <v>13963</v>
          </cell>
          <cell r="GJ32">
            <v>8670</v>
          </cell>
          <cell r="GK32">
            <v>7652</v>
          </cell>
          <cell r="GL32">
            <v>6349</v>
          </cell>
          <cell r="GM32">
            <v>10923</v>
          </cell>
        </row>
        <row r="33">
          <cell r="GB33">
            <v>11189</v>
          </cell>
          <cell r="GC33">
            <v>9223</v>
          </cell>
          <cell r="GD33">
            <v>12205</v>
          </cell>
          <cell r="GE33">
            <v>15467</v>
          </cell>
          <cell r="GF33">
            <v>7085</v>
          </cell>
          <cell r="GG33">
            <v>12475</v>
          </cell>
          <cell r="GH33">
            <v>13463</v>
          </cell>
          <cell r="GI33">
            <v>14013</v>
          </cell>
          <cell r="GJ33">
            <v>8821</v>
          </cell>
          <cell r="GK33">
            <v>7507</v>
          </cell>
          <cell r="GL33">
            <v>6281</v>
          </cell>
          <cell r="GM33">
            <v>11189</v>
          </cell>
        </row>
        <row r="37">
          <cell r="GB37">
            <v>118</v>
          </cell>
          <cell r="GC37">
            <v>98</v>
          </cell>
          <cell r="GD37">
            <v>126</v>
          </cell>
          <cell r="GE37">
            <v>180</v>
          </cell>
          <cell r="GF37">
            <v>52</v>
          </cell>
          <cell r="GG37">
            <v>136</v>
          </cell>
          <cell r="GH37">
            <v>169</v>
          </cell>
          <cell r="GI37">
            <v>206</v>
          </cell>
          <cell r="GJ37">
            <v>105</v>
          </cell>
          <cell r="GK37">
            <v>78</v>
          </cell>
          <cell r="GL37">
            <v>63</v>
          </cell>
          <cell r="GM37">
            <v>108</v>
          </cell>
        </row>
        <row r="38">
          <cell r="GB38">
            <v>110</v>
          </cell>
          <cell r="GC38">
            <v>94</v>
          </cell>
          <cell r="GD38">
            <v>143</v>
          </cell>
          <cell r="GE38">
            <v>172</v>
          </cell>
          <cell r="GF38">
            <v>59</v>
          </cell>
          <cell r="GG38">
            <v>115</v>
          </cell>
          <cell r="GH38">
            <v>172</v>
          </cell>
          <cell r="GI38">
            <v>170</v>
          </cell>
          <cell r="GJ38">
            <v>82</v>
          </cell>
          <cell r="GK38">
            <v>86</v>
          </cell>
          <cell r="GL38">
            <v>73</v>
          </cell>
          <cell r="GM38">
            <v>114</v>
          </cell>
        </row>
        <row r="41"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FS41">
            <v>405946</v>
          </cell>
          <cell r="FT41">
            <v>430520</v>
          </cell>
          <cell r="FU41">
            <v>435022</v>
          </cell>
          <cell r="FV41">
            <v>364546</v>
          </cell>
          <cell r="FW41">
            <v>399248</v>
          </cell>
          <cell r="FX41">
            <v>380201</v>
          </cell>
          <cell r="FY41">
            <v>335975</v>
          </cell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  <cell r="GG41">
            <v>450149</v>
          </cell>
          <cell r="GH41">
            <v>475744</v>
          </cell>
          <cell r="GI41">
            <v>477493</v>
          </cell>
          <cell r="GJ41">
            <v>325123</v>
          </cell>
          <cell r="GK41">
            <v>346768</v>
          </cell>
          <cell r="GL41">
            <v>328250</v>
          </cell>
          <cell r="GM41">
            <v>372420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  <row r="70">
          <cell r="GM70">
            <v>56464</v>
          </cell>
        </row>
        <row r="71">
          <cell r="GM71">
            <v>123573</v>
          </cell>
        </row>
        <row r="73">
          <cell r="GM73">
            <v>3509</v>
          </cell>
        </row>
        <row r="74">
          <cell r="GM74">
            <v>7680</v>
          </cell>
        </row>
      </sheetData>
      <sheetData sheetId="53"/>
      <sheetData sheetId="54">
        <row r="4">
          <cell r="GM4">
            <v>27</v>
          </cell>
        </row>
        <row r="5">
          <cell r="GM5">
            <v>27</v>
          </cell>
        </row>
        <row r="8">
          <cell r="GM8"/>
        </row>
        <row r="9">
          <cell r="GM9"/>
        </row>
        <row r="19"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FS19">
            <v>48</v>
          </cell>
          <cell r="FT19">
            <v>64</v>
          </cell>
          <cell r="FU19">
            <v>62</v>
          </cell>
          <cell r="FV19">
            <v>56</v>
          </cell>
          <cell r="FW19">
            <v>68</v>
          </cell>
          <cell r="FX19">
            <v>64</v>
          </cell>
          <cell r="FY19">
            <v>38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54</v>
          </cell>
        </row>
        <row r="22">
          <cell r="GM22">
            <v>1529</v>
          </cell>
        </row>
        <row r="23">
          <cell r="GM23">
            <v>1571</v>
          </cell>
        </row>
        <row r="27">
          <cell r="GM27">
            <v>107</v>
          </cell>
        </row>
        <row r="28">
          <cell r="GM28">
            <v>98</v>
          </cell>
        </row>
        <row r="41"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FS41">
            <v>3054</v>
          </cell>
          <cell r="FT41">
            <v>3952</v>
          </cell>
          <cell r="FU41">
            <v>3705</v>
          </cell>
          <cell r="FV41">
            <v>3054</v>
          </cell>
          <cell r="FW41">
            <v>3755</v>
          </cell>
          <cell r="FX41">
            <v>3430</v>
          </cell>
          <cell r="FY41">
            <v>2096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3100</v>
          </cell>
        </row>
        <row r="47">
          <cell r="GM47">
            <v>50</v>
          </cell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</sheetData>
      <sheetData sheetId="55">
        <row r="4">
          <cell r="GM4"/>
        </row>
        <row r="5">
          <cell r="GM5"/>
        </row>
        <row r="8">
          <cell r="GM8"/>
        </row>
        <row r="9">
          <cell r="GM9"/>
        </row>
        <row r="19"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FS19">
            <v>60</v>
          </cell>
          <cell r="FT19">
            <v>62</v>
          </cell>
          <cell r="FU19">
            <v>50</v>
          </cell>
          <cell r="FV19">
            <v>0</v>
          </cell>
          <cell r="FW19">
            <v>0</v>
          </cell>
          <cell r="FX19">
            <v>52</v>
          </cell>
          <cell r="FY19">
            <v>60</v>
          </cell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  <cell r="GK19">
            <v>62</v>
          </cell>
          <cell r="GL19">
            <v>8</v>
          </cell>
          <cell r="GM19">
            <v>0</v>
          </cell>
        </row>
        <row r="22">
          <cell r="GM22"/>
        </row>
        <row r="23">
          <cell r="GM23"/>
        </row>
        <row r="27">
          <cell r="GM27"/>
        </row>
        <row r="28">
          <cell r="GM28"/>
        </row>
        <row r="41"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FS41">
            <v>4211</v>
          </cell>
          <cell r="FT41">
            <v>4182</v>
          </cell>
          <cell r="FU41">
            <v>3543</v>
          </cell>
          <cell r="FV41">
            <v>0</v>
          </cell>
          <cell r="FW41">
            <v>0</v>
          </cell>
          <cell r="FX41">
            <v>3042</v>
          </cell>
          <cell r="FY41">
            <v>3219</v>
          </cell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  <cell r="GG41">
            <v>4192</v>
          </cell>
          <cell r="GH41">
            <v>4272</v>
          </cell>
          <cell r="GI41">
            <v>4334</v>
          </cell>
          <cell r="GJ41">
            <v>4206</v>
          </cell>
          <cell r="GK41">
            <v>4371</v>
          </cell>
          <cell r="GL41">
            <v>555</v>
          </cell>
          <cell r="GM41">
            <v>0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</sheetData>
      <sheetData sheetId="56">
        <row r="4">
          <cell r="GM4"/>
        </row>
        <row r="5">
          <cell r="GM5">
            <v>1</v>
          </cell>
        </row>
        <row r="8">
          <cell r="GM8">
            <v>1</v>
          </cell>
        </row>
        <row r="9">
          <cell r="GM9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2</v>
          </cell>
        </row>
        <row r="22">
          <cell r="GM22">
            <v>70</v>
          </cell>
        </row>
        <row r="23">
          <cell r="GM23"/>
        </row>
        <row r="27">
          <cell r="GM27">
            <v>1</v>
          </cell>
        </row>
        <row r="28">
          <cell r="GM2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70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BG58"/>
        </row>
      </sheetData>
      <sheetData sheetId="57">
        <row r="4">
          <cell r="GM4"/>
        </row>
        <row r="5">
          <cell r="GM5"/>
        </row>
        <row r="8">
          <cell r="GM8"/>
        </row>
        <row r="9">
          <cell r="GM9"/>
        </row>
        <row r="19"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0</v>
          </cell>
          <cell r="FW19">
            <v>0</v>
          </cell>
          <cell r="FX19">
            <v>0</v>
          </cell>
          <cell r="FY19">
            <v>92</v>
          </cell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22">
          <cell r="GM22"/>
        </row>
        <row r="23">
          <cell r="GM23"/>
        </row>
        <row r="27">
          <cell r="GM27"/>
        </row>
        <row r="28">
          <cell r="GM28"/>
        </row>
        <row r="41"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FS41">
            <v>0</v>
          </cell>
          <cell r="FT41">
            <v>0</v>
          </cell>
          <cell r="FU41">
            <v>84</v>
          </cell>
          <cell r="FV41">
            <v>0</v>
          </cell>
          <cell r="FW41">
            <v>0</v>
          </cell>
          <cell r="FX41">
            <v>0</v>
          </cell>
          <cell r="FY41">
            <v>5693</v>
          </cell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BH58"/>
        </row>
        <row r="70">
          <cell r="GM70"/>
        </row>
        <row r="71">
          <cell r="GM71"/>
        </row>
        <row r="73">
          <cell r="GM73"/>
        </row>
        <row r="74">
          <cell r="GM74"/>
        </row>
      </sheetData>
      <sheetData sheetId="58"/>
      <sheetData sheetId="59"/>
      <sheetData sheetId="60"/>
      <sheetData sheetId="61">
        <row r="4">
          <cell r="GM4"/>
        </row>
        <row r="5">
          <cell r="GM5"/>
        </row>
        <row r="15">
          <cell r="GB15"/>
          <cell r="GC15"/>
          <cell r="GD15"/>
          <cell r="GE15"/>
          <cell r="GF15"/>
          <cell r="GH15"/>
          <cell r="GI15"/>
          <cell r="GJ15"/>
          <cell r="GK15"/>
          <cell r="GL15"/>
          <cell r="GM15"/>
        </row>
        <row r="16">
          <cell r="GB16"/>
          <cell r="GC16"/>
          <cell r="GD16"/>
          <cell r="GE16"/>
          <cell r="GF16"/>
          <cell r="GH16"/>
          <cell r="GI16"/>
          <cell r="GJ16"/>
          <cell r="GK16"/>
          <cell r="GL16"/>
          <cell r="GM16"/>
        </row>
        <row r="22">
          <cell r="GM22"/>
        </row>
        <row r="23">
          <cell r="GM23"/>
        </row>
        <row r="32">
          <cell r="GB32"/>
          <cell r="GC32"/>
          <cell r="GD32"/>
          <cell r="GE32"/>
          <cell r="GF32"/>
          <cell r="GG32"/>
          <cell r="GH32"/>
          <cell r="GI32"/>
          <cell r="GJ32"/>
          <cell r="GK32"/>
          <cell r="GL32"/>
          <cell r="GM32"/>
        </row>
        <row r="33">
          <cell r="GB33"/>
          <cell r="GC33"/>
          <cell r="GD33"/>
          <cell r="GE33"/>
          <cell r="GF33"/>
          <cell r="GG33"/>
          <cell r="GH33"/>
          <cell r="GI33"/>
          <cell r="GJ33"/>
          <cell r="GK33"/>
          <cell r="GL33"/>
          <cell r="GM33"/>
        </row>
        <row r="37">
          <cell r="GB37"/>
          <cell r="GC37"/>
          <cell r="GD37"/>
          <cell r="GE37"/>
          <cell r="GF37"/>
          <cell r="GG37"/>
          <cell r="GH37"/>
          <cell r="GI37"/>
          <cell r="GJ37"/>
          <cell r="GK37"/>
          <cell r="GL37"/>
          <cell r="GM37"/>
        </row>
        <row r="38">
          <cell r="GB38"/>
          <cell r="GC38"/>
          <cell r="GD38"/>
          <cell r="GE38"/>
          <cell r="GF38"/>
          <cell r="GG38"/>
          <cell r="GH38"/>
          <cell r="GI38"/>
          <cell r="GJ38"/>
          <cell r="GK38"/>
          <cell r="GL38"/>
          <cell r="GM38"/>
        </row>
      </sheetData>
      <sheetData sheetId="62">
        <row r="4">
          <cell r="GM4"/>
        </row>
        <row r="5">
          <cell r="GM5"/>
        </row>
        <row r="15">
          <cell r="GM15"/>
        </row>
        <row r="16">
          <cell r="GM16"/>
        </row>
        <row r="22">
          <cell r="GM22"/>
        </row>
        <row r="23">
          <cell r="GM23"/>
        </row>
        <row r="32">
          <cell r="GM32"/>
        </row>
        <row r="33">
          <cell r="GM33"/>
        </row>
      </sheetData>
      <sheetData sheetId="63">
        <row r="4">
          <cell r="GM4"/>
        </row>
        <row r="5">
          <cell r="GM5"/>
        </row>
        <row r="8">
          <cell r="GM8"/>
        </row>
        <row r="9">
          <cell r="GM9"/>
        </row>
        <row r="15">
          <cell r="GB15"/>
          <cell r="GC15"/>
          <cell r="GD15"/>
          <cell r="GE15"/>
          <cell r="GF15"/>
          <cell r="GH15"/>
          <cell r="GI15"/>
          <cell r="GJ15"/>
          <cell r="GK15"/>
          <cell r="GL15"/>
          <cell r="GM15"/>
        </row>
        <row r="16">
          <cell r="GB16"/>
          <cell r="GC16"/>
          <cell r="GD16"/>
          <cell r="GE16"/>
          <cell r="GF16"/>
          <cell r="GG16">
            <v>1</v>
          </cell>
          <cell r="GH16"/>
          <cell r="GI16"/>
          <cell r="GJ16"/>
          <cell r="GK16"/>
          <cell r="GL16"/>
          <cell r="GM16"/>
        </row>
        <row r="23">
          <cell r="GM23"/>
        </row>
        <row r="32">
          <cell r="GB32"/>
          <cell r="GC32">
            <v>212</v>
          </cell>
          <cell r="GD32"/>
          <cell r="GE32"/>
          <cell r="GF32"/>
          <cell r="GG32"/>
          <cell r="GH32"/>
          <cell r="GI32"/>
          <cell r="GJ32"/>
          <cell r="GK32"/>
          <cell r="GL32"/>
          <cell r="GM32"/>
        </row>
        <row r="33">
          <cell r="GB33"/>
          <cell r="GC33"/>
          <cell r="GD33"/>
          <cell r="GE33"/>
          <cell r="GF33">
            <v>106</v>
          </cell>
          <cell r="GG33">
            <v>137</v>
          </cell>
          <cell r="GH33"/>
          <cell r="GI33"/>
          <cell r="GJ33"/>
          <cell r="GK33"/>
          <cell r="GL33"/>
          <cell r="GM33"/>
        </row>
        <row r="37">
          <cell r="GB37"/>
          <cell r="GC37"/>
          <cell r="GD37"/>
          <cell r="GE37"/>
          <cell r="GF37"/>
          <cell r="GG37"/>
          <cell r="GH37"/>
          <cell r="GI37"/>
          <cell r="GJ37"/>
          <cell r="GK37"/>
          <cell r="GL37"/>
          <cell r="GM37"/>
        </row>
        <row r="38">
          <cell r="GB38"/>
          <cell r="GC38"/>
          <cell r="GD38"/>
          <cell r="GE38"/>
          <cell r="GF38"/>
          <cell r="GG38"/>
          <cell r="GH38"/>
          <cell r="GI38"/>
          <cell r="GJ38"/>
          <cell r="GK38"/>
          <cell r="GL38"/>
          <cell r="GM38"/>
        </row>
      </sheetData>
      <sheetData sheetId="64">
        <row r="4">
          <cell r="GM4">
            <v>2</v>
          </cell>
        </row>
        <row r="5">
          <cell r="GM5">
            <v>2</v>
          </cell>
        </row>
        <row r="15">
          <cell r="GB15"/>
          <cell r="GC15"/>
          <cell r="GD15"/>
          <cell r="GE15"/>
          <cell r="GF15"/>
          <cell r="GH15">
            <v>1</v>
          </cell>
          <cell r="GI15"/>
          <cell r="GJ15"/>
          <cell r="GK15"/>
          <cell r="GL15"/>
          <cell r="GM15"/>
        </row>
        <row r="16">
          <cell r="GB16"/>
          <cell r="GC16"/>
          <cell r="GD16"/>
          <cell r="GE16"/>
          <cell r="GF16"/>
          <cell r="GH16">
            <v>1</v>
          </cell>
          <cell r="GI16"/>
          <cell r="GJ16"/>
          <cell r="GK16"/>
          <cell r="GL16"/>
          <cell r="GM16"/>
        </row>
        <row r="22">
          <cell r="GM22">
            <v>147</v>
          </cell>
        </row>
        <row r="23">
          <cell r="GM23">
            <v>328</v>
          </cell>
        </row>
        <row r="32">
          <cell r="GB32"/>
          <cell r="GC32"/>
          <cell r="GD32"/>
          <cell r="GE32"/>
          <cell r="GF32"/>
          <cell r="GG32"/>
          <cell r="GH32">
            <v>147</v>
          </cell>
          <cell r="GI32"/>
          <cell r="GJ32"/>
          <cell r="GK32"/>
          <cell r="GL32"/>
          <cell r="GM32">
            <v>84</v>
          </cell>
        </row>
        <row r="33">
          <cell r="GB33"/>
          <cell r="GC33"/>
          <cell r="GD33"/>
          <cell r="GE33"/>
          <cell r="GF33"/>
          <cell r="GG33"/>
          <cell r="GH33">
            <v>138</v>
          </cell>
          <cell r="GI33"/>
          <cell r="GJ33"/>
          <cell r="GK33"/>
          <cell r="GL33"/>
          <cell r="GM33"/>
        </row>
        <row r="37">
          <cell r="GB37"/>
          <cell r="GC37"/>
          <cell r="GD37"/>
          <cell r="GE37"/>
          <cell r="GF37"/>
          <cell r="GG37"/>
          <cell r="GH37"/>
          <cell r="GI37"/>
          <cell r="GJ37"/>
          <cell r="GK37"/>
          <cell r="GL37"/>
          <cell r="GM37"/>
        </row>
        <row r="38">
          <cell r="GB38"/>
          <cell r="GC38"/>
          <cell r="GD38"/>
          <cell r="GE38"/>
          <cell r="GF38"/>
          <cell r="GG38"/>
          <cell r="GH38"/>
          <cell r="GI38"/>
          <cell r="GJ38"/>
          <cell r="GK38"/>
          <cell r="GL38"/>
          <cell r="GM38"/>
        </row>
      </sheetData>
      <sheetData sheetId="65">
        <row r="4">
          <cell r="GM4">
            <v>30</v>
          </cell>
        </row>
        <row r="5">
          <cell r="GM5">
            <v>30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56</v>
          </cell>
          <cell r="FT19">
            <v>60</v>
          </cell>
          <cell r="FU19">
            <v>66</v>
          </cell>
          <cell r="FV19">
            <v>64</v>
          </cell>
          <cell r="FW19">
            <v>64</v>
          </cell>
          <cell r="FX19">
            <v>60</v>
          </cell>
          <cell r="FY19">
            <v>60</v>
          </cell>
          <cell r="GB19">
            <v>56</v>
          </cell>
          <cell r="GC19">
            <v>56</v>
          </cell>
          <cell r="GD19">
            <v>62</v>
          </cell>
          <cell r="GE19">
            <v>58</v>
          </cell>
          <cell r="GF19">
            <v>64</v>
          </cell>
          <cell r="GG19">
            <v>62</v>
          </cell>
          <cell r="GH19">
            <v>64</v>
          </cell>
          <cell r="GI19">
            <v>64</v>
          </cell>
          <cell r="GJ19">
            <v>62</v>
          </cell>
          <cell r="GK19">
            <v>62</v>
          </cell>
          <cell r="GL19">
            <v>58</v>
          </cell>
          <cell r="GM19">
            <v>60</v>
          </cell>
        </row>
        <row r="47">
          <cell r="GM47">
            <v>2187774</v>
          </cell>
        </row>
        <row r="48">
          <cell r="GM48"/>
        </row>
        <row r="52">
          <cell r="GM52">
            <v>568803</v>
          </cell>
        </row>
        <row r="53">
          <cell r="GM53"/>
        </row>
        <row r="57">
          <cell r="GM57"/>
        </row>
        <row r="58">
          <cell r="GM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1828609</v>
          </cell>
          <cell r="FT64">
            <v>2048234</v>
          </cell>
          <cell r="FU64">
            <v>2171674</v>
          </cell>
          <cell r="FV64">
            <v>2219557</v>
          </cell>
          <cell r="FW64">
            <v>2170491</v>
          </cell>
          <cell r="FX64">
            <v>2024979</v>
          </cell>
          <cell r="FY64">
            <v>2539094</v>
          </cell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  <cell r="GG64">
            <v>2070321</v>
          </cell>
          <cell r="GH64">
            <v>2263772</v>
          </cell>
          <cell r="GI64">
            <v>3116922</v>
          </cell>
          <cell r="GJ64">
            <v>2932075</v>
          </cell>
          <cell r="GK64">
            <v>2146224</v>
          </cell>
          <cell r="GL64">
            <v>2210413</v>
          </cell>
          <cell r="GM64">
            <v>2756577</v>
          </cell>
        </row>
      </sheetData>
      <sheetData sheetId="66"/>
      <sheetData sheetId="67">
        <row r="4">
          <cell r="GM4">
            <v>1</v>
          </cell>
        </row>
        <row r="5">
          <cell r="GM5">
            <v>1</v>
          </cell>
        </row>
        <row r="19">
          <cell r="FN19">
            <v>0</v>
          </cell>
          <cell r="FO19">
            <v>0</v>
          </cell>
          <cell r="FP19">
            <v>1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1</v>
          </cell>
          <cell r="GD19">
            <v>0</v>
          </cell>
          <cell r="GE19">
            <v>0</v>
          </cell>
          <cell r="GF19">
            <v>0</v>
          </cell>
          <cell r="GG19">
            <v>1</v>
          </cell>
          <cell r="GH19">
            <v>0</v>
          </cell>
          <cell r="GI19">
            <v>1</v>
          </cell>
          <cell r="GJ19">
            <v>0</v>
          </cell>
          <cell r="GK19">
            <v>0</v>
          </cell>
          <cell r="GL19">
            <v>0</v>
          </cell>
          <cell r="GM19">
            <v>2</v>
          </cell>
        </row>
        <row r="47">
          <cell r="GM47">
            <v>35888</v>
          </cell>
        </row>
        <row r="48">
          <cell r="GM48"/>
        </row>
        <row r="52">
          <cell r="GM52">
            <v>66342</v>
          </cell>
        </row>
        <row r="53">
          <cell r="GM53"/>
        </row>
        <row r="57">
          <cell r="GM57"/>
        </row>
        <row r="58">
          <cell r="GM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43352</v>
          </cell>
          <cell r="GJ64">
            <v>0</v>
          </cell>
          <cell r="GK64">
            <v>0</v>
          </cell>
          <cell r="GL64">
            <v>0</v>
          </cell>
          <cell r="GM64">
            <v>102230</v>
          </cell>
        </row>
      </sheetData>
      <sheetData sheetId="68">
        <row r="19">
          <cell r="FN19">
            <v>42</v>
          </cell>
          <cell r="FO19">
            <v>40</v>
          </cell>
          <cell r="FP19">
            <v>32</v>
          </cell>
          <cell r="FQ19">
            <v>40</v>
          </cell>
          <cell r="FR19">
            <v>42</v>
          </cell>
          <cell r="FS19">
            <v>40</v>
          </cell>
          <cell r="FT19">
            <v>44</v>
          </cell>
          <cell r="FU19">
            <v>46</v>
          </cell>
          <cell r="FV19">
            <v>40</v>
          </cell>
          <cell r="FW19">
            <v>46</v>
          </cell>
          <cell r="FX19">
            <v>48</v>
          </cell>
          <cell r="FY19">
            <v>48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64"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FS64">
            <v>1295568</v>
          </cell>
          <cell r="FT64">
            <v>1371398</v>
          </cell>
          <cell r="FU64">
            <v>1383084</v>
          </cell>
          <cell r="FV64">
            <v>1247787</v>
          </cell>
          <cell r="FW64">
            <v>1480638</v>
          </cell>
          <cell r="FX64">
            <v>1452311</v>
          </cell>
          <cell r="FY64">
            <v>1363803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</row>
      </sheetData>
      <sheetData sheetId="69">
        <row r="4">
          <cell r="GM4">
            <v>3</v>
          </cell>
        </row>
        <row r="5">
          <cell r="GM5">
            <v>3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2</v>
          </cell>
          <cell r="GD19">
            <v>0</v>
          </cell>
          <cell r="GE19">
            <v>0</v>
          </cell>
          <cell r="GF19">
            <v>2</v>
          </cell>
          <cell r="GG19">
            <v>2</v>
          </cell>
          <cell r="GH19">
            <v>0</v>
          </cell>
          <cell r="GI19">
            <v>0</v>
          </cell>
          <cell r="GJ19">
            <v>6</v>
          </cell>
          <cell r="GK19">
            <v>0</v>
          </cell>
          <cell r="GL19">
            <v>2</v>
          </cell>
          <cell r="GM19">
            <v>6</v>
          </cell>
        </row>
        <row r="47">
          <cell r="GM47">
            <v>71623</v>
          </cell>
        </row>
        <row r="48">
          <cell r="GM48"/>
        </row>
        <row r="52">
          <cell r="GM52">
            <v>33600</v>
          </cell>
        </row>
        <row r="53">
          <cell r="GM53"/>
        </row>
        <row r="57">
          <cell r="GM57"/>
        </row>
        <row r="58">
          <cell r="GM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GB64">
            <v>0</v>
          </cell>
          <cell r="GC64">
            <v>18552</v>
          </cell>
          <cell r="GD64">
            <v>0</v>
          </cell>
          <cell r="GE64">
            <v>0</v>
          </cell>
          <cell r="GF64">
            <v>23188</v>
          </cell>
          <cell r="GG64">
            <v>42928</v>
          </cell>
          <cell r="GH64">
            <v>0</v>
          </cell>
          <cell r="GI64">
            <v>0</v>
          </cell>
          <cell r="GJ64">
            <v>152367</v>
          </cell>
          <cell r="GK64">
            <v>0</v>
          </cell>
          <cell r="GL64">
            <v>53287</v>
          </cell>
          <cell r="GM64">
            <v>105223</v>
          </cell>
        </row>
      </sheetData>
      <sheetData sheetId="70"/>
      <sheetData sheetId="71"/>
      <sheetData sheetId="72">
        <row r="4">
          <cell r="GM4">
            <v>21</v>
          </cell>
        </row>
        <row r="5">
          <cell r="GM5">
            <v>21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40</v>
          </cell>
          <cell r="GC19">
            <v>40</v>
          </cell>
          <cell r="GD19">
            <v>42</v>
          </cell>
          <cell r="GE19">
            <v>44</v>
          </cell>
          <cell r="GF19">
            <v>44</v>
          </cell>
          <cell r="GG19">
            <v>36</v>
          </cell>
          <cell r="GH19">
            <v>44</v>
          </cell>
          <cell r="GI19">
            <v>42</v>
          </cell>
          <cell r="GJ19">
            <v>36</v>
          </cell>
          <cell r="GK19">
            <v>46</v>
          </cell>
          <cell r="GL19">
            <v>42</v>
          </cell>
          <cell r="GM19">
            <v>42</v>
          </cell>
        </row>
        <row r="47">
          <cell r="GM47">
            <v>311071</v>
          </cell>
        </row>
        <row r="48">
          <cell r="GM48"/>
        </row>
        <row r="52">
          <cell r="GM52">
            <v>307220</v>
          </cell>
        </row>
        <row r="53">
          <cell r="GM53"/>
        </row>
        <row r="57">
          <cell r="GM57"/>
        </row>
        <row r="58">
          <cell r="GM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GB64">
            <v>1210246</v>
          </cell>
          <cell r="GC64">
            <v>993887</v>
          </cell>
          <cell r="GD64">
            <v>1389060</v>
          </cell>
          <cell r="GE64">
            <v>1440461</v>
          </cell>
          <cell r="GF64">
            <v>1439946</v>
          </cell>
          <cell r="GG64">
            <v>1202490</v>
          </cell>
          <cell r="GH64">
            <v>1364245</v>
          </cell>
          <cell r="GI64">
            <v>1235802</v>
          </cell>
          <cell r="GJ64">
            <v>1136168</v>
          </cell>
          <cell r="GK64">
            <v>1136064</v>
          </cell>
          <cell r="GL64">
            <v>996720</v>
          </cell>
          <cell r="GM64">
            <v>618291</v>
          </cell>
        </row>
      </sheetData>
      <sheetData sheetId="73"/>
      <sheetData sheetId="74"/>
      <sheetData sheetId="75">
        <row r="4">
          <cell r="GM4">
            <v>40</v>
          </cell>
        </row>
        <row r="5">
          <cell r="GM5">
            <v>40</v>
          </cell>
        </row>
        <row r="15">
          <cell r="GM15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85</v>
          </cell>
          <cell r="GC19">
            <v>74</v>
          </cell>
          <cell r="GD19">
            <v>94</v>
          </cell>
          <cell r="GE19">
            <v>82</v>
          </cell>
          <cell r="GF19">
            <v>90</v>
          </cell>
          <cell r="GG19">
            <v>82</v>
          </cell>
          <cell r="GH19">
            <v>88</v>
          </cell>
          <cell r="GI19">
            <v>88</v>
          </cell>
          <cell r="GJ19">
            <v>80</v>
          </cell>
          <cell r="GK19">
            <v>88</v>
          </cell>
          <cell r="GL19">
            <v>82</v>
          </cell>
          <cell r="GM19">
            <v>80</v>
          </cell>
        </row>
        <row r="47">
          <cell r="GM47">
            <v>34106</v>
          </cell>
        </row>
        <row r="48">
          <cell r="GM48"/>
        </row>
        <row r="52">
          <cell r="GM52">
            <v>63027</v>
          </cell>
        </row>
        <row r="53">
          <cell r="GM53"/>
        </row>
        <row r="57">
          <cell r="GM57"/>
        </row>
        <row r="58">
          <cell r="GM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  <cell r="GG64">
            <v>91931</v>
          </cell>
          <cell r="GH64">
            <v>107773</v>
          </cell>
          <cell r="GI64">
            <v>98804</v>
          </cell>
          <cell r="GJ64">
            <v>92990</v>
          </cell>
          <cell r="GK64">
            <v>63006</v>
          </cell>
          <cell r="GL64">
            <v>125040</v>
          </cell>
          <cell r="GM64">
            <v>97133</v>
          </cell>
        </row>
      </sheetData>
      <sheetData sheetId="76">
        <row r="4">
          <cell r="GN4">
            <v>0</v>
          </cell>
        </row>
        <row r="15">
          <cell r="GM15"/>
        </row>
        <row r="16">
          <cell r="GM16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</row>
      </sheetData>
      <sheetData sheetId="77">
        <row r="4">
          <cell r="GM4">
            <v>159</v>
          </cell>
        </row>
        <row r="5">
          <cell r="GM5">
            <v>159</v>
          </cell>
        </row>
        <row r="15">
          <cell r="GM15"/>
        </row>
        <row r="19">
          <cell r="FN19">
            <v>258</v>
          </cell>
          <cell r="FO19">
            <v>242</v>
          </cell>
          <cell r="FP19">
            <v>270</v>
          </cell>
          <cell r="FQ19">
            <v>202</v>
          </cell>
          <cell r="FR19">
            <v>232</v>
          </cell>
          <cell r="FS19">
            <v>214</v>
          </cell>
          <cell r="FT19">
            <v>212</v>
          </cell>
          <cell r="FU19">
            <v>272</v>
          </cell>
          <cell r="FV19">
            <v>252</v>
          </cell>
          <cell r="FW19">
            <v>300</v>
          </cell>
          <cell r="FX19">
            <v>284</v>
          </cell>
          <cell r="FY19">
            <v>340</v>
          </cell>
          <cell r="GB19">
            <v>268</v>
          </cell>
          <cell r="GC19">
            <v>238</v>
          </cell>
          <cell r="GD19">
            <v>252</v>
          </cell>
          <cell r="GE19">
            <v>254</v>
          </cell>
          <cell r="GF19">
            <v>270</v>
          </cell>
          <cell r="GG19">
            <v>252</v>
          </cell>
          <cell r="GH19">
            <v>254</v>
          </cell>
          <cell r="GI19">
            <v>266</v>
          </cell>
          <cell r="GJ19">
            <v>244</v>
          </cell>
          <cell r="GK19">
            <v>288</v>
          </cell>
          <cell r="GL19">
            <v>240</v>
          </cell>
          <cell r="GM19">
            <v>318</v>
          </cell>
        </row>
        <row r="47">
          <cell r="GM47">
            <v>8621693</v>
          </cell>
        </row>
        <row r="48">
          <cell r="GM48"/>
        </row>
        <row r="52">
          <cell r="GM52">
            <v>8085324</v>
          </cell>
        </row>
        <row r="53">
          <cell r="GM53"/>
        </row>
        <row r="57">
          <cell r="GM57"/>
        </row>
        <row r="58">
          <cell r="GM58"/>
        </row>
        <row r="64"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FS64">
            <v>16814880</v>
          </cell>
          <cell r="FT64">
            <v>15931260</v>
          </cell>
          <cell r="FU64">
            <v>17691991</v>
          </cell>
          <cell r="FV64">
            <v>16515766</v>
          </cell>
          <cell r="FW64">
            <v>18366037</v>
          </cell>
          <cell r="FX64">
            <v>17262184</v>
          </cell>
          <cell r="FY64">
            <v>16772442</v>
          </cell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  <cell r="GG64">
            <v>15473353</v>
          </cell>
          <cell r="GH64">
            <v>14617313</v>
          </cell>
          <cell r="GI64">
            <v>16702317</v>
          </cell>
          <cell r="GJ64">
            <v>15110168</v>
          </cell>
          <cell r="GK64">
            <v>17930855</v>
          </cell>
          <cell r="GL64">
            <v>15792730</v>
          </cell>
          <cell r="GM64">
            <v>16707017</v>
          </cell>
        </row>
      </sheetData>
      <sheetData sheetId="78">
        <row r="4">
          <cell r="GM4">
            <v>20</v>
          </cell>
        </row>
        <row r="5">
          <cell r="GM5">
            <v>20</v>
          </cell>
        </row>
        <row r="19">
          <cell r="FN19">
            <v>38</v>
          </cell>
          <cell r="FO19">
            <v>38</v>
          </cell>
          <cell r="FP19">
            <v>38</v>
          </cell>
          <cell r="FQ19">
            <v>38</v>
          </cell>
          <cell r="FR19">
            <v>44</v>
          </cell>
          <cell r="FS19">
            <v>44</v>
          </cell>
          <cell r="FT19">
            <v>38</v>
          </cell>
          <cell r="FU19">
            <v>46</v>
          </cell>
          <cell r="FV19">
            <v>42</v>
          </cell>
          <cell r="FW19">
            <v>44</v>
          </cell>
          <cell r="FX19">
            <v>42</v>
          </cell>
          <cell r="FY19">
            <v>36</v>
          </cell>
          <cell r="GB19">
            <v>0</v>
          </cell>
          <cell r="GC19">
            <v>38</v>
          </cell>
          <cell r="GD19">
            <v>42</v>
          </cell>
          <cell r="GE19">
            <v>38</v>
          </cell>
          <cell r="GF19">
            <v>42</v>
          </cell>
          <cell r="GG19">
            <v>42</v>
          </cell>
          <cell r="GH19">
            <v>42</v>
          </cell>
          <cell r="GI19">
            <v>46</v>
          </cell>
          <cell r="GJ19">
            <v>34</v>
          </cell>
          <cell r="GK19">
            <v>46</v>
          </cell>
          <cell r="GL19">
            <v>34</v>
          </cell>
          <cell r="GM19">
            <v>40</v>
          </cell>
        </row>
        <row r="47">
          <cell r="GM47">
            <v>122281</v>
          </cell>
        </row>
        <row r="48">
          <cell r="GM48"/>
        </row>
        <row r="52">
          <cell r="GM52">
            <v>41986</v>
          </cell>
        </row>
        <row r="53">
          <cell r="GM53"/>
        </row>
        <row r="57">
          <cell r="GM57"/>
        </row>
        <row r="58">
          <cell r="GM58"/>
        </row>
        <row r="64"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FS64">
            <v>140430</v>
          </cell>
          <cell r="FT64">
            <v>197910</v>
          </cell>
          <cell r="FU64">
            <v>235290</v>
          </cell>
          <cell r="FV64">
            <v>192711</v>
          </cell>
          <cell r="FW64">
            <v>227743</v>
          </cell>
          <cell r="FX64">
            <v>315017</v>
          </cell>
          <cell r="FY64">
            <v>287677</v>
          </cell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  <cell r="GG64">
            <v>219108</v>
          </cell>
          <cell r="GH64">
            <v>181384</v>
          </cell>
          <cell r="GI64">
            <v>183141</v>
          </cell>
          <cell r="GJ64">
            <v>114655</v>
          </cell>
          <cell r="GK64">
            <v>11569</v>
          </cell>
          <cell r="GL64">
            <v>146213</v>
          </cell>
          <cell r="GM64">
            <v>164267</v>
          </cell>
        </row>
      </sheetData>
      <sheetData sheetId="79">
        <row r="4">
          <cell r="GM4">
            <v>15</v>
          </cell>
        </row>
        <row r="5">
          <cell r="GM5">
            <v>15</v>
          </cell>
        </row>
        <row r="15">
          <cell r="GM15"/>
        </row>
        <row r="19">
          <cell r="FN19">
            <v>38</v>
          </cell>
          <cell r="FO19">
            <v>52</v>
          </cell>
          <cell r="FP19">
            <v>48</v>
          </cell>
          <cell r="FQ19">
            <v>40</v>
          </cell>
          <cell r="FR19">
            <v>44</v>
          </cell>
          <cell r="FS19">
            <v>40</v>
          </cell>
          <cell r="FT19">
            <v>40</v>
          </cell>
          <cell r="FU19">
            <v>48</v>
          </cell>
          <cell r="FV19">
            <v>36</v>
          </cell>
          <cell r="FW19">
            <v>46</v>
          </cell>
          <cell r="FX19">
            <v>32</v>
          </cell>
          <cell r="FY19">
            <v>22</v>
          </cell>
          <cell r="GB19">
            <v>37</v>
          </cell>
          <cell r="GC19">
            <v>28</v>
          </cell>
          <cell r="GD19">
            <v>30</v>
          </cell>
          <cell r="GE19">
            <v>34</v>
          </cell>
          <cell r="GF19">
            <v>34</v>
          </cell>
          <cell r="GG19">
            <v>32</v>
          </cell>
          <cell r="GH19">
            <v>36</v>
          </cell>
          <cell r="GI19">
            <v>30</v>
          </cell>
          <cell r="GJ19">
            <v>30</v>
          </cell>
          <cell r="GK19">
            <v>36</v>
          </cell>
          <cell r="GL19">
            <v>28</v>
          </cell>
          <cell r="GM19">
            <v>30</v>
          </cell>
        </row>
        <row r="47">
          <cell r="GM47">
            <v>37601</v>
          </cell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  <row r="64"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FS64">
            <v>22207</v>
          </cell>
          <cell r="FT64">
            <v>23791</v>
          </cell>
          <cell r="FU64">
            <v>25461</v>
          </cell>
          <cell r="FV64">
            <v>21292</v>
          </cell>
          <cell r="FW64">
            <v>26214</v>
          </cell>
          <cell r="FX64">
            <v>16033</v>
          </cell>
          <cell r="FY64">
            <v>9310</v>
          </cell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  <cell r="GG64">
            <v>17538</v>
          </cell>
          <cell r="GH64">
            <v>48673</v>
          </cell>
          <cell r="GI64">
            <v>41198</v>
          </cell>
          <cell r="GJ64">
            <v>36884</v>
          </cell>
          <cell r="GK64">
            <v>51002</v>
          </cell>
          <cell r="GL64">
            <v>38188</v>
          </cell>
          <cell r="GM64">
            <v>37601</v>
          </cell>
        </row>
      </sheetData>
      <sheetData sheetId="80">
        <row r="4">
          <cell r="GM4">
            <v>189</v>
          </cell>
        </row>
        <row r="5">
          <cell r="GM5">
            <v>189</v>
          </cell>
        </row>
        <row r="15">
          <cell r="GM15"/>
        </row>
        <row r="16">
          <cell r="GM16"/>
        </row>
        <row r="19">
          <cell r="FN19">
            <v>232</v>
          </cell>
          <cell r="FO19">
            <v>216</v>
          </cell>
          <cell r="FP19">
            <v>238</v>
          </cell>
          <cell r="FQ19">
            <v>220</v>
          </cell>
          <cell r="FR19">
            <v>258</v>
          </cell>
          <cell r="FS19">
            <v>250</v>
          </cell>
          <cell r="FT19">
            <v>242</v>
          </cell>
          <cell r="FU19">
            <v>278</v>
          </cell>
          <cell r="FV19">
            <v>236</v>
          </cell>
          <cell r="FW19">
            <v>292</v>
          </cell>
          <cell r="FX19">
            <v>256</v>
          </cell>
          <cell r="FY19">
            <v>352</v>
          </cell>
          <cell r="GB19">
            <v>282</v>
          </cell>
          <cell r="GC19">
            <v>246</v>
          </cell>
          <cell r="GD19">
            <v>278</v>
          </cell>
          <cell r="GE19">
            <v>264</v>
          </cell>
          <cell r="GF19">
            <v>300</v>
          </cell>
          <cell r="GG19">
            <v>276</v>
          </cell>
          <cell r="GH19">
            <v>268</v>
          </cell>
          <cell r="GI19">
            <v>288</v>
          </cell>
          <cell r="GJ19">
            <v>244</v>
          </cell>
          <cell r="GK19">
            <v>300</v>
          </cell>
          <cell r="GL19">
            <v>264</v>
          </cell>
          <cell r="GM19">
            <v>378</v>
          </cell>
        </row>
        <row r="47">
          <cell r="GM47">
            <v>8824010</v>
          </cell>
        </row>
        <row r="48">
          <cell r="GM48"/>
        </row>
        <row r="52">
          <cell r="GM52">
            <v>6939977</v>
          </cell>
        </row>
        <row r="53">
          <cell r="GM53">
            <v>80610</v>
          </cell>
        </row>
        <row r="57">
          <cell r="GM57"/>
        </row>
        <row r="58">
          <cell r="GM58"/>
        </row>
        <row r="64"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FS64">
            <v>11730840</v>
          </cell>
          <cell r="FT64">
            <v>11255479</v>
          </cell>
          <cell r="FU64">
            <v>12973523</v>
          </cell>
          <cell r="FV64">
            <v>12368540</v>
          </cell>
          <cell r="FW64">
            <v>12818408</v>
          </cell>
          <cell r="FX64">
            <v>11789696</v>
          </cell>
          <cell r="FY64">
            <v>12665316</v>
          </cell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  <cell r="GG64">
            <v>13023012</v>
          </cell>
          <cell r="GH64">
            <v>12638065</v>
          </cell>
          <cell r="GI64">
            <v>14168001</v>
          </cell>
          <cell r="GJ64">
            <v>12417362</v>
          </cell>
          <cell r="GK64">
            <v>15402635</v>
          </cell>
          <cell r="GL64">
            <v>13696517</v>
          </cell>
          <cell r="GM64">
            <v>15844597</v>
          </cell>
        </row>
      </sheetData>
      <sheetData sheetId="81"/>
      <sheetData sheetId="82"/>
      <sheetData sheetId="83"/>
      <sheetData sheetId="84">
        <row r="4">
          <cell r="GM4">
            <v>236</v>
          </cell>
        </row>
        <row r="5">
          <cell r="GM5">
            <v>236</v>
          </cell>
        </row>
        <row r="19">
          <cell r="FN19">
            <v>614</v>
          </cell>
          <cell r="FO19">
            <v>520</v>
          </cell>
          <cell r="FP19">
            <v>554</v>
          </cell>
          <cell r="FQ19">
            <v>520</v>
          </cell>
          <cell r="FR19">
            <v>590</v>
          </cell>
          <cell r="FS19">
            <v>540</v>
          </cell>
          <cell r="FT19">
            <v>536</v>
          </cell>
          <cell r="FU19">
            <v>590</v>
          </cell>
          <cell r="FV19">
            <v>516</v>
          </cell>
          <cell r="FW19">
            <v>568</v>
          </cell>
          <cell r="FX19">
            <v>458</v>
          </cell>
          <cell r="FY19">
            <v>442</v>
          </cell>
          <cell r="GB19">
            <v>398</v>
          </cell>
          <cell r="GC19">
            <v>350</v>
          </cell>
          <cell r="GD19">
            <v>378</v>
          </cell>
          <cell r="GE19">
            <v>376</v>
          </cell>
          <cell r="GF19">
            <v>426</v>
          </cell>
          <cell r="GG19">
            <v>368</v>
          </cell>
          <cell r="GH19">
            <v>410</v>
          </cell>
          <cell r="GI19">
            <v>414</v>
          </cell>
          <cell r="GJ19">
            <v>372</v>
          </cell>
          <cell r="GK19">
            <v>420</v>
          </cell>
          <cell r="GL19">
            <v>432</v>
          </cell>
          <cell r="GM19">
            <v>472</v>
          </cell>
        </row>
      </sheetData>
      <sheetData sheetId="85">
        <row r="4">
          <cell r="GM4"/>
        </row>
        <row r="5">
          <cell r="GM5"/>
        </row>
        <row r="19"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4</v>
          </cell>
          <cell r="FS19">
            <v>0</v>
          </cell>
          <cell r="FT19">
            <v>1</v>
          </cell>
          <cell r="FU19">
            <v>0</v>
          </cell>
          <cell r="FV19">
            <v>0</v>
          </cell>
          <cell r="FW19">
            <v>0</v>
          </cell>
          <cell r="FX19">
            <v>8</v>
          </cell>
          <cell r="FY19">
            <v>11</v>
          </cell>
          <cell r="GB19">
            <v>0</v>
          </cell>
          <cell r="GC19">
            <v>3</v>
          </cell>
          <cell r="GD19">
            <v>0</v>
          </cell>
          <cell r="GE19">
            <v>0</v>
          </cell>
          <cell r="GF19">
            <v>6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  <row r="64"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1371</v>
          </cell>
          <cell r="FU64">
            <v>0</v>
          </cell>
          <cell r="FV64">
            <v>0</v>
          </cell>
          <cell r="FW64">
            <v>0</v>
          </cell>
          <cell r="FX64">
            <v>12022</v>
          </cell>
          <cell r="FY64">
            <v>19270</v>
          </cell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</row>
      </sheetData>
      <sheetData sheetId="86">
        <row r="4">
          <cell r="GM4"/>
        </row>
        <row r="5">
          <cell r="GM5"/>
        </row>
        <row r="8">
          <cell r="GM8"/>
        </row>
        <row r="9">
          <cell r="GM9"/>
        </row>
        <row r="19">
          <cell r="FN19">
            <v>48</v>
          </cell>
          <cell r="FO19">
            <v>1</v>
          </cell>
          <cell r="FP19">
            <v>88</v>
          </cell>
          <cell r="FQ19">
            <v>90</v>
          </cell>
          <cell r="FR19">
            <v>88</v>
          </cell>
          <cell r="FS19">
            <v>83</v>
          </cell>
          <cell r="FT19">
            <v>91</v>
          </cell>
          <cell r="FU19">
            <v>99</v>
          </cell>
          <cell r="FV19">
            <v>76</v>
          </cell>
          <cell r="FW19">
            <v>94</v>
          </cell>
          <cell r="FX19">
            <v>85</v>
          </cell>
          <cell r="FY19">
            <v>78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2</v>
          </cell>
          <cell r="GH19">
            <v>0</v>
          </cell>
          <cell r="GI19">
            <v>0</v>
          </cell>
          <cell r="GJ19">
            <v>0</v>
          </cell>
          <cell r="GK19">
            <v>3</v>
          </cell>
          <cell r="GL19">
            <v>0</v>
          </cell>
          <cell r="GM19">
            <v>0</v>
          </cell>
        </row>
        <row r="47">
          <cell r="GM47"/>
        </row>
        <row r="48">
          <cell r="GM48"/>
        </row>
        <row r="52">
          <cell r="GM52"/>
        </row>
        <row r="53">
          <cell r="GM53"/>
        </row>
        <row r="57">
          <cell r="GM57"/>
        </row>
        <row r="58">
          <cell r="GM58"/>
        </row>
        <row r="64"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FS64">
            <v>120033</v>
          </cell>
          <cell r="FT64">
            <v>124594</v>
          </cell>
          <cell r="FU64">
            <v>120693</v>
          </cell>
          <cell r="FV64">
            <v>94388</v>
          </cell>
          <cell r="FW64">
            <v>132947</v>
          </cell>
          <cell r="FX64">
            <v>101918</v>
          </cell>
          <cell r="FY64">
            <v>95385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29717</v>
          </cell>
          <cell r="GH64">
            <v>0</v>
          </cell>
          <cell r="GI64">
            <v>0</v>
          </cell>
          <cell r="GJ64">
            <v>0</v>
          </cell>
          <cell r="GK64">
            <v>3500</v>
          </cell>
          <cell r="GL64">
            <v>0</v>
          </cell>
          <cell r="GM64">
            <v>0</v>
          </cell>
        </row>
      </sheetData>
      <sheetData sheetId="87">
        <row r="4">
          <cell r="GM4">
            <v>17</v>
          </cell>
        </row>
        <row r="5">
          <cell r="GM5">
            <v>17</v>
          </cell>
        </row>
      </sheetData>
      <sheetData sheetId="88">
        <row r="4">
          <cell r="GM4">
            <v>588</v>
          </cell>
        </row>
        <row r="5">
          <cell r="GM5">
            <v>588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137103</v>
          </cell>
          <cell r="C21">
            <v>129608</v>
          </cell>
          <cell r="L21">
            <v>1351127</v>
          </cell>
          <cell r="M21">
            <v>1385714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268837</v>
          </cell>
          <cell r="I21">
            <v>2415973</v>
          </cell>
          <cell r="N21">
            <v>2684810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135822</v>
          </cell>
          <cell r="C22">
            <v>139060</v>
          </cell>
          <cell r="L22">
            <v>1301396</v>
          </cell>
          <cell r="M22">
            <v>1323615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285115</v>
          </cell>
          <cell r="I22">
            <v>2426258</v>
          </cell>
          <cell r="N22">
            <v>2711373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182334</v>
          </cell>
          <cell r="C23">
            <v>184603</v>
          </cell>
          <cell r="L23">
            <v>1758933</v>
          </cell>
          <cell r="M23">
            <v>1778471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367828</v>
          </cell>
          <cell r="I23">
            <v>3043039</v>
          </cell>
          <cell r="N23">
            <v>3410867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K5" sqref="K5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25">
        <v>43800</v>
      </c>
      <c r="B2" s="10"/>
      <c r="C2" s="10"/>
      <c r="D2" s="463" t="s">
        <v>210</v>
      </c>
      <c r="E2" s="463" t="s">
        <v>196</v>
      </c>
      <c r="F2" s="5"/>
      <c r="G2" s="5"/>
      <c r="H2" s="5"/>
      <c r="I2" s="5"/>
      <c r="J2" s="5"/>
    </row>
    <row r="3" spans="1:14" ht="13.5" thickBot="1" x14ac:dyDescent="0.25">
      <c r="A3" s="331"/>
      <c r="B3" s="5" t="s">
        <v>0</v>
      </c>
      <c r="C3" s="5" t="s">
        <v>1</v>
      </c>
      <c r="D3" s="464"/>
      <c r="E3" s="465"/>
      <c r="F3" s="5" t="s">
        <v>2</v>
      </c>
      <c r="G3" s="5" t="s">
        <v>211</v>
      </c>
      <c r="H3" s="5" t="s">
        <v>197</v>
      </c>
      <c r="I3" s="5" t="s">
        <v>2</v>
      </c>
    </row>
    <row r="4" spans="1:14" ht="12.75" customHeight="1" x14ac:dyDescent="0.25">
      <c r="A4" s="49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2" t="s">
        <v>4</v>
      </c>
      <c r="B5" s="254">
        <f>'Major Airline Stats'!K4</f>
        <v>1221861</v>
      </c>
      <c r="C5" s="10">
        <f>'Major Airline Stats'!K5</f>
        <v>1265176</v>
      </c>
      <c r="D5" s="2">
        <f>'Major Airline Stats'!K6</f>
        <v>2487037</v>
      </c>
      <c r="E5" s="2">
        <f>'[1]Monthly Summary'!D5</f>
        <v>2171550</v>
      </c>
      <c r="F5" s="3">
        <f>(D5-E5)/E5</f>
        <v>0.14528194147037829</v>
      </c>
      <c r="G5" s="2">
        <f>+D5+'[2]Monthly Summary'!G5</f>
        <v>30798934</v>
      </c>
      <c r="H5" s="2">
        <f>'[1]Monthly Summary'!G5</f>
        <v>29029272</v>
      </c>
      <c r="I5" s="67">
        <f>(G5-H5)/H5</f>
        <v>6.0961294516789812E-2</v>
      </c>
      <c r="J5" s="2"/>
    </row>
    <row r="6" spans="1:14" x14ac:dyDescent="0.2">
      <c r="A6" s="52" t="s">
        <v>5</v>
      </c>
      <c r="B6" s="254">
        <f>'Regional Major'!M5</f>
        <v>316606</v>
      </c>
      <c r="C6" s="254">
        <f>'Regional Major'!M6</f>
        <v>326011</v>
      </c>
      <c r="D6" s="2">
        <f>B6+C6</f>
        <v>642617</v>
      </c>
      <c r="E6" s="2">
        <f>'[1]Monthly Summary'!D6</f>
        <v>630242</v>
      </c>
      <c r="F6" s="3">
        <f>(D6-E6)/E6</f>
        <v>1.9635314688643411E-2</v>
      </c>
      <c r="G6" s="2">
        <f>+D6+'[2]Monthly Summary'!G6</f>
        <v>7548330</v>
      </c>
      <c r="H6" s="2">
        <f>'[1]Monthly Summary'!G6</f>
        <v>7753247</v>
      </c>
      <c r="I6" s="67">
        <f>(G6-H6)/H6</f>
        <v>-2.6429829979620151E-2</v>
      </c>
    </row>
    <row r="7" spans="1:14" x14ac:dyDescent="0.2">
      <c r="A7" s="52" t="s">
        <v>6</v>
      </c>
      <c r="B7" s="2">
        <f>Charter!G5</f>
        <v>231</v>
      </c>
      <c r="C7" s="254">
        <f>Charter!G6</f>
        <v>328</v>
      </c>
      <c r="D7" s="2">
        <f>B7+C7</f>
        <v>559</v>
      </c>
      <c r="E7" s="2">
        <f>'[1]Monthly Summary'!D7</f>
        <v>150</v>
      </c>
      <c r="F7" s="3">
        <f>(D7-E7)/E7</f>
        <v>2.7266666666666666</v>
      </c>
      <c r="G7" s="2">
        <f>+D7+'[2]Monthly Summary'!G7</f>
        <v>6149</v>
      </c>
      <c r="H7" s="2">
        <f>'[1]Monthly Summary'!G7</f>
        <v>4629</v>
      </c>
      <c r="I7" s="67">
        <f>(G7-H7)/H7</f>
        <v>0.3283646575934327</v>
      </c>
    </row>
    <row r="8" spans="1:14" x14ac:dyDescent="0.2">
      <c r="A8" s="54" t="s">
        <v>7</v>
      </c>
      <c r="B8" s="121">
        <f>SUM(B5:B7)</f>
        <v>1538698</v>
      </c>
      <c r="C8" s="121">
        <f>SUM(C5:C7)</f>
        <v>1591515</v>
      </c>
      <c r="D8" s="121">
        <f>SUM(D5:D7)</f>
        <v>3130213</v>
      </c>
      <c r="E8" s="121">
        <f>SUM(E5:E7)</f>
        <v>2801942</v>
      </c>
      <c r="F8" s="73">
        <f>(D8-E8)/E8</f>
        <v>0.11715838514858623</v>
      </c>
      <c r="G8" s="121">
        <f>SUM(G5:G7)</f>
        <v>38353413</v>
      </c>
      <c r="H8" s="121">
        <f>SUM(H5:H7)</f>
        <v>36787148</v>
      </c>
      <c r="I8" s="72">
        <f>(G8-H8)/H8</f>
        <v>4.2576418264335142E-2</v>
      </c>
    </row>
    <row r="9" spans="1:14" x14ac:dyDescent="0.2">
      <c r="A9" s="52"/>
      <c r="B9" s="97"/>
      <c r="C9" s="97"/>
      <c r="D9" s="97"/>
      <c r="E9" s="97"/>
      <c r="F9" s="4"/>
      <c r="G9" s="97"/>
      <c r="H9" s="97"/>
      <c r="I9" s="67"/>
    </row>
    <row r="10" spans="1:14" x14ac:dyDescent="0.2">
      <c r="A10" s="52" t="s">
        <v>8</v>
      </c>
      <c r="B10" s="255">
        <f>'Major Airline Stats'!K9+'Regional Major'!M10</f>
        <v>44730</v>
      </c>
      <c r="C10" s="255">
        <f>'Major Airline Stats'!K10+'Regional Major'!M11</f>
        <v>46139</v>
      </c>
      <c r="D10" s="98">
        <f>SUM(B10:C10)</f>
        <v>90869</v>
      </c>
      <c r="E10" s="98">
        <f>'[1]Monthly Summary'!D10</f>
        <v>98485</v>
      </c>
      <c r="F10" s="74">
        <f>(D10-E10)/E10</f>
        <v>-7.7331573336041015E-2</v>
      </c>
      <c r="G10" s="2">
        <f>+D10+'[2]Monthly Summary'!G10</f>
        <v>1201622</v>
      </c>
      <c r="H10" s="98">
        <f>'[1]Monthly Summary'!G10</f>
        <v>1258937</v>
      </c>
      <c r="I10" s="77">
        <f>(G10-H10)/H10</f>
        <v>-4.5526503709081553E-2</v>
      </c>
      <c r="J10" s="193"/>
    </row>
    <row r="11" spans="1:14" ht="15.75" thickBot="1" x14ac:dyDescent="0.3">
      <c r="A11" s="53" t="s">
        <v>13</v>
      </c>
      <c r="B11" s="234">
        <f>B10+B8</f>
        <v>1583428</v>
      </c>
      <c r="C11" s="234">
        <f>C10+C8</f>
        <v>1637654</v>
      </c>
      <c r="D11" s="234">
        <f>D10+D8</f>
        <v>3221082</v>
      </c>
      <c r="E11" s="234">
        <f>E10+E8</f>
        <v>2900427</v>
      </c>
      <c r="F11" s="75">
        <f>(D11-E11)/E11</f>
        <v>0.11055441147113856</v>
      </c>
      <c r="G11" s="234">
        <f>G8+G10</f>
        <v>39555035</v>
      </c>
      <c r="H11" s="234">
        <f>H8+H10</f>
        <v>38046085</v>
      </c>
      <c r="I11" s="78">
        <f>(G11-H11)/H11</f>
        <v>3.9661110992103392E-2</v>
      </c>
    </row>
    <row r="12" spans="1:14" ht="15" x14ac:dyDescent="0.25">
      <c r="A12" s="8"/>
      <c r="B12" s="101"/>
      <c r="C12" s="101"/>
      <c r="D12" s="101"/>
      <c r="E12" s="101"/>
      <c r="F12" s="236"/>
      <c r="G12" s="101"/>
      <c r="H12" s="101"/>
      <c r="I12" s="237"/>
    </row>
    <row r="13" spans="1:14" ht="16.5" customHeight="1" x14ac:dyDescent="0.2">
      <c r="B13" s="10"/>
      <c r="C13" s="10"/>
      <c r="D13" s="463" t="s">
        <v>210</v>
      </c>
      <c r="E13" s="463" t="s">
        <v>196</v>
      </c>
      <c r="F13" s="5"/>
      <c r="G13" s="5"/>
      <c r="H13" s="5"/>
      <c r="I13" s="5"/>
    </row>
    <row r="14" spans="1:14" ht="13.5" thickBot="1" x14ac:dyDescent="0.25">
      <c r="A14" s="9"/>
      <c r="B14" s="5" t="s">
        <v>194</v>
      </c>
      <c r="C14" s="5" t="s">
        <v>195</v>
      </c>
      <c r="D14" s="464"/>
      <c r="E14" s="465"/>
      <c r="F14" s="5" t="s">
        <v>2</v>
      </c>
      <c r="G14" s="5" t="s">
        <v>211</v>
      </c>
      <c r="H14" s="5" t="s">
        <v>197</v>
      </c>
      <c r="I14" s="5" t="s">
        <v>2</v>
      </c>
    </row>
    <row r="15" spans="1:14" ht="15" x14ac:dyDescent="0.25">
      <c r="A15" s="46" t="s">
        <v>9</v>
      </c>
      <c r="B15" s="30"/>
      <c r="C15" s="30"/>
      <c r="D15" s="30"/>
      <c r="E15" s="30"/>
      <c r="F15" s="31"/>
      <c r="G15" s="30"/>
      <c r="H15" s="30"/>
      <c r="I15" s="224"/>
    </row>
    <row r="16" spans="1:14" x14ac:dyDescent="0.2">
      <c r="A16" s="52" t="s">
        <v>4</v>
      </c>
      <c r="B16" s="263">
        <f>'Major Airline Stats'!K15+'Major Airline Stats'!K19</f>
        <v>9307</v>
      </c>
      <c r="C16" s="263">
        <f>'Major Airline Stats'!K16+'Major Airline Stats'!K20</f>
        <v>9268</v>
      </c>
      <c r="D16" s="32">
        <f t="shared" ref="D16:D21" si="0">SUM(B16:C16)</f>
        <v>18575</v>
      </c>
      <c r="E16" s="2">
        <f>'[1]Monthly Summary'!D16</f>
        <v>16984</v>
      </c>
      <c r="F16" s="76">
        <f t="shared" ref="F16:F22" si="1">(D16-E16)/E16</f>
        <v>9.3676401318888367E-2</v>
      </c>
      <c r="G16" s="2">
        <f>+D16+'[2]Monthly Summary'!G16</f>
        <v>230096</v>
      </c>
      <c r="H16" s="2">
        <f>'[1]Monthly Summary'!G16</f>
        <v>221554</v>
      </c>
      <c r="I16" s="225">
        <f t="shared" ref="I16:I22" si="2">(G16-H16)/H16</f>
        <v>3.8554934688608648E-2</v>
      </c>
      <c r="N16" s="97"/>
    </row>
    <row r="17" spans="1:9" x14ac:dyDescent="0.2">
      <c r="A17" s="52" t="s">
        <v>5</v>
      </c>
      <c r="B17" s="32">
        <f>'Regional Major'!M15+'Regional Major'!M18</f>
        <v>5796</v>
      </c>
      <c r="C17" s="32">
        <f>'Regional Major'!M16+'Regional Major'!M19</f>
        <v>5800</v>
      </c>
      <c r="D17" s="32">
        <f>SUM(B17:C17)</f>
        <v>11596</v>
      </c>
      <c r="E17" s="2">
        <f>'[1]Monthly Summary'!D17</f>
        <v>12126</v>
      </c>
      <c r="F17" s="76">
        <f t="shared" si="1"/>
        <v>-4.3707735444499421E-2</v>
      </c>
      <c r="G17" s="2">
        <f>+D17+'[2]Monthly Summary'!G17</f>
        <v>141976</v>
      </c>
      <c r="H17" s="2">
        <f>'[1]Monthly Summary'!G17</f>
        <v>149108</v>
      </c>
      <c r="I17" s="225">
        <f t="shared" si="2"/>
        <v>-4.7831102288274273E-2</v>
      </c>
    </row>
    <row r="18" spans="1:9" x14ac:dyDescent="0.2">
      <c r="A18" s="52" t="s">
        <v>10</v>
      </c>
      <c r="B18" s="32">
        <f>Charter!G10</f>
        <v>2</v>
      </c>
      <c r="C18" s="32">
        <f>Charter!G11</f>
        <v>2</v>
      </c>
      <c r="D18" s="32">
        <f t="shared" si="0"/>
        <v>4</v>
      </c>
      <c r="E18" s="2">
        <f>'[1]Monthly Summary'!D18</f>
        <v>2</v>
      </c>
      <c r="F18" s="76">
        <f t="shared" si="1"/>
        <v>1</v>
      </c>
      <c r="G18" s="2">
        <f>+D18+'[2]Monthly Summary'!G18</f>
        <v>66</v>
      </c>
      <c r="H18" s="2">
        <f>'[1]Monthly Summary'!G18</f>
        <v>38</v>
      </c>
      <c r="I18" s="225">
        <f t="shared" si="2"/>
        <v>0.73684210526315785</v>
      </c>
    </row>
    <row r="19" spans="1:9" x14ac:dyDescent="0.2">
      <c r="A19" s="52" t="s">
        <v>11</v>
      </c>
      <c r="B19" s="32">
        <f>Cargo!P4</f>
        <v>714</v>
      </c>
      <c r="C19" s="32">
        <f>Cargo!P5</f>
        <v>714</v>
      </c>
      <c r="D19" s="32">
        <f t="shared" si="0"/>
        <v>1428</v>
      </c>
      <c r="E19" s="2">
        <f>'[1]Monthly Summary'!D19</f>
        <v>1389</v>
      </c>
      <c r="F19" s="76">
        <f t="shared" si="1"/>
        <v>2.8077753779697623E-2</v>
      </c>
      <c r="G19" s="2">
        <f>+D19+'[2]Monthly Summary'!G19</f>
        <v>14452</v>
      </c>
      <c r="H19" s="2">
        <f>'[1]Monthly Summary'!G19</f>
        <v>15446</v>
      </c>
      <c r="I19" s="225">
        <f t="shared" si="2"/>
        <v>-6.4353230609866627E-2</v>
      </c>
    </row>
    <row r="20" spans="1:9" x14ac:dyDescent="0.2">
      <c r="A20" s="52" t="s">
        <v>152</v>
      </c>
      <c r="B20" s="32">
        <f>'[3]General Avation'!$GM$4</f>
        <v>588</v>
      </c>
      <c r="C20" s="32">
        <f>'[3]General Avation'!$GM$5</f>
        <v>588</v>
      </c>
      <c r="D20" s="32">
        <f t="shared" si="0"/>
        <v>1176</v>
      </c>
      <c r="E20" s="2">
        <f>'[1]Monthly Summary'!D20</f>
        <v>1332</v>
      </c>
      <c r="F20" s="76">
        <f t="shared" si="1"/>
        <v>-0.11711711711711711</v>
      </c>
      <c r="G20" s="2">
        <f>+D20+'[2]Monthly Summary'!G20</f>
        <v>18461</v>
      </c>
      <c r="H20" s="2">
        <f>'[1]Monthly Summary'!G20</f>
        <v>20113</v>
      </c>
      <c r="I20" s="225">
        <f t="shared" si="2"/>
        <v>-8.2135931984288771E-2</v>
      </c>
    </row>
    <row r="21" spans="1:9" ht="12.75" customHeight="1" x14ac:dyDescent="0.2">
      <c r="A21" s="52" t="s">
        <v>12</v>
      </c>
      <c r="B21" s="11">
        <f>'[3]Military '!$GM$4</f>
        <v>17</v>
      </c>
      <c r="C21" s="11">
        <f>'[3]Military '!$GM$5</f>
        <v>17</v>
      </c>
      <c r="D21" s="11">
        <f t="shared" si="0"/>
        <v>34</v>
      </c>
      <c r="E21" s="98">
        <f>'[1]Monthly Summary'!D21</f>
        <v>56</v>
      </c>
      <c r="F21" s="223">
        <f t="shared" si="1"/>
        <v>-0.39285714285714285</v>
      </c>
      <c r="G21" s="2">
        <f>+D21+'[2]Monthly Summary'!G21</f>
        <v>885</v>
      </c>
      <c r="H21" s="98">
        <f>'[1]Monthly Summary'!G21</f>
        <v>1126</v>
      </c>
      <c r="I21" s="226">
        <f t="shared" si="2"/>
        <v>-0.21403197158081705</v>
      </c>
    </row>
    <row r="22" spans="1:9" ht="15.75" thickBot="1" x14ac:dyDescent="0.3">
      <c r="A22" s="53" t="s">
        <v>28</v>
      </c>
      <c r="B22" s="235">
        <f>SUM(B16:B21)</f>
        <v>16424</v>
      </c>
      <c r="C22" s="235">
        <f>SUM(C16:C21)</f>
        <v>16389</v>
      </c>
      <c r="D22" s="235">
        <f>SUM(D16:D21)</f>
        <v>32813</v>
      </c>
      <c r="E22" s="235">
        <f>SUM(E16:E21)</f>
        <v>31889</v>
      </c>
      <c r="F22" s="232">
        <f t="shared" si="1"/>
        <v>2.8975508796136598E-2</v>
      </c>
      <c r="G22" s="235">
        <f>SUM(G16:G21)</f>
        <v>405936</v>
      </c>
      <c r="H22" s="235">
        <f>SUM(H16:H21)</f>
        <v>407385</v>
      </c>
      <c r="I22" s="233">
        <f t="shared" si="2"/>
        <v>-3.5568319893957805E-3</v>
      </c>
    </row>
    <row r="23" spans="1:9" x14ac:dyDescent="0.2">
      <c r="B23" s="97"/>
      <c r="C23" s="97"/>
    </row>
    <row r="24" spans="1:9" ht="12.75" customHeight="1" x14ac:dyDescent="0.2">
      <c r="B24" s="10"/>
      <c r="C24" s="10"/>
      <c r="D24" s="463" t="s">
        <v>210</v>
      </c>
      <c r="E24" s="463" t="s">
        <v>196</v>
      </c>
      <c r="F24" s="5"/>
      <c r="G24" s="5"/>
      <c r="H24" s="5"/>
      <c r="I24" s="5"/>
    </row>
    <row r="25" spans="1:9" ht="13.5" thickBot="1" x14ac:dyDescent="0.25">
      <c r="B25" s="5" t="s">
        <v>0</v>
      </c>
      <c r="C25" s="5" t="s">
        <v>1</v>
      </c>
      <c r="D25" s="464"/>
      <c r="E25" s="465"/>
      <c r="F25" s="5" t="s">
        <v>2</v>
      </c>
      <c r="G25" s="5" t="s">
        <v>211</v>
      </c>
      <c r="H25" s="5" t="s">
        <v>197</v>
      </c>
      <c r="I25" s="5" t="s">
        <v>2</v>
      </c>
    </row>
    <row r="26" spans="1:9" ht="15" x14ac:dyDescent="0.25">
      <c r="A26" s="50" t="s">
        <v>128</v>
      </c>
      <c r="B26" s="36"/>
      <c r="C26" s="36"/>
      <c r="D26" s="36"/>
      <c r="E26" s="36"/>
      <c r="F26" s="36"/>
      <c r="G26" s="36"/>
      <c r="H26" s="36"/>
      <c r="I26" s="37"/>
    </row>
    <row r="27" spans="1:9" x14ac:dyDescent="0.2">
      <c r="A27" s="47" t="s">
        <v>15</v>
      </c>
      <c r="B27" s="14">
        <f>(Cargo!P16+'Major Airline Stats'!K28+'Regional Major'!M25)*0.00045359237</f>
        <v>10719.80563284862</v>
      </c>
      <c r="C27" s="14">
        <f>(Cargo!P21+'Major Airline Stats'!K33+'Regional Major'!M30)*0.00045359237</f>
        <v>8120.0432321554699</v>
      </c>
      <c r="D27" s="14">
        <f>(SUM(B27:C27)+('Cargo Summary'!E17*0.00045359237))</f>
        <v>18839.848865004089</v>
      </c>
      <c r="E27" s="2">
        <f>'[1]Monthly Summary'!D27</f>
        <v>18366.936635188678</v>
      </c>
      <c r="F27" s="79">
        <f>(D27-E27)/E27</f>
        <v>2.5748018801860072E-2</v>
      </c>
      <c r="G27" s="2">
        <f>+D27+'[2]Monthly Summary'!G27</f>
        <v>204232.28834621151</v>
      </c>
      <c r="H27" s="2">
        <f>'[1]Monthly Summary'!G27</f>
        <v>214183.49939819757</v>
      </c>
      <c r="I27" s="81">
        <f>(G27-H27)/H27</f>
        <v>-4.6461147006872559E-2</v>
      </c>
    </row>
    <row r="28" spans="1:9" x14ac:dyDescent="0.2">
      <c r="A28" s="47" t="s">
        <v>16</v>
      </c>
      <c r="B28" s="14">
        <f>(Cargo!P17+'Major Airline Stats'!K29+'Regional Major'!M26)*0.00045359237</f>
        <v>871.33733499890002</v>
      </c>
      <c r="C28" s="14">
        <f>(Cargo!P22+'Major Airline Stats'!K34+'Regional Major'!M31)*0.00045359237</f>
        <v>1033.28704759896</v>
      </c>
      <c r="D28" s="14">
        <f>SUM(B28:C28)</f>
        <v>1904.6243825978599</v>
      </c>
      <c r="E28" s="2">
        <f>'[1]Monthly Summary'!D28</f>
        <v>2135.4874767872798</v>
      </c>
      <c r="F28" s="79">
        <f>(D28-E28)/E28</f>
        <v>-0.10810791292334822</v>
      </c>
      <c r="G28" s="2">
        <f>+D28+'[2]Monthly Summary'!G28</f>
        <v>24797.355546572071</v>
      </c>
      <c r="H28" s="2">
        <f>'[1]Monthly Summary'!G28</f>
        <v>25362.365171192276</v>
      </c>
      <c r="I28" s="81">
        <f>(G28-H28)/H28</f>
        <v>-2.2277481646781439E-2</v>
      </c>
    </row>
    <row r="29" spans="1:9" ht="15.75" thickBot="1" x14ac:dyDescent="0.3">
      <c r="A29" s="48" t="s">
        <v>62</v>
      </c>
      <c r="B29" s="39">
        <f>SUM(B27:B28)</f>
        <v>11591.14296784752</v>
      </c>
      <c r="C29" s="39">
        <f>SUM(C27:C28)</f>
        <v>9153.3302797544293</v>
      </c>
      <c r="D29" s="39">
        <f>SUM(D27:D28)</f>
        <v>20744.473247601949</v>
      </c>
      <c r="E29" s="39">
        <f>SUM(E27:E28)</f>
        <v>20502.424111975957</v>
      </c>
      <c r="F29" s="80">
        <f>(D29-E29)/E29</f>
        <v>1.1805878870908981E-2</v>
      </c>
      <c r="G29" s="39">
        <f>SUM(G27:G28)</f>
        <v>229029.64389278358</v>
      </c>
      <c r="H29" s="39">
        <f>SUM(H27:H28)</f>
        <v>239545.86456938984</v>
      </c>
      <c r="I29" s="82">
        <f>(G29-H29)/H29</f>
        <v>-4.3900656333643359E-2</v>
      </c>
    </row>
    <row r="30" spans="1:9" ht="4.5" customHeight="1" thickBot="1" x14ac:dyDescent="0.3">
      <c r="A30" s="44"/>
      <c r="B30" s="332"/>
      <c r="C30" s="332"/>
      <c r="D30" s="332"/>
      <c r="E30" s="332"/>
      <c r="F30" s="236"/>
      <c r="G30" s="332"/>
      <c r="H30" s="332"/>
      <c r="I30" s="236"/>
    </row>
    <row r="31" spans="1:9" ht="13.5" thickBot="1" x14ac:dyDescent="0.25">
      <c r="B31" s="462" t="s">
        <v>148</v>
      </c>
      <c r="C31" s="461"/>
      <c r="D31" s="462" t="s">
        <v>155</v>
      </c>
      <c r="E31" s="461"/>
      <c r="F31" s="354"/>
      <c r="G31" s="355"/>
    </row>
    <row r="32" spans="1:9" x14ac:dyDescent="0.2">
      <c r="A32" s="336" t="s">
        <v>149</v>
      </c>
      <c r="B32" s="337">
        <f>C8-B33</f>
        <v>1034822</v>
      </c>
      <c r="C32" s="338">
        <f>B32/C8</f>
        <v>0.65021190500874948</v>
      </c>
      <c r="D32" s="339">
        <f>+B32+'[2]Monthly Summary'!$D$32</f>
        <v>12109787</v>
      </c>
      <c r="E32" s="340">
        <f>+D32/D34</f>
        <v>0.63133069386236196</v>
      </c>
      <c r="G32" s="2"/>
      <c r="I32" s="353"/>
    </row>
    <row r="33" spans="1:14" ht="13.5" thickBot="1" x14ac:dyDescent="0.25">
      <c r="A33" s="341" t="s">
        <v>150</v>
      </c>
      <c r="B33" s="342">
        <f>'Major Airline Stats'!K51+'Regional Major'!M45</f>
        <v>556693</v>
      </c>
      <c r="C33" s="343">
        <f>+B33/C8</f>
        <v>0.34978809499125046</v>
      </c>
      <c r="D33" s="344">
        <f>+B33+'[2]Monthly Summary'!$D$33</f>
        <v>7071582</v>
      </c>
      <c r="E33" s="345">
        <f>+D33/D34</f>
        <v>0.36866930613763804</v>
      </c>
      <c r="I33" s="353"/>
    </row>
    <row r="34" spans="1:14" ht="13.5" thickBot="1" x14ac:dyDescent="0.25">
      <c r="B34" s="267"/>
      <c r="D34" s="346">
        <f>SUM(D32:D33)</f>
        <v>19181369</v>
      </c>
    </row>
    <row r="35" spans="1:14" ht="13.5" thickBot="1" x14ac:dyDescent="0.25">
      <c r="B35" s="460" t="s">
        <v>227</v>
      </c>
      <c r="C35" s="461"/>
      <c r="D35" s="462" t="s">
        <v>212</v>
      </c>
      <c r="E35" s="461"/>
    </row>
    <row r="36" spans="1:14" x14ac:dyDescent="0.2">
      <c r="A36" s="336" t="s">
        <v>149</v>
      </c>
      <c r="B36" s="337">
        <f>'[1]Monthly Summary'!$B$32</f>
        <v>908104</v>
      </c>
      <c r="C36" s="338">
        <f>+B36/B38</f>
        <v>0.64537779770860271</v>
      </c>
      <c r="D36" s="339">
        <f>'[1]Monthly Summary'!$D$32</f>
        <v>11528009</v>
      </c>
      <c r="E36" s="340">
        <f>+D36/D38</f>
        <v>0.62697688872969137</v>
      </c>
    </row>
    <row r="37" spans="1:14" ht="13.5" thickBot="1" x14ac:dyDescent="0.25">
      <c r="A37" s="341" t="s">
        <v>150</v>
      </c>
      <c r="B37" s="342">
        <f>'[1]Monthly Summary'!$B$33</f>
        <v>498985</v>
      </c>
      <c r="C37" s="345">
        <f>+B37/B38</f>
        <v>0.35462220229139735</v>
      </c>
      <c r="D37" s="344">
        <f>'[1]Monthly Summary'!$D$33</f>
        <v>6858648</v>
      </c>
      <c r="E37" s="345">
        <f>+D37/D38</f>
        <v>0.37302311127030868</v>
      </c>
      <c r="M37" s="1"/>
    </row>
    <row r="38" spans="1:14" x14ac:dyDescent="0.2">
      <c r="B38" s="358">
        <f>+SUM(B36:B37)</f>
        <v>1407089</v>
      </c>
      <c r="D38" s="346">
        <f>SUM(D36:D37)</f>
        <v>18386657</v>
      </c>
    </row>
    <row r="39" spans="1:14" x14ac:dyDescent="0.2">
      <c r="A39" s="350" t="s">
        <v>151</v>
      </c>
    </row>
    <row r="40" spans="1:14" x14ac:dyDescent="0.2">
      <c r="A40" s="194" t="s">
        <v>153</v>
      </c>
      <c r="I40" s="2"/>
    </row>
    <row r="41" spans="1:14" x14ac:dyDescent="0.2">
      <c r="N41" s="351"/>
    </row>
    <row r="42" spans="1:14" x14ac:dyDescent="0.2">
      <c r="G42" s="2"/>
      <c r="N42" s="351"/>
    </row>
    <row r="43" spans="1:14" x14ac:dyDescent="0.2">
      <c r="B43" s="267"/>
      <c r="J43" s="2"/>
      <c r="N43" s="351"/>
    </row>
    <row r="44" spans="1:14" x14ac:dyDescent="0.2">
      <c r="B44" s="267"/>
      <c r="N44" s="351"/>
    </row>
    <row r="45" spans="1:14" x14ac:dyDescent="0.2">
      <c r="J45" s="2"/>
      <c r="N45" s="351"/>
    </row>
    <row r="46" spans="1:14" x14ac:dyDescent="0.2">
      <c r="B46" s="2"/>
      <c r="F46" s="267"/>
    </row>
    <row r="47" spans="1:14" x14ac:dyDescent="0.2">
      <c r="N47" s="351"/>
    </row>
    <row r="51" spans="12:12" x14ac:dyDescent="0.2">
      <c r="L51" s="35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4" priority="13" stopIfTrue="1">
      <formula>"*.*"</formula>
    </cfRule>
  </conditionalFormatting>
  <conditionalFormatting sqref="B13:C13 I13:I14">
    <cfRule type="expression" dxfId="3" priority="8" stopIfTrue="1">
      <formula>"*.*"</formula>
    </cfRule>
  </conditionalFormatting>
  <conditionalFormatting sqref="B24:C24 I24:I25">
    <cfRule type="expression" dxfId="2" priority="7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December 2019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37"/>
  <sheetViews>
    <sheetView zoomScaleNormal="100" zoomScaleSheetLayoutView="100" workbookViewId="0">
      <selection activeCell="N23" activeCellId="1" sqref="N18 N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85546875" bestFit="1" customWidth="1"/>
    <col min="4" max="5" width="11.28515625" customWidth="1"/>
    <col min="6" max="6" width="11.85546875" bestFit="1" customWidth="1"/>
    <col min="7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25">
        <v>43800</v>
      </c>
      <c r="B1" s="373" t="s">
        <v>18</v>
      </c>
      <c r="C1" s="441" t="s">
        <v>161</v>
      </c>
      <c r="D1" s="372" t="s">
        <v>168</v>
      </c>
      <c r="E1" s="372" t="s">
        <v>167</v>
      </c>
      <c r="F1" s="372" t="s">
        <v>49</v>
      </c>
      <c r="G1" s="372" t="s">
        <v>115</v>
      </c>
      <c r="H1" s="372" t="s">
        <v>200</v>
      </c>
      <c r="I1" s="372" t="s">
        <v>223</v>
      </c>
      <c r="J1" s="372" t="s">
        <v>205</v>
      </c>
      <c r="K1" s="372" t="s">
        <v>166</v>
      </c>
      <c r="L1" s="372" t="s">
        <v>160</v>
      </c>
      <c r="M1" s="372" t="s">
        <v>142</v>
      </c>
      <c r="N1" s="372" t="s">
        <v>21</v>
      </c>
    </row>
    <row r="2" spans="1:14" ht="15" x14ac:dyDescent="0.25">
      <c r="A2" s="496" t="s">
        <v>143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8"/>
    </row>
    <row r="3" spans="1:14" x14ac:dyDescent="0.2">
      <c r="A3" s="47" t="s">
        <v>29</v>
      </c>
      <c r="N3" s="40"/>
    </row>
    <row r="4" spans="1:14" x14ac:dyDescent="0.2">
      <c r="A4" s="47" t="s">
        <v>30</v>
      </c>
      <c r="B4" s="13">
        <f>[3]Delta!$GM$32</f>
        <v>76606</v>
      </c>
      <c r="C4" s="13">
        <f>[3]Pinnacle!$GM$32</f>
        <v>6799</v>
      </c>
      <c r="D4" s="13">
        <f>'[3]Sky West'!$GM$32</f>
        <v>10923</v>
      </c>
      <c r="E4" s="13">
        <f>'[3]Go Jet'!$GM$32</f>
        <v>0</v>
      </c>
      <c r="F4" s="13">
        <f>'[3]Sun Country'!$GM$32</f>
        <v>10020</v>
      </c>
      <c r="G4" s="13">
        <f>[3]Icelandair!$GM$32</f>
        <v>1983</v>
      </c>
      <c r="H4" s="13">
        <f>[3]KLM!$GM$32</f>
        <v>4803</v>
      </c>
      <c r="I4" s="13">
        <f>'[3]Aer Lingus'!$GM$32</f>
        <v>3499</v>
      </c>
      <c r="J4" s="13">
        <f>'[3]Sky Regional'!$GM$32</f>
        <v>4982</v>
      </c>
      <c r="K4" s="13">
        <f>[3]Condor!$GM$32</f>
        <v>0</v>
      </c>
      <c r="L4" s="13">
        <f>'[3]Air France'!$GM$32</f>
        <v>0</v>
      </c>
      <c r="M4" s="13">
        <f>'[3]Charter Misc'!$GM$32+[3]Ryan!$GM$32+[3]Omni!$GM$32</f>
        <v>84</v>
      </c>
      <c r="N4" s="242">
        <f>SUM(B4:M4)</f>
        <v>119699</v>
      </c>
    </row>
    <row r="5" spans="1:14" x14ac:dyDescent="0.2">
      <c r="A5" s="47" t="s">
        <v>31</v>
      </c>
      <c r="B5" s="7">
        <f>[3]Delta!$GM$33</f>
        <v>87087</v>
      </c>
      <c r="C5" s="7">
        <f>[3]Pinnacle!$GM$33</f>
        <v>6783</v>
      </c>
      <c r="D5" s="7">
        <f>'[3]Sky West'!$GM$33</f>
        <v>11189</v>
      </c>
      <c r="E5" s="7">
        <f>'[3]Go Jet'!$GM$33</f>
        <v>0</v>
      </c>
      <c r="F5" s="7">
        <f>'[3]Sun Country'!$GM$33</f>
        <v>16951</v>
      </c>
      <c r="G5" s="7">
        <f>[3]Icelandair!$GM$33</f>
        <v>2276</v>
      </c>
      <c r="H5" s="7">
        <f>[3]KLM!$GM$33</f>
        <v>4617</v>
      </c>
      <c r="I5" s="7">
        <f>'[3]Aer Lingus'!$GM$33</f>
        <v>3375</v>
      </c>
      <c r="J5" s="7">
        <f>'[3]Sky Regional'!$GM$33</f>
        <v>4713</v>
      </c>
      <c r="K5" s="7">
        <f>[3]Condor!$GM$33</f>
        <v>0</v>
      </c>
      <c r="L5" s="7">
        <f>'[3]Air France'!$GM$33</f>
        <v>0</v>
      </c>
      <c r="M5" s="7">
        <f>'[3]Charter Misc'!$GM$33++[3]Ryan!$GM$33+[3]Omni!$GM$33</f>
        <v>0</v>
      </c>
      <c r="N5" s="243">
        <f>SUM(B5:M5)</f>
        <v>136991</v>
      </c>
    </row>
    <row r="6" spans="1:14" ht="15" x14ac:dyDescent="0.25">
      <c r="A6" s="45" t="s">
        <v>7</v>
      </c>
      <c r="B6" s="25">
        <f t="shared" ref="B6:M6" si="0">SUM(B4:B5)</f>
        <v>163693</v>
      </c>
      <c r="C6" s="25">
        <f t="shared" si="0"/>
        <v>13582</v>
      </c>
      <c r="D6" s="25">
        <f t="shared" si="0"/>
        <v>22112</v>
      </c>
      <c r="E6" s="25">
        <f t="shared" ref="E6" si="1">SUM(E4:E5)</f>
        <v>0</v>
      </c>
      <c r="F6" s="25">
        <f t="shared" si="0"/>
        <v>26971</v>
      </c>
      <c r="G6" s="25">
        <f t="shared" si="0"/>
        <v>4259</v>
      </c>
      <c r="H6" s="25">
        <f t="shared" ref="H6:I6" si="2">SUM(H4:H5)</f>
        <v>9420</v>
      </c>
      <c r="I6" s="25">
        <f t="shared" si="2"/>
        <v>6874</v>
      </c>
      <c r="J6" s="25">
        <f t="shared" ref="J6" si="3">SUM(J4:J5)</f>
        <v>9695</v>
      </c>
      <c r="K6" s="25">
        <f t="shared" ref="K6" si="4">SUM(K4:K5)</f>
        <v>0</v>
      </c>
      <c r="L6" s="25">
        <f t="shared" si="0"/>
        <v>0</v>
      </c>
      <c r="M6" s="25">
        <f t="shared" si="0"/>
        <v>84</v>
      </c>
      <c r="N6" s="244">
        <f>SUM(B6:M6)</f>
        <v>256690</v>
      </c>
    </row>
    <row r="7" spans="1:14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242"/>
    </row>
    <row r="8" spans="1:14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242">
        <f>SUM(B8:M8)</f>
        <v>0</v>
      </c>
    </row>
    <row r="9" spans="1:14" x14ac:dyDescent="0.2">
      <c r="A9" s="47" t="s">
        <v>30</v>
      </c>
      <c r="B9" s="13">
        <f>[3]Delta!$GM$37</f>
        <v>1985</v>
      </c>
      <c r="C9" s="13">
        <f>[3]Pinnacle!$GM$37</f>
        <v>163</v>
      </c>
      <c r="D9" s="13">
        <f>'[3]Sky West'!$GM$37</f>
        <v>108</v>
      </c>
      <c r="E9" s="13">
        <f>'[3]Go Jet'!$GM$37</f>
        <v>0</v>
      </c>
      <c r="F9" s="13">
        <f>'[3]Sun Country'!$GM$37</f>
        <v>242</v>
      </c>
      <c r="G9" s="13">
        <f>[3]Icelandair!$GM$37</f>
        <v>82</v>
      </c>
      <c r="H9" s="13">
        <f>[3]KLM!$GM$37</f>
        <v>14</v>
      </c>
      <c r="I9" s="13">
        <f>'[3]Aer Lingus'!$GM$37</f>
        <v>43</v>
      </c>
      <c r="J9" s="13">
        <f>'[3]Sky Regional'!$GM$37</f>
        <v>52</v>
      </c>
      <c r="K9" s="13">
        <f>[3]Condor!$GM$37</f>
        <v>0</v>
      </c>
      <c r="L9" s="13">
        <f>'[3]Air France'!$GM$37</f>
        <v>0</v>
      </c>
      <c r="M9" s="13">
        <f>'[3]Charter Misc'!$GM$37+[3]Ryan!$GM$37+[3]Omni!$GM$37</f>
        <v>0</v>
      </c>
      <c r="N9" s="242">
        <f>SUM(B9:M9)</f>
        <v>2689</v>
      </c>
    </row>
    <row r="10" spans="1:14" x14ac:dyDescent="0.2">
      <c r="A10" s="47" t="s">
        <v>33</v>
      </c>
      <c r="B10" s="7">
        <f>[3]Delta!$GM$38</f>
        <v>2233</v>
      </c>
      <c r="C10" s="7">
        <f>[3]Pinnacle!$GM$38</f>
        <v>123</v>
      </c>
      <c r="D10" s="7">
        <f>'[3]Sky West'!$GM$38</f>
        <v>114</v>
      </c>
      <c r="E10" s="7">
        <f>'[3]Go Jet'!$GM$38</f>
        <v>0</v>
      </c>
      <c r="F10" s="7">
        <f>'[3]Sun Country'!$GM$38</f>
        <v>282</v>
      </c>
      <c r="G10" s="7">
        <f>[3]Icelandair!$GM$38</f>
        <v>94</v>
      </c>
      <c r="H10" s="7">
        <f>[3]KLM!$GM$38</f>
        <v>11</v>
      </c>
      <c r="I10" s="7">
        <f>'[3]Aer Lingus'!$GM$38</f>
        <v>39</v>
      </c>
      <c r="J10" s="7">
        <f>'[3]Sky Regional'!$GM$38</f>
        <v>54</v>
      </c>
      <c r="K10" s="7">
        <f>[3]Condor!$GM$38</f>
        <v>0</v>
      </c>
      <c r="L10" s="7">
        <f>'[3]Air France'!$GM$38</f>
        <v>0</v>
      </c>
      <c r="M10" s="7">
        <f>'[3]Charter Misc'!$GM$38+[3]Ryan!$GM$38+[3]Omni!$GM$38</f>
        <v>0</v>
      </c>
      <c r="N10" s="243">
        <f>SUM(B10:M10)</f>
        <v>2950</v>
      </c>
    </row>
    <row r="11" spans="1:14" ht="15.75" thickBot="1" x14ac:dyDescent="0.3">
      <c r="A11" s="48" t="s">
        <v>34</v>
      </c>
      <c r="B11" s="245">
        <f t="shared" ref="B11:F11" si="5">SUM(B9:B10)</f>
        <v>4218</v>
      </c>
      <c r="C11" s="245">
        <f t="shared" si="5"/>
        <v>286</v>
      </c>
      <c r="D11" s="245">
        <f t="shared" si="5"/>
        <v>222</v>
      </c>
      <c r="E11" s="245">
        <f t="shared" ref="E11" si="6">SUM(E9:E10)</f>
        <v>0</v>
      </c>
      <c r="F11" s="245">
        <f t="shared" si="5"/>
        <v>524</v>
      </c>
      <c r="G11" s="245">
        <f t="shared" ref="G11:M11" si="7">SUM(G9:G10)</f>
        <v>176</v>
      </c>
      <c r="H11" s="245">
        <f t="shared" ref="H11:I11" si="8">SUM(H9:H10)</f>
        <v>25</v>
      </c>
      <c r="I11" s="245">
        <f t="shared" si="8"/>
        <v>82</v>
      </c>
      <c r="J11" s="245">
        <f t="shared" ref="J11" si="9">SUM(J9:J10)</f>
        <v>106</v>
      </c>
      <c r="K11" s="245">
        <f t="shared" si="7"/>
        <v>0</v>
      </c>
      <c r="L11" s="245">
        <f t="shared" si="7"/>
        <v>0</v>
      </c>
      <c r="M11" s="245">
        <f t="shared" si="7"/>
        <v>0</v>
      </c>
      <c r="N11" s="246">
        <f>SUM(B11:M11)</f>
        <v>5639</v>
      </c>
    </row>
    <row r="12" spans="1:14" ht="15" x14ac:dyDescent="0.25">
      <c r="A12" s="330"/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7"/>
    </row>
    <row r="13" spans="1:14" ht="39" thickBot="1" x14ac:dyDescent="0.25">
      <c r="B13" s="373" t="s">
        <v>18</v>
      </c>
      <c r="C13" s="441" t="s">
        <v>161</v>
      </c>
      <c r="D13" s="373" t="s">
        <v>99</v>
      </c>
      <c r="E13" s="372" t="s">
        <v>167</v>
      </c>
      <c r="F13" s="373" t="s">
        <v>141</v>
      </c>
      <c r="G13" s="373" t="s">
        <v>115</v>
      </c>
      <c r="H13" s="372" t="s">
        <v>200</v>
      </c>
      <c r="I13" s="372" t="s">
        <v>223</v>
      </c>
      <c r="J13" s="372" t="s">
        <v>205</v>
      </c>
      <c r="K13" s="372" t="s">
        <v>166</v>
      </c>
      <c r="L13" s="373" t="s">
        <v>160</v>
      </c>
      <c r="M13" s="373" t="s">
        <v>142</v>
      </c>
      <c r="N13" s="372" t="s">
        <v>144</v>
      </c>
    </row>
    <row r="14" spans="1:14" ht="15" x14ac:dyDescent="0.25">
      <c r="A14" s="499" t="s">
        <v>145</v>
      </c>
      <c r="B14" s="500"/>
      <c r="C14" s="500"/>
      <c r="D14" s="500"/>
      <c r="E14" s="500"/>
      <c r="F14" s="500"/>
      <c r="G14" s="500"/>
      <c r="H14" s="500"/>
      <c r="I14" s="500"/>
      <c r="J14" s="500"/>
      <c r="K14" s="500"/>
      <c r="L14" s="500"/>
      <c r="M14" s="500"/>
      <c r="N14" s="501"/>
    </row>
    <row r="15" spans="1:14" x14ac:dyDescent="0.2">
      <c r="A15" s="47" t="s">
        <v>29</v>
      </c>
      <c r="N15" s="40"/>
    </row>
    <row r="16" spans="1:14" x14ac:dyDescent="0.2">
      <c r="A16" s="47" t="s">
        <v>30</v>
      </c>
      <c r="B16" s="13">
        <f>SUM([3]Delta!$GB$32:$GM$32)</f>
        <v>1045472</v>
      </c>
      <c r="C16" s="13">
        <f>SUM([3]Pinnacle!$GB$32:$GM$32)</f>
        <v>77998</v>
      </c>
      <c r="D16" s="13">
        <f>SUM('[3]Sky West'!$GB$32:$GM$32)</f>
        <v>127173</v>
      </c>
      <c r="E16" s="13">
        <f>SUM('[3]Go Jet'!$GB$32:$GM$32)</f>
        <v>5012</v>
      </c>
      <c r="F16" s="13">
        <f>SUM('[3]Sun Country'!$GB$32:$GM$32)</f>
        <v>134789</v>
      </c>
      <c r="G16" s="13">
        <f>SUM([3]Icelandair!$GB$32:$GM$32)</f>
        <v>41290</v>
      </c>
      <c r="H16" s="13">
        <f>SUM([3]KLM!$GB$32:$GM$32)</f>
        <v>50844</v>
      </c>
      <c r="I16" s="13">
        <f>SUM('[3]Aer Lingus'!$GB$32:$GM$32)</f>
        <v>23045</v>
      </c>
      <c r="J16" s="13">
        <f>SUM('[3]Sky Regional'!$GB$32:$GM$32)</f>
        <v>60892</v>
      </c>
      <c r="K16" s="13">
        <f>SUM([3]Condor!$GB$32:$GM$32)</f>
        <v>13214</v>
      </c>
      <c r="L16" s="13">
        <f>SUM('[3]Air France'!$GB$32:$GM$32)</f>
        <v>37221</v>
      </c>
      <c r="M16" s="13">
        <f>SUM('[3]Charter Misc'!$GB$32:$GM$32)+SUM([3]Ryan!$GB$32:$GM$32)+SUM([3]Omni!$GB$32:$GM$32)</f>
        <v>443</v>
      </c>
      <c r="N16" s="242">
        <f>SUM(B16:M16)</f>
        <v>1617393</v>
      </c>
    </row>
    <row r="17" spans="1:17" x14ac:dyDescent="0.2">
      <c r="A17" s="47" t="s">
        <v>31</v>
      </c>
      <c r="B17" s="7">
        <f>SUM([3]Delta!$GB$33:$GM$33)</f>
        <v>1045800</v>
      </c>
      <c r="C17" s="7">
        <f>SUM([3]Pinnacle!$GB$33:$GM$33)</f>
        <v>78884</v>
      </c>
      <c r="D17" s="7">
        <f>SUM('[3]Sky West'!$GB$33:$GM$33)</f>
        <v>128918</v>
      </c>
      <c r="E17" s="7">
        <f>SUM('[3]Go Jet'!$GB$33:$GM$33)</f>
        <v>5685</v>
      </c>
      <c r="F17" s="7">
        <f>SUM('[3]Sun Country'!$GB$33:$GM$33)</f>
        <v>136079</v>
      </c>
      <c r="G17" s="7">
        <f>SUM([3]Icelandair!$GB$33:$GM$33)</f>
        <v>41339</v>
      </c>
      <c r="H17" s="7">
        <f>SUM([3]KLM!$GB$33:$GM$33)</f>
        <v>47058</v>
      </c>
      <c r="I17" s="7">
        <f>SUM('[3]Aer Lingus'!$GB$33:$GM$33)</f>
        <v>22133</v>
      </c>
      <c r="J17" s="7">
        <f>SUM('[3]Sky Regional'!$GB$33:$GM$33)</f>
        <v>59416</v>
      </c>
      <c r="K17" s="7">
        <f>SUM([3]Condor!$GB$33:$GM$33)</f>
        <v>12888</v>
      </c>
      <c r="L17" s="7">
        <f>SUM('[3]Air France'!$GB$33:$GM$33)</f>
        <v>34725</v>
      </c>
      <c r="M17" s="7">
        <f>SUM('[3]Charter Misc'!$GB$33:$GM$33)+SUM([3]Ryan!$GB$33:$GM$33)+SUM([3]Omni!$GB$33:$GM$33)</f>
        <v>381</v>
      </c>
      <c r="N17" s="243">
        <f>SUM(B17:M17)</f>
        <v>1613306</v>
      </c>
    </row>
    <row r="18" spans="1:17" ht="15" x14ac:dyDescent="0.25">
      <c r="A18" s="45" t="s">
        <v>7</v>
      </c>
      <c r="B18" s="25">
        <f t="shared" ref="B18:M18" si="10">SUM(B16:B17)</f>
        <v>2091272</v>
      </c>
      <c r="C18" s="25">
        <f t="shared" si="10"/>
        <v>156882</v>
      </c>
      <c r="D18" s="25">
        <f t="shared" si="10"/>
        <v>256091</v>
      </c>
      <c r="E18" s="25">
        <f t="shared" ref="E18" si="11">SUM(E16:E17)</f>
        <v>10697</v>
      </c>
      <c r="F18" s="25">
        <f t="shared" si="10"/>
        <v>270868</v>
      </c>
      <c r="G18" s="25">
        <f t="shared" si="10"/>
        <v>82629</v>
      </c>
      <c r="H18" s="25">
        <f t="shared" ref="H18:I18" si="12">SUM(H16:H17)</f>
        <v>97902</v>
      </c>
      <c r="I18" s="25">
        <f t="shared" si="12"/>
        <v>45178</v>
      </c>
      <c r="J18" s="25">
        <f t="shared" ref="J18" si="13">SUM(J16:J17)</f>
        <v>120308</v>
      </c>
      <c r="K18" s="25">
        <f t="shared" ref="K18" si="14">SUM(K16:K17)</f>
        <v>26102</v>
      </c>
      <c r="L18" s="25">
        <f t="shared" si="10"/>
        <v>71946</v>
      </c>
      <c r="M18" s="25">
        <f t="shared" si="10"/>
        <v>824</v>
      </c>
      <c r="N18" s="244">
        <f>SUM(B18:M18)</f>
        <v>3230699</v>
      </c>
      <c r="Q18" s="267"/>
    </row>
    <row r="19" spans="1:17" x14ac:dyDescent="0.2">
      <c r="A19" s="47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242"/>
      <c r="Q19" s="97"/>
    </row>
    <row r="20" spans="1:17" x14ac:dyDescent="0.2">
      <c r="A20" s="47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242">
        <f>SUM(B20:M20)</f>
        <v>0</v>
      </c>
    </row>
    <row r="21" spans="1:17" x14ac:dyDescent="0.2">
      <c r="A21" s="47" t="s">
        <v>30</v>
      </c>
      <c r="B21" s="13">
        <f>SUM([3]Delta!$GB$37:$GM$37)</f>
        <v>27416</v>
      </c>
      <c r="C21" s="13">
        <f>SUM([3]Pinnacle!$GB$37:$GM$37)</f>
        <v>1350</v>
      </c>
      <c r="D21" s="13">
        <f>SUM('[3]Sky West'!$GB$37:$GM$37)</f>
        <v>1439</v>
      </c>
      <c r="E21" s="13">
        <f>SUM('[3]Go Jet'!$GB$37:$GM$37)</f>
        <v>110</v>
      </c>
      <c r="F21" s="13">
        <f>SUM('[3]Sun Country'!$GB$37:$GM$37)</f>
        <v>1155</v>
      </c>
      <c r="G21" s="13">
        <f>SUM([3]Icelandair!$GB$37:$GM$37)</f>
        <v>629</v>
      </c>
      <c r="H21" s="13">
        <f>SUM([3]KLM!$GB$37:$GM$37)</f>
        <v>125</v>
      </c>
      <c r="I21" s="13">
        <f>SUM('[3]Aer Lingus'!$GB$37:$GM$37)</f>
        <v>183</v>
      </c>
      <c r="J21" s="13">
        <f>SUM('[3]Sky Regional'!$GB$37:$GM$37)</f>
        <v>704</v>
      </c>
      <c r="K21" s="13">
        <f>SUM([3]Condor!$GB$37:$GM$37)</f>
        <v>23</v>
      </c>
      <c r="L21" s="13">
        <f>SUM('[3]Air France'!$GB$37:$GM$37)</f>
        <v>24</v>
      </c>
      <c r="M21" s="13">
        <f>SUM('[3]Charter Misc'!$GB$37:$GM$37)++SUM([3]Ryan!$GB$37:$GM$37)+SUM([3]Omni!$GB$37:$GM$37)</f>
        <v>0</v>
      </c>
      <c r="N21" s="242">
        <f>SUM(B21:M21)</f>
        <v>33158</v>
      </c>
    </row>
    <row r="22" spans="1:17" x14ac:dyDescent="0.2">
      <c r="A22" s="47" t="s">
        <v>33</v>
      </c>
      <c r="B22" s="7">
        <f>SUM([3]Delta!$GB$38:$GM$38)</f>
        <v>26948</v>
      </c>
      <c r="C22" s="7">
        <f>SUM([3]Pinnacle!$GB$38:$GM$38)</f>
        <v>1244</v>
      </c>
      <c r="D22" s="7">
        <f>SUM('[3]Sky West'!$GB$38:$GM$38)</f>
        <v>1390</v>
      </c>
      <c r="E22" s="7">
        <f>SUM('[3]Go Jet'!$GB$38:$GM$38)</f>
        <v>70</v>
      </c>
      <c r="F22" s="7">
        <f>SUM('[3]Sun Country'!$GB$38:$GM$38)</f>
        <v>1325</v>
      </c>
      <c r="G22" s="7">
        <f>SUM([3]Icelandair!$GB$38:$GM$38)</f>
        <v>674</v>
      </c>
      <c r="H22" s="7">
        <f>SUM([3]KLM!$GB$38:$GM$38)</f>
        <v>148</v>
      </c>
      <c r="I22" s="7">
        <f>SUM('[3]Aer Lingus'!$GB$38:$GM$38)</f>
        <v>142</v>
      </c>
      <c r="J22" s="7">
        <f>SUM('[3]Sky Regional'!$GB$38:$GM$38)</f>
        <v>733</v>
      </c>
      <c r="K22" s="7">
        <f>SUM([3]Condor!$GB$38:$GM$38)</f>
        <v>12</v>
      </c>
      <c r="L22" s="7">
        <f>SUM('[3]Air France'!$GB$38:$GM$38)</f>
        <v>19</v>
      </c>
      <c r="M22" s="7">
        <f>SUM('[3]Charter Misc'!$GB$38:$GM$38)++SUM([3]Ryan!$GB$38:$GM$38)+SUM([3]Omni!$GB$38:$GM$38)</f>
        <v>0</v>
      </c>
      <c r="N22" s="243">
        <f>SUM(B22:M22)</f>
        <v>32705</v>
      </c>
    </row>
    <row r="23" spans="1:17" ht="15.75" thickBot="1" x14ac:dyDescent="0.3">
      <c r="A23" s="48" t="s">
        <v>34</v>
      </c>
      <c r="B23" s="245">
        <f t="shared" ref="B23:M23" si="15">SUM(B21:B22)</f>
        <v>54364</v>
      </c>
      <c r="C23" s="245">
        <f t="shared" si="15"/>
        <v>2594</v>
      </c>
      <c r="D23" s="245">
        <f t="shared" si="15"/>
        <v>2829</v>
      </c>
      <c r="E23" s="245">
        <f t="shared" ref="E23" si="16">SUM(E21:E22)</f>
        <v>180</v>
      </c>
      <c r="F23" s="245">
        <f t="shared" si="15"/>
        <v>2480</v>
      </c>
      <c r="G23" s="245">
        <f t="shared" si="15"/>
        <v>1303</v>
      </c>
      <c r="H23" s="245">
        <f t="shared" ref="H23:I23" si="17">SUM(H21:H22)</f>
        <v>273</v>
      </c>
      <c r="I23" s="245">
        <f t="shared" si="17"/>
        <v>325</v>
      </c>
      <c r="J23" s="245">
        <f t="shared" ref="J23" si="18">SUM(J21:J22)</f>
        <v>1437</v>
      </c>
      <c r="K23" s="245">
        <f t="shared" ref="K23" si="19">SUM(K21:K22)</f>
        <v>35</v>
      </c>
      <c r="L23" s="245">
        <f t="shared" si="15"/>
        <v>43</v>
      </c>
      <c r="M23" s="245">
        <f t="shared" si="15"/>
        <v>0</v>
      </c>
      <c r="N23" s="246">
        <f>SUM(B23:M23)</f>
        <v>65863</v>
      </c>
    </row>
    <row r="25" spans="1:17" ht="39" thickBot="1" x14ac:dyDescent="0.25">
      <c r="B25" s="373" t="s">
        <v>18</v>
      </c>
      <c r="C25" s="441" t="s">
        <v>161</v>
      </c>
      <c r="D25" s="373" t="s">
        <v>99</v>
      </c>
      <c r="E25" s="372" t="s">
        <v>167</v>
      </c>
      <c r="F25" s="373" t="s">
        <v>141</v>
      </c>
      <c r="G25" s="373" t="s">
        <v>115</v>
      </c>
      <c r="H25" s="372" t="s">
        <v>200</v>
      </c>
      <c r="I25" s="372" t="s">
        <v>223</v>
      </c>
      <c r="J25" s="372" t="s">
        <v>205</v>
      </c>
      <c r="K25" s="372" t="s">
        <v>166</v>
      </c>
      <c r="L25" s="373" t="s">
        <v>160</v>
      </c>
      <c r="M25" s="373" t="s">
        <v>142</v>
      </c>
      <c r="N25" s="372" t="s">
        <v>21</v>
      </c>
    </row>
    <row r="26" spans="1:17" ht="15" x14ac:dyDescent="0.25">
      <c r="A26" s="502" t="s">
        <v>146</v>
      </c>
      <c r="B26" s="503"/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03"/>
      <c r="N26" s="504"/>
    </row>
    <row r="27" spans="1:17" x14ac:dyDescent="0.2">
      <c r="A27" s="47" t="s">
        <v>22</v>
      </c>
      <c r="B27" s="13">
        <f>[3]Delta!$GM$15</f>
        <v>532</v>
      </c>
      <c r="C27" s="13">
        <f>[3]Pinnacle!$GM$15</f>
        <v>104</v>
      </c>
      <c r="D27" s="13">
        <f>'[3]Sky West'!$GM$15</f>
        <v>172</v>
      </c>
      <c r="E27" s="13">
        <f>'[3]Go Jet'!$GM$15</f>
        <v>0</v>
      </c>
      <c r="F27" s="13">
        <f>'[3]Sun Country'!$GM$15</f>
        <v>109</v>
      </c>
      <c r="G27" s="13">
        <f>[3]Icelandair!$GM$15</f>
        <v>18</v>
      </c>
      <c r="H27" s="13">
        <f>[3]KLM!$GM$15</f>
        <v>18</v>
      </c>
      <c r="I27" s="13">
        <f>'[3]Aer Lingus'!$GM$15</f>
        <v>29</v>
      </c>
      <c r="J27" s="13">
        <f>'[3]Sky Regional'!$GM$15</f>
        <v>89</v>
      </c>
      <c r="K27" s="13">
        <f>[3]Condor!$GM$15</f>
        <v>0</v>
      </c>
      <c r="L27" s="13">
        <f>'[3]Air France'!$GM$15</f>
        <v>0</v>
      </c>
      <c r="M27" s="13">
        <f>'[3]Charter Misc'!$GM$15+[3]Ryan!$GM$15+[3]Omni!$GM$15</f>
        <v>0</v>
      </c>
      <c r="N27" s="242">
        <f>SUM(B27:M27)</f>
        <v>1071</v>
      </c>
    </row>
    <row r="28" spans="1:17" x14ac:dyDescent="0.2">
      <c r="A28" s="47" t="s">
        <v>23</v>
      </c>
      <c r="B28" s="13">
        <f>[3]Delta!$GM$16</f>
        <v>523</v>
      </c>
      <c r="C28" s="13">
        <f>[3]Pinnacle!$GM$16</f>
        <v>102</v>
      </c>
      <c r="D28" s="13">
        <f>'[3]Sky West'!$GM$16</f>
        <v>175</v>
      </c>
      <c r="E28" s="13">
        <f>'[3]Go Jet'!$GM$16</f>
        <v>0</v>
      </c>
      <c r="F28" s="13">
        <f>'[3]Sun Country'!$GM$16</f>
        <v>112</v>
      </c>
      <c r="G28" s="13">
        <f>[3]Icelandair!$GM$16</f>
        <v>18</v>
      </c>
      <c r="H28" s="13">
        <f>[3]KLM!$GM$16</f>
        <v>18</v>
      </c>
      <c r="I28" s="13">
        <f>'[3]Aer Lingus'!$GM$16</f>
        <v>29</v>
      </c>
      <c r="J28" s="13">
        <f>'[3]Sky Regional'!$GM$16</f>
        <v>89</v>
      </c>
      <c r="K28" s="13">
        <f>[3]Condor!$GM$16</f>
        <v>0</v>
      </c>
      <c r="L28" s="13">
        <f>'[3]Air France'!$GM$16</f>
        <v>0</v>
      </c>
      <c r="M28" s="13">
        <f>'[3]Charter Misc'!$GM$16+[3]Ryan!$GM$16+[3]Omni!$GM$16</f>
        <v>0</v>
      </c>
      <c r="N28" s="242">
        <f>SUM(B28:M28)</f>
        <v>1066</v>
      </c>
    </row>
    <row r="29" spans="1:17" x14ac:dyDescent="0.2">
      <c r="A29" s="4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42"/>
    </row>
    <row r="30" spans="1:17" ht="15.75" thickBot="1" x14ac:dyDescent="0.3">
      <c r="A30" s="48" t="s">
        <v>28</v>
      </c>
      <c r="B30" s="328">
        <f t="shared" ref="B30:G30" si="20">SUM(B27:B28)</f>
        <v>1055</v>
      </c>
      <c r="C30" s="328">
        <f t="shared" si="20"/>
        <v>206</v>
      </c>
      <c r="D30" s="328">
        <f>SUM(D27:D28)</f>
        <v>347</v>
      </c>
      <c r="E30" s="328">
        <f>SUM(E27:E28)</f>
        <v>0</v>
      </c>
      <c r="F30" s="328">
        <f t="shared" si="20"/>
        <v>221</v>
      </c>
      <c r="G30" s="328">
        <f t="shared" si="20"/>
        <v>36</v>
      </c>
      <c r="H30" s="328">
        <f t="shared" ref="H30:I30" si="21">SUM(H27:H28)</f>
        <v>36</v>
      </c>
      <c r="I30" s="328">
        <f t="shared" si="21"/>
        <v>58</v>
      </c>
      <c r="J30" s="328">
        <f t="shared" ref="J30" si="22">SUM(J27:J28)</f>
        <v>178</v>
      </c>
      <c r="K30" s="328">
        <f>SUM(K27:K28)</f>
        <v>0</v>
      </c>
      <c r="L30" s="328">
        <f>SUM(L27:L28)</f>
        <v>0</v>
      </c>
      <c r="M30" s="328">
        <f>SUM(M27:M28)</f>
        <v>0</v>
      </c>
      <c r="N30" s="329">
        <f>SUM(B30:M30)</f>
        <v>2137</v>
      </c>
    </row>
    <row r="31" spans="1:17" ht="15" x14ac:dyDescent="0.25">
      <c r="A31" s="330"/>
    </row>
    <row r="32" spans="1:17" ht="39" thickBot="1" x14ac:dyDescent="0.25">
      <c r="B32" s="373" t="s">
        <v>18</v>
      </c>
      <c r="C32" s="441" t="s">
        <v>161</v>
      </c>
      <c r="D32" s="373" t="s">
        <v>99</v>
      </c>
      <c r="E32" s="372" t="s">
        <v>167</v>
      </c>
      <c r="F32" s="373" t="s">
        <v>141</v>
      </c>
      <c r="G32" s="373" t="s">
        <v>115</v>
      </c>
      <c r="H32" s="372" t="s">
        <v>200</v>
      </c>
      <c r="I32" s="372" t="s">
        <v>223</v>
      </c>
      <c r="J32" s="372" t="s">
        <v>205</v>
      </c>
      <c r="K32" s="372" t="s">
        <v>166</v>
      </c>
      <c r="L32" s="373" t="s">
        <v>160</v>
      </c>
      <c r="M32" s="373" t="s">
        <v>142</v>
      </c>
      <c r="N32" s="372" t="s">
        <v>144</v>
      </c>
    </row>
    <row r="33" spans="1:14" ht="15" x14ac:dyDescent="0.25">
      <c r="A33" s="505" t="s">
        <v>147</v>
      </c>
      <c r="B33" s="506"/>
      <c r="C33" s="506"/>
      <c r="D33" s="506"/>
      <c r="E33" s="506"/>
      <c r="F33" s="506"/>
      <c r="G33" s="506"/>
      <c r="H33" s="506"/>
      <c r="I33" s="506"/>
      <c r="J33" s="506"/>
      <c r="K33" s="506"/>
      <c r="L33" s="506"/>
      <c r="M33" s="506"/>
      <c r="N33" s="507"/>
    </row>
    <row r="34" spans="1:14" x14ac:dyDescent="0.2">
      <c r="A34" s="47" t="s">
        <v>22</v>
      </c>
      <c r="B34" s="13">
        <f>SUM([3]Delta!$GB$15:$GM$15)</f>
        <v>6415</v>
      </c>
      <c r="C34" s="13">
        <f>SUM([3]Pinnacle!$GB$15:$GM$15)</f>
        <v>1179</v>
      </c>
      <c r="D34" s="13">
        <f>SUM('[3]Sky West'!$GB$15:$GM$15)</f>
        <v>2014</v>
      </c>
      <c r="E34" s="13">
        <f>SUM('[3]Go Jet'!$GB$15:$GM$15)</f>
        <v>95</v>
      </c>
      <c r="F34" s="13">
        <f>SUM('[3]Sun Country'!$GB$15:$GM$15)</f>
        <v>1015</v>
      </c>
      <c r="G34" s="13">
        <f>SUM([3]Icelandair!$GB$15:$GM$15)</f>
        <v>255</v>
      </c>
      <c r="H34" s="13">
        <f>SUM([3]KLM!$GB$15:$GM$15)</f>
        <v>203</v>
      </c>
      <c r="I34" s="13">
        <f>SUM('[3]Aer Lingus'!$GB$15:$GM$15)</f>
        <v>173</v>
      </c>
      <c r="J34" s="13">
        <f>SUM('[3]Sky Regional'!$GB$15:$GM$15)</f>
        <v>1079</v>
      </c>
      <c r="K34" s="13">
        <f>SUM([3]Condor!$GB$15:$GM$15)</f>
        <v>54</v>
      </c>
      <c r="L34" s="13">
        <f>SUM('[3]Air France'!$GB$15:$GM$15)</f>
        <v>140</v>
      </c>
      <c r="M34" s="13">
        <f>SUM('[3]Charter Misc'!$GB$15:$GM$15)+SUM([3]Ryan!$GB$15:$GM$15)+SUM([3]Omni!$GB$15:$GM$15)</f>
        <v>1</v>
      </c>
      <c r="N34" s="242">
        <f>SUM(B34:M34)</f>
        <v>12623</v>
      </c>
    </row>
    <row r="35" spans="1:14" x14ac:dyDescent="0.2">
      <c r="A35" s="47" t="s">
        <v>23</v>
      </c>
      <c r="B35" s="13">
        <f>SUM([3]Delta!$GB$16:$GM$16)</f>
        <v>6424</v>
      </c>
      <c r="C35" s="13">
        <f>SUM([3]Pinnacle!$GB$16:$GM$16)</f>
        <v>1178</v>
      </c>
      <c r="D35" s="13">
        <f>SUM('[3]Sky West'!$GB$16:$GM$16)</f>
        <v>2021</v>
      </c>
      <c r="E35" s="13">
        <f>SUM('[3]Go Jet'!$GB$16:$GM$16)</f>
        <v>95</v>
      </c>
      <c r="F35" s="13">
        <f>SUM('[3]Sun Country'!$GB$16:$GM$16)</f>
        <v>1011</v>
      </c>
      <c r="G35" s="13">
        <f>SUM([3]Icelandair!$GB$16:$GM$16)</f>
        <v>255</v>
      </c>
      <c r="H35" s="13">
        <f>SUM([3]KLM!$GB$16:$GM$16)</f>
        <v>203</v>
      </c>
      <c r="I35" s="13">
        <f>SUM('[3]Aer Lingus'!$GB$16:$GM$16)</f>
        <v>173</v>
      </c>
      <c r="J35" s="13">
        <f>SUM('[3]Sky Regional'!$GB$16:$GM$16)</f>
        <v>1079</v>
      </c>
      <c r="K35" s="13">
        <f>SUM([3]Condor!$GB$16:$GM$16)</f>
        <v>54</v>
      </c>
      <c r="L35" s="13">
        <f>SUM('[3]Air France'!$GB$16:$GM$16)</f>
        <v>140</v>
      </c>
      <c r="M35" s="13">
        <f>SUM('[3]Charter Misc'!$GB$16:$GM$16)+SUM([3]Ryan!$GB$16:$GM$16)+SUM([3]Omni!$GB$16:$GM$16)</f>
        <v>2</v>
      </c>
      <c r="N35" s="242">
        <f>SUM(B35:M35)</f>
        <v>12635</v>
      </c>
    </row>
    <row r="36" spans="1:14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242"/>
    </row>
    <row r="37" spans="1:14" ht="15.75" thickBot="1" x14ac:dyDescent="0.3">
      <c r="A37" s="48" t="s">
        <v>28</v>
      </c>
      <c r="B37" s="328">
        <f t="shared" ref="B37:G37" si="23">+SUM(B34:B35)</f>
        <v>12839</v>
      </c>
      <c r="C37" s="328">
        <f t="shared" si="23"/>
        <v>2357</v>
      </c>
      <c r="D37" s="328">
        <f>+SUM(D34:D35)</f>
        <v>4035</v>
      </c>
      <c r="E37" s="328">
        <f>+SUM(E34:E35)</f>
        <v>190</v>
      </c>
      <c r="F37" s="328">
        <f t="shared" si="23"/>
        <v>2026</v>
      </c>
      <c r="G37" s="328">
        <f t="shared" si="23"/>
        <v>510</v>
      </c>
      <c r="H37" s="328">
        <f t="shared" ref="H37:I37" si="24">+SUM(H34:H35)</f>
        <v>406</v>
      </c>
      <c r="I37" s="328">
        <f t="shared" si="24"/>
        <v>346</v>
      </c>
      <c r="J37" s="328">
        <f t="shared" ref="J37" si="25">+SUM(J34:J35)</f>
        <v>2158</v>
      </c>
      <c r="K37" s="328">
        <f>+SUM(K34:K35)</f>
        <v>108</v>
      </c>
      <c r="L37" s="328">
        <f>+SUM(L34:L35)</f>
        <v>280</v>
      </c>
      <c r="M37" s="328">
        <f>+SUM(M34:M35)</f>
        <v>3</v>
      </c>
      <c r="N37" s="329">
        <f>SUM(B37:M37)</f>
        <v>25258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2" orientation="landscape" r:id="rId1"/>
  <headerFooter alignWithMargins="0">
    <oddHeader>&amp;LSchedule 9&amp;CMinneapolis-St. Paul International Airport
&amp;"Arial,Bold"International Detail&amp;"Arial,Regular"
&amp;"Arial,Bold"December 2019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708"/>
  <sheetViews>
    <sheetView topLeftCell="A37" zoomScaleNormal="100" zoomScaleSheetLayoutView="115" workbookViewId="0">
      <selection activeCell="O17" sqref="O17"/>
    </sheetView>
  </sheetViews>
  <sheetFormatPr defaultRowHeight="12.75" x14ac:dyDescent="0.2"/>
  <cols>
    <col min="1" max="1" width="3.42578125" customWidth="1"/>
    <col min="2" max="2" width="14.42578125" bestFit="1" customWidth="1"/>
    <col min="3" max="3" width="9.85546875" style="2" bestFit="1" customWidth="1"/>
    <col min="4" max="4" width="9.140625" style="2" bestFit="1" customWidth="1"/>
    <col min="5" max="5" width="9.28515625" style="3" bestFit="1" customWidth="1"/>
    <col min="6" max="6" width="8.7109375" style="192" bestFit="1" customWidth="1"/>
    <col min="7" max="7" width="8.7109375" style="2" bestFit="1" customWidth="1"/>
    <col min="8" max="8" width="9" style="3" bestFit="1" customWidth="1"/>
    <col min="9" max="9" width="8.85546875" style="3" bestFit="1" customWidth="1"/>
    <col min="10" max="10" width="4.140625" style="3" customWidth="1"/>
    <col min="11" max="11" width="14.42578125" style="196" bestFit="1" customWidth="1"/>
    <col min="12" max="13" width="14.140625" style="2" bestFit="1" customWidth="1"/>
    <col min="14" max="14" width="11.7109375" style="3" customWidth="1"/>
    <col min="15" max="16" width="10.855468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8" s="9" customFormat="1" ht="26.25" thickBot="1" x14ac:dyDescent="0.25">
      <c r="A1" s="511" t="s">
        <v>134</v>
      </c>
      <c r="B1" s="512"/>
      <c r="C1" s="381" t="s">
        <v>218</v>
      </c>
      <c r="D1" s="382" t="s">
        <v>201</v>
      </c>
      <c r="E1" s="229" t="s">
        <v>97</v>
      </c>
      <c r="F1" s="228" t="s">
        <v>219</v>
      </c>
      <c r="G1" s="382" t="s">
        <v>202</v>
      </c>
      <c r="H1" s="227" t="s">
        <v>98</v>
      </c>
      <c r="I1" s="229" t="s">
        <v>139</v>
      </c>
      <c r="J1" s="517" t="s">
        <v>138</v>
      </c>
      <c r="K1" s="518"/>
      <c r="L1" s="379" t="s">
        <v>220</v>
      </c>
      <c r="M1" s="380" t="s">
        <v>203</v>
      </c>
      <c r="N1" s="298" t="s">
        <v>98</v>
      </c>
      <c r="O1" s="415" t="s">
        <v>221</v>
      </c>
      <c r="P1" s="230" t="s">
        <v>204</v>
      </c>
      <c r="Q1" s="413" t="s">
        <v>98</v>
      </c>
      <c r="R1" s="416" t="s">
        <v>139</v>
      </c>
    </row>
    <row r="2" spans="1:18" s="9" customFormat="1" ht="13.5" customHeight="1" thickBot="1" x14ac:dyDescent="0.25">
      <c r="A2" s="513">
        <v>43800</v>
      </c>
      <c r="B2" s="514"/>
      <c r="C2" s="515" t="s">
        <v>9</v>
      </c>
      <c r="D2" s="516"/>
      <c r="E2" s="516"/>
      <c r="F2" s="516"/>
      <c r="G2" s="516"/>
      <c r="H2" s="516"/>
      <c r="I2" s="383"/>
      <c r="J2" s="513">
        <f>+A2</f>
        <v>43800</v>
      </c>
      <c r="K2" s="514"/>
      <c r="L2" s="508" t="s">
        <v>140</v>
      </c>
      <c r="M2" s="509"/>
      <c r="N2" s="509"/>
      <c r="O2" s="509"/>
      <c r="P2" s="509"/>
      <c r="Q2" s="509"/>
      <c r="R2" s="510"/>
    </row>
    <row r="3" spans="1:18" x14ac:dyDescent="0.2">
      <c r="A3" s="299"/>
      <c r="B3" s="300"/>
      <c r="C3" s="301"/>
      <c r="D3" s="302"/>
      <c r="E3" s="303"/>
      <c r="F3" s="356"/>
      <c r="G3" s="302"/>
      <c r="H3" s="411"/>
      <c r="I3" s="303"/>
      <c r="J3" s="304"/>
      <c r="K3" s="300"/>
      <c r="L3" s="310"/>
      <c r="N3" s="67"/>
      <c r="O3" s="299"/>
      <c r="P3" s="305"/>
      <c r="Q3" s="305"/>
      <c r="R3" s="300"/>
    </row>
    <row r="4" spans="1:18" x14ac:dyDescent="0.2">
      <c r="A4" s="306" t="s">
        <v>223</v>
      </c>
      <c r="B4" s="40"/>
      <c r="C4" s="307">
        <f>'[3]Aer Lingus'!$GM$19</f>
        <v>58</v>
      </c>
      <c r="D4" s="150">
        <f>'[3]Aer Lingus'!$FY$19</f>
        <v>0</v>
      </c>
      <c r="E4" s="309" t="e">
        <f>(C4-D4)/D4</f>
        <v>#DIV/0!</v>
      </c>
      <c r="F4" s="150">
        <f>SUM('[3]Aer Lingus'!$GB$19:$GM$19)</f>
        <v>346</v>
      </c>
      <c r="G4" s="150">
        <f>SUM('[3]Aer Lingus'!$FN$19:$FY$19)</f>
        <v>0</v>
      </c>
      <c r="H4" s="308" t="e">
        <f>(F4-G4)/G4</f>
        <v>#DIV/0!</v>
      </c>
      <c r="I4" s="309">
        <f>F4/$F$69</f>
        <v>9.2992754090606114E-4</v>
      </c>
      <c r="J4" s="306" t="s">
        <v>223</v>
      </c>
      <c r="K4" s="40"/>
      <c r="L4" s="307">
        <f>'[3]Aer Lingus'!$GM$41</f>
        <v>6874</v>
      </c>
      <c r="M4" s="150">
        <f>'[3]Aer Lingus'!$FY$41</f>
        <v>0</v>
      </c>
      <c r="N4" s="309" t="e">
        <f>(L4-M4)/M4</f>
        <v>#DIV/0!</v>
      </c>
      <c r="O4" s="307">
        <f>SUM('[3]Aer Lingus'!$GB$41:$GM$41)</f>
        <v>45178</v>
      </c>
      <c r="P4" s="150">
        <f>SUM('[3]Aer Lingus'!$FN$41:$FY$41)</f>
        <v>0</v>
      </c>
      <c r="Q4" s="308" t="e">
        <f>(O4-P4)/P4</f>
        <v>#DIV/0!</v>
      </c>
      <c r="R4" s="309">
        <f>O4/$O$69</f>
        <v>1.1781283796413742E-3</v>
      </c>
    </row>
    <row r="5" spans="1:18" x14ac:dyDescent="0.2">
      <c r="A5" s="38"/>
      <c r="B5" s="40"/>
      <c r="C5" s="310"/>
      <c r="D5" s="445"/>
      <c r="E5" s="67"/>
      <c r="F5" s="446"/>
      <c r="G5" s="445"/>
      <c r="H5" s="447"/>
      <c r="I5" s="67"/>
      <c r="J5" s="448"/>
      <c r="K5" s="40"/>
      <c r="L5" s="310"/>
      <c r="N5" s="67"/>
      <c r="O5" s="38"/>
      <c r="P5" s="449"/>
      <c r="Q5" s="449"/>
      <c r="R5" s="40"/>
    </row>
    <row r="6" spans="1:18" ht="14.1" customHeight="1" x14ac:dyDescent="0.2">
      <c r="A6" s="306" t="s">
        <v>100</v>
      </c>
      <c r="B6" s="40"/>
      <c r="C6" s="307">
        <f>SUM(C7:C9)</f>
        <v>178</v>
      </c>
      <c r="D6" s="150">
        <f>SUM(D7:D9)</f>
        <v>174</v>
      </c>
      <c r="E6" s="309">
        <f>(C6-D6)/D6</f>
        <v>2.2988505747126436E-2</v>
      </c>
      <c r="F6" s="307">
        <f>SUM(F7:F9)</f>
        <v>2158</v>
      </c>
      <c r="G6" s="150">
        <f>SUM(G7:G9)</f>
        <v>2080</v>
      </c>
      <c r="H6" s="308">
        <f>(F6-G6)/G6</f>
        <v>3.7499999999999999E-2</v>
      </c>
      <c r="I6" s="309">
        <f>F6/$F$69</f>
        <v>5.7999526973273987E-3</v>
      </c>
      <c r="J6" s="306" t="s">
        <v>100</v>
      </c>
      <c r="K6" s="40"/>
      <c r="L6" s="307">
        <f>SUM(L7:L9)</f>
        <v>9695</v>
      </c>
      <c r="M6" s="150">
        <f>SUM(M7:M9)</f>
        <v>8624</v>
      </c>
      <c r="N6" s="309">
        <f>(L6-M6)/M6</f>
        <v>0.12418831168831169</v>
      </c>
      <c r="O6" s="307">
        <f>SUM(O7:O9)</f>
        <v>120308</v>
      </c>
      <c r="P6" s="150">
        <f>SUM(P7:P9)</f>
        <v>118141</v>
      </c>
      <c r="Q6" s="308">
        <f>(O6-P6)/P6</f>
        <v>1.8342489059682922E-2</v>
      </c>
      <c r="R6" s="309">
        <f>O6/$O$69</f>
        <v>3.1373294324205242E-3</v>
      </c>
    </row>
    <row r="7" spans="1:18" ht="14.1" customHeight="1" x14ac:dyDescent="0.2">
      <c r="A7" s="306"/>
      <c r="B7" s="364" t="s">
        <v>100</v>
      </c>
      <c r="C7" s="310">
        <f>+[3]AirCanada!$GM$19</f>
        <v>0</v>
      </c>
      <c r="D7" s="2">
        <f>+[3]AirCanada!$FY$19</f>
        <v>0</v>
      </c>
      <c r="E7" s="67" t="e">
        <f>(C7-D7)/D7</f>
        <v>#DIV/0!</v>
      </c>
      <c r="F7" s="254">
        <f>SUM([3]AirCanada!$GB$19:$GM$19)</f>
        <v>0</v>
      </c>
      <c r="G7" s="254">
        <f>SUM([3]AirCanada!$FN$19:$FY$19)</f>
        <v>0</v>
      </c>
      <c r="H7" s="369" t="e">
        <f>(F7-G7)/G7</f>
        <v>#DIV/0!</v>
      </c>
      <c r="I7" s="67">
        <f>F7/$F$69</f>
        <v>0</v>
      </c>
      <c r="J7" s="306"/>
      <c r="K7" s="364" t="s">
        <v>100</v>
      </c>
      <c r="L7" s="368">
        <f>+[3]AirCanada!$GM$41</f>
        <v>0</v>
      </c>
      <c r="M7" s="254">
        <f>+[3]AirCanada!$FY$41</f>
        <v>0</v>
      </c>
      <c r="N7" s="370" t="e">
        <f>(L7-M7)/M7</f>
        <v>#DIV/0!</v>
      </c>
      <c r="O7" s="368">
        <f>SUM([3]AirCanada!$GB$41:$GM$41)</f>
        <v>0</v>
      </c>
      <c r="P7" s="254">
        <f>SUM([3]AirCanada!$FN$41:$FY$41)</f>
        <v>0</v>
      </c>
      <c r="Q7" s="369" t="e">
        <f>(O7-P7)/P7</f>
        <v>#DIV/0!</v>
      </c>
      <c r="R7" s="370">
        <f>O7/$O$69</f>
        <v>0</v>
      </c>
    </row>
    <row r="8" spans="1:18" ht="14.1" customHeight="1" x14ac:dyDescent="0.2">
      <c r="A8" s="306"/>
      <c r="B8" s="364" t="s">
        <v>169</v>
      </c>
      <c r="C8" s="310">
        <f>'[3]Air Georgian'!$GM$19</f>
        <v>0</v>
      </c>
      <c r="D8" s="2">
        <f>'[3]Air Georgian'!$FY$19</f>
        <v>0</v>
      </c>
      <c r="E8" s="67" t="e">
        <f>(C8-D8)/D8</f>
        <v>#DIV/0!</v>
      </c>
      <c r="F8" s="254">
        <f>SUM('[3]Air Georgian'!$GB$19:$GM$19)</f>
        <v>0</v>
      </c>
      <c r="G8" s="254">
        <f>SUM('[3]Air Georgian'!$FN$19:$FY$19)</f>
        <v>0</v>
      </c>
      <c r="H8" s="369" t="e">
        <f>(F8-G8)/G8</f>
        <v>#DIV/0!</v>
      </c>
      <c r="I8" s="67">
        <f>F8/$F$69</f>
        <v>0</v>
      </c>
      <c r="J8" s="306"/>
      <c r="K8" s="364" t="s">
        <v>169</v>
      </c>
      <c r="L8" s="310">
        <f>'[3]Air Georgian'!$GM$41</f>
        <v>0</v>
      </c>
      <c r="M8" s="2">
        <f>'[3]Air Georgian'!$FY$41</f>
        <v>0</v>
      </c>
      <c r="N8" s="67" t="e">
        <f>(L8-M8)/M8</f>
        <v>#DIV/0!</v>
      </c>
      <c r="O8" s="310">
        <f>SUM('[3]Air Georgian'!$GB$41:$GM$41)</f>
        <v>0</v>
      </c>
      <c r="P8" s="2">
        <f>SUM('[3]Air Georgian'!$FN$41:$FY$41)</f>
        <v>0</v>
      </c>
      <c r="Q8" s="3" t="e">
        <f>(O8-P8)/P8</f>
        <v>#DIV/0!</v>
      </c>
      <c r="R8" s="67">
        <f>O8/$O$69</f>
        <v>0</v>
      </c>
    </row>
    <row r="9" spans="1:18" ht="14.1" customHeight="1" x14ac:dyDescent="0.2">
      <c r="A9" s="306"/>
      <c r="B9" s="364" t="s">
        <v>198</v>
      </c>
      <c r="C9" s="310">
        <f>'[3]Sky Regional'!$GM$19</f>
        <v>178</v>
      </c>
      <c r="D9" s="2">
        <f>'[3]Sky Regional'!$FY$19</f>
        <v>174</v>
      </c>
      <c r="E9" s="67">
        <f>(C9-D9)/D9</f>
        <v>2.2988505747126436E-2</v>
      </c>
      <c r="F9" s="254">
        <f>SUM('[3]Sky Regional'!$GB$19:$GM$19)</f>
        <v>2158</v>
      </c>
      <c r="G9" s="254">
        <f>SUM('[3]Sky Regional'!$FN$19:$FY$19)</f>
        <v>2080</v>
      </c>
      <c r="H9" s="369">
        <f>(F9-G9)/G9</f>
        <v>3.7499999999999999E-2</v>
      </c>
      <c r="I9" s="67">
        <f>F9/$F$69</f>
        <v>5.7999526973273987E-3</v>
      </c>
      <c r="J9" s="306"/>
      <c r="K9" s="364" t="s">
        <v>198</v>
      </c>
      <c r="L9" s="310">
        <f>'[3]Sky Regional'!$GM$41</f>
        <v>9695</v>
      </c>
      <c r="M9" s="2">
        <f>'[3]Sky Regional'!$FY$41</f>
        <v>8624</v>
      </c>
      <c r="N9" s="67">
        <f>(L9-M9)/M9</f>
        <v>0.12418831168831169</v>
      </c>
      <c r="O9" s="310">
        <f>SUM('[3]Sky Regional'!$GB$41:$GM$41)</f>
        <v>120308</v>
      </c>
      <c r="P9" s="2">
        <f>SUM('[3]Sky Regional'!$FN$41:$FY$41)</f>
        <v>118141</v>
      </c>
      <c r="Q9" s="3">
        <f>(O9-P9)/P9</f>
        <v>1.8342489059682922E-2</v>
      </c>
      <c r="R9" s="67">
        <f>O9/$O$69</f>
        <v>3.1373294324205242E-3</v>
      </c>
    </row>
    <row r="10" spans="1:18" ht="14.1" customHeight="1" x14ac:dyDescent="0.2">
      <c r="A10" s="306"/>
      <c r="B10" s="40"/>
      <c r="C10" s="307"/>
      <c r="D10" s="150"/>
      <c r="E10" s="309"/>
      <c r="F10" s="150"/>
      <c r="G10" s="150"/>
      <c r="H10" s="308"/>
      <c r="I10" s="309"/>
      <c r="J10" s="306"/>
      <c r="K10" s="40"/>
      <c r="L10" s="310"/>
      <c r="N10" s="67"/>
      <c r="O10" s="310"/>
      <c r="P10" s="2"/>
      <c r="Q10" s="3"/>
      <c r="R10" s="67"/>
    </row>
    <row r="11" spans="1:18" ht="14.1" customHeight="1" x14ac:dyDescent="0.2">
      <c r="A11" s="306" t="s">
        <v>183</v>
      </c>
      <c r="B11" s="40"/>
      <c r="C11" s="307">
        <f>'[3]Air Choice One'!$GM$19</f>
        <v>206</v>
      </c>
      <c r="D11" s="150">
        <f>'[3]Air Choice One'!$FY$19</f>
        <v>202</v>
      </c>
      <c r="E11" s="309">
        <f>(C11-D11)/D11</f>
        <v>1.9801980198019802E-2</v>
      </c>
      <c r="F11" s="150">
        <f>SUM('[3]Air Choice One'!$GB$19:$GM$19)</f>
        <v>2426</v>
      </c>
      <c r="G11" s="150">
        <f>SUM('[3]Air Choice One'!$FN$19:$FY$19)</f>
        <v>2376</v>
      </c>
      <c r="H11" s="308">
        <f>(F11-G11)/G11</f>
        <v>2.1043771043771045E-2</v>
      </c>
      <c r="I11" s="309">
        <f>F11/$F$69</f>
        <v>6.5202433937517467E-3</v>
      </c>
      <c r="J11" s="306" t="s">
        <v>183</v>
      </c>
      <c r="K11" s="40"/>
      <c r="L11" s="307">
        <f>'[3]Air Choice One'!$GM$41</f>
        <v>988</v>
      </c>
      <c r="M11" s="150">
        <f>'[3]Air Choice One'!$FY$41</f>
        <v>919</v>
      </c>
      <c r="N11" s="309">
        <f>(L11-M11)/M11</f>
        <v>7.5081610446137106E-2</v>
      </c>
      <c r="O11" s="307">
        <f>SUM('[3]Air Choice One'!$GB$41:$GM$41)</f>
        <v>10413</v>
      </c>
      <c r="P11" s="150">
        <f>SUM('[3]Air Choice One'!$FN$41:$FY$41)</f>
        <v>10093</v>
      </c>
      <c r="Q11" s="308">
        <f>(O11-P11)/P11</f>
        <v>3.1705142177746955E-2</v>
      </c>
      <c r="R11" s="309">
        <f>O11/$O$69</f>
        <v>2.7154479652055489E-4</v>
      </c>
    </row>
    <row r="12" spans="1:18" ht="14.1" customHeight="1" x14ac:dyDescent="0.2">
      <c r="A12" s="306"/>
      <c r="B12" s="40"/>
      <c r="C12" s="307"/>
      <c r="D12" s="150"/>
      <c r="E12" s="309"/>
      <c r="F12" s="150"/>
      <c r="G12" s="150"/>
      <c r="H12" s="308"/>
      <c r="I12" s="309"/>
      <c r="J12" s="306"/>
      <c r="K12" s="40"/>
      <c r="L12" s="310"/>
      <c r="N12" s="67"/>
      <c r="O12" s="310"/>
      <c r="P12" s="2"/>
      <c r="Q12" s="3"/>
      <c r="R12" s="67"/>
    </row>
    <row r="13" spans="1:18" ht="14.1" customHeight="1" x14ac:dyDescent="0.2">
      <c r="A13" s="306" t="s">
        <v>160</v>
      </c>
      <c r="B13" s="40"/>
      <c r="C13" s="307">
        <f>'[3]Air France'!$GM$19</f>
        <v>0</v>
      </c>
      <c r="D13" s="150">
        <f>'[3]Air France'!$FY$19</f>
        <v>0</v>
      </c>
      <c r="E13" s="309" t="e">
        <f>(C13-D13)/D13</f>
        <v>#DIV/0!</v>
      </c>
      <c r="F13" s="150">
        <f>SUM('[3]Air France'!$GB$19:$GM$19)</f>
        <v>280</v>
      </c>
      <c r="G13" s="150">
        <f>SUM('[3]Air France'!$FN$19:$FY$19)</f>
        <v>252</v>
      </c>
      <c r="H13" s="308">
        <f>(F13-G13)/G13</f>
        <v>0.1111111111111111</v>
      </c>
      <c r="I13" s="309">
        <f>F13/$F$69</f>
        <v>7.5254251865230386E-4</v>
      </c>
      <c r="J13" s="306" t="s">
        <v>160</v>
      </c>
      <c r="K13" s="40"/>
      <c r="L13" s="307">
        <f>'[3]Air France'!$GM$41</f>
        <v>0</v>
      </c>
      <c r="M13" s="150">
        <f>'[3]Air France'!$FY$41</f>
        <v>0</v>
      </c>
      <c r="N13" s="309" t="e">
        <f>(L13-M13)/M13</f>
        <v>#DIV/0!</v>
      </c>
      <c r="O13" s="307">
        <f>SUM('[3]Air France'!$GB$41:$GM$41)</f>
        <v>71946</v>
      </c>
      <c r="P13" s="150">
        <f>SUM('[3]Air France'!$FN$41:$FY$41)</f>
        <v>56040</v>
      </c>
      <c r="Q13" s="308">
        <f>(O13-P13)/P13</f>
        <v>0.28383297644539612</v>
      </c>
      <c r="R13" s="309">
        <f>O13/$O$69</f>
        <v>1.8761703572906792E-3</v>
      </c>
    </row>
    <row r="14" spans="1:18" ht="14.1" customHeight="1" x14ac:dyDescent="0.2">
      <c r="A14" s="306"/>
      <c r="B14" s="40"/>
      <c r="C14" s="307"/>
      <c r="D14" s="150"/>
      <c r="E14" s="309"/>
      <c r="F14" s="150"/>
      <c r="G14" s="150"/>
      <c r="H14" s="308"/>
      <c r="I14" s="309"/>
      <c r="J14" s="306"/>
      <c r="K14" s="40"/>
      <c r="L14" s="310"/>
      <c r="N14" s="67"/>
      <c r="O14" s="310"/>
      <c r="P14" s="2"/>
      <c r="Q14" s="3"/>
      <c r="R14" s="67"/>
    </row>
    <row r="15" spans="1:18" ht="14.1" customHeight="1" x14ac:dyDescent="0.2">
      <c r="A15" s="306" t="s">
        <v>130</v>
      </c>
      <c r="B15" s="40"/>
      <c r="C15" s="307">
        <f>SUM(C16:C18)</f>
        <v>245</v>
      </c>
      <c r="D15" s="150">
        <f>SUM(D16:D18)</f>
        <v>239</v>
      </c>
      <c r="E15" s="309">
        <f>(C15-D15)/D15</f>
        <v>2.5104602510460251E-2</v>
      </c>
      <c r="F15" s="150">
        <f>SUM(F16:F18)</f>
        <v>3151</v>
      </c>
      <c r="G15" s="150">
        <f>SUM(G16:G18)</f>
        <v>3473</v>
      </c>
      <c r="H15" s="308">
        <f>(F15-G15)/G15</f>
        <v>-9.2715231788079472E-2</v>
      </c>
      <c r="I15" s="309">
        <f>F15/$F$69</f>
        <v>8.4687909866907485E-3</v>
      </c>
      <c r="J15" s="306" t="s">
        <v>130</v>
      </c>
      <c r="K15" s="40"/>
      <c r="L15" s="307">
        <f>SUM(L16:L18)</f>
        <v>26417</v>
      </c>
      <c r="M15" s="150">
        <f>SUM(M16:M18)</f>
        <v>24120</v>
      </c>
      <c r="N15" s="309">
        <f>(L15-M15)/M15</f>
        <v>9.5232172470978441E-2</v>
      </c>
      <c r="O15" s="307">
        <f>SUM(O16:O18)</f>
        <v>337892</v>
      </c>
      <c r="P15" s="150">
        <f>SUM(P16:P18)</f>
        <v>350940</v>
      </c>
      <c r="Q15" s="308">
        <f>(O15-P15)/P15</f>
        <v>-3.7180144754089019E-2</v>
      </c>
      <c r="R15" s="309">
        <f>O15/$O$69</f>
        <v>8.8113717839165794E-3</v>
      </c>
    </row>
    <row r="16" spans="1:18" ht="14.1" customHeight="1" x14ac:dyDescent="0.2">
      <c r="A16" s="306"/>
      <c r="B16" s="364" t="s">
        <v>130</v>
      </c>
      <c r="C16" s="368">
        <f>[3]Alaska!$GM$19</f>
        <v>183</v>
      </c>
      <c r="D16" s="254">
        <f>[3]Alaska!$FY$19</f>
        <v>117</v>
      </c>
      <c r="E16" s="370">
        <f>(C16-D16)/D16</f>
        <v>0.5641025641025641</v>
      </c>
      <c r="F16" s="254">
        <f>SUM([3]Alaska!$GB$19:$GM$19)</f>
        <v>2291</v>
      </c>
      <c r="G16" s="254">
        <f>SUM([3]Alaska!$FN$19:$FY$19)</f>
        <v>1425</v>
      </c>
      <c r="H16" s="369">
        <f>(F16-G16)/G16</f>
        <v>0.60771929824561399</v>
      </c>
      <c r="I16" s="370">
        <f>F16/$F$69</f>
        <v>6.1574103936872437E-3</v>
      </c>
      <c r="J16" s="306"/>
      <c r="K16" s="364" t="s">
        <v>130</v>
      </c>
      <c r="L16" s="368">
        <f>[3]Alaska!$GM$41</f>
        <v>22169</v>
      </c>
      <c r="M16" s="254">
        <f>[3]Alaska!$FY$41</f>
        <v>16707</v>
      </c>
      <c r="N16" s="370">
        <f>(L16-M16)/M16</f>
        <v>0.32692883222601304</v>
      </c>
      <c r="O16" s="368">
        <f>SUM([3]Alaska!$GB$41:$GM$41)</f>
        <v>279981</v>
      </c>
      <c r="P16" s="254">
        <f>SUM([3]Alaska!$FN$41:$FY$41)</f>
        <v>218312</v>
      </c>
      <c r="Q16" s="369">
        <f>(O16-P16)/P16</f>
        <v>0.28248103631499871</v>
      </c>
      <c r="R16" s="370">
        <f>O16/$O$69</f>
        <v>7.3011988547605376E-3</v>
      </c>
    </row>
    <row r="17" spans="1:20" ht="14.1" customHeight="1" x14ac:dyDescent="0.2">
      <c r="A17" s="306"/>
      <c r="B17" s="364" t="s">
        <v>99</v>
      </c>
      <c r="C17" s="310">
        <f>'[3]Sky West_AS'!$GM$19</f>
        <v>0</v>
      </c>
      <c r="D17" s="2">
        <f>'[3]Sky West_AS'!$FY$19</f>
        <v>60</v>
      </c>
      <c r="E17" s="67">
        <f>(C17-D17)/D17</f>
        <v>-1</v>
      </c>
      <c r="F17" s="2">
        <f>SUM('[3]Sky West_AS'!$GB$19:$GM$19)</f>
        <v>734</v>
      </c>
      <c r="G17" s="2">
        <f>SUM('[3]Sky West_AS'!$FN$19:$FY$19)</f>
        <v>806</v>
      </c>
      <c r="H17" s="3">
        <f>(F17-G17)/G17</f>
        <v>-8.9330024813895778E-2</v>
      </c>
      <c r="I17" s="67">
        <f>F17/$F$69</f>
        <v>1.9727364596099678E-3</v>
      </c>
      <c r="J17" s="306"/>
      <c r="K17" s="364" t="s">
        <v>99</v>
      </c>
      <c r="L17" s="310">
        <f>'[3]Sky West_AS'!$GM$41</f>
        <v>0</v>
      </c>
      <c r="M17" s="2">
        <f>'[3]Sky West_AS'!$FY$41</f>
        <v>3219</v>
      </c>
      <c r="N17" s="67">
        <f>(L17-M17)/M17</f>
        <v>-1</v>
      </c>
      <c r="O17" s="310">
        <f>SUM('[3]Sky West_AS'!$GB$41:$GM$41)</f>
        <v>49445</v>
      </c>
      <c r="P17" s="2">
        <f>SUM('[3]Sky West_AS'!$FN$41:$FY$41)</f>
        <v>52241</v>
      </c>
      <c r="Q17" s="3">
        <f>(O17-P17)/P17</f>
        <v>-5.3521180681839933E-2</v>
      </c>
      <c r="R17" s="370">
        <f>O17/$O$69</f>
        <v>1.2894009856870101E-3</v>
      </c>
    </row>
    <row r="18" spans="1:20" ht="14.1" customHeight="1" x14ac:dyDescent="0.2">
      <c r="A18" s="306"/>
      <c r="B18" s="364" t="s">
        <v>199</v>
      </c>
      <c r="C18" s="310">
        <f>[3]Horizon_AS!$GM$19</f>
        <v>62</v>
      </c>
      <c r="D18" s="2">
        <f>[3]Horizon_AS!$FY$19</f>
        <v>62</v>
      </c>
      <c r="E18" s="67">
        <f>(C18-D18)/D18</f>
        <v>0</v>
      </c>
      <c r="F18" s="2">
        <f>SUM([3]Horizon_AS!$GB$19:$GM$19)</f>
        <v>126</v>
      </c>
      <c r="G18" s="2">
        <f>SUM([3]Horizon_AS!$FN$19:$FY$19)</f>
        <v>1242</v>
      </c>
      <c r="H18" s="3">
        <f>(F18-G18)/G18</f>
        <v>-0.89855072463768115</v>
      </c>
      <c r="I18" s="67">
        <f>F18/$F$69</f>
        <v>3.3864413339353675E-4</v>
      </c>
      <c r="J18" s="306"/>
      <c r="K18" s="364" t="s">
        <v>199</v>
      </c>
      <c r="L18" s="310">
        <f>[3]Horizon_AS!$GM$41</f>
        <v>4248</v>
      </c>
      <c r="M18" s="2">
        <f>[3]Horizon_AS!$FY$41</f>
        <v>4194</v>
      </c>
      <c r="N18" s="67">
        <f>(L18-M18)/M18</f>
        <v>1.2875536480686695E-2</v>
      </c>
      <c r="O18" s="310">
        <f>SUM([3]Horizon_AS!$GB$41:$GM$41)</f>
        <v>8466</v>
      </c>
      <c r="P18" s="2">
        <f>SUM([3]Horizon_AS!$FN$41:$FY$41)</f>
        <v>80387</v>
      </c>
      <c r="Q18" s="3">
        <f>(O18-P18)/P18</f>
        <v>-0.89468446390585543</v>
      </c>
      <c r="R18" s="370">
        <f>O18/$O$69</f>
        <v>2.207719434690308E-4</v>
      </c>
    </row>
    <row r="19" spans="1:20" ht="14.1" customHeight="1" x14ac:dyDescent="0.2">
      <c r="A19" s="306"/>
      <c r="B19" s="40"/>
      <c r="C19" s="307"/>
      <c r="D19" s="165"/>
      <c r="E19" s="309"/>
      <c r="F19" s="165"/>
      <c r="G19" s="165"/>
      <c r="H19" s="308"/>
      <c r="I19" s="309"/>
      <c r="J19" s="306"/>
      <c r="K19" s="40"/>
      <c r="L19" s="141"/>
      <c r="M19" s="97"/>
      <c r="N19" s="67"/>
      <c r="O19" s="141"/>
      <c r="P19" s="97"/>
      <c r="Q19" s="3"/>
      <c r="R19" s="67"/>
    </row>
    <row r="20" spans="1:20" ht="14.1" customHeight="1" x14ac:dyDescent="0.2">
      <c r="A20" s="306" t="s">
        <v>17</v>
      </c>
      <c r="B20" s="311"/>
      <c r="C20" s="307">
        <f>SUM(C21:C27)</f>
        <v>1585</v>
      </c>
      <c r="D20" s="150">
        <f>SUM(D21:D27)</f>
        <v>1531</v>
      </c>
      <c r="E20" s="309">
        <f t="shared" ref="E20:E27" si="0">(C20-D20)/D20</f>
        <v>3.5271064663618547E-2</v>
      </c>
      <c r="F20" s="307">
        <f>SUM(F21:F27)</f>
        <v>19500</v>
      </c>
      <c r="G20" s="150">
        <f>SUM(G21:G27)</f>
        <v>20468</v>
      </c>
      <c r="H20" s="308">
        <f t="shared" ref="H20:H27" si="1">(F20-G20)/G20</f>
        <v>-4.7293335939026772E-2</v>
      </c>
      <c r="I20" s="309">
        <f t="shared" ref="I20:I27" si="2">F20/$F$69</f>
        <v>5.2409211120428303E-2</v>
      </c>
      <c r="J20" s="306" t="s">
        <v>17</v>
      </c>
      <c r="K20" s="311"/>
      <c r="L20" s="307">
        <f>SUM(L21:L27)</f>
        <v>166780</v>
      </c>
      <c r="M20" s="150">
        <f>SUM(M21:M27)</f>
        <v>155889</v>
      </c>
      <c r="N20" s="309">
        <f t="shared" ref="N20:N27" si="3">(L20-M20)/M20</f>
        <v>6.9863813354373944E-2</v>
      </c>
      <c r="O20" s="307">
        <f>SUM(O21:O27)</f>
        <v>2055211</v>
      </c>
      <c r="P20" s="150">
        <f>SUM(P21:P27)</f>
        <v>2103725</v>
      </c>
      <c r="Q20" s="308">
        <f t="shared" ref="Q20:Q27" si="4">(O20-P20)/P20</f>
        <v>-2.3060998942352254E-2</v>
      </c>
      <c r="R20" s="309">
        <f t="shared" ref="R20:R27" si="5">O20/$O$69</f>
        <v>5.3594723211543856E-2</v>
      </c>
    </row>
    <row r="21" spans="1:20" ht="14.1" customHeight="1" x14ac:dyDescent="0.2">
      <c r="A21" s="38"/>
      <c r="B21" s="40" t="s">
        <v>17</v>
      </c>
      <c r="C21" s="310">
        <f>[3]American!$GM$19</f>
        <v>1059</v>
      </c>
      <c r="D21" s="2">
        <f>[3]American!$FY$19</f>
        <v>1104</v>
      </c>
      <c r="E21" s="67">
        <f t="shared" si="0"/>
        <v>-4.0760869565217392E-2</v>
      </c>
      <c r="F21" s="2">
        <f>SUM([3]American!$GB$19:$GM$19)</f>
        <v>14054</v>
      </c>
      <c r="G21" s="2">
        <f>SUM([3]American!$FN$19:$FY$19)</f>
        <v>14221</v>
      </c>
      <c r="H21" s="3">
        <f t="shared" si="1"/>
        <v>-1.174319668096477E-2</v>
      </c>
      <c r="I21" s="67">
        <f t="shared" si="2"/>
        <v>3.7772259132640991E-2</v>
      </c>
      <c r="J21" s="38"/>
      <c r="K21" s="40" t="s">
        <v>17</v>
      </c>
      <c r="L21" s="310">
        <f>[3]American!$GM$41</f>
        <v>137243</v>
      </c>
      <c r="M21" s="2">
        <f>[3]American!$FY$41</f>
        <v>131599</v>
      </c>
      <c r="N21" s="67">
        <f t="shared" si="3"/>
        <v>4.2887863889543236E-2</v>
      </c>
      <c r="O21" s="310">
        <f>SUM([3]American!$GB$41:$GM$41)</f>
        <v>1744755</v>
      </c>
      <c r="P21" s="2">
        <f>SUM([3]American!$FN$41:$FY$41)</f>
        <v>1748118</v>
      </c>
      <c r="Q21" s="3">
        <f t="shared" si="4"/>
        <v>-1.9237831771081815E-3</v>
      </c>
      <c r="R21" s="67">
        <f t="shared" si="5"/>
        <v>4.5498813161742126E-2</v>
      </c>
    </row>
    <row r="22" spans="1:20" ht="14.1" customHeight="1" x14ac:dyDescent="0.2">
      <c r="A22" s="38"/>
      <c r="B22" s="364" t="s">
        <v>170</v>
      </c>
      <c r="C22" s="310">
        <f>'[3]American Eagle'!$GM$19</f>
        <v>30</v>
      </c>
      <c r="D22" s="2">
        <f>'[3]American Eagle'!$FY$19</f>
        <v>14</v>
      </c>
      <c r="E22" s="67">
        <f t="shared" si="0"/>
        <v>1.1428571428571428</v>
      </c>
      <c r="F22" s="2">
        <f>SUM('[3]American Eagle'!$GB$19:$GM$19)</f>
        <v>896</v>
      </c>
      <c r="G22" s="2">
        <f>SUM('[3]American Eagle'!$FN$19:$FY$19)</f>
        <v>414</v>
      </c>
      <c r="H22" s="3">
        <f t="shared" si="1"/>
        <v>1.1642512077294687</v>
      </c>
      <c r="I22" s="67">
        <f t="shared" si="2"/>
        <v>2.4081360596873722E-3</v>
      </c>
      <c r="J22" s="38"/>
      <c r="K22" s="364" t="s">
        <v>170</v>
      </c>
      <c r="L22" s="310">
        <f>'[3]American Eagle'!$GM$41</f>
        <v>1858</v>
      </c>
      <c r="M22" s="2">
        <f>'[3]American Eagle'!$FY$41</f>
        <v>631</v>
      </c>
      <c r="N22" s="67">
        <f t="shared" si="3"/>
        <v>1.9445324881141046</v>
      </c>
      <c r="O22" s="310">
        <f>SUM('[3]American Eagle'!$GB$41:$GM$41)</f>
        <v>58693</v>
      </c>
      <c r="P22" s="2">
        <f>SUM('[3]American Eagle'!$FN$41:$FY$41)</f>
        <v>24626</v>
      </c>
      <c r="Q22" s="3">
        <f t="shared" si="4"/>
        <v>1.3833752944042881</v>
      </c>
      <c r="R22" s="67">
        <f t="shared" si="5"/>
        <v>1.5305655183118149E-3</v>
      </c>
    </row>
    <row r="23" spans="1:20" ht="14.1" customHeight="1" x14ac:dyDescent="0.2">
      <c r="A23" s="38"/>
      <c r="B23" s="364" t="s">
        <v>52</v>
      </c>
      <c r="C23" s="310">
        <f>[3]Republic!$GM$19</f>
        <v>442</v>
      </c>
      <c r="D23" s="2">
        <f>[3]Republic!$FY$19</f>
        <v>375</v>
      </c>
      <c r="E23" s="67">
        <f t="shared" si="0"/>
        <v>0.17866666666666667</v>
      </c>
      <c r="F23" s="2">
        <f>SUM([3]Republic!$GB$19:$GM$19)</f>
        <v>4494</v>
      </c>
      <c r="G23" s="2">
        <f>SUM([3]Republic!$FN$19:$FY$19)</f>
        <v>5028</v>
      </c>
      <c r="H23" s="3">
        <f t="shared" si="1"/>
        <v>-0.10620525059665871</v>
      </c>
      <c r="I23" s="67">
        <f t="shared" si="2"/>
        <v>1.2078307424369477E-2</v>
      </c>
      <c r="J23" s="38"/>
      <c r="K23" s="312" t="s">
        <v>52</v>
      </c>
      <c r="L23" s="310">
        <f>[3]Republic!$GM$41</f>
        <v>24579</v>
      </c>
      <c r="M23" s="2">
        <f>[3]Republic!$FY$41</f>
        <v>21563</v>
      </c>
      <c r="N23" s="67">
        <f t="shared" si="3"/>
        <v>0.13986922042387423</v>
      </c>
      <c r="O23" s="310">
        <f>SUM([3]Republic!$GB$41:$GM$41)</f>
        <v>248621</v>
      </c>
      <c r="P23" s="2">
        <f>SUM([3]Republic!$FN$41:$FY$41)</f>
        <v>286426</v>
      </c>
      <c r="Q23" s="3">
        <f t="shared" si="4"/>
        <v>-0.13198871610817453</v>
      </c>
      <c r="R23" s="67">
        <f t="shared" si="5"/>
        <v>6.4834090901504729E-3</v>
      </c>
    </row>
    <row r="24" spans="1:20" ht="14.1" customHeight="1" x14ac:dyDescent="0.2">
      <c r="A24" s="38"/>
      <c r="B24" s="364" t="s">
        <v>187</v>
      </c>
      <c r="C24" s="310">
        <f>[3]PSA!$GM$19</f>
        <v>0</v>
      </c>
      <c r="D24" s="2">
        <f>[3]PSA!$FY$19</f>
        <v>0</v>
      </c>
      <c r="E24" s="67" t="e">
        <f t="shared" si="0"/>
        <v>#DIV/0!</v>
      </c>
      <c r="F24" s="2">
        <f>SUM([3]PSA!$GB$19:$GM$19)</f>
        <v>0</v>
      </c>
      <c r="G24" s="2">
        <f>SUM([3]PSA!$FN$19:$FY$19)</f>
        <v>178</v>
      </c>
      <c r="H24" s="3">
        <f t="shared" si="1"/>
        <v>-1</v>
      </c>
      <c r="I24" s="67">
        <f t="shared" si="2"/>
        <v>0</v>
      </c>
      <c r="J24" s="38"/>
      <c r="K24" s="364" t="s">
        <v>187</v>
      </c>
      <c r="L24" s="310">
        <f>[3]PSA!$GM$41</f>
        <v>0</v>
      </c>
      <c r="M24" s="2">
        <f>[3]PSA!$FY$41</f>
        <v>0</v>
      </c>
      <c r="N24" s="67" t="e">
        <f t="shared" si="3"/>
        <v>#DIV/0!</v>
      </c>
      <c r="O24" s="310">
        <f>SUM([3]PSA!$GB$41:$GM$41)</f>
        <v>0</v>
      </c>
      <c r="P24" s="2">
        <f>SUM([3]PSA!$FN$41:$FY$41)</f>
        <v>7565</v>
      </c>
      <c r="Q24" s="3">
        <f t="shared" si="4"/>
        <v>-1</v>
      </c>
      <c r="R24" s="67">
        <f t="shared" si="5"/>
        <v>0</v>
      </c>
    </row>
    <row r="25" spans="1:20" ht="14.1" customHeight="1" x14ac:dyDescent="0.2">
      <c r="A25" s="38"/>
      <c r="B25" s="364" t="s">
        <v>99</v>
      </c>
      <c r="C25" s="310">
        <f>'[3]Sky West_AA'!$GM$19</f>
        <v>54</v>
      </c>
      <c r="D25" s="2">
        <f>'[3]Sky West_AA'!$FY$19</f>
        <v>38</v>
      </c>
      <c r="E25" s="67">
        <f>(C25-D25)/D25</f>
        <v>0.42105263157894735</v>
      </c>
      <c r="F25" s="2">
        <f>SUM('[3]Sky West_AA'!$GB$19:$GM$19)</f>
        <v>54</v>
      </c>
      <c r="G25" s="2">
        <f>SUM('[3]Sky West_AA'!$FN$19:$FY$19)</f>
        <v>627</v>
      </c>
      <c r="H25" s="3">
        <f>(F25-G25)/G25</f>
        <v>-0.9138755980861244</v>
      </c>
      <c r="I25" s="67">
        <f t="shared" si="2"/>
        <v>1.4513320002580146E-4</v>
      </c>
      <c r="J25" s="38"/>
      <c r="K25" s="364" t="s">
        <v>99</v>
      </c>
      <c r="L25" s="310">
        <f>'[3]Sky West_AA'!$GM$41</f>
        <v>3100</v>
      </c>
      <c r="M25" s="2">
        <f>'[3]Sky West_AA'!$FY$41</f>
        <v>2096</v>
      </c>
      <c r="N25" s="67">
        <f>(L25-M25)/M25</f>
        <v>0.47900763358778625</v>
      </c>
      <c r="O25" s="310">
        <f>SUM('[3]Sky West_AA'!$GB$41:$GM$41)</f>
        <v>3100</v>
      </c>
      <c r="P25" s="2">
        <f>SUM('[3]Sky West_AA'!$FN$41:$FY$41)</f>
        <v>36990</v>
      </c>
      <c r="Q25" s="3">
        <f>(O25-P25)/P25</f>
        <v>-0.91619356582860234</v>
      </c>
      <c r="R25" s="370">
        <f t="shared" si="5"/>
        <v>8.0840187190408158E-5</v>
      </c>
    </row>
    <row r="26" spans="1:20" ht="14.1" customHeight="1" x14ac:dyDescent="0.2">
      <c r="A26" s="38"/>
      <c r="B26" s="364" t="s">
        <v>51</v>
      </c>
      <c r="C26" s="310">
        <f>[3]MESA!$GM$19</f>
        <v>0</v>
      </c>
      <c r="D26" s="2">
        <f>[3]MESA!$FY$19</f>
        <v>0</v>
      </c>
      <c r="E26" s="67" t="e">
        <f t="shared" si="0"/>
        <v>#DIV/0!</v>
      </c>
      <c r="F26" s="2">
        <f>SUM([3]MESA!$GB$19:$GM$19)</f>
        <v>0</v>
      </c>
      <c r="G26" s="2">
        <f>SUM([3]MESA!$FN$19:$FY$19)</f>
        <v>0</v>
      </c>
      <c r="H26" s="3" t="e">
        <f t="shared" si="1"/>
        <v>#DIV/0!</v>
      </c>
      <c r="I26" s="67">
        <f t="shared" si="2"/>
        <v>0</v>
      </c>
      <c r="J26" s="38"/>
      <c r="K26" s="364" t="s">
        <v>51</v>
      </c>
      <c r="L26" s="310">
        <f>[3]MESA!$GM$41</f>
        <v>0</v>
      </c>
      <c r="M26" s="2">
        <f>[3]MESA!$FY$41</f>
        <v>0</v>
      </c>
      <c r="N26" s="67" t="e">
        <f t="shared" si="3"/>
        <v>#DIV/0!</v>
      </c>
      <c r="O26" s="310">
        <f>SUM([3]MESA!$GB$41:$GM$41)</f>
        <v>0</v>
      </c>
      <c r="P26" s="2">
        <f>SUM([3]MESA!$FN$41:$FY$41)</f>
        <v>0</v>
      </c>
      <c r="Q26" s="3" t="e">
        <f t="shared" si="4"/>
        <v>#DIV/0!</v>
      </c>
      <c r="R26" s="67">
        <f t="shared" si="5"/>
        <v>0</v>
      </c>
    </row>
    <row r="27" spans="1:20" ht="14.1" customHeight="1" x14ac:dyDescent="0.2">
      <c r="A27" s="38"/>
      <c r="B27" s="364" t="s">
        <v>50</v>
      </c>
      <c r="C27" s="310">
        <f>'[3]Air Wisconsin'!$GM$19</f>
        <v>0</v>
      </c>
      <c r="D27" s="2">
        <f>'[3]Air Wisconsin'!$FY$19</f>
        <v>0</v>
      </c>
      <c r="E27" s="67" t="e">
        <f t="shared" si="0"/>
        <v>#DIV/0!</v>
      </c>
      <c r="F27" s="2">
        <f>SUM('[3]Air Wisconsin'!$GB$19:$GM$19)</f>
        <v>2</v>
      </c>
      <c r="G27" s="2">
        <f>SUM('[3]Air Wisconsin'!$FN$19:$FY$19)</f>
        <v>0</v>
      </c>
      <c r="H27" s="352" t="e">
        <f t="shared" si="1"/>
        <v>#DIV/0!</v>
      </c>
      <c r="I27" s="67">
        <f t="shared" si="2"/>
        <v>5.3753037046593134E-6</v>
      </c>
      <c r="J27" s="38"/>
      <c r="K27" s="312" t="s">
        <v>50</v>
      </c>
      <c r="L27" s="310">
        <f>'[3]Air Wisconsin'!$GM$41</f>
        <v>0</v>
      </c>
      <c r="M27" s="2">
        <f>'[3]Air Wisconsin'!$FY$41</f>
        <v>0</v>
      </c>
      <c r="N27" s="67" t="e">
        <f t="shared" si="3"/>
        <v>#DIV/0!</v>
      </c>
      <c r="O27" s="310">
        <f>SUM('[3]Air Wisconsin'!$GB$41:$GM$41)</f>
        <v>42</v>
      </c>
      <c r="P27" s="2">
        <f>SUM('[3]Air Wisconsin'!$FN$41:$FY$41)</f>
        <v>0</v>
      </c>
      <c r="Q27" s="3" t="e">
        <f t="shared" si="4"/>
        <v>#DIV/0!</v>
      </c>
      <c r="R27" s="67">
        <f t="shared" si="5"/>
        <v>1.0952541490313363E-6</v>
      </c>
    </row>
    <row r="28" spans="1:20" ht="14.1" customHeight="1" x14ac:dyDescent="0.2">
      <c r="A28" s="38"/>
      <c r="B28" s="40"/>
      <c r="C28" s="310"/>
      <c r="E28" s="67"/>
      <c r="F28" s="2"/>
      <c r="I28" s="67"/>
      <c r="J28" s="38"/>
      <c r="K28" s="40"/>
      <c r="L28" s="310"/>
      <c r="N28" s="67"/>
      <c r="O28" s="310"/>
      <c r="P28" s="2"/>
      <c r="Q28" s="3"/>
      <c r="R28" s="67"/>
      <c r="T28" s="2"/>
    </row>
    <row r="29" spans="1:20" ht="14.1" customHeight="1" x14ac:dyDescent="0.2">
      <c r="A29" s="306" t="s">
        <v>184</v>
      </c>
      <c r="B29" s="40"/>
      <c r="C29" s="307">
        <f>'[3]Boutique Air'!$GM$19</f>
        <v>159</v>
      </c>
      <c r="D29" s="150">
        <f>'[3]Boutique Air'!$FY$19</f>
        <v>146</v>
      </c>
      <c r="E29" s="309">
        <f>(C29-D29)/D29</f>
        <v>8.9041095890410954E-2</v>
      </c>
      <c r="F29" s="150">
        <f>SUM('[3]Boutique Air'!$GB$19:$GM$19)</f>
        <v>1833</v>
      </c>
      <c r="G29" s="150">
        <f>SUM('[3]Boutique Air'!$FN$19:$FY$19)</f>
        <v>1788</v>
      </c>
      <c r="H29" s="308">
        <f>(F29-G29)/G29</f>
        <v>2.5167785234899327E-2</v>
      </c>
      <c r="I29" s="309">
        <f>F29/$F$69</f>
        <v>4.9264658453202605E-3</v>
      </c>
      <c r="J29" s="306" t="s">
        <v>184</v>
      </c>
      <c r="K29" s="40"/>
      <c r="L29" s="307">
        <f>'[3]Boutique Air'!$GM$41</f>
        <v>1000</v>
      </c>
      <c r="M29" s="150">
        <f>'[3]Boutique Air'!$FY$41</f>
        <v>708</v>
      </c>
      <c r="N29" s="309">
        <f>(L29-M29)/M29</f>
        <v>0.41242937853107342</v>
      </c>
      <c r="O29" s="307">
        <f>SUM('[3]Boutique Air'!$GB$41:$GM$41)</f>
        <v>9830</v>
      </c>
      <c r="P29" s="150">
        <f>SUM('[3]Boutique Air'!$FN$41:$FY$41)</f>
        <v>9605</v>
      </c>
      <c r="Q29" s="308">
        <f>(O29-P29)/P29</f>
        <v>2.342529932326913E-2</v>
      </c>
      <c r="R29" s="309">
        <f>O29/$O$69</f>
        <v>2.5634162583281037E-4</v>
      </c>
      <c r="T29" s="2"/>
    </row>
    <row r="30" spans="1:20" ht="14.1" customHeight="1" x14ac:dyDescent="0.2">
      <c r="A30" s="38"/>
      <c r="B30" s="40"/>
      <c r="C30" s="310"/>
      <c r="E30" s="67"/>
      <c r="F30" s="2"/>
      <c r="I30" s="67"/>
      <c r="J30" s="38"/>
      <c r="K30" s="40"/>
      <c r="L30" s="310"/>
      <c r="N30" s="67"/>
      <c r="O30" s="310"/>
      <c r="P30" s="2"/>
      <c r="Q30" s="3"/>
      <c r="R30" s="67"/>
      <c r="T30" s="2"/>
    </row>
    <row r="31" spans="1:20" ht="14.1" customHeight="1" x14ac:dyDescent="0.2">
      <c r="A31" s="306" t="s">
        <v>166</v>
      </c>
      <c r="B31" s="40"/>
      <c r="C31" s="307">
        <f>[3]Condor!$GM$19</f>
        <v>0</v>
      </c>
      <c r="D31" s="150">
        <f>[3]Condor!$FY$19</f>
        <v>0</v>
      </c>
      <c r="E31" s="309" t="e">
        <f>(C31-D31)/D31</f>
        <v>#DIV/0!</v>
      </c>
      <c r="F31" s="150">
        <f>SUM([3]Condor!$GB$19:$GM$19)</f>
        <v>108</v>
      </c>
      <c r="G31" s="150">
        <f>SUM([3]Condor!$FN$19:$FY$19)</f>
        <v>121</v>
      </c>
      <c r="H31" s="308">
        <f>(F31-G31)/G31</f>
        <v>-0.10743801652892562</v>
      </c>
      <c r="I31" s="309">
        <f>F31/$F$69</f>
        <v>2.9026640005160292E-4</v>
      </c>
      <c r="J31" s="306" t="s">
        <v>166</v>
      </c>
      <c r="K31" s="40"/>
      <c r="L31" s="307">
        <f>[3]Condor!$GM$41</f>
        <v>0</v>
      </c>
      <c r="M31" s="150">
        <f>[3]Condor!$FY$41</f>
        <v>0</v>
      </c>
      <c r="N31" s="309" t="e">
        <f>(L31-M31)/M31</f>
        <v>#DIV/0!</v>
      </c>
      <c r="O31" s="307">
        <f>SUM([3]Condor!$GB$41:$GM$41)</f>
        <v>26102</v>
      </c>
      <c r="P31" s="150">
        <f>SUM([3]Condor!$FN$41:$FY$41)</f>
        <v>28840</v>
      </c>
      <c r="Q31" s="308">
        <f>(O31-P31)/P31</f>
        <v>-9.4937586685159503E-2</v>
      </c>
      <c r="R31" s="309">
        <f>O31/$O$69</f>
        <v>6.8067437614323671E-4</v>
      </c>
      <c r="T31" s="2"/>
    </row>
    <row r="32" spans="1:20" ht="14.1" customHeight="1" x14ac:dyDescent="0.2">
      <c r="A32" s="38"/>
      <c r="B32" s="40"/>
      <c r="C32" s="310"/>
      <c r="E32" s="67"/>
      <c r="F32" s="2"/>
      <c r="I32" s="67"/>
      <c r="J32" s="38"/>
      <c r="K32" s="40"/>
      <c r="L32" s="310"/>
      <c r="N32" s="67"/>
      <c r="O32" s="310"/>
      <c r="P32" s="2"/>
      <c r="Q32" s="3"/>
      <c r="R32" s="67"/>
      <c r="T32" s="2"/>
    </row>
    <row r="33" spans="1:21" ht="14.1" customHeight="1" x14ac:dyDescent="0.2">
      <c r="A33" s="306" t="s">
        <v>18</v>
      </c>
      <c r="B33" s="311"/>
      <c r="C33" s="307">
        <f>SUM(C34:C40)</f>
        <v>22036</v>
      </c>
      <c r="D33" s="150">
        <f>SUM(D34:D40)</f>
        <v>21440</v>
      </c>
      <c r="E33" s="309">
        <f t="shared" ref="E33:E40" si="6">(C33-D33)/D33</f>
        <v>2.7798507462686566E-2</v>
      </c>
      <c r="F33" s="165">
        <f>SUM(F34:F40)</f>
        <v>273597</v>
      </c>
      <c r="G33" s="165">
        <f>SUM(G34:G40)</f>
        <v>272789</v>
      </c>
      <c r="H33" s="308">
        <f>(F33-G33)/G33</f>
        <v>2.9619962681779691E-3</v>
      </c>
      <c r="I33" s="309">
        <f t="shared" ref="I33:I40" si="7">F33/$F$69</f>
        <v>0.73533348384183705</v>
      </c>
      <c r="J33" s="306" t="s">
        <v>18</v>
      </c>
      <c r="K33" s="311"/>
      <c r="L33" s="307">
        <f>SUM(L34:L40)</f>
        <v>2214885</v>
      </c>
      <c r="M33" s="150">
        <f>SUM(M34:M40)</f>
        <v>1984391</v>
      </c>
      <c r="N33" s="309">
        <f t="shared" ref="N33:N40" si="8">(L33-M33)/M33</f>
        <v>0.11615352014799503</v>
      </c>
      <c r="O33" s="307">
        <f>SUM(O34:O40)</f>
        <v>27305753</v>
      </c>
      <c r="P33" s="150">
        <f>SUM(P34:P40)</f>
        <v>26254595</v>
      </c>
      <c r="Q33" s="308">
        <f t="shared" ref="Q33:Q40" si="9">(O33-P33)/P33</f>
        <v>4.0037105885655441E-2</v>
      </c>
      <c r="R33" s="309">
        <f t="shared" ref="R33:R40" si="10">O33/$O$69</f>
        <v>0.71206522061130617</v>
      </c>
      <c r="S33" s="353"/>
    </row>
    <row r="34" spans="1:21" ht="14.1" customHeight="1" x14ac:dyDescent="0.2">
      <c r="A34" s="38"/>
      <c r="B34" s="40" t="s">
        <v>18</v>
      </c>
      <c r="C34" s="310">
        <f>[3]Delta!$GM$19</f>
        <v>12238</v>
      </c>
      <c r="D34" s="2">
        <f>[3]Delta!$FY$19</f>
        <v>10997</v>
      </c>
      <c r="E34" s="67">
        <f t="shared" si="6"/>
        <v>0.11284895880694736</v>
      </c>
      <c r="F34" s="2">
        <f>SUM([3]Delta!$GB$19:$GM$19)</f>
        <v>150971</v>
      </c>
      <c r="G34" s="2">
        <f>SUM([3]Delta!$FN$19:$FY$19)</f>
        <v>144595</v>
      </c>
      <c r="H34" s="3">
        <f t="shared" ref="H34:H40" si="11">(F34-G34)/G34</f>
        <v>4.4095577302119715E-2</v>
      </c>
      <c r="I34" s="67">
        <f t="shared" si="7"/>
        <v>0.40575748779806059</v>
      </c>
      <c r="J34" s="38"/>
      <c r="K34" s="40" t="s">
        <v>18</v>
      </c>
      <c r="L34" s="310">
        <f>[3]Delta!$GM$41</f>
        <v>1680749</v>
      </c>
      <c r="M34" s="2">
        <f>[3]Delta!$FY$41</f>
        <v>1453797</v>
      </c>
      <c r="N34" s="67">
        <f t="shared" si="8"/>
        <v>0.15610982826350583</v>
      </c>
      <c r="O34" s="310">
        <f>SUM([3]Delta!$GB$41:$GM$41)</f>
        <v>20922511</v>
      </c>
      <c r="P34" s="2">
        <f>SUM([3]Delta!$FN$41:$FY$41)</f>
        <v>19778416</v>
      </c>
      <c r="Q34" s="3">
        <f t="shared" si="9"/>
        <v>5.784563334091062E-2</v>
      </c>
      <c r="R34" s="67">
        <f t="shared" si="10"/>
        <v>0.54560635668818513</v>
      </c>
      <c r="T34" s="2"/>
    </row>
    <row r="35" spans="1:21" ht="14.1" customHeight="1" x14ac:dyDescent="0.2">
      <c r="A35" s="38"/>
      <c r="B35" s="312" t="s">
        <v>119</v>
      </c>
      <c r="C35" s="310">
        <f>[3]Compass!$GM$19</f>
        <v>0</v>
      </c>
      <c r="D35" s="2">
        <f>[3]Compass!$FY$19</f>
        <v>0</v>
      </c>
      <c r="E35" s="67" t="e">
        <f t="shared" si="6"/>
        <v>#DIV/0!</v>
      </c>
      <c r="F35" s="2">
        <f>SUM([3]Compass!$GB$19:$GM$19)</f>
        <v>0</v>
      </c>
      <c r="G35" s="2">
        <f>SUM([3]Compass!$FN$19:$FY$19)</f>
        <v>2</v>
      </c>
      <c r="H35" s="3">
        <f t="shared" si="11"/>
        <v>-1</v>
      </c>
      <c r="I35" s="67">
        <f t="shared" si="7"/>
        <v>0</v>
      </c>
      <c r="J35" s="38"/>
      <c r="K35" s="312" t="s">
        <v>119</v>
      </c>
      <c r="L35" s="310">
        <f>[3]Compass!$GM$41</f>
        <v>0</v>
      </c>
      <c r="M35" s="2">
        <f>[3]Compass!$FY$41</f>
        <v>0</v>
      </c>
      <c r="N35" s="67" t="e">
        <f t="shared" si="8"/>
        <v>#DIV/0!</v>
      </c>
      <c r="O35" s="310">
        <f>SUM([3]Compass!$GB$41:$GM$41)</f>
        <v>0</v>
      </c>
      <c r="P35" s="2">
        <f>SUM([3]Compass!$FN$41:$FY$41)</f>
        <v>0</v>
      </c>
      <c r="Q35" s="3" t="e">
        <f t="shared" si="9"/>
        <v>#DIV/0!</v>
      </c>
      <c r="R35" s="67">
        <f t="shared" si="10"/>
        <v>0</v>
      </c>
      <c r="S35" s="2"/>
      <c r="T35" s="2"/>
    </row>
    <row r="36" spans="1:21" ht="14.1" customHeight="1" x14ac:dyDescent="0.2">
      <c r="A36" s="38"/>
      <c r="B36" s="40" t="s">
        <v>162</v>
      </c>
      <c r="C36" s="310">
        <f>[3]Pinnacle!$GM$19</f>
        <v>2577</v>
      </c>
      <c r="D36" s="2">
        <f>[3]Pinnacle!$FY$19</f>
        <v>2664</v>
      </c>
      <c r="E36" s="67">
        <f t="shared" si="6"/>
        <v>-3.2657657657657657E-2</v>
      </c>
      <c r="F36" s="2">
        <f>SUM([3]Pinnacle!$GB$19:$GM$19)</f>
        <v>27141</v>
      </c>
      <c r="G36" s="2">
        <f>SUM([3]Pinnacle!$FN$19:$FY$19)</f>
        <v>24751</v>
      </c>
      <c r="H36" s="3">
        <f t="shared" si="11"/>
        <v>9.6561755080602801E-2</v>
      </c>
      <c r="I36" s="67">
        <f t="shared" si="7"/>
        <v>7.294555892407921E-2</v>
      </c>
      <c r="J36" s="38"/>
      <c r="K36" s="40" t="s">
        <v>162</v>
      </c>
      <c r="L36" s="310">
        <f>[3]Pinnacle!$GM$41</f>
        <v>155066</v>
      </c>
      <c r="M36" s="2">
        <f>[3]Pinnacle!$FY$41</f>
        <v>156506</v>
      </c>
      <c r="N36" s="67">
        <f t="shared" si="8"/>
        <v>-9.2009252041455273E-3</v>
      </c>
      <c r="O36" s="310">
        <f>SUM([3]Pinnacle!$GB$41:$GM$41)</f>
        <v>1655444</v>
      </c>
      <c r="P36" s="2">
        <f>SUM([3]Pinnacle!$FN$41:$FY$41)</f>
        <v>1457649</v>
      </c>
      <c r="Q36" s="3">
        <f t="shared" si="9"/>
        <v>0.13569453277160687</v>
      </c>
      <c r="R36" s="67">
        <f t="shared" si="10"/>
        <v>4.3169807368786464E-2</v>
      </c>
    </row>
    <row r="37" spans="1:21" ht="14.1" customHeight="1" x14ac:dyDescent="0.2">
      <c r="A37" s="38"/>
      <c r="B37" s="40" t="s">
        <v>158</v>
      </c>
      <c r="C37" s="310">
        <f>'[3]Go Jet'!$GM$19</f>
        <v>104</v>
      </c>
      <c r="D37" s="2">
        <f>'[3]Go Jet'!$FY$19</f>
        <v>583</v>
      </c>
      <c r="E37" s="67">
        <f t="shared" si="6"/>
        <v>-0.82161234991423671</v>
      </c>
      <c r="F37" s="2">
        <f>SUM('[3]Go Jet'!$GB$19:$GM$19)</f>
        <v>1816</v>
      </c>
      <c r="G37" s="2">
        <f>SUM('[3]Go Jet'!$FN$19:$FY$19)</f>
        <v>6224</v>
      </c>
      <c r="H37" s="3">
        <f>(F37-G37)/G37</f>
        <v>-0.70822622107969146</v>
      </c>
      <c r="I37" s="67">
        <f t="shared" si="7"/>
        <v>4.8807757638306562E-3</v>
      </c>
      <c r="J37" s="38"/>
      <c r="K37" s="40" t="s">
        <v>158</v>
      </c>
      <c r="L37" s="310">
        <f>'[3]Go Jet'!$GM$41</f>
        <v>6650</v>
      </c>
      <c r="M37" s="2">
        <f>'[3]Go Jet'!$FY$41</f>
        <v>32420</v>
      </c>
      <c r="N37" s="67">
        <f t="shared" si="8"/>
        <v>-0.79487970388648987</v>
      </c>
      <c r="O37" s="310">
        <f>SUM('[3]Go Jet'!$GB$41:$GM$41)</f>
        <v>106306</v>
      </c>
      <c r="P37" s="2">
        <f>SUM('[3]Go Jet'!$FN$41:$FY$41)</f>
        <v>367629</v>
      </c>
      <c r="Q37" s="3">
        <f>(O37-P37)/P37</f>
        <v>-0.71083347614034798</v>
      </c>
      <c r="R37" s="67">
        <f t="shared" si="10"/>
        <v>2.7721925611172678E-3</v>
      </c>
      <c r="S37" s="285"/>
      <c r="T37" s="193"/>
    </row>
    <row r="38" spans="1:21" ht="14.1" customHeight="1" x14ac:dyDescent="0.2">
      <c r="A38" s="38"/>
      <c r="B38" s="40" t="s">
        <v>99</v>
      </c>
      <c r="C38" s="310">
        <f>'[3]Sky West'!$GM$19</f>
        <v>7117</v>
      </c>
      <c r="D38" s="2">
        <f>'[3]Sky West'!$FY$19</f>
        <v>7104</v>
      </c>
      <c r="E38" s="67">
        <f t="shared" si="6"/>
        <v>1.8299549549549549E-3</v>
      </c>
      <c r="F38" s="2">
        <f>SUM('[3]Sky West'!$GB$19:$GM$19)</f>
        <v>93347</v>
      </c>
      <c r="G38" s="2">
        <f>SUM('[3]Sky West'!$FN$19:$FY$19)</f>
        <v>95695</v>
      </c>
      <c r="H38" s="3">
        <f t="shared" si="11"/>
        <v>-2.4536287162338681E-2</v>
      </c>
      <c r="I38" s="67">
        <f t="shared" si="7"/>
        <v>0.25088423745941646</v>
      </c>
      <c r="J38" s="38"/>
      <c r="K38" s="40" t="s">
        <v>99</v>
      </c>
      <c r="L38" s="310">
        <f>'[3]Sky West'!$GM$41</f>
        <v>372420</v>
      </c>
      <c r="M38" s="2">
        <f>'[3]Sky West'!$FY$41</f>
        <v>335975</v>
      </c>
      <c r="N38" s="67">
        <f t="shared" si="8"/>
        <v>0.10847533298608528</v>
      </c>
      <c r="O38" s="310">
        <f>SUM('[3]Sky West'!$GB$41:$GM$41)</f>
        <v>4604858</v>
      </c>
      <c r="P38" s="2">
        <f>SUM('[3]Sky West'!$FN$41:$FY$41)</f>
        <v>4571797</v>
      </c>
      <c r="Q38" s="3">
        <f t="shared" si="9"/>
        <v>7.2315109354155489E-3</v>
      </c>
      <c r="R38" s="67">
        <f t="shared" si="10"/>
        <v>0.12008309119524146</v>
      </c>
    </row>
    <row r="39" spans="1:21" ht="14.1" customHeight="1" x14ac:dyDescent="0.2">
      <c r="A39" s="38"/>
      <c r="B39" s="40" t="s">
        <v>133</v>
      </c>
      <c r="C39" s="310">
        <f>'[3]Shuttle America_Delta'!$GM$19</f>
        <v>0</v>
      </c>
      <c r="D39" s="2">
        <f>'[3]Shuttle America_Delta'!$FY$19</f>
        <v>92</v>
      </c>
      <c r="E39" s="67">
        <f t="shared" si="6"/>
        <v>-1</v>
      </c>
      <c r="F39" s="2">
        <f>SUM('[3]Shuttle America_Delta'!$GB$19:$GM$19)</f>
        <v>322</v>
      </c>
      <c r="G39" s="2">
        <f>SUM('[3]Shuttle America_Delta'!$FN$19:$FY$19)</f>
        <v>170</v>
      </c>
      <c r="H39" s="3">
        <f t="shared" si="11"/>
        <v>0.89411764705882357</v>
      </c>
      <c r="I39" s="67">
        <f t="shared" si="7"/>
        <v>8.6542389645014939E-4</v>
      </c>
      <c r="J39" s="38"/>
      <c r="K39" s="40" t="s">
        <v>133</v>
      </c>
      <c r="L39" s="310">
        <f>'[3]Shuttle America_Delta'!$GM$41</f>
        <v>0</v>
      </c>
      <c r="M39" s="2">
        <f>'[3]Shuttle America_Delta'!$FY$41</f>
        <v>5693</v>
      </c>
      <c r="N39" s="67">
        <f t="shared" si="8"/>
        <v>-1</v>
      </c>
      <c r="O39" s="310">
        <f>SUM('[3]Shuttle America_Delta'!$GB$41:$GM$41)</f>
        <v>16634</v>
      </c>
      <c r="P39" s="2">
        <f>SUM('[3]Shuttle America_Delta'!$FN$41:$FY$41)</f>
        <v>10305</v>
      </c>
      <c r="Q39" s="3">
        <f t="shared" si="9"/>
        <v>0.61416787967006303</v>
      </c>
      <c r="R39" s="67">
        <f t="shared" si="10"/>
        <v>4.3377279797588689E-4</v>
      </c>
    </row>
    <row r="40" spans="1:21" ht="14.1" customHeight="1" x14ac:dyDescent="0.2">
      <c r="A40" s="38"/>
      <c r="B40" s="364" t="s">
        <v>171</v>
      </c>
      <c r="C40" s="310">
        <f>'[3]Atlantic Southeast'!$GM$19</f>
        <v>0</v>
      </c>
      <c r="D40" s="2">
        <f>'[3]Atlantic Southeast'!$FY$19</f>
        <v>0</v>
      </c>
      <c r="E40" s="67" t="e">
        <f t="shared" si="6"/>
        <v>#DIV/0!</v>
      </c>
      <c r="F40" s="2">
        <f>SUM('[3]Atlantic Southeast'!$GB$19:$GM$19)</f>
        <v>0</v>
      </c>
      <c r="G40" s="2">
        <f>SUM('[3]Atlantic Southeast'!$FN$19:$FY$19)</f>
        <v>1352</v>
      </c>
      <c r="H40" s="3">
        <f t="shared" si="11"/>
        <v>-1</v>
      </c>
      <c r="I40" s="67">
        <f t="shared" si="7"/>
        <v>0</v>
      </c>
      <c r="J40" s="38"/>
      <c r="K40" s="364" t="s">
        <v>171</v>
      </c>
      <c r="L40" s="310">
        <f>'[3]Atlantic Southeast'!$GM$41</f>
        <v>0</v>
      </c>
      <c r="M40" s="2">
        <f>'[3]Atlantic Southeast'!$FY$41</f>
        <v>0</v>
      </c>
      <c r="N40" s="67" t="e">
        <f t="shared" si="8"/>
        <v>#DIV/0!</v>
      </c>
      <c r="O40" s="310">
        <f>SUM('[3]Atlantic Southeast'!$GB$41:$GM$41)</f>
        <v>0</v>
      </c>
      <c r="P40" s="2">
        <f>SUM('[3]Atlantic Southeast'!$FN$41:$FY$41)</f>
        <v>68799</v>
      </c>
      <c r="Q40" s="3">
        <f t="shared" si="9"/>
        <v>-1</v>
      </c>
      <c r="R40" s="67">
        <f t="shared" si="10"/>
        <v>0</v>
      </c>
      <c r="S40" s="284"/>
    </row>
    <row r="41" spans="1:21" ht="14.1" customHeight="1" x14ac:dyDescent="0.2">
      <c r="A41" s="38"/>
      <c r="B41" s="364"/>
      <c r="C41" s="310"/>
      <c r="E41" s="67"/>
      <c r="F41" s="2"/>
      <c r="I41" s="67"/>
      <c r="J41" s="38"/>
      <c r="K41" s="364"/>
      <c r="L41" s="310"/>
      <c r="N41" s="67"/>
      <c r="O41" s="310"/>
      <c r="P41" s="2"/>
      <c r="Q41" s="3"/>
      <c r="R41" s="67"/>
      <c r="S41" s="284"/>
    </row>
    <row r="42" spans="1:21" ht="14.1" customHeight="1" x14ac:dyDescent="0.2">
      <c r="A42" s="306" t="s">
        <v>47</v>
      </c>
      <c r="B42" s="40"/>
      <c r="C42" s="307">
        <f>[3]Frontier!$GM$19</f>
        <v>217</v>
      </c>
      <c r="D42" s="150">
        <f>[3]Frontier!$FY$19</f>
        <v>216</v>
      </c>
      <c r="E42" s="309">
        <f>(C42-D42)/D42</f>
        <v>4.6296296296296294E-3</v>
      </c>
      <c r="F42" s="150">
        <f>SUM([3]Frontier!$GB$19:$GM$19)</f>
        <v>3208</v>
      </c>
      <c r="G42" s="150">
        <f>SUM([3]Frontier!$FN$19:$FY$19)</f>
        <v>3294</v>
      </c>
      <c r="H42" s="308">
        <f>(F42-G42)/G42</f>
        <v>-2.6108075288403157E-2</v>
      </c>
      <c r="I42" s="309">
        <f>F42/$F$69</f>
        <v>8.6219871422735378E-3</v>
      </c>
      <c r="J42" s="306" t="s">
        <v>47</v>
      </c>
      <c r="K42" s="40"/>
      <c r="L42" s="307">
        <f>[3]Frontier!$GM$41</f>
        <v>35103</v>
      </c>
      <c r="M42" s="150">
        <f>[3]Frontier!$FY$41</f>
        <v>35408</v>
      </c>
      <c r="N42" s="309">
        <f>(L42-M42)/M42</f>
        <v>-8.6138725711703574E-3</v>
      </c>
      <c r="O42" s="307">
        <f>SUM([3]Frontier!$GB$41:$GM$41)</f>
        <v>501247</v>
      </c>
      <c r="P42" s="150">
        <f>SUM([3]Frontier!$FN$41:$FY$41)</f>
        <v>486713</v>
      </c>
      <c r="Q42" s="308">
        <f>(O42-P42)/P42</f>
        <v>2.9861540579355802E-2</v>
      </c>
      <c r="R42" s="309">
        <f>O42/$O$69</f>
        <v>1.3071258486655007E-2</v>
      </c>
      <c r="S42" s="397"/>
      <c r="U42" s="2"/>
    </row>
    <row r="43" spans="1:21" ht="14.1" customHeight="1" x14ac:dyDescent="0.2">
      <c r="A43" s="306"/>
      <c r="B43" s="40"/>
      <c r="C43" s="307"/>
      <c r="D43" s="150"/>
      <c r="E43" s="309"/>
      <c r="F43" s="150"/>
      <c r="G43" s="150"/>
      <c r="H43" s="308"/>
      <c r="I43" s="309"/>
      <c r="J43" s="306"/>
      <c r="K43" s="40"/>
      <c r="L43" s="310"/>
      <c r="N43" s="67"/>
      <c r="O43" s="310"/>
      <c r="P43" s="2"/>
      <c r="Q43" s="3"/>
      <c r="R43" s="67"/>
      <c r="S43" s="397"/>
    </row>
    <row r="44" spans="1:21" ht="14.1" customHeight="1" x14ac:dyDescent="0.2">
      <c r="A44" s="306" t="s">
        <v>48</v>
      </c>
      <c r="B44" s="40"/>
      <c r="C44" s="307">
        <f>[3]Icelandair!$GM$19</f>
        <v>36</v>
      </c>
      <c r="D44" s="150">
        <f>[3]Icelandair!$FY$19</f>
        <v>32</v>
      </c>
      <c r="E44" s="309">
        <f>(C44-D44)/D44</f>
        <v>0.125</v>
      </c>
      <c r="F44" s="150">
        <f>SUM([3]Icelandair!$GB$19:$GM$19)</f>
        <v>510</v>
      </c>
      <c r="G44" s="150">
        <f>SUM([3]Icelandair!$FN$19:$FY$19)</f>
        <v>630</v>
      </c>
      <c r="H44" s="308">
        <f>(F44-G44)/G44</f>
        <v>-0.19047619047619047</v>
      </c>
      <c r="I44" s="309">
        <f>F44/$F$69</f>
        <v>1.370702444688125E-3</v>
      </c>
      <c r="J44" s="306" t="s">
        <v>48</v>
      </c>
      <c r="K44" s="40"/>
      <c r="L44" s="307">
        <f>[3]Icelandair!$GM$41</f>
        <v>4259</v>
      </c>
      <c r="M44" s="150">
        <f>[3]Icelandair!$FY$41</f>
        <v>4299</v>
      </c>
      <c r="N44" s="309">
        <f>(L44-M44)/M44</f>
        <v>-9.3044894161432891E-3</v>
      </c>
      <c r="O44" s="307">
        <f>SUM([3]Icelandair!$GB$41:$GM$41)</f>
        <v>82629</v>
      </c>
      <c r="P44" s="150">
        <f>SUM([3]Icelandair!$FN$41:$FY$41)</f>
        <v>90858</v>
      </c>
      <c r="Q44" s="308">
        <f>(O44-P44)/P44</f>
        <v>-9.0569900283959587E-2</v>
      </c>
      <c r="R44" s="309">
        <f>O44/$O$69</f>
        <v>2.1547560733407214E-3</v>
      </c>
    </row>
    <row r="45" spans="1:21" ht="14.1" customHeight="1" x14ac:dyDescent="0.2">
      <c r="A45" s="306"/>
      <c r="B45" s="40"/>
      <c r="C45" s="307"/>
      <c r="D45" s="150"/>
      <c r="E45" s="309"/>
      <c r="F45" s="150"/>
      <c r="G45" s="150"/>
      <c r="H45" s="308"/>
      <c r="I45" s="309"/>
      <c r="J45" s="306"/>
      <c r="K45" s="40"/>
      <c r="L45" s="310"/>
      <c r="N45" s="67"/>
      <c r="O45" s="310"/>
      <c r="P45" s="2"/>
      <c r="Q45" s="3"/>
      <c r="R45" s="67"/>
    </row>
    <row r="46" spans="1:21" ht="14.1" customHeight="1" x14ac:dyDescent="0.2">
      <c r="A46" s="306" t="s">
        <v>213</v>
      </c>
      <c r="B46" s="40"/>
      <c r="C46" s="307">
        <f>'[3]Jet Blue'!$GM$19</f>
        <v>153</v>
      </c>
      <c r="D46" s="150">
        <f>'[3]Jet Blue'!$FY$19</f>
        <v>152</v>
      </c>
      <c r="E46" s="309">
        <f>(C46-D46)/D46</f>
        <v>6.5789473684210523E-3</v>
      </c>
      <c r="F46" s="150">
        <f>SUM('[3]Jet Blue'!$GB$19:$GM$19)</f>
        <v>2055</v>
      </c>
      <c r="G46" s="150">
        <f>SUM('[3]Jet Blue'!$FN$19:$FY$19)</f>
        <v>1389</v>
      </c>
      <c r="H46" s="308">
        <f>(F46-G46)/G46</f>
        <v>0.4794816414686825</v>
      </c>
      <c r="I46" s="309">
        <f>F46/$F$69</f>
        <v>5.5231245565374445E-3</v>
      </c>
      <c r="J46" s="306" t="s">
        <v>213</v>
      </c>
      <c r="K46" s="40"/>
      <c r="L46" s="307">
        <f>'[3]Jet Blue'!$GM$41</f>
        <v>13665</v>
      </c>
      <c r="M46" s="150">
        <f>'[3]Jet Blue'!$FY$41</f>
        <v>14318</v>
      </c>
      <c r="N46" s="309">
        <f>(L46-M46)/M46</f>
        <v>-4.5606928341947198E-2</v>
      </c>
      <c r="O46" s="307">
        <f>SUM('[3]Jet Blue'!$GB$41:$GM$41)</f>
        <v>224595</v>
      </c>
      <c r="P46" s="150">
        <f>SUM('[3]Jet Blue'!$FN$41:$FY$41)</f>
        <v>153816</v>
      </c>
      <c r="Q46" s="308">
        <f>(O46-P46)/P46</f>
        <v>0.46015369012326418</v>
      </c>
      <c r="R46" s="309">
        <f>O46/$O$69</f>
        <v>5.8568715619450708E-3</v>
      </c>
    </row>
    <row r="47" spans="1:21" ht="14.1" customHeight="1" x14ac:dyDescent="0.2">
      <c r="A47" s="306"/>
      <c r="B47" s="40"/>
      <c r="C47" s="307"/>
      <c r="D47" s="150"/>
      <c r="E47" s="309"/>
      <c r="F47" s="150"/>
      <c r="G47" s="150"/>
      <c r="H47" s="308"/>
      <c r="I47" s="309"/>
      <c r="J47" s="306"/>
      <c r="K47" s="40"/>
      <c r="L47" s="310"/>
      <c r="N47" s="67"/>
      <c r="O47" s="310"/>
      <c r="P47" s="2"/>
      <c r="Q47" s="3"/>
      <c r="R47" s="67"/>
    </row>
    <row r="48" spans="1:21" ht="14.1" customHeight="1" x14ac:dyDescent="0.2">
      <c r="A48" s="306" t="s">
        <v>200</v>
      </c>
      <c r="B48" s="40"/>
      <c r="C48" s="307">
        <f>[3]KLM!$GM$19</f>
        <v>36</v>
      </c>
      <c r="D48" s="150">
        <f>[3]KLM!$FY$19</f>
        <v>36</v>
      </c>
      <c r="E48" s="309">
        <f>(C48-D48)/D48</f>
        <v>0</v>
      </c>
      <c r="F48" s="150">
        <f>SUM([3]KLM!$GB$19:$GM$19)</f>
        <v>406</v>
      </c>
      <c r="G48" s="150">
        <f>SUM([3]KLM!$FN$19:$FY$19)</f>
        <v>376</v>
      </c>
      <c r="H48" s="308">
        <f>(F48-G48)/G48</f>
        <v>7.9787234042553196E-2</v>
      </c>
      <c r="I48" s="309">
        <f>F48/$F$69</f>
        <v>1.0911866520458406E-3</v>
      </c>
      <c r="J48" s="306" t="s">
        <v>200</v>
      </c>
      <c r="K48" s="40"/>
      <c r="L48" s="307">
        <f>[3]KLM!$GM$41</f>
        <v>9420</v>
      </c>
      <c r="M48" s="150">
        <f>[3]KLM!$FY$41</f>
        <v>8481</v>
      </c>
      <c r="N48" s="309">
        <f>(L48-M48)/M48</f>
        <v>0.11071807569862045</v>
      </c>
      <c r="O48" s="307">
        <f>SUM([3]KLM!$GB$41:$GM$41)</f>
        <v>97902</v>
      </c>
      <c r="P48" s="150">
        <f>SUM([3]KLM!$FN$41:$FY$41)</f>
        <v>87467</v>
      </c>
      <c r="Q48" s="308">
        <f>(O48-P48)/P48</f>
        <v>0.11930213680588107</v>
      </c>
      <c r="R48" s="309">
        <f>O48/$O$69</f>
        <v>2.5530374213920451E-3</v>
      </c>
    </row>
    <row r="49" spans="1:18" ht="14.1" customHeight="1" x14ac:dyDescent="0.2">
      <c r="A49" s="306"/>
      <c r="B49" s="40"/>
      <c r="C49" s="307"/>
      <c r="D49" s="150"/>
      <c r="E49" s="309"/>
      <c r="F49" s="150"/>
      <c r="G49" s="150"/>
      <c r="H49" s="308"/>
      <c r="I49" s="309"/>
      <c r="J49" s="306"/>
      <c r="K49" s="40"/>
      <c r="L49" s="310"/>
      <c r="N49" s="67"/>
      <c r="O49" s="310"/>
      <c r="P49" s="2"/>
      <c r="Q49" s="3"/>
      <c r="R49" s="67"/>
    </row>
    <row r="50" spans="1:18" ht="14.1" customHeight="1" x14ac:dyDescent="0.2">
      <c r="A50" s="306" t="s">
        <v>131</v>
      </c>
      <c r="B50" s="40"/>
      <c r="C50" s="307">
        <f>SUM(C51:C51)</f>
        <v>1078</v>
      </c>
      <c r="D50" s="150">
        <f>SUM(D51:D51)</f>
        <v>1218</v>
      </c>
      <c r="E50" s="309">
        <f>(C50-D50)/D50</f>
        <v>-0.11494252873563218</v>
      </c>
      <c r="F50" s="307">
        <f>SUM(F51:F51)</f>
        <v>15615</v>
      </c>
      <c r="G50" s="150">
        <f>SUM(G51:G51)</f>
        <v>16154</v>
      </c>
      <c r="H50" s="308">
        <f>(F50-G50)/G50</f>
        <v>-3.3366348891915316E-2</v>
      </c>
      <c r="I50" s="309">
        <f>F50/$F$69</f>
        <v>4.1967683674127586E-2</v>
      </c>
      <c r="J50" s="306" t="s">
        <v>131</v>
      </c>
      <c r="K50" s="40"/>
      <c r="L50" s="307">
        <f>SUM(L51:L51)</f>
        <v>131167</v>
      </c>
      <c r="M50" s="150">
        <f>SUM(M51:M51)</f>
        <v>143430</v>
      </c>
      <c r="N50" s="309">
        <f>(L50-M50)/M50</f>
        <v>-8.5498152408840553E-2</v>
      </c>
      <c r="O50" s="307">
        <f>SUM(O51:O51)</f>
        <v>1821369</v>
      </c>
      <c r="P50" s="150">
        <f>SUM(P51:P51)</f>
        <v>1944336</v>
      </c>
      <c r="Q50" s="308">
        <f>(O50-P50)/P50</f>
        <v>-6.3243698619991601E-2</v>
      </c>
      <c r="R50" s="309">
        <f>O50/$O$69</f>
        <v>4.7496713194453713E-2</v>
      </c>
    </row>
    <row r="51" spans="1:18" ht="14.1" customHeight="1" x14ac:dyDescent="0.2">
      <c r="A51" s="306"/>
      <c r="B51" s="40" t="s">
        <v>131</v>
      </c>
      <c r="C51" s="368">
        <f>[3]Southwest!$GM$19</f>
        <v>1078</v>
      </c>
      <c r="D51" s="254">
        <f>[3]Southwest!$FY$19</f>
        <v>1218</v>
      </c>
      <c r="E51" s="370">
        <f>(C51-D51)/D51</f>
        <v>-0.11494252873563218</v>
      </c>
      <c r="F51" s="254">
        <f>SUM([3]Southwest!$GB$19:$GM$19)</f>
        <v>15615</v>
      </c>
      <c r="G51" s="254">
        <f>SUM([3]Southwest!$FN$19:$FY$19)</f>
        <v>16154</v>
      </c>
      <c r="H51" s="369">
        <f>(F51-G51)/G51</f>
        <v>-3.3366348891915316E-2</v>
      </c>
      <c r="I51" s="370">
        <f>F51/$F$69</f>
        <v>4.1967683674127586E-2</v>
      </c>
      <c r="J51" s="306"/>
      <c r="K51" s="40" t="s">
        <v>131</v>
      </c>
      <c r="L51" s="368">
        <f>[3]Southwest!$GM$41</f>
        <v>131167</v>
      </c>
      <c r="M51" s="254">
        <f>[3]Southwest!$FY$41</f>
        <v>143430</v>
      </c>
      <c r="N51" s="370">
        <f>(L51-M51)/M51</f>
        <v>-8.5498152408840553E-2</v>
      </c>
      <c r="O51" s="368">
        <f>SUM([3]Southwest!$GB$41:$GM$41)</f>
        <v>1821369</v>
      </c>
      <c r="P51" s="254">
        <f>SUM([3]Southwest!$FN$41:$FY$41)</f>
        <v>1944336</v>
      </c>
      <c r="Q51" s="369">
        <f>(O51-P51)/P51</f>
        <v>-6.3243698619991601E-2</v>
      </c>
      <c r="R51" s="370">
        <f>O51/$O$69</f>
        <v>4.7496713194453713E-2</v>
      </c>
    </row>
    <row r="52" spans="1:18" ht="14.1" customHeight="1" x14ac:dyDescent="0.2">
      <c r="A52" s="306"/>
      <c r="B52" s="40"/>
      <c r="C52" s="307"/>
      <c r="D52" s="150"/>
      <c r="E52" s="309"/>
      <c r="F52" s="150"/>
      <c r="G52" s="150"/>
      <c r="H52" s="308"/>
      <c r="I52" s="309"/>
      <c r="J52" s="306"/>
      <c r="K52" s="40"/>
      <c r="L52" s="310"/>
      <c r="N52" s="67"/>
      <c r="O52" s="310"/>
      <c r="P52" s="2"/>
      <c r="Q52" s="3"/>
      <c r="R52" s="67"/>
    </row>
    <row r="53" spans="1:18" ht="14.1" customHeight="1" x14ac:dyDescent="0.2">
      <c r="A53" s="306" t="s">
        <v>159</v>
      </c>
      <c r="B53" s="40"/>
      <c r="C53" s="307">
        <f>[3]Spirit!$GM$19</f>
        <v>642</v>
      </c>
      <c r="D53" s="150">
        <f>[3]Spirit!$FY$19</f>
        <v>706</v>
      </c>
      <c r="E53" s="309">
        <f>(C53-D53)/D53</f>
        <v>-9.0651558073654395E-2</v>
      </c>
      <c r="F53" s="150">
        <f>SUM([3]Spirit!$GB$19:$GM$19)</f>
        <v>7676</v>
      </c>
      <c r="G53" s="150">
        <f>SUM([3]Spirit!$FN$19:$FY$19)</f>
        <v>8367</v>
      </c>
      <c r="H53" s="308">
        <f>(F53-G53)/G53</f>
        <v>-8.2586351141388792E-2</v>
      </c>
      <c r="I53" s="309">
        <f>F53/$F$69</f>
        <v>2.0630415618482445E-2</v>
      </c>
      <c r="J53" s="306" t="s">
        <v>159</v>
      </c>
      <c r="K53" s="40"/>
      <c r="L53" s="307">
        <f>[3]Spirit!$GM$41</f>
        <v>97732</v>
      </c>
      <c r="M53" s="150">
        <f>[3]Spirit!$FY$41</f>
        <v>94845</v>
      </c>
      <c r="N53" s="309">
        <f>(L53-M53)/M53</f>
        <v>3.0439137540197163E-2</v>
      </c>
      <c r="O53" s="307">
        <f>SUM([3]Spirit!$GB$41:$GM$41)</f>
        <v>1160057</v>
      </c>
      <c r="P53" s="150">
        <f>SUM([3]Spirit!$FN$41:$FY$41)</f>
        <v>1149731</v>
      </c>
      <c r="Q53" s="308">
        <f>(O53-P53)/P53</f>
        <v>8.9812312619212669E-3</v>
      </c>
      <c r="R53" s="309">
        <f>O53/$O$69</f>
        <v>3.025136291340107E-2</v>
      </c>
    </row>
    <row r="54" spans="1:18" ht="14.1" customHeight="1" x14ac:dyDescent="0.2">
      <c r="A54" s="306"/>
      <c r="B54" s="40"/>
      <c r="C54" s="307"/>
      <c r="D54" s="150"/>
      <c r="E54" s="309"/>
      <c r="F54" s="150"/>
      <c r="G54" s="150"/>
      <c r="H54" s="308"/>
      <c r="I54" s="309"/>
      <c r="J54" s="306"/>
      <c r="K54" s="40"/>
      <c r="L54" s="310"/>
      <c r="N54" s="67"/>
      <c r="O54" s="310"/>
      <c r="P54" s="2"/>
      <c r="Q54" s="3"/>
      <c r="R54" s="67"/>
    </row>
    <row r="55" spans="1:18" ht="14.1" customHeight="1" x14ac:dyDescent="0.2">
      <c r="A55" s="306" t="s">
        <v>49</v>
      </c>
      <c r="B55" s="40"/>
      <c r="C55" s="307">
        <f>'[3]Sun Country'!$GM$19</f>
        <v>2034</v>
      </c>
      <c r="D55" s="150">
        <f>'[3]Sun Country'!$FY$19</f>
        <v>1650</v>
      </c>
      <c r="E55" s="309">
        <f>(C55-D55)/D55</f>
        <v>0.23272727272727273</v>
      </c>
      <c r="F55" s="150">
        <f>SUM('[3]Sun Country'!$GB$19:$GM$19)</f>
        <v>21297</v>
      </c>
      <c r="G55" s="150">
        <f>SUM('[3]Sun Country'!$FN$19:$FY$19)</f>
        <v>19334</v>
      </c>
      <c r="H55" s="308">
        <f>(F55-G55)/G55</f>
        <v>0.10153098169028654</v>
      </c>
      <c r="I55" s="309">
        <f>F55/$F$69</f>
        <v>5.7238921499064697E-2</v>
      </c>
      <c r="J55" s="306" t="s">
        <v>49</v>
      </c>
      <c r="K55" s="40"/>
      <c r="L55" s="307">
        <f>'[3]Sun Country'!$GM$41</f>
        <v>281467</v>
      </c>
      <c r="M55" s="150">
        <f>'[3]Sun Country'!$FY$41</f>
        <v>210536</v>
      </c>
      <c r="N55" s="309">
        <f>(L55-M55)/M55</f>
        <v>0.33690675228939471</v>
      </c>
      <c r="O55" s="307">
        <f>SUM('[3]Sun Country'!$GB$41:$GM$41)</f>
        <v>2873671</v>
      </c>
      <c r="P55" s="150">
        <f>SUM('[3]Sun Country'!$FN$41:$FY$41)</f>
        <v>2349393</v>
      </c>
      <c r="Q55" s="308">
        <f>(O55-P55)/P55</f>
        <v>0.22315466165090303</v>
      </c>
      <c r="R55" s="309">
        <f>O55/$O$69</f>
        <v>7.4938097278595933E-2</v>
      </c>
    </row>
    <row r="56" spans="1:18" ht="14.1" customHeight="1" x14ac:dyDescent="0.2">
      <c r="A56" s="306"/>
      <c r="B56" s="40"/>
      <c r="C56" s="307"/>
      <c r="D56" s="150"/>
      <c r="E56" s="309"/>
      <c r="F56" s="150"/>
      <c r="G56" s="150"/>
      <c r="H56" s="308"/>
      <c r="I56" s="309"/>
      <c r="J56" s="306"/>
      <c r="K56" s="40"/>
      <c r="L56" s="310"/>
      <c r="N56" s="67"/>
      <c r="O56" s="310"/>
      <c r="P56" s="2"/>
      <c r="Q56" s="3"/>
      <c r="R56" s="67"/>
    </row>
    <row r="57" spans="1:18" ht="14.1" customHeight="1" x14ac:dyDescent="0.2">
      <c r="A57" s="306" t="s">
        <v>19</v>
      </c>
      <c r="B57" s="311"/>
      <c r="C57" s="307">
        <f>SUM(C58:C64)</f>
        <v>1508</v>
      </c>
      <c r="D57" s="150">
        <f>SUM(D58:D64)</f>
        <v>1368</v>
      </c>
      <c r="E57" s="309">
        <f t="shared" ref="E57:E64" si="12">(C57-D57)/D57</f>
        <v>0.1023391812865497</v>
      </c>
      <c r="F57" s="150">
        <f>SUM(F58:F64)</f>
        <v>17906</v>
      </c>
      <c r="G57" s="150">
        <f>SUM(G58:G64)</f>
        <v>17771</v>
      </c>
      <c r="H57" s="308">
        <f t="shared" ref="H57:H64" si="13">(F57-G57)/G57</f>
        <v>7.5966462213718977E-3</v>
      </c>
      <c r="I57" s="309">
        <f t="shared" ref="I57:I64" si="14">F57/$F$69</f>
        <v>4.812509406781483E-2</v>
      </c>
      <c r="J57" s="306" t="s">
        <v>19</v>
      </c>
      <c r="K57" s="311"/>
      <c r="L57" s="307">
        <f>SUM(L58:L64)</f>
        <v>130202</v>
      </c>
      <c r="M57" s="150">
        <f>SUM(M58:M64)</f>
        <v>115824</v>
      </c>
      <c r="N57" s="309">
        <f t="shared" ref="N57:N64" si="15">(L57-M57)/M57</f>
        <v>0.1241366210802597</v>
      </c>
      <c r="O57" s="307">
        <f>SUM(O58:O64)</f>
        <v>1603161</v>
      </c>
      <c r="P57" s="150">
        <f>SUM(P58:P64)</f>
        <v>1588226</v>
      </c>
      <c r="Q57" s="308">
        <f t="shared" ref="Q57:Q64" si="16">(O57-P57)/P57</f>
        <v>9.4035735468377922E-3</v>
      </c>
      <c r="R57" s="309">
        <f t="shared" ref="R57:R64" si="17">O57/$O$69</f>
        <v>4.1806398495600625E-2</v>
      </c>
    </row>
    <row r="58" spans="1:18" ht="14.1" customHeight="1" x14ac:dyDescent="0.2">
      <c r="A58" s="38"/>
      <c r="B58" s="364" t="s">
        <v>19</v>
      </c>
      <c r="C58" s="310">
        <f>[3]United!$GM$19</f>
        <v>476</v>
      </c>
      <c r="D58" s="2">
        <f>[3]United!$FY$19+[3]Continental!$FY$19</f>
        <v>408</v>
      </c>
      <c r="E58" s="67">
        <f t="shared" si="12"/>
        <v>0.16666666666666666</v>
      </c>
      <c r="F58" s="2">
        <f>SUM([3]United!$GB$19:$GM$19)</f>
        <v>7020</v>
      </c>
      <c r="G58" s="2">
        <f>SUM([3]United!$FN$19:$FY$19)+SUM([3]Continental!$FN$19:$FY$19)</f>
        <v>7232</v>
      </c>
      <c r="H58" s="3">
        <f t="shared" si="13"/>
        <v>-2.9314159292035399E-2</v>
      </c>
      <c r="I58" s="67">
        <f t="shared" si="14"/>
        <v>1.886731600335419E-2</v>
      </c>
      <c r="J58" s="38"/>
      <c r="K58" s="364" t="s">
        <v>19</v>
      </c>
      <c r="L58" s="310">
        <f>[3]United!$GM$41</f>
        <v>65201</v>
      </c>
      <c r="M58" s="2">
        <f>[3]United!$FY$41+[3]Continental!$FY$41</f>
        <v>56503</v>
      </c>
      <c r="N58" s="67">
        <f t="shared" si="15"/>
        <v>0.15393872891704866</v>
      </c>
      <c r="O58" s="310">
        <f>SUM([3]United!$GB$41:$GM$41)</f>
        <v>926748</v>
      </c>
      <c r="P58" s="2">
        <f>SUM([3]United!$FN$41:$FY$41)+SUM([3]Continental!$FN$41:$FY$41)</f>
        <v>917534</v>
      </c>
      <c r="Q58" s="3">
        <f t="shared" si="16"/>
        <v>1.0042134678387939E-2</v>
      </c>
      <c r="R58" s="67">
        <f t="shared" si="17"/>
        <v>2.4167252193011735E-2</v>
      </c>
    </row>
    <row r="59" spans="1:18" ht="14.1" customHeight="1" x14ac:dyDescent="0.2">
      <c r="A59" s="38"/>
      <c r="B59" s="364" t="s">
        <v>171</v>
      </c>
      <c r="C59" s="310">
        <f>'[3]Continental Express'!$GM$19</f>
        <v>96</v>
      </c>
      <c r="D59" s="2">
        <f>'[3]Continental Express'!$FY$19</f>
        <v>0</v>
      </c>
      <c r="E59" s="67" t="e">
        <f t="shared" si="12"/>
        <v>#DIV/0!</v>
      </c>
      <c r="F59" s="2">
        <f>SUM('[3]Continental Express'!$GB$19:$GM$19)</f>
        <v>698</v>
      </c>
      <c r="G59" s="2">
        <f>SUM('[3]Continental Express'!$FN$19:$FY$19)</f>
        <v>64</v>
      </c>
      <c r="H59" s="3">
        <f t="shared" si="13"/>
        <v>9.90625</v>
      </c>
      <c r="I59" s="67">
        <f t="shared" si="14"/>
        <v>1.8759809929261002E-3</v>
      </c>
      <c r="J59" s="38"/>
      <c r="K59" s="364" t="s">
        <v>171</v>
      </c>
      <c r="L59" s="310">
        <f>'[3]Continental Express'!$GM$41</f>
        <v>5649</v>
      </c>
      <c r="M59" s="2">
        <f>'[3]Continental Express'!$FY$41</f>
        <v>0</v>
      </c>
      <c r="N59" s="67" t="e">
        <f t="shared" si="15"/>
        <v>#DIV/0!</v>
      </c>
      <c r="O59" s="310">
        <f>SUM('[3]Continental Express'!$GB$41:$GM$41)</f>
        <v>38811</v>
      </c>
      <c r="P59" s="2">
        <f>SUM('[3]Continental Express'!$FN$41:$FY$41)</f>
        <v>2069</v>
      </c>
      <c r="Q59" s="3">
        <f t="shared" si="16"/>
        <v>17.758337361043981</v>
      </c>
      <c r="R59" s="67">
        <f t="shared" si="17"/>
        <v>1.0120930661441712E-3</v>
      </c>
    </row>
    <row r="60" spans="1:18" ht="14.1" customHeight="1" x14ac:dyDescent="0.2">
      <c r="A60" s="38"/>
      <c r="B60" s="40" t="s">
        <v>158</v>
      </c>
      <c r="C60" s="310">
        <f>'[3]Go Jet_UA'!$GM$19</f>
        <v>4</v>
      </c>
      <c r="D60" s="2">
        <f>'[3]Go Jet_UA'!$FY$19</f>
        <v>28</v>
      </c>
      <c r="E60" s="67">
        <f t="shared" si="12"/>
        <v>-0.8571428571428571</v>
      </c>
      <c r="F60" s="2">
        <f>SUM('[3]Go Jet_UA'!$GB$19:$GM$19)</f>
        <v>90</v>
      </c>
      <c r="G60" s="2">
        <f>SUM('[3]Go Jet_UA'!$FN$19:$FY$19)</f>
        <v>185</v>
      </c>
      <c r="H60" s="3">
        <f t="shared" si="13"/>
        <v>-0.51351351351351349</v>
      </c>
      <c r="I60" s="67">
        <f t="shared" si="14"/>
        <v>2.4188866670966911E-4</v>
      </c>
      <c r="J60" s="38"/>
      <c r="K60" s="40" t="s">
        <v>158</v>
      </c>
      <c r="L60" s="310">
        <f>'[3]Go Jet_UA'!$GM$41</f>
        <v>260</v>
      </c>
      <c r="M60" s="2">
        <f>'[3]Go Jet_UA'!$FY$41</f>
        <v>1760</v>
      </c>
      <c r="N60" s="67">
        <f t="shared" si="15"/>
        <v>-0.85227272727272729</v>
      </c>
      <c r="O60" s="310">
        <f>SUM('[3]Go Jet_UA'!$GB$41:$GM$41)</f>
        <v>5542</v>
      </c>
      <c r="P60" s="2">
        <f>SUM('[3]Go Jet_UA'!$FN$41:$FY$41)</f>
        <v>12125</v>
      </c>
      <c r="Q60" s="3">
        <f t="shared" si="16"/>
        <v>-0.5429278350515464</v>
      </c>
      <c r="R60" s="67">
        <f t="shared" si="17"/>
        <v>1.4452139271265872E-4</v>
      </c>
    </row>
    <row r="61" spans="1:18" ht="14.1" customHeight="1" x14ac:dyDescent="0.2">
      <c r="A61" s="38"/>
      <c r="B61" s="40" t="s">
        <v>51</v>
      </c>
      <c r="C61" s="310">
        <f>[3]MESA_UA!$GM$19</f>
        <v>272</v>
      </c>
      <c r="D61" s="2">
        <f>[3]MESA_UA!$FY$19</f>
        <v>320</v>
      </c>
      <c r="E61" s="67">
        <f t="shared" si="12"/>
        <v>-0.15</v>
      </c>
      <c r="F61" s="2">
        <f>SUM([3]MESA_UA!$GB$19:$GM$19)</f>
        <v>2778</v>
      </c>
      <c r="G61" s="2">
        <f>SUM([3]MESA_UA!$FN$19:$FY$19)</f>
        <v>3394</v>
      </c>
      <c r="H61" s="3">
        <f>(F61-G61)/G61</f>
        <v>-0.18149675898644668</v>
      </c>
      <c r="I61" s="67">
        <f t="shared" si="14"/>
        <v>7.4662968457717858E-3</v>
      </c>
      <c r="J61" s="38"/>
      <c r="K61" s="40" t="s">
        <v>51</v>
      </c>
      <c r="L61" s="310">
        <f>[3]MESA_UA!$GM$41</f>
        <v>16844</v>
      </c>
      <c r="M61" s="2">
        <f>[3]MESA_UA!$FY$41</f>
        <v>20072</v>
      </c>
      <c r="N61" s="67">
        <f t="shared" si="15"/>
        <v>-0.16082104424073335</v>
      </c>
      <c r="O61" s="310">
        <f>SUM([3]MESA_UA!$GB$41:$GM$41)</f>
        <v>174918</v>
      </c>
      <c r="P61" s="2">
        <f>SUM([3]MESA_UA!$FN$41:$FY$41)</f>
        <v>219125</v>
      </c>
      <c r="Q61" s="3">
        <f t="shared" si="16"/>
        <v>-0.20174329720479178</v>
      </c>
      <c r="R61" s="67">
        <f t="shared" si="17"/>
        <v>4.5614206009586501E-3</v>
      </c>
    </row>
    <row r="62" spans="1:18" ht="14.1" customHeight="1" x14ac:dyDescent="0.2">
      <c r="A62" s="38"/>
      <c r="B62" s="364" t="s">
        <v>52</v>
      </c>
      <c r="C62" s="310">
        <f>[3]Republic_UA!$GM$19</f>
        <v>472</v>
      </c>
      <c r="D62" s="2">
        <f>[3]Republic_UA!$FY$19</f>
        <v>430</v>
      </c>
      <c r="E62" s="67">
        <f t="shared" si="12"/>
        <v>9.7674418604651161E-2</v>
      </c>
      <c r="F62" s="2">
        <f>SUM([3]Republic_UA!$GB$19:$GM$19)</f>
        <v>5810</v>
      </c>
      <c r="G62" s="2">
        <f>SUM([3]Republic_UA!$FN$19:$FY$19)</f>
        <v>4932</v>
      </c>
      <c r="H62" s="3">
        <f t="shared" ref="H62" si="18">(F62-G62)/G62</f>
        <v>0.17802108678021086</v>
      </c>
      <c r="I62" s="67">
        <f t="shared" si="14"/>
        <v>1.5615257262035305E-2</v>
      </c>
      <c r="J62" s="38"/>
      <c r="K62" s="364" t="s">
        <v>52</v>
      </c>
      <c r="L62" s="310">
        <f>[3]Republic_UA!$GM$41</f>
        <v>30277</v>
      </c>
      <c r="M62" s="2">
        <f>[3]Republic_UA!$FY$41</f>
        <v>25895</v>
      </c>
      <c r="N62" s="67">
        <f t="shared" si="15"/>
        <v>0.16922185750144816</v>
      </c>
      <c r="O62" s="310">
        <f>SUM([3]Republic_UA!$GB$41:$GM$41)</f>
        <v>359484</v>
      </c>
      <c r="P62" s="2">
        <f>SUM([3]Republic_UA!$FN$41:$FY$41)</f>
        <v>310024</v>
      </c>
      <c r="Q62" s="3">
        <f t="shared" si="16"/>
        <v>0.15953603591979976</v>
      </c>
      <c r="R62" s="67">
        <f t="shared" si="17"/>
        <v>9.3744367264376408E-3</v>
      </c>
    </row>
    <row r="63" spans="1:18" ht="14.1" customHeight="1" x14ac:dyDescent="0.2">
      <c r="A63" s="38"/>
      <c r="B63" s="40" t="s">
        <v>99</v>
      </c>
      <c r="C63" s="310">
        <f>'[3]Sky West_UA'!$GM$19</f>
        <v>186</v>
      </c>
      <c r="D63" s="2">
        <f>'[3]Sky West_UA'!$FY$19+'[3]Sky West_CO'!$FY$19</f>
        <v>182</v>
      </c>
      <c r="E63" s="67">
        <f t="shared" si="12"/>
        <v>2.197802197802198E-2</v>
      </c>
      <c r="F63" s="2">
        <f>SUM('[3]Sky West_UA'!$GB$19:$GM$19)</f>
        <v>1508</v>
      </c>
      <c r="G63" s="2">
        <f>SUM('[3]Sky West_UA'!$FN$19:$FY$19)+SUM('[3]Sky West_CO'!$FN$19:$FY$19)</f>
        <v>1964</v>
      </c>
      <c r="H63" s="3">
        <f t="shared" si="13"/>
        <v>-0.23217922606924643</v>
      </c>
      <c r="I63" s="67">
        <f t="shared" si="14"/>
        <v>4.0529789933131223E-3</v>
      </c>
      <c r="J63" s="38"/>
      <c r="K63" s="40" t="s">
        <v>99</v>
      </c>
      <c r="L63" s="310">
        <f>'[3]Sky West_UA'!$GM$41</f>
        <v>11901</v>
      </c>
      <c r="M63" s="2">
        <f>'[3]Sky West_UA'!$FY$41+'[3]Sky West_CO'!$FY$41</f>
        <v>11594</v>
      </c>
      <c r="N63" s="67">
        <f t="shared" si="15"/>
        <v>2.6479213386234258E-2</v>
      </c>
      <c r="O63" s="310">
        <f>SUM('[3]Sky West_UA'!$GB$41:$GM$41)</f>
        <v>97588</v>
      </c>
      <c r="P63" s="2">
        <f>SUM('[3]Sky West_UA'!$FN$41:$FY$41)+SUM('[3]Sky West_CO'!$FN$41:$FY$41)</f>
        <v>127349</v>
      </c>
      <c r="Q63" s="3">
        <f t="shared" si="16"/>
        <v>-0.23369637767081014</v>
      </c>
      <c r="R63" s="67">
        <f t="shared" si="17"/>
        <v>2.5448490927540489E-3</v>
      </c>
    </row>
    <row r="64" spans="1:18" ht="14.1" customHeight="1" x14ac:dyDescent="0.2">
      <c r="A64" s="38"/>
      <c r="B64" s="312" t="s">
        <v>133</v>
      </c>
      <c r="C64" s="310">
        <f>'[3]Shuttle America'!$GM$19</f>
        <v>2</v>
      </c>
      <c r="D64" s="2">
        <f>'[3]Shuttle America'!$FY$19</f>
        <v>0</v>
      </c>
      <c r="E64" s="67" t="e">
        <f t="shared" si="12"/>
        <v>#DIV/0!</v>
      </c>
      <c r="F64" s="2">
        <f>SUM('[3]Shuttle America'!$GB$19:$GM$19)</f>
        <v>2</v>
      </c>
      <c r="G64" s="2">
        <f>SUM('[3]Shuttle America'!$FN$19:$FY$19)</f>
        <v>0</v>
      </c>
      <c r="H64" s="3" t="e">
        <f t="shared" si="13"/>
        <v>#DIV/0!</v>
      </c>
      <c r="I64" s="67">
        <f t="shared" si="14"/>
        <v>5.3753037046593134E-6</v>
      </c>
      <c r="J64" s="38"/>
      <c r="K64" s="312" t="s">
        <v>133</v>
      </c>
      <c r="L64" s="310">
        <f>'[3]Shuttle America'!$GM$41</f>
        <v>70</v>
      </c>
      <c r="M64" s="2">
        <f>'[3]Shuttle America'!$FY$41</f>
        <v>0</v>
      </c>
      <c r="N64" s="67" t="e">
        <f t="shared" si="15"/>
        <v>#DIV/0!</v>
      </c>
      <c r="O64" s="310">
        <f>SUM('[3]Shuttle America'!$GB$41:$GM$41)</f>
        <v>70</v>
      </c>
      <c r="P64" s="2">
        <f>SUM('[3]Shuttle America'!$FN$41:$FY$41)</f>
        <v>0</v>
      </c>
      <c r="Q64" s="3" t="e">
        <f t="shared" si="16"/>
        <v>#DIV/0!</v>
      </c>
      <c r="R64" s="67">
        <f t="shared" si="17"/>
        <v>1.825423581718894E-6</v>
      </c>
    </row>
    <row r="65" spans="1:20" ht="14.1" customHeight="1" thickBot="1" x14ac:dyDescent="0.25">
      <c r="A65" s="366"/>
      <c r="B65" s="367"/>
      <c r="C65" s="313"/>
      <c r="D65" s="315"/>
      <c r="E65" s="316"/>
      <c r="F65" s="315"/>
      <c r="G65" s="315"/>
      <c r="H65" s="314"/>
      <c r="I65" s="316"/>
      <c r="J65" s="366"/>
      <c r="K65" s="367"/>
      <c r="L65" s="313"/>
      <c r="M65" s="315"/>
      <c r="N65" s="316"/>
      <c r="O65" s="313"/>
      <c r="P65" s="315"/>
      <c r="Q65" s="314"/>
      <c r="R65" s="399"/>
    </row>
    <row r="66" spans="1:20" s="194" customFormat="1" ht="14.1" customHeight="1" thickBot="1" x14ac:dyDescent="0.25">
      <c r="B66" s="193"/>
      <c r="C66" s="150"/>
      <c r="D66" s="150"/>
      <c r="E66" s="308"/>
      <c r="F66" s="365"/>
      <c r="G66" s="150"/>
      <c r="H66" s="308"/>
      <c r="I66" s="308"/>
      <c r="J66" s="317"/>
      <c r="K66" s="193"/>
      <c r="L66" s="318"/>
      <c r="M66" s="319"/>
      <c r="N66" s="317"/>
      <c r="S66"/>
      <c r="T66"/>
    </row>
    <row r="67" spans="1:20" ht="14.1" customHeight="1" x14ac:dyDescent="0.2">
      <c r="B67" s="320" t="s">
        <v>135</v>
      </c>
      <c r="C67" s="374">
        <f>+C69-C68</f>
        <v>18575</v>
      </c>
      <c r="D67" s="374">
        <f>+D69-D68</f>
        <v>16984</v>
      </c>
      <c r="E67" s="375">
        <f>(C67-D67)/D67</f>
        <v>9.3676401318888367E-2</v>
      </c>
      <c r="F67" s="374">
        <f>+F69-F68</f>
        <v>230096</v>
      </c>
      <c r="G67" s="374">
        <f>+G69-G68</f>
        <v>221554</v>
      </c>
      <c r="H67" s="375">
        <f>(F67-G67)/G67</f>
        <v>3.8554934688608648E-2</v>
      </c>
      <c r="I67" s="421">
        <f>F67/$F$69</f>
        <v>0.61841794061364463</v>
      </c>
      <c r="K67" s="320" t="s">
        <v>135</v>
      </c>
      <c r="L67" s="374">
        <f>+L69-L68</f>
        <v>2487037</v>
      </c>
      <c r="M67" s="374">
        <f>+M69-M68</f>
        <v>2171550</v>
      </c>
      <c r="N67" s="375">
        <f>(L67-M67)/M67</f>
        <v>0.14528194147037829</v>
      </c>
      <c r="O67" s="374">
        <f>+O69-O68</f>
        <v>30798934</v>
      </c>
      <c r="P67" s="374">
        <f>+P69-P68</f>
        <v>29029272</v>
      </c>
      <c r="Q67" s="414">
        <f>(O67-P67)/P67</f>
        <v>6.0961294516789812E-2</v>
      </c>
      <c r="R67" s="417">
        <f>+O67/O69</f>
        <v>0.80315857736291174</v>
      </c>
    </row>
    <row r="68" spans="1:20" ht="14.1" customHeight="1" x14ac:dyDescent="0.2">
      <c r="B68" s="193" t="s">
        <v>136</v>
      </c>
      <c r="C68" s="376">
        <f>C64+C40+C38+C36+C35+C39+C22+C63+C60+C37+C59+C61+C27+C26+C23+C17+C8+C62+C24+C25+C9+C18</f>
        <v>11596</v>
      </c>
      <c r="D68" s="376">
        <f>D64+D40+D38+D36+D35+D39+D22+D63+D60+D37+D59+D61+D27+D26+D23+D17+D8+D62+D24+D25+D9+D18</f>
        <v>12126</v>
      </c>
      <c r="E68" s="321">
        <f>(C68-D68)/D68</f>
        <v>-4.3707735444499421E-2</v>
      </c>
      <c r="F68" s="376">
        <f>F64+F40+F38+F36+F35+F39+F22+F63+F60+F37+F59+F61+F27+F26+F23+F17+F8+F62+F24+F25+F9+F18</f>
        <v>141976</v>
      </c>
      <c r="G68" s="376">
        <f>G64+G40+G38+G36+G35+G39+G22+G63+G60+G37+G59+G61+G27+G26+G23+G17+G8+G62+G24+G25+G9+G18</f>
        <v>149108</v>
      </c>
      <c r="H68" s="321">
        <f>(F68-G68)/G68</f>
        <v>-4.7831102288274273E-2</v>
      </c>
      <c r="I68" s="422">
        <f>F68/$F$69</f>
        <v>0.38158205938635531</v>
      </c>
      <c r="K68" s="193" t="s">
        <v>136</v>
      </c>
      <c r="L68" s="376">
        <f>L64+L40+L38+L36+L35+L39+L22+L63+L60+L37+L59+L61+L27+L26+L23+L17+L8+L62+L24+L25+L9+L18</f>
        <v>642617</v>
      </c>
      <c r="M68" s="376">
        <f>M64+M40+M38+M36+M35+M39+M22+M63+M60+M37+M59+M61+M27+M26+M23+M17+M8+M62+M24+M25+M9+M18</f>
        <v>630242</v>
      </c>
      <c r="N68" s="321">
        <f>(L68-M68)/M68</f>
        <v>1.9635314688643411E-2</v>
      </c>
      <c r="O68" s="376">
        <f>O64+O40+O38+O36+O35+O39+O22+O63+O60+O37+O59+O61+O27+O26+O23+O17+O8+O62+O24+O25+O9+O18</f>
        <v>7548330</v>
      </c>
      <c r="P68" s="376">
        <f>P64+P40+P38+P36+P35+P39+P22+P63+P60+P37+P59+P61+P27+P26+P23+P17+P8+P62+P24+P25+P9+P18</f>
        <v>7753247</v>
      </c>
      <c r="Q68" s="412">
        <f>(O68-P68)/P68</f>
        <v>-2.6429829979620151E-2</v>
      </c>
      <c r="R68" s="418">
        <f>+O68/O69</f>
        <v>0.19684142263708826</v>
      </c>
    </row>
    <row r="69" spans="1:20" ht="14.1" customHeight="1" thickBot="1" x14ac:dyDescent="0.25">
      <c r="B69" s="193" t="s">
        <v>137</v>
      </c>
      <c r="C69" s="377">
        <f>C57+C55+C50+C44+C42+C33+C20+C15+C6+C53+C31+C29+C11+C48+C13+C46+C4</f>
        <v>30171</v>
      </c>
      <c r="D69" s="377">
        <f>D57+D55+D50+D44+D42+D33+D20+D15+D6+D53+D31+D29+D11+D48+D13+D46+D4</f>
        <v>29110</v>
      </c>
      <c r="E69" s="378">
        <f>(C69-D69)/D69</f>
        <v>3.644795602885606E-2</v>
      </c>
      <c r="F69" s="377">
        <f>F57+F55+F50+F44+F42+F33+F20+F15+F6+F53+F31+F29+F11+F48+F13+F46+F4</f>
        <v>372072</v>
      </c>
      <c r="G69" s="377">
        <f>G57+G55+G50+G44+G42+G33+G20+G15+G6+G53+G31+G29+G11+G48+G13+G46+G4</f>
        <v>370662</v>
      </c>
      <c r="H69" s="378">
        <f>(F69-G69)/G69</f>
        <v>3.8040047266782134E-3</v>
      </c>
      <c r="I69" s="423">
        <f>+H69/H69</f>
        <v>1</v>
      </c>
      <c r="K69" s="193" t="s">
        <v>137</v>
      </c>
      <c r="L69" s="377">
        <f>L57+L55+L50+L44+L42+L33+L20+L15+L6+L53+L31+L29+L11+L48+L13+L46+L4</f>
        <v>3129654</v>
      </c>
      <c r="M69" s="377">
        <f>M57+M55+M50+M44+M42+M33+M20+M15+M6+M53+M31+M29+M11+M48+M13+M46+M4</f>
        <v>2801792</v>
      </c>
      <c r="N69" s="378">
        <f>(L69-M69)/M69</f>
        <v>0.11701867947370825</v>
      </c>
      <c r="O69" s="377">
        <f>O57+O55+O50+O44+O42+O33+O20+O15+O6+O53+O31+O29+O11+O48+O13+O46+O4</f>
        <v>38347264</v>
      </c>
      <c r="P69" s="377">
        <f>P57+P55+P50+P44+P42+P33+P20+P15+P6+P53+P31+P29+P11+P48+P13+P46+P4</f>
        <v>36782519</v>
      </c>
      <c r="Q69" s="378">
        <f>(O69-P69)/P69</f>
        <v>4.2540452436115102E-2</v>
      </c>
      <c r="R69" s="423">
        <f>+Q69/Q69</f>
        <v>1</v>
      </c>
    </row>
    <row r="70" spans="1:20" x14ac:dyDescent="0.2">
      <c r="D70" s="3"/>
      <c r="F70" s="2"/>
      <c r="G70"/>
      <c r="H70"/>
      <c r="I70"/>
      <c r="J70"/>
      <c r="K70"/>
      <c r="M70"/>
      <c r="N70"/>
    </row>
    <row r="71" spans="1:20" x14ac:dyDescent="0.2">
      <c r="F71" s="2"/>
      <c r="H71"/>
      <c r="I71"/>
      <c r="J71"/>
      <c r="K71"/>
      <c r="N71"/>
      <c r="O71" s="2"/>
      <c r="P71" s="2"/>
    </row>
    <row r="72" spans="1:20" x14ac:dyDescent="0.2">
      <c r="F72" s="2"/>
      <c r="H72"/>
      <c r="I72"/>
      <c r="J72"/>
      <c r="K72"/>
      <c r="N72"/>
      <c r="O72" s="2"/>
      <c r="P72" s="2"/>
    </row>
    <row r="73" spans="1:20" x14ac:dyDescent="0.2">
      <c r="F73" s="2"/>
      <c r="H73"/>
      <c r="I73"/>
      <c r="J73"/>
      <c r="K73"/>
      <c r="N73"/>
      <c r="O73" s="2"/>
      <c r="P73" s="2"/>
    </row>
    <row r="74" spans="1:20" x14ac:dyDescent="0.2">
      <c r="D74" s="3"/>
      <c r="F74"/>
      <c r="G74"/>
      <c r="H74"/>
      <c r="I74"/>
      <c r="J74"/>
      <c r="K74"/>
      <c r="M74"/>
      <c r="N74"/>
    </row>
    <row r="75" spans="1:20" x14ac:dyDescent="0.2">
      <c r="D75" s="3"/>
      <c r="F75"/>
      <c r="G75"/>
      <c r="H75"/>
      <c r="I75"/>
      <c r="J75"/>
      <c r="K75"/>
      <c r="L75"/>
      <c r="M75"/>
      <c r="N75"/>
    </row>
    <row r="76" spans="1:20" x14ac:dyDescent="0.2">
      <c r="D76" s="3"/>
      <c r="F76"/>
      <c r="G76"/>
      <c r="H76"/>
      <c r="I76"/>
      <c r="J76"/>
      <c r="K76"/>
      <c r="L76"/>
      <c r="M76"/>
      <c r="N76"/>
    </row>
    <row r="77" spans="1:20" x14ac:dyDescent="0.2">
      <c r="D77" s="3"/>
      <c r="F77"/>
      <c r="G77"/>
      <c r="H77"/>
      <c r="I77"/>
      <c r="J77"/>
      <c r="K77"/>
      <c r="L77"/>
      <c r="M77"/>
      <c r="N77"/>
    </row>
    <row r="78" spans="1:20" x14ac:dyDescent="0.2">
      <c r="D78" s="3"/>
      <c r="F78"/>
      <c r="G78"/>
      <c r="H78"/>
      <c r="I78"/>
      <c r="J78"/>
      <c r="K78"/>
      <c r="L78"/>
      <c r="M78"/>
      <c r="N78"/>
    </row>
    <row r="79" spans="1:20" x14ac:dyDescent="0.2">
      <c r="D79" s="3"/>
      <c r="F79"/>
      <c r="G79"/>
      <c r="H79"/>
      <c r="I79"/>
      <c r="J79"/>
      <c r="K79"/>
      <c r="L79"/>
      <c r="M79"/>
      <c r="N79"/>
    </row>
    <row r="80" spans="1:20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F141" s="195"/>
      <c r="K141"/>
    </row>
    <row r="142" spans="4:14" x14ac:dyDescent="0.2">
      <c r="F142" s="195"/>
      <c r="K142"/>
    </row>
    <row r="143" spans="4:14" x14ac:dyDescent="0.2">
      <c r="F143" s="195"/>
      <c r="K143"/>
    </row>
    <row r="144" spans="4:14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  <row r="4666" spans="6:11" x14ac:dyDescent="0.2">
      <c r="F4666" s="195"/>
      <c r="K4666"/>
    </row>
    <row r="4667" spans="6:11" x14ac:dyDescent="0.2">
      <c r="F4667" s="195"/>
      <c r="K4667"/>
    </row>
    <row r="4668" spans="6:11" x14ac:dyDescent="0.2">
      <c r="F4668" s="195"/>
      <c r="K4668"/>
    </row>
    <row r="4669" spans="6:11" x14ac:dyDescent="0.2">
      <c r="F4669" s="195"/>
      <c r="K4669"/>
    </row>
    <row r="4670" spans="6:11" x14ac:dyDescent="0.2">
      <c r="F4670" s="195"/>
      <c r="K4670"/>
    </row>
    <row r="4671" spans="6:11" x14ac:dyDescent="0.2">
      <c r="F4671" s="195"/>
      <c r="K4671"/>
    </row>
    <row r="4672" spans="6:11" x14ac:dyDescent="0.2">
      <c r="F4672" s="195"/>
      <c r="K4672"/>
    </row>
    <row r="4673" spans="6:11" x14ac:dyDescent="0.2">
      <c r="F4673" s="195"/>
      <c r="K4673"/>
    </row>
    <row r="4674" spans="6:11" x14ac:dyDescent="0.2">
      <c r="F4674" s="195"/>
      <c r="K4674"/>
    </row>
    <row r="4675" spans="6:11" x14ac:dyDescent="0.2">
      <c r="F4675" s="195"/>
      <c r="K4675"/>
    </row>
    <row r="4676" spans="6:11" x14ac:dyDescent="0.2">
      <c r="F4676" s="195"/>
      <c r="K4676"/>
    </row>
    <row r="4677" spans="6:11" x14ac:dyDescent="0.2">
      <c r="F4677" s="195"/>
      <c r="K4677"/>
    </row>
    <row r="4678" spans="6:11" x14ac:dyDescent="0.2">
      <c r="F4678" s="195"/>
      <c r="K4678"/>
    </row>
    <row r="4679" spans="6:11" x14ac:dyDescent="0.2">
      <c r="F4679" s="195"/>
      <c r="K4679"/>
    </row>
    <row r="4680" spans="6:11" x14ac:dyDescent="0.2">
      <c r="F4680" s="195"/>
      <c r="K4680"/>
    </row>
    <row r="4681" spans="6:11" x14ac:dyDescent="0.2">
      <c r="F4681" s="195"/>
      <c r="K4681"/>
    </row>
    <row r="4682" spans="6:11" x14ac:dyDescent="0.2">
      <c r="F4682" s="195"/>
      <c r="K4682"/>
    </row>
    <row r="4683" spans="6:11" x14ac:dyDescent="0.2">
      <c r="F4683" s="195"/>
      <c r="K4683"/>
    </row>
    <row r="4684" spans="6:11" x14ac:dyDescent="0.2">
      <c r="F4684" s="195"/>
      <c r="K4684"/>
    </row>
    <row r="4685" spans="6:11" x14ac:dyDescent="0.2">
      <c r="F4685" s="195"/>
      <c r="K4685"/>
    </row>
    <row r="4686" spans="6:11" x14ac:dyDescent="0.2">
      <c r="F4686" s="195"/>
      <c r="K4686"/>
    </row>
    <row r="4687" spans="6:11" x14ac:dyDescent="0.2">
      <c r="F4687" s="195"/>
      <c r="K4687"/>
    </row>
    <row r="4688" spans="6:11" x14ac:dyDescent="0.2">
      <c r="F4688" s="195"/>
      <c r="K4688"/>
    </row>
    <row r="4689" spans="6:11" x14ac:dyDescent="0.2">
      <c r="F4689" s="195"/>
      <c r="K4689"/>
    </row>
    <row r="4690" spans="6:11" x14ac:dyDescent="0.2">
      <c r="F4690" s="195"/>
      <c r="K4690"/>
    </row>
    <row r="4691" spans="6:11" x14ac:dyDescent="0.2">
      <c r="F4691" s="195"/>
      <c r="K4691"/>
    </row>
    <row r="4692" spans="6:11" x14ac:dyDescent="0.2">
      <c r="F4692" s="195"/>
      <c r="K4692"/>
    </row>
    <row r="4693" spans="6:11" x14ac:dyDescent="0.2">
      <c r="F4693" s="195"/>
      <c r="K4693"/>
    </row>
    <row r="4694" spans="6:11" x14ac:dyDescent="0.2">
      <c r="F4694" s="195"/>
      <c r="K4694"/>
    </row>
    <row r="4695" spans="6:11" x14ac:dyDescent="0.2">
      <c r="F4695" s="195"/>
      <c r="K4695"/>
    </row>
    <row r="4696" spans="6:11" x14ac:dyDescent="0.2">
      <c r="F4696" s="195"/>
      <c r="K4696"/>
    </row>
    <row r="4697" spans="6:11" x14ac:dyDescent="0.2">
      <c r="F4697" s="195"/>
      <c r="K4697"/>
    </row>
    <row r="4698" spans="6:11" x14ac:dyDescent="0.2">
      <c r="F4698" s="195"/>
      <c r="K4698"/>
    </row>
    <row r="4699" spans="6:11" x14ac:dyDescent="0.2">
      <c r="F4699" s="195"/>
      <c r="K4699"/>
    </row>
    <row r="4700" spans="6:11" x14ac:dyDescent="0.2">
      <c r="F4700" s="195"/>
      <c r="K4700"/>
    </row>
    <row r="4701" spans="6:11" x14ac:dyDescent="0.2">
      <c r="F4701" s="195"/>
      <c r="K4701"/>
    </row>
    <row r="4702" spans="6:11" x14ac:dyDescent="0.2">
      <c r="F4702" s="195"/>
      <c r="K4702"/>
    </row>
    <row r="4703" spans="6:11" x14ac:dyDescent="0.2">
      <c r="F4703" s="195"/>
      <c r="K4703"/>
    </row>
    <row r="4704" spans="6:11" x14ac:dyDescent="0.2">
      <c r="F4704" s="195"/>
      <c r="K4704"/>
    </row>
    <row r="4705" spans="6:11" x14ac:dyDescent="0.2">
      <c r="F4705" s="195"/>
      <c r="K4705"/>
    </row>
    <row r="4706" spans="6:11" x14ac:dyDescent="0.2">
      <c r="F4706" s="195"/>
      <c r="K4706"/>
    </row>
    <row r="4707" spans="6:11" x14ac:dyDescent="0.2">
      <c r="F4707" s="195"/>
      <c r="K4707"/>
    </row>
    <row r="4708" spans="6:11" x14ac:dyDescent="0.2">
      <c r="F4708" s="195"/>
      <c r="K4708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6" fitToWidth="2" orientation="portrait" r:id="rId1"/>
  <headerFooter alignWithMargins="0">
    <oddHeader>&amp;L
Schedule 10
&amp;CMinneapolis-St. Paul International Airport
&amp;"Arial,Bold"&amp;A
December 2019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zoomScalePageLayoutView="70" workbookViewId="0">
      <selection activeCell="A43" sqref="A43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25">
        <v>43800</v>
      </c>
      <c r="B1" s="444" t="s">
        <v>17</v>
      </c>
      <c r="C1" s="444" t="s">
        <v>18</v>
      </c>
      <c r="D1" s="444" t="s">
        <v>19</v>
      </c>
      <c r="E1" s="444" t="s">
        <v>159</v>
      </c>
      <c r="F1" s="444" t="s">
        <v>166</v>
      </c>
      <c r="G1" s="444" t="s">
        <v>160</v>
      </c>
      <c r="H1" s="425" t="s">
        <v>213</v>
      </c>
      <c r="I1" s="425" t="s">
        <v>200</v>
      </c>
      <c r="J1" s="373" t="s">
        <v>20</v>
      </c>
      <c r="K1" s="372" t="s">
        <v>21</v>
      </c>
    </row>
    <row r="2" spans="1:20" ht="15" x14ac:dyDescent="0.25">
      <c r="A2" s="49" t="s">
        <v>3</v>
      </c>
      <c r="B2" s="43"/>
      <c r="C2" s="43"/>
      <c r="D2" s="43"/>
      <c r="E2" s="43"/>
      <c r="F2" s="43"/>
      <c r="G2" s="43"/>
      <c r="H2" s="424"/>
      <c r="I2" s="424"/>
      <c r="J2" s="43"/>
      <c r="K2" s="241"/>
    </row>
    <row r="3" spans="1:20" x14ac:dyDescent="0.2">
      <c r="A3" s="47" t="s">
        <v>29</v>
      </c>
      <c r="K3" s="40"/>
    </row>
    <row r="4" spans="1:20" x14ac:dyDescent="0.2">
      <c r="A4" s="47" t="s">
        <v>30</v>
      </c>
      <c r="B4" s="13">
        <f>[3]American!$GM$22</f>
        <v>67874</v>
      </c>
      <c r="C4" s="13">
        <f>[3]Delta!$GM$22+[3]Delta!$GM$32</f>
        <v>829287</v>
      </c>
      <c r="D4" s="13">
        <f>[3]United!$GM$22</f>
        <v>31660</v>
      </c>
      <c r="E4" s="13">
        <f>[3]Spirit!$GM$22</f>
        <v>47317</v>
      </c>
      <c r="F4" s="13">
        <f>[3]Condor!$GM$22+[3]Condor!$GM$32</f>
        <v>0</v>
      </c>
      <c r="G4" s="13">
        <f>'[3]Air France'!$GM$22+'[3]Air France'!$GM$32</f>
        <v>0</v>
      </c>
      <c r="H4" s="13">
        <f>'[3]Jet Blue'!$GM$22</f>
        <v>7105</v>
      </c>
      <c r="I4" s="13">
        <f>[3]KLM!$GM$22+[3]KLM!$GM$32</f>
        <v>4803</v>
      </c>
      <c r="J4" s="13">
        <f>'Other Major Airline Stats'!J5</f>
        <v>233815</v>
      </c>
      <c r="K4" s="242">
        <f>SUM(B4:J4)</f>
        <v>1221861</v>
      </c>
      <c r="M4" s="442"/>
      <c r="N4" s="442"/>
      <c r="O4" s="442"/>
      <c r="P4" s="442"/>
      <c r="Q4" s="442"/>
      <c r="R4" s="442"/>
      <c r="S4" s="442"/>
      <c r="T4" s="442"/>
    </row>
    <row r="5" spans="1:20" x14ac:dyDescent="0.2">
      <c r="A5" s="47" t="s">
        <v>31</v>
      </c>
      <c r="B5" s="7">
        <f>[3]American!$GM$23</f>
        <v>69369</v>
      </c>
      <c r="C5" s="7">
        <f>[3]Delta!$GM$23+[3]Delta!$GM$33</f>
        <v>851462</v>
      </c>
      <c r="D5" s="7">
        <f>[3]United!$GM$23</f>
        <v>33541</v>
      </c>
      <c r="E5" s="7">
        <f>[3]Spirit!$GM$23</f>
        <v>50415</v>
      </c>
      <c r="F5" s="7">
        <f>[3]Condor!$GM$23+[3]Condor!$GM$33</f>
        <v>0</v>
      </c>
      <c r="G5" s="7">
        <f>'[3]Air France'!$GM$23+'[3]Air France'!$GM$33</f>
        <v>0</v>
      </c>
      <c r="H5" s="7">
        <f>'[3]Jet Blue'!$GM$23</f>
        <v>6560</v>
      </c>
      <c r="I5" s="7">
        <f>[3]KLM!$GM$23+[3]KLM!$GM$33</f>
        <v>4617</v>
      </c>
      <c r="J5" s="7">
        <f>'Other Major Airline Stats'!J6</f>
        <v>249212</v>
      </c>
      <c r="K5" s="243">
        <f>SUM(B5:J5)</f>
        <v>1265176</v>
      </c>
      <c r="M5" s="267"/>
      <c r="N5" s="267"/>
      <c r="O5" s="267"/>
      <c r="P5" s="267"/>
      <c r="Q5" s="267"/>
      <c r="R5" s="267"/>
      <c r="S5" s="267"/>
      <c r="T5" s="267"/>
    </row>
    <row r="6" spans="1:20" ht="15" x14ac:dyDescent="0.25">
      <c r="A6" s="45" t="s">
        <v>7</v>
      </c>
      <c r="B6" s="25">
        <f t="shared" ref="B6:J6" si="0">SUM(B4:B5)</f>
        <v>137243</v>
      </c>
      <c r="C6" s="25">
        <f t="shared" si="0"/>
        <v>1680749</v>
      </c>
      <c r="D6" s="25">
        <f t="shared" si="0"/>
        <v>65201</v>
      </c>
      <c r="E6" s="25">
        <f t="shared" si="0"/>
        <v>97732</v>
      </c>
      <c r="F6" s="25">
        <f t="shared" ref="F6" si="1">SUM(F4:F5)</f>
        <v>0</v>
      </c>
      <c r="G6" s="25">
        <f t="shared" ref="G6:I6" si="2">SUM(G4:G5)</f>
        <v>0</v>
      </c>
      <c r="H6" s="25">
        <f t="shared" ref="H6" si="3">SUM(H4:H5)</f>
        <v>13665</v>
      </c>
      <c r="I6" s="25">
        <f t="shared" si="2"/>
        <v>9420</v>
      </c>
      <c r="J6" s="25">
        <f t="shared" si="0"/>
        <v>483027</v>
      </c>
      <c r="K6" s="244">
        <f>SUM(B6:J6)</f>
        <v>2487037</v>
      </c>
    </row>
    <row r="7" spans="1:20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242"/>
    </row>
    <row r="8" spans="1:20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42">
        <f>SUM(B8:J8)</f>
        <v>0</v>
      </c>
    </row>
    <row r="9" spans="1:20" x14ac:dyDescent="0.2">
      <c r="A9" s="47" t="s">
        <v>30</v>
      </c>
      <c r="B9" s="13">
        <f>[3]American!$GM$27</f>
        <v>2548</v>
      </c>
      <c r="C9" s="13">
        <f>[3]Delta!$GM$27+[3]Delta!$GM$37</f>
        <v>27268</v>
      </c>
      <c r="D9" s="13">
        <f>[3]United!$GM$27</f>
        <v>1312</v>
      </c>
      <c r="E9" s="13">
        <f>[3]Spirit!$GM$27</f>
        <v>243</v>
      </c>
      <c r="F9" s="13">
        <f>[3]Condor!$GM$27+[3]Condor!$GM$37</f>
        <v>0</v>
      </c>
      <c r="G9" s="13">
        <f>'[3]Air France'!$GM$27+'[3]Air France'!$GM$37</f>
        <v>0</v>
      </c>
      <c r="H9" s="13">
        <f>'[3]Jet Blue'!$GM$27</f>
        <v>177</v>
      </c>
      <c r="I9" s="13">
        <f>[3]KLM!$GM$27+[3]KLM!$GM$37</f>
        <v>14</v>
      </c>
      <c r="J9" s="13">
        <f>'Other Major Airline Stats'!J10</f>
        <v>3956</v>
      </c>
      <c r="K9" s="242">
        <f>SUM(B9:J9)</f>
        <v>35518</v>
      </c>
    </row>
    <row r="10" spans="1:20" x14ac:dyDescent="0.2">
      <c r="A10" s="47" t="s">
        <v>33</v>
      </c>
      <c r="B10" s="7">
        <f>[3]American!$GM$28</f>
        <v>2491</v>
      </c>
      <c r="C10" s="7">
        <f>[3]Delta!$GM$28+[3]Delta!$GM$38</f>
        <v>27147</v>
      </c>
      <c r="D10" s="7">
        <f>[3]United!$GM$28</f>
        <v>1261</v>
      </c>
      <c r="E10" s="7">
        <f>[3]Spirit!$GM$28</f>
        <v>258</v>
      </c>
      <c r="F10" s="7">
        <f>[3]Condor!$GM$28+[3]Condor!$GM$38</f>
        <v>0</v>
      </c>
      <c r="G10" s="7">
        <f>'[3]Air France'!$GM$28+'[3]Air France'!$GM$38</f>
        <v>0</v>
      </c>
      <c r="H10" s="7">
        <f>'[3]Jet Blue'!$GM$28</f>
        <v>186</v>
      </c>
      <c r="I10" s="7">
        <f>[3]KLM!$GM$28+[3]KLM!$GM$38</f>
        <v>11</v>
      </c>
      <c r="J10" s="7">
        <f>'Other Major Airline Stats'!J11</f>
        <v>4386</v>
      </c>
      <c r="K10" s="243">
        <f>SUM(B10:J10)</f>
        <v>35740</v>
      </c>
    </row>
    <row r="11" spans="1:20" ht="15.75" thickBot="1" x14ac:dyDescent="0.3">
      <c r="A11" s="48" t="s">
        <v>34</v>
      </c>
      <c r="B11" s="245">
        <f t="shared" ref="B11:J11" si="4">SUM(B9:B10)</f>
        <v>5039</v>
      </c>
      <c r="C11" s="245">
        <f t="shared" si="4"/>
        <v>54415</v>
      </c>
      <c r="D11" s="245">
        <f t="shared" si="4"/>
        <v>2573</v>
      </c>
      <c r="E11" s="245">
        <f t="shared" si="4"/>
        <v>501</v>
      </c>
      <c r="F11" s="245">
        <f t="shared" ref="F11" si="5">SUM(F9:F10)</f>
        <v>0</v>
      </c>
      <c r="G11" s="245">
        <f t="shared" ref="G11:I11" si="6">SUM(G9:G10)</f>
        <v>0</v>
      </c>
      <c r="H11" s="245">
        <f t="shared" ref="H11" si="7">SUM(H9:H10)</f>
        <v>363</v>
      </c>
      <c r="I11" s="245">
        <f t="shared" si="6"/>
        <v>25</v>
      </c>
      <c r="J11" s="245">
        <f t="shared" si="4"/>
        <v>8342</v>
      </c>
      <c r="K11" s="246">
        <f>SUM(B11:J11)</f>
        <v>71258</v>
      </c>
    </row>
    <row r="13" spans="1:20" ht="13.5" thickBot="1" x14ac:dyDescent="0.25"/>
    <row r="14" spans="1:20" ht="15.75" thickTop="1" x14ac:dyDescent="0.25">
      <c r="A14" s="46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7" t="s">
        <v>22</v>
      </c>
      <c r="B15" s="13">
        <f>[3]American!$GM$4</f>
        <v>532</v>
      </c>
      <c r="C15" s="13">
        <f>[3]Delta!$GM$4+[3]Delta!$GM$15</f>
        <v>6122</v>
      </c>
      <c r="D15" s="13">
        <f>[3]United!$GM$4</f>
        <v>238</v>
      </c>
      <c r="E15" s="13">
        <f>[3]Spirit!$GM$4</f>
        <v>321</v>
      </c>
      <c r="F15" s="13">
        <f>[3]Condor!$GM$4+[3]Condor!$GM$15</f>
        <v>0</v>
      </c>
      <c r="G15" s="13">
        <f>'[3]Air France'!$GM$4+'[3]Air France'!$GM$15</f>
        <v>0</v>
      </c>
      <c r="H15" s="13">
        <f>'[3]Jet Blue'!$GM$4</f>
        <v>77</v>
      </c>
      <c r="I15" s="13">
        <f>[3]KLM!$GM$4+[3]KLM!$GM$15</f>
        <v>18</v>
      </c>
      <c r="J15" s="13">
        <f>'Other Major Airline Stats'!J16</f>
        <v>1932</v>
      </c>
      <c r="K15" s="18">
        <f>SUM(B15:J15)</f>
        <v>9240</v>
      </c>
      <c r="M15" s="267"/>
    </row>
    <row r="16" spans="1:20" x14ac:dyDescent="0.2">
      <c r="A16" s="47" t="s">
        <v>23</v>
      </c>
      <c r="B16" s="7">
        <f>[3]American!$GM$5</f>
        <v>527</v>
      </c>
      <c r="C16" s="7">
        <f>[3]Delta!$GM$5+[3]Delta!$GM$16</f>
        <v>6104</v>
      </c>
      <c r="D16" s="7">
        <f>[3]United!$GM$5</f>
        <v>238</v>
      </c>
      <c r="E16" s="7">
        <f>[3]Spirit!$GM$5</f>
        <v>321</v>
      </c>
      <c r="F16" s="7">
        <f>[3]Condor!$GM$5+[3]Condor!$GM$16</f>
        <v>0</v>
      </c>
      <c r="G16" s="7">
        <f>'[3]Air France'!$GM$5+'[3]Air France'!$GM$16</f>
        <v>0</v>
      </c>
      <c r="H16" s="7">
        <f>'[3]Jet Blue'!$GM$5</f>
        <v>76</v>
      </c>
      <c r="I16" s="7">
        <f>[3]KLM!$GM$5+[3]KLM!$GM$16</f>
        <v>18</v>
      </c>
      <c r="J16" s="7">
        <f>'Other Major Airline Stats'!J17</f>
        <v>1915</v>
      </c>
      <c r="K16" s="24">
        <f>SUM(B16:J16)</f>
        <v>9199</v>
      </c>
    </row>
    <row r="17" spans="1:11" x14ac:dyDescent="0.2">
      <c r="A17" s="47" t="s">
        <v>24</v>
      </c>
      <c r="B17" s="249">
        <f t="shared" ref="B17:J17" si="8">SUM(B15:B16)</f>
        <v>1059</v>
      </c>
      <c r="C17" s="247">
        <f t="shared" si="8"/>
        <v>12226</v>
      </c>
      <c r="D17" s="247">
        <f t="shared" si="8"/>
        <v>476</v>
      </c>
      <c r="E17" s="247">
        <f t="shared" si="8"/>
        <v>642</v>
      </c>
      <c r="F17" s="247">
        <f t="shared" ref="F17" si="9">SUM(F15:F16)</f>
        <v>0</v>
      </c>
      <c r="G17" s="247">
        <f t="shared" ref="G17:I17" si="10">SUM(G15:G16)</f>
        <v>0</v>
      </c>
      <c r="H17" s="247">
        <f t="shared" ref="H17" si="11">SUM(H15:H16)</f>
        <v>153</v>
      </c>
      <c r="I17" s="247">
        <f t="shared" si="10"/>
        <v>36</v>
      </c>
      <c r="J17" s="247">
        <f t="shared" si="8"/>
        <v>3847</v>
      </c>
      <c r="K17" s="248">
        <f>SUM(B17:J17)</f>
        <v>18439</v>
      </c>
    </row>
    <row r="18" spans="1:11" x14ac:dyDescent="0.2">
      <c r="A18" s="47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7" t="s">
        <v>25</v>
      </c>
      <c r="B19" s="13">
        <f>[3]American!$GM$8</f>
        <v>0</v>
      </c>
      <c r="C19" s="13">
        <f>[3]Delta!$GM$8</f>
        <v>4</v>
      </c>
      <c r="D19" s="13">
        <f>[3]United!$GM$8</f>
        <v>0</v>
      </c>
      <c r="E19" s="13">
        <f>[3]Spirit!$GM$8</f>
        <v>0</v>
      </c>
      <c r="F19" s="13">
        <f>[3]Condor!$GM$8</f>
        <v>0</v>
      </c>
      <c r="G19" s="13">
        <f>'[3]Air France'!$GM$8</f>
        <v>0</v>
      </c>
      <c r="H19" s="13">
        <f>'[3]Jet Blue'!$GM$8</f>
        <v>0</v>
      </c>
      <c r="I19" s="13">
        <f>[3]KLM!$GM$8</f>
        <v>0</v>
      </c>
      <c r="J19" s="13">
        <f>'Other Major Airline Stats'!J20</f>
        <v>63</v>
      </c>
      <c r="K19" s="18">
        <f>SUM(B19:J19)</f>
        <v>67</v>
      </c>
    </row>
    <row r="20" spans="1:11" x14ac:dyDescent="0.2">
      <c r="A20" s="47" t="s">
        <v>26</v>
      </c>
      <c r="B20" s="7">
        <f>[3]American!$GM$9</f>
        <v>0</v>
      </c>
      <c r="C20" s="7">
        <f>[3]Delta!$GM$9</f>
        <v>8</v>
      </c>
      <c r="D20" s="7">
        <f>[3]United!$GM$9</f>
        <v>0</v>
      </c>
      <c r="E20" s="7">
        <f>[3]Spirit!$GM$9</f>
        <v>0</v>
      </c>
      <c r="F20" s="7">
        <f>[3]Condor!$GM$9</f>
        <v>0</v>
      </c>
      <c r="G20" s="7">
        <f>'[3]Air France'!$GM$9</f>
        <v>0</v>
      </c>
      <c r="H20" s="7">
        <f>'[3]Jet Blue'!$GM$9</f>
        <v>0</v>
      </c>
      <c r="I20" s="7">
        <f>[3]KLM!$GM$9</f>
        <v>0</v>
      </c>
      <c r="J20" s="7">
        <f>'Other Major Airline Stats'!J21</f>
        <v>61</v>
      </c>
      <c r="K20" s="24">
        <f>SUM(B20:J20)</f>
        <v>69</v>
      </c>
    </row>
    <row r="21" spans="1:11" x14ac:dyDescent="0.2">
      <c r="A21" s="47" t="s">
        <v>27</v>
      </c>
      <c r="B21" s="249">
        <f t="shared" ref="B21:J21" si="12">SUM(B19:B20)</f>
        <v>0</v>
      </c>
      <c r="C21" s="247">
        <f t="shared" si="12"/>
        <v>12</v>
      </c>
      <c r="D21" s="247">
        <f t="shared" si="12"/>
        <v>0</v>
      </c>
      <c r="E21" s="247">
        <f t="shared" si="12"/>
        <v>0</v>
      </c>
      <c r="F21" s="247">
        <f t="shared" ref="F21" si="13">SUM(F19:F20)</f>
        <v>0</v>
      </c>
      <c r="G21" s="247">
        <f t="shared" ref="G21:I21" si="14">SUM(G19:G20)</f>
        <v>0</v>
      </c>
      <c r="H21" s="247">
        <f t="shared" ref="H21" si="15">SUM(H19:H20)</f>
        <v>0</v>
      </c>
      <c r="I21" s="247">
        <f t="shared" si="14"/>
        <v>0</v>
      </c>
      <c r="J21" s="247">
        <f t="shared" si="12"/>
        <v>124</v>
      </c>
      <c r="K21" s="148">
        <f>SUM(B21:J21)</f>
        <v>136</v>
      </c>
    </row>
    <row r="22" spans="1:11" x14ac:dyDescent="0.2">
      <c r="A22" s="47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8" t="s">
        <v>28</v>
      </c>
      <c r="B23" s="19">
        <f t="shared" ref="B23:J23" si="16">B17+B21</f>
        <v>1059</v>
      </c>
      <c r="C23" s="19">
        <f t="shared" si="16"/>
        <v>12238</v>
      </c>
      <c r="D23" s="19">
        <f t="shared" si="16"/>
        <v>476</v>
      </c>
      <c r="E23" s="19">
        <f>E17+E21</f>
        <v>642</v>
      </c>
      <c r="F23" s="19">
        <f t="shared" ref="F23" si="17">F17+F21</f>
        <v>0</v>
      </c>
      <c r="G23" s="19">
        <f t="shared" ref="G23:I23" si="18">G17+G21</f>
        <v>0</v>
      </c>
      <c r="H23" s="19">
        <f t="shared" ref="H23" si="19">H17+H21</f>
        <v>153</v>
      </c>
      <c r="I23" s="19">
        <f t="shared" si="18"/>
        <v>36</v>
      </c>
      <c r="J23" s="19">
        <f t="shared" si="16"/>
        <v>3971</v>
      </c>
      <c r="K23" s="20">
        <f>SUM(B23:J23)</f>
        <v>18575</v>
      </c>
    </row>
    <row r="25" spans="1:11" ht="13.5" thickBot="1" x14ac:dyDescent="0.25">
      <c r="B25" s="357"/>
      <c r="C25" s="357"/>
      <c r="D25" s="357"/>
      <c r="E25" s="357"/>
      <c r="F25" s="357"/>
      <c r="G25" s="357"/>
      <c r="H25" s="357"/>
      <c r="I25" s="357"/>
      <c r="J25" s="357"/>
    </row>
    <row r="26" spans="1:11" ht="15.75" thickTop="1" x14ac:dyDescent="0.25">
      <c r="A26" s="50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7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7" t="s">
        <v>37</v>
      </c>
      <c r="B28" s="13">
        <f>[3]American!$GM$47</f>
        <v>26722</v>
      </c>
      <c r="C28" s="13">
        <f>[3]Delta!$GM$47</f>
        <v>2603792</v>
      </c>
      <c r="D28" s="13">
        <f>[3]United!$GM$47</f>
        <v>26619</v>
      </c>
      <c r="E28" s="13">
        <f>[3]Spirit!$GM$47</f>
        <v>0</v>
      </c>
      <c r="F28" s="13">
        <f>[3]Condor!$GM$47</f>
        <v>0</v>
      </c>
      <c r="G28" s="13">
        <f>'[3]Air France'!$GM$47</f>
        <v>0</v>
      </c>
      <c r="H28" s="13">
        <f>'[3]Jet Blue'!$GM$47</f>
        <v>0</v>
      </c>
      <c r="I28" s="13">
        <f>[3]KLM!$GM$47</f>
        <v>481219</v>
      </c>
      <c r="J28" s="13">
        <f>'Other Major Airline Stats'!J28</f>
        <v>244982</v>
      </c>
      <c r="K28" s="18">
        <f>SUM(B28:J28)</f>
        <v>3383334</v>
      </c>
    </row>
    <row r="29" spans="1:11" x14ac:dyDescent="0.2">
      <c r="A29" s="47" t="s">
        <v>38</v>
      </c>
      <c r="B29" s="7">
        <f>[3]American!$GM$48</f>
        <v>38742</v>
      </c>
      <c r="C29" s="7">
        <f>[3]Delta!$GM$48</f>
        <v>1508677</v>
      </c>
      <c r="D29" s="7">
        <f>[3]United!$GM$48</f>
        <v>34572</v>
      </c>
      <c r="E29" s="7">
        <f>[3]Spirit!$GM$48</f>
        <v>0</v>
      </c>
      <c r="F29" s="7">
        <f>[3]Condor!$GM$48</f>
        <v>0</v>
      </c>
      <c r="G29" s="7">
        <f>'[3]Air France'!$GM$48</f>
        <v>0</v>
      </c>
      <c r="H29" s="7">
        <f>'[3]Jet Blue'!$GM$48</f>
        <v>0</v>
      </c>
      <c r="I29" s="7">
        <f>[3]KLM!$GM$48</f>
        <v>0</v>
      </c>
      <c r="J29" s="7">
        <f>'Other Major Airline Stats'!J29</f>
        <v>338946</v>
      </c>
      <c r="K29" s="24">
        <f>SUM(B29:J29)</f>
        <v>1920937</v>
      </c>
    </row>
    <row r="30" spans="1:11" x14ac:dyDescent="0.2">
      <c r="A30" s="51" t="s">
        <v>39</v>
      </c>
      <c r="B30" s="249">
        <f t="shared" ref="B30:J30" si="20">SUM(B28:B29)</f>
        <v>65464</v>
      </c>
      <c r="C30" s="249">
        <f t="shared" si="20"/>
        <v>4112469</v>
      </c>
      <c r="D30" s="249">
        <f t="shared" si="20"/>
        <v>61191</v>
      </c>
      <c r="E30" s="249">
        <f t="shared" si="20"/>
        <v>0</v>
      </c>
      <c r="F30" s="249">
        <f t="shared" ref="F30" si="21">SUM(F28:F29)</f>
        <v>0</v>
      </c>
      <c r="G30" s="249">
        <f t="shared" ref="G30:I30" si="22">SUM(G28:G29)</f>
        <v>0</v>
      </c>
      <c r="H30" s="249">
        <f t="shared" ref="H30" si="23">SUM(H28:H29)</f>
        <v>0</v>
      </c>
      <c r="I30" s="249">
        <f t="shared" si="22"/>
        <v>481219</v>
      </c>
      <c r="J30" s="249">
        <f t="shared" si="20"/>
        <v>583928</v>
      </c>
      <c r="K30" s="18">
        <f>SUM(B30:J30)</f>
        <v>5304271</v>
      </c>
    </row>
    <row r="31" spans="1:11" x14ac:dyDescent="0.2">
      <c r="A31" s="47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7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24">SUM(B32:J32)</f>
        <v>0</v>
      </c>
    </row>
    <row r="33" spans="1:11" x14ac:dyDescent="0.2">
      <c r="A33" s="47" t="s">
        <v>37</v>
      </c>
      <c r="B33" s="13">
        <f>[3]American!$GM$52</f>
        <v>7615</v>
      </c>
      <c r="C33" s="13">
        <f>[3]Delta!$GM$52</f>
        <v>1396173</v>
      </c>
      <c r="D33" s="13">
        <f>[3]United!$GM$52</f>
        <v>5889</v>
      </c>
      <c r="E33" s="13">
        <f>[3]Spirit!$GM$52</f>
        <v>0</v>
      </c>
      <c r="F33" s="13">
        <f>[3]Condor!$GM$52</f>
        <v>0</v>
      </c>
      <c r="G33" s="13">
        <f>'[3]Air France'!$GM$52</f>
        <v>0</v>
      </c>
      <c r="H33" s="13">
        <f>'[3]Jet Blue'!$GM$52</f>
        <v>0</v>
      </c>
      <c r="I33" s="13">
        <f>[3]KLM!$GM$52</f>
        <v>260792</v>
      </c>
      <c r="J33" s="13">
        <f>'Other Major Airline Stats'!J33</f>
        <v>122805</v>
      </c>
      <c r="K33" s="18">
        <f t="shared" si="24"/>
        <v>1793274</v>
      </c>
    </row>
    <row r="34" spans="1:11" x14ac:dyDescent="0.2">
      <c r="A34" s="47" t="s">
        <v>38</v>
      </c>
      <c r="B34" s="7">
        <f>[3]American!$GM$53</f>
        <v>58545</v>
      </c>
      <c r="C34" s="7">
        <f>[3]Delta!$GM$53</f>
        <v>1728868</v>
      </c>
      <c r="D34" s="7">
        <f>[3]United!$GM$53</f>
        <v>58008</v>
      </c>
      <c r="E34" s="7">
        <f>[3]Spirit!$GM$53</f>
        <v>0</v>
      </c>
      <c r="F34" s="7">
        <f>[3]Condor!$GM$53</f>
        <v>0</v>
      </c>
      <c r="G34" s="7">
        <f>'[3]Air France'!$GM$53</f>
        <v>0</v>
      </c>
      <c r="H34" s="7">
        <f>'[3]Jet Blue'!$GM$53</f>
        <v>0</v>
      </c>
      <c r="I34" s="7">
        <f>[3]KLM!$GM$53</f>
        <v>0</v>
      </c>
      <c r="J34" s="7">
        <f>'Other Major Airline Stats'!J34</f>
        <v>348042</v>
      </c>
      <c r="K34" s="24">
        <f t="shared" si="24"/>
        <v>2193463</v>
      </c>
    </row>
    <row r="35" spans="1:11" x14ac:dyDescent="0.2">
      <c r="A35" s="51" t="s">
        <v>41</v>
      </c>
      <c r="B35" s="249">
        <f t="shared" ref="B35:J35" si="25">SUM(B33:B34)</f>
        <v>66160</v>
      </c>
      <c r="C35" s="249">
        <f t="shared" si="25"/>
        <v>3125041</v>
      </c>
      <c r="D35" s="249">
        <f t="shared" si="25"/>
        <v>63897</v>
      </c>
      <c r="E35" s="249">
        <f t="shared" si="25"/>
        <v>0</v>
      </c>
      <c r="F35" s="249">
        <f t="shared" ref="F35" si="26">SUM(F33:F34)</f>
        <v>0</v>
      </c>
      <c r="G35" s="249">
        <f t="shared" ref="G35:I35" si="27">SUM(G33:G34)</f>
        <v>0</v>
      </c>
      <c r="H35" s="249">
        <f t="shared" ref="H35" si="28">SUM(H33:H34)</f>
        <v>0</v>
      </c>
      <c r="I35" s="249">
        <f t="shared" si="27"/>
        <v>260792</v>
      </c>
      <c r="J35" s="249">
        <f t="shared" si="25"/>
        <v>470847</v>
      </c>
      <c r="K35" s="18">
        <f t="shared" si="24"/>
        <v>3986737</v>
      </c>
    </row>
    <row r="36" spans="1:11" hidden="1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24"/>
        <v>0</v>
      </c>
    </row>
    <row r="37" spans="1:11" hidden="1" x14ac:dyDescent="0.2">
      <c r="A37" s="47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24"/>
        <v>0</v>
      </c>
    </row>
    <row r="38" spans="1:11" hidden="1" x14ac:dyDescent="0.2">
      <c r="A38" s="47" t="s">
        <v>37</v>
      </c>
      <c r="B38" s="13">
        <f>[3]American!$GM$57</f>
        <v>0</v>
      </c>
      <c r="C38" s="13">
        <f>[3]Delta!$GM$57</f>
        <v>0</v>
      </c>
      <c r="D38" s="13">
        <f>[3]United!$GM$57</f>
        <v>0</v>
      </c>
      <c r="E38" s="13">
        <f>[3]Spirit!$GM$57</f>
        <v>0</v>
      </c>
      <c r="F38" s="13">
        <f>[3]Condor!$GM$57</f>
        <v>0</v>
      </c>
      <c r="G38" s="13">
        <f>'[3]Air France'!$GM$57</f>
        <v>0</v>
      </c>
      <c r="H38" s="13">
        <f>'[3]Jet Blue'!$GM$57</f>
        <v>0</v>
      </c>
      <c r="I38" s="13">
        <f>[3]KLM!$GM$57</f>
        <v>0</v>
      </c>
      <c r="J38" s="13">
        <f>'Other Major Airline Stats'!J38</f>
        <v>0</v>
      </c>
      <c r="K38" s="18">
        <f t="shared" si="24"/>
        <v>0</v>
      </c>
    </row>
    <row r="39" spans="1:11" hidden="1" x14ac:dyDescent="0.2">
      <c r="A39" s="47" t="s">
        <v>38</v>
      </c>
      <c r="B39" s="7">
        <f>[3]American!$GM$58</f>
        <v>0</v>
      </c>
      <c r="C39" s="7">
        <f>[3]Delta!$GM$58</f>
        <v>0</v>
      </c>
      <c r="D39" s="7">
        <f>[3]United!$GM$58</f>
        <v>0</v>
      </c>
      <c r="E39" s="7">
        <f>[3]Spirit!$GM$58</f>
        <v>0</v>
      </c>
      <c r="F39" s="7">
        <f>[3]Condor!$GM$58</f>
        <v>0</v>
      </c>
      <c r="G39" s="7">
        <f>'[3]Air France'!$GM$58</f>
        <v>0</v>
      </c>
      <c r="H39" s="7">
        <f>'[3]Jet Blue'!$GM$58</f>
        <v>0</v>
      </c>
      <c r="I39" s="7">
        <f>[3]KLM!$GM$58</f>
        <v>0</v>
      </c>
      <c r="J39" s="7">
        <f>'Other Major Airline Stats'!J39</f>
        <v>0</v>
      </c>
      <c r="K39" s="24">
        <f t="shared" si="24"/>
        <v>0</v>
      </c>
    </row>
    <row r="40" spans="1:11" hidden="1" x14ac:dyDescent="0.2">
      <c r="A40" s="51" t="s">
        <v>43</v>
      </c>
      <c r="B40" s="249">
        <f t="shared" ref="B40:J40" si="29">SUM(B38:B39)</f>
        <v>0</v>
      </c>
      <c r="C40" s="249">
        <f t="shared" si="29"/>
        <v>0</v>
      </c>
      <c r="D40" s="249">
        <f t="shared" si="29"/>
        <v>0</v>
      </c>
      <c r="E40" s="249">
        <f t="shared" si="29"/>
        <v>0</v>
      </c>
      <c r="F40" s="249">
        <f t="shared" ref="F40" si="30">SUM(F38:F39)</f>
        <v>0</v>
      </c>
      <c r="G40" s="249">
        <f t="shared" ref="G40:I40" si="31">SUM(G38:G39)</f>
        <v>0</v>
      </c>
      <c r="H40" s="249">
        <f t="shared" ref="H40" si="32">SUM(H38:H39)</f>
        <v>0</v>
      </c>
      <c r="I40" s="249">
        <f t="shared" si="31"/>
        <v>0</v>
      </c>
      <c r="J40" s="249">
        <f t="shared" si="29"/>
        <v>0</v>
      </c>
      <c r="K40" s="18">
        <f t="shared" si="24"/>
        <v>0</v>
      </c>
    </row>
    <row r="41" spans="1:11" x14ac:dyDescent="0.2">
      <c r="A41" s="47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7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7" t="s">
        <v>45</v>
      </c>
      <c r="B43" s="13">
        <f t="shared" ref="B43:J44" si="33">B28+B33+B38</f>
        <v>34337</v>
      </c>
      <c r="C43" s="13">
        <f t="shared" si="33"/>
        <v>3999965</v>
      </c>
      <c r="D43" s="13">
        <f t="shared" si="33"/>
        <v>32508</v>
      </c>
      <c r="E43" s="13">
        <f>E28+E33+E38</f>
        <v>0</v>
      </c>
      <c r="F43" s="13">
        <f t="shared" ref="F43" si="34">F28+F33+F38</f>
        <v>0</v>
      </c>
      <c r="G43" s="13">
        <f t="shared" ref="G43:I43" si="35">G28+G33+G38</f>
        <v>0</v>
      </c>
      <c r="H43" s="13">
        <f t="shared" ref="H43" si="36">H28+H33+H38</f>
        <v>0</v>
      </c>
      <c r="I43" s="13">
        <f t="shared" si="35"/>
        <v>742011</v>
      </c>
      <c r="J43" s="13">
        <f t="shared" si="33"/>
        <v>367787</v>
      </c>
      <c r="K43" s="18">
        <f>SUM(B43:J43)</f>
        <v>5176608</v>
      </c>
    </row>
    <row r="44" spans="1:11" x14ac:dyDescent="0.2">
      <c r="A44" s="47" t="s">
        <v>38</v>
      </c>
      <c r="B44" s="7">
        <f t="shared" si="33"/>
        <v>97287</v>
      </c>
      <c r="C44" s="7">
        <f t="shared" si="33"/>
        <v>3237545</v>
      </c>
      <c r="D44" s="7">
        <f t="shared" si="33"/>
        <v>92580</v>
      </c>
      <c r="E44" s="7">
        <f>E29+E34+E39</f>
        <v>0</v>
      </c>
      <c r="F44" s="7">
        <f t="shared" ref="F44" si="37">F29+F34+F39</f>
        <v>0</v>
      </c>
      <c r="G44" s="7">
        <f t="shared" ref="G44:I44" si="38">G29+G34+G39</f>
        <v>0</v>
      </c>
      <c r="H44" s="7">
        <f t="shared" ref="H44" si="39">H29+H34+H39</f>
        <v>0</v>
      </c>
      <c r="I44" s="7">
        <f t="shared" si="38"/>
        <v>0</v>
      </c>
      <c r="J44" s="7">
        <f t="shared" si="33"/>
        <v>686988</v>
      </c>
      <c r="K44" s="18">
        <f>SUM(B44:J44)</f>
        <v>4114400</v>
      </c>
    </row>
    <row r="45" spans="1:11" ht="15.75" thickBot="1" x14ac:dyDescent="0.3">
      <c r="A45" s="48" t="s">
        <v>46</v>
      </c>
      <c r="B45" s="250">
        <f t="shared" ref="B45:J45" si="40">SUM(B43:B44)</f>
        <v>131624</v>
      </c>
      <c r="C45" s="250">
        <f t="shared" si="40"/>
        <v>7237510</v>
      </c>
      <c r="D45" s="250">
        <f t="shared" si="40"/>
        <v>125088</v>
      </c>
      <c r="E45" s="250">
        <f t="shared" si="40"/>
        <v>0</v>
      </c>
      <c r="F45" s="250">
        <f t="shared" ref="F45" si="41">SUM(F43:F44)</f>
        <v>0</v>
      </c>
      <c r="G45" s="250">
        <f t="shared" ref="G45:I45" si="42">SUM(G43:G44)</f>
        <v>0</v>
      </c>
      <c r="H45" s="250">
        <f t="shared" ref="H45" si="43">SUM(H43:H44)</f>
        <v>0</v>
      </c>
      <c r="I45" s="250">
        <f t="shared" si="42"/>
        <v>742011</v>
      </c>
      <c r="J45" s="250">
        <f t="shared" si="40"/>
        <v>1054775</v>
      </c>
      <c r="K45" s="251">
        <f>SUM(B45:J45)</f>
        <v>9291008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22" t="s">
        <v>123</v>
      </c>
      <c r="C47" s="276">
        <f>[3]Delta!$GM$70+[3]Delta!$GM$73</f>
        <v>472176</v>
      </c>
      <c r="D47" s="264"/>
      <c r="E47" s="264"/>
      <c r="F47" s="264"/>
      <c r="G47" s="264"/>
      <c r="H47" s="264"/>
      <c r="I47" s="264"/>
      <c r="J47" s="264"/>
      <c r="K47" s="265">
        <f>SUM(B47:J47)</f>
        <v>472176</v>
      </c>
    </row>
    <row r="48" spans="1:11" hidden="1" x14ac:dyDescent="0.2">
      <c r="A48" s="323" t="s">
        <v>124</v>
      </c>
      <c r="C48" s="276">
        <f>[3]Delta!$GM$71+[3]Delta!$GM$74</f>
        <v>379286</v>
      </c>
      <c r="D48" s="264"/>
      <c r="E48" s="264"/>
      <c r="F48" s="264"/>
      <c r="G48" s="264"/>
      <c r="H48" s="264"/>
      <c r="I48" s="264"/>
      <c r="J48" s="264"/>
      <c r="K48" s="265">
        <f>SUM(B48:J48)</f>
        <v>379286</v>
      </c>
    </row>
    <row r="49" spans="1:11" hidden="1" x14ac:dyDescent="0.2">
      <c r="A49" s="324" t="s">
        <v>125</v>
      </c>
      <c r="C49" s="277">
        <f>SUM(C47:C48)</f>
        <v>851462</v>
      </c>
      <c r="K49" s="265">
        <f>SUM(B49:J49)</f>
        <v>851462</v>
      </c>
    </row>
    <row r="50" spans="1:11" x14ac:dyDescent="0.2">
      <c r="A50" s="322" t="s">
        <v>123</v>
      </c>
      <c r="B50" s="333"/>
      <c r="C50" s="279">
        <f>[3]Delta!$GM$70+[3]Delta!$GM$73</f>
        <v>472176</v>
      </c>
      <c r="D50" s="333"/>
      <c r="E50" s="279">
        <f>[3]Spirit!$GM$70+[3]Spirit!$GM$73</f>
        <v>0</v>
      </c>
      <c r="F50" s="333"/>
      <c r="G50" s="333"/>
      <c r="H50" s="333"/>
      <c r="I50" s="333"/>
      <c r="J50" s="278">
        <f>'Other Major Airline Stats'!J48</f>
        <v>213341</v>
      </c>
      <c r="K50" s="268">
        <f>SUM(B50:J50)</f>
        <v>685517</v>
      </c>
    </row>
    <row r="51" spans="1:11" x14ac:dyDescent="0.2">
      <c r="A51" s="335" t="s">
        <v>124</v>
      </c>
      <c r="B51" s="333"/>
      <c r="C51" s="279">
        <f>[3]Delta!$GM$71+[3]Delta!$GM$74</f>
        <v>379286</v>
      </c>
      <c r="D51" s="333"/>
      <c r="E51" s="279">
        <f>[3]Spirit!$GM$71+[3]Spirit!$GM$74</f>
        <v>0</v>
      </c>
      <c r="F51" s="333"/>
      <c r="G51" s="333"/>
      <c r="H51" s="333"/>
      <c r="I51" s="333"/>
      <c r="J51" s="278">
        <f>+'Other Major Airline Stats'!J49</f>
        <v>236</v>
      </c>
      <c r="K51" s="268">
        <f>SUM(B51:J51)</f>
        <v>379522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December 2019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H49" sqref="H49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20" ht="26.25" thickBot="1" x14ac:dyDescent="0.25">
      <c r="A2" s="325">
        <v>43800</v>
      </c>
      <c r="B2" s="373" t="s">
        <v>47</v>
      </c>
      <c r="C2" s="443" t="s">
        <v>183</v>
      </c>
      <c r="D2" s="443" t="s">
        <v>223</v>
      </c>
      <c r="E2" s="443" t="s">
        <v>184</v>
      </c>
      <c r="F2" s="444" t="s">
        <v>48</v>
      </c>
      <c r="G2" s="443" t="s">
        <v>131</v>
      </c>
      <c r="H2" s="443" t="s">
        <v>49</v>
      </c>
      <c r="I2" s="443" t="s">
        <v>130</v>
      </c>
      <c r="J2" s="146" t="s">
        <v>61</v>
      </c>
    </row>
    <row r="3" spans="1:20" ht="15.75" thickTop="1" x14ac:dyDescent="0.25">
      <c r="A3" s="49" t="s">
        <v>3</v>
      </c>
      <c r="B3" s="102"/>
      <c r="C3" s="102"/>
      <c r="D3" s="102"/>
      <c r="E3" s="102"/>
      <c r="F3" s="102"/>
      <c r="G3" s="102"/>
      <c r="H3" s="102"/>
      <c r="I3" s="102"/>
      <c r="J3" s="125"/>
    </row>
    <row r="4" spans="1:20" x14ac:dyDescent="0.2">
      <c r="A4" s="47" t="s">
        <v>29</v>
      </c>
      <c r="B4" s="97"/>
      <c r="C4" s="97"/>
      <c r="D4" s="97"/>
      <c r="E4" s="97"/>
      <c r="F4" s="97"/>
      <c r="G4" s="97"/>
      <c r="H4" s="97"/>
      <c r="I4" s="97"/>
      <c r="J4" s="126"/>
    </row>
    <row r="5" spans="1:20" x14ac:dyDescent="0.2">
      <c r="A5" s="47" t="s">
        <v>30</v>
      </c>
      <c r="B5" s="97">
        <f>[3]Frontier!$GM$22</f>
        <v>17060</v>
      </c>
      <c r="C5" s="97">
        <f>'[3]Air Choice One'!$GM$22</f>
        <v>542</v>
      </c>
      <c r="D5" s="97">
        <f>'[3]Aer Lingus'!$GM$22+'[3]Aer Lingus'!$GM$32</f>
        <v>3499</v>
      </c>
      <c r="E5" s="97">
        <f>'[3]Boutique Air'!$GM$22</f>
        <v>511</v>
      </c>
      <c r="F5" s="97">
        <f>[3]Icelandair!$GM$32</f>
        <v>1983</v>
      </c>
      <c r="G5" s="97">
        <f>[3]Southwest!$GM$22</f>
        <v>65946</v>
      </c>
      <c r="H5" s="97">
        <f>'[3]Sun Country'!$GM$22+'[3]Sun Country'!$GM$32</f>
        <v>133111</v>
      </c>
      <c r="I5" s="97">
        <f>[3]Alaska!$GM$22</f>
        <v>11163</v>
      </c>
      <c r="J5" s="120">
        <f>SUM(B5:I5)</f>
        <v>233815</v>
      </c>
      <c r="L5" s="442"/>
      <c r="M5" s="442"/>
      <c r="N5" s="442"/>
      <c r="O5" s="442"/>
      <c r="P5" s="442"/>
      <c r="Q5" s="442"/>
      <c r="R5" s="442"/>
      <c r="S5" s="442"/>
      <c r="T5" s="442"/>
    </row>
    <row r="6" spans="1:20" x14ac:dyDescent="0.2">
      <c r="A6" s="47" t="s">
        <v>31</v>
      </c>
      <c r="B6" s="97">
        <f>[3]Frontier!$GM$23</f>
        <v>18043</v>
      </c>
      <c r="C6" s="97">
        <f>'[3]Air Choice One'!$GM$23</f>
        <v>446</v>
      </c>
      <c r="D6" s="97">
        <f>'[3]Aer Lingus'!$GM$23+'[3]Aer Lingus'!$GM$33</f>
        <v>3375</v>
      </c>
      <c r="E6" s="97">
        <f>'[3]Boutique Air'!$GM$23</f>
        <v>489</v>
      </c>
      <c r="F6" s="97">
        <f>[3]Icelandair!$GM$33</f>
        <v>2276</v>
      </c>
      <c r="G6" s="97">
        <f>[3]Southwest!$GM$23</f>
        <v>65221</v>
      </c>
      <c r="H6" s="97">
        <f>'[3]Sun Country'!$GM$23+'[3]Sun Country'!$GM$33</f>
        <v>148356</v>
      </c>
      <c r="I6" s="97">
        <f>[3]Alaska!$GM$23</f>
        <v>11006</v>
      </c>
      <c r="J6" s="120">
        <f>SUM(B6:I6)</f>
        <v>249212</v>
      </c>
    </row>
    <row r="7" spans="1:20" ht="15" x14ac:dyDescent="0.25">
      <c r="A7" s="45" t="s">
        <v>7</v>
      </c>
      <c r="B7" s="128">
        <f t="shared" ref="B7:I7" si="0">SUM(B5:B6)</f>
        <v>35103</v>
      </c>
      <c r="C7" s="128">
        <f t="shared" ref="C7:E7" si="1">SUM(C5:C6)</f>
        <v>988</v>
      </c>
      <c r="D7" s="128">
        <f>SUM(D5:D6)</f>
        <v>6874</v>
      </c>
      <c r="E7" s="128">
        <f t="shared" si="1"/>
        <v>1000</v>
      </c>
      <c r="F7" s="128">
        <f t="shared" si="0"/>
        <v>4259</v>
      </c>
      <c r="G7" s="128">
        <f t="shared" si="0"/>
        <v>131167</v>
      </c>
      <c r="H7" s="128">
        <f>SUM(H5:H6)</f>
        <v>281467</v>
      </c>
      <c r="I7" s="128">
        <f t="shared" si="0"/>
        <v>22169</v>
      </c>
      <c r="J7" s="129">
        <f>SUM(B7:I7)</f>
        <v>483027</v>
      </c>
    </row>
    <row r="8" spans="1:20" x14ac:dyDescent="0.2">
      <c r="A8" s="47"/>
      <c r="B8" s="127"/>
      <c r="C8" s="127"/>
      <c r="D8" s="127"/>
      <c r="E8" s="127"/>
      <c r="F8" s="127"/>
      <c r="G8" s="127"/>
      <c r="H8" s="127"/>
      <c r="I8" s="127"/>
      <c r="J8" s="120"/>
    </row>
    <row r="9" spans="1:20" x14ac:dyDescent="0.2">
      <c r="A9" s="47" t="s">
        <v>32</v>
      </c>
      <c r="B9" s="127"/>
      <c r="C9" s="127"/>
      <c r="D9" s="127"/>
      <c r="E9" s="127"/>
      <c r="F9" s="127"/>
      <c r="G9" s="127"/>
      <c r="H9" s="127"/>
      <c r="I9" s="127"/>
      <c r="J9" s="120"/>
    </row>
    <row r="10" spans="1:20" x14ac:dyDescent="0.2">
      <c r="A10" s="47" t="s">
        <v>30</v>
      </c>
      <c r="B10" s="127">
        <f>[3]Frontier!$GM$27</f>
        <v>110</v>
      </c>
      <c r="C10" s="127">
        <f>'[3]Air Choice One'!$GM$27</f>
        <v>0</v>
      </c>
      <c r="D10" s="127">
        <f>'[3]Aer Lingus'!$GM$27+'[3]Aer Lingus'!$GM$37</f>
        <v>43</v>
      </c>
      <c r="E10" s="127">
        <f>'[3]Boutique Air'!$GM$27</f>
        <v>0</v>
      </c>
      <c r="F10" s="127">
        <f>[3]Icelandair!$GM$37</f>
        <v>82</v>
      </c>
      <c r="G10" s="127">
        <f>[3]Southwest!$GM$27</f>
        <v>1334</v>
      </c>
      <c r="H10" s="127">
        <f>'[3]Sun Country'!$GM$27+'[3]Sun Country'!$GM$37</f>
        <v>2008</v>
      </c>
      <c r="I10" s="127">
        <f>[3]Alaska!$GM$27</f>
        <v>379</v>
      </c>
      <c r="J10" s="120">
        <f>SUM(B10:I10)</f>
        <v>3956</v>
      </c>
    </row>
    <row r="11" spans="1:20" x14ac:dyDescent="0.2">
      <c r="A11" s="47" t="s">
        <v>33</v>
      </c>
      <c r="B11" s="130">
        <f>[3]Frontier!$GM$28</f>
        <v>140</v>
      </c>
      <c r="C11" s="130">
        <f>'[3]Air Choice One'!$GM$28</f>
        <v>0</v>
      </c>
      <c r="D11" s="130">
        <f>'[3]Aer Lingus'!$GM$28+'[3]Aer Lingus'!$GM$38</f>
        <v>39</v>
      </c>
      <c r="E11" s="130">
        <f>'[3]Boutique Air'!$GM$28</f>
        <v>0</v>
      </c>
      <c r="F11" s="130">
        <f>[3]Icelandair!$GM$38</f>
        <v>94</v>
      </c>
      <c r="G11" s="130">
        <f>[3]Southwest!$GM$28</f>
        <v>1439</v>
      </c>
      <c r="H11" s="130">
        <f>'[3]Sun Country'!$GM$28+'[3]Sun Country'!$GM$38</f>
        <v>2245</v>
      </c>
      <c r="I11" s="130">
        <f>[3]Alaska!$GM$28</f>
        <v>429</v>
      </c>
      <c r="J11" s="120">
        <f>SUM(B11:I11)</f>
        <v>4386</v>
      </c>
    </row>
    <row r="12" spans="1:20" ht="15.75" thickBot="1" x14ac:dyDescent="0.3">
      <c r="A12" s="48" t="s">
        <v>34</v>
      </c>
      <c r="B12" s="123">
        <f t="shared" ref="B12:I12" si="2">SUM(B10:B11)</f>
        <v>250</v>
      </c>
      <c r="C12" s="123">
        <f t="shared" ref="C12:E12" si="3">SUM(C10:C11)</f>
        <v>0</v>
      </c>
      <c r="D12" s="123">
        <f>SUM(D10:D11)</f>
        <v>82</v>
      </c>
      <c r="E12" s="123">
        <f t="shared" si="3"/>
        <v>0</v>
      </c>
      <c r="F12" s="123">
        <f t="shared" si="2"/>
        <v>176</v>
      </c>
      <c r="G12" s="123">
        <f t="shared" si="2"/>
        <v>2773</v>
      </c>
      <c r="H12" s="123">
        <f>SUM(H10:H11)</f>
        <v>4253</v>
      </c>
      <c r="I12" s="123">
        <f t="shared" si="2"/>
        <v>808</v>
      </c>
      <c r="J12" s="131">
        <f>SUM(B12:I12)</f>
        <v>8342</v>
      </c>
      <c r="M12" s="97"/>
    </row>
    <row r="13" spans="1:20" ht="15" x14ac:dyDescent="0.25">
      <c r="A13" s="44"/>
      <c r="B13" s="252"/>
      <c r="C13" s="252"/>
      <c r="D13" s="252"/>
      <c r="E13" s="252"/>
      <c r="F13" s="252"/>
      <c r="G13" s="252"/>
      <c r="H13" s="252"/>
      <c r="I13" s="252"/>
      <c r="J13" s="253"/>
    </row>
    <row r="14" spans="1:20" ht="13.5" thickBot="1" x14ac:dyDescent="0.25"/>
    <row r="15" spans="1:20" ht="15.75" thickTop="1" x14ac:dyDescent="0.25">
      <c r="A15" s="46" t="s">
        <v>9</v>
      </c>
      <c r="B15" s="118"/>
      <c r="C15" s="118"/>
      <c r="D15" s="118"/>
      <c r="E15" s="118"/>
      <c r="F15" s="118"/>
      <c r="G15" s="118"/>
      <c r="H15" s="118"/>
      <c r="I15" s="118"/>
      <c r="J15" s="119"/>
    </row>
    <row r="16" spans="1:20" x14ac:dyDescent="0.2">
      <c r="A16" s="47" t="s">
        <v>22</v>
      </c>
      <c r="B16" s="97">
        <f>[3]Frontier!$GM$4</f>
        <v>109</v>
      </c>
      <c r="C16" s="87">
        <f>'[3]Air Choice One'!$GM$4</f>
        <v>103</v>
      </c>
      <c r="D16" s="97">
        <f>'[3]Aer Lingus'!$GM$4+'[3]Aer Lingus'!$GM$15</f>
        <v>29</v>
      </c>
      <c r="E16" s="87">
        <f>'[3]Boutique Air'!$GM$4</f>
        <v>80</v>
      </c>
      <c r="F16" s="97">
        <f>[3]Icelandair!$GM$15</f>
        <v>18</v>
      </c>
      <c r="G16" s="87">
        <f>[3]Southwest!$GM$4</f>
        <v>544</v>
      </c>
      <c r="H16" s="97">
        <f>'[3]Sun Country'!$GM$4+'[3]Sun Country'!$GM$15</f>
        <v>957</v>
      </c>
      <c r="I16" s="97">
        <f>[3]Alaska!$GM$4</f>
        <v>92</v>
      </c>
      <c r="J16" s="120">
        <f>SUM(B16:I16)</f>
        <v>1932</v>
      </c>
    </row>
    <row r="17" spans="1:257" x14ac:dyDescent="0.2">
      <c r="A17" s="47" t="s">
        <v>23</v>
      </c>
      <c r="B17" s="97">
        <f>[3]Frontier!$GM$5</f>
        <v>108</v>
      </c>
      <c r="C17" s="87">
        <f>'[3]Air Choice One'!$GM$5</f>
        <v>103</v>
      </c>
      <c r="D17" s="97">
        <f>'[3]Aer Lingus'!$GM$5+'[3]Aer Lingus'!$GM$16</f>
        <v>29</v>
      </c>
      <c r="E17" s="87">
        <f>'[3]Boutique Air'!$GM$5</f>
        <v>79</v>
      </c>
      <c r="F17" s="97">
        <f>[3]Icelandair!$GM$16</f>
        <v>18</v>
      </c>
      <c r="G17" s="87">
        <f>[3]Southwest!$GM$5</f>
        <v>534</v>
      </c>
      <c r="H17" s="97">
        <f>'[3]Sun Country'!$GM$5+'[3]Sun Country'!$GM$16</f>
        <v>953</v>
      </c>
      <c r="I17" s="97">
        <f>[3]Alaska!$GM$5</f>
        <v>91</v>
      </c>
      <c r="J17" s="120">
        <f>SUM(B17:I17)</f>
        <v>1915</v>
      </c>
    </row>
    <row r="18" spans="1:257" x14ac:dyDescent="0.2">
      <c r="A18" s="51" t="s">
        <v>24</v>
      </c>
      <c r="B18" s="121">
        <f t="shared" ref="B18:I18" si="4">SUM(B16:B17)</f>
        <v>217</v>
      </c>
      <c r="C18" s="121">
        <f t="shared" ref="C18:E18" si="5">SUM(C16:C17)</f>
        <v>206</v>
      </c>
      <c r="D18" s="121">
        <f t="shared" si="5"/>
        <v>58</v>
      </c>
      <c r="E18" s="121">
        <f t="shared" si="5"/>
        <v>159</v>
      </c>
      <c r="F18" s="121">
        <f t="shared" si="4"/>
        <v>36</v>
      </c>
      <c r="G18" s="121">
        <f t="shared" si="4"/>
        <v>1078</v>
      </c>
      <c r="H18" s="121">
        <f t="shared" si="4"/>
        <v>1910</v>
      </c>
      <c r="I18" s="121">
        <f t="shared" si="4"/>
        <v>183</v>
      </c>
      <c r="J18" s="122">
        <f>SUM(B18:I18)</f>
        <v>3847</v>
      </c>
    </row>
    <row r="19" spans="1:257" x14ac:dyDescent="0.2">
      <c r="A19" s="51"/>
      <c r="B19" s="95"/>
      <c r="C19" s="95"/>
      <c r="D19" s="95"/>
      <c r="E19" s="95"/>
      <c r="F19" s="95"/>
      <c r="G19" s="95"/>
      <c r="H19" s="95"/>
      <c r="I19" s="95"/>
      <c r="J19" s="120"/>
    </row>
    <row r="20" spans="1:257" x14ac:dyDescent="0.2">
      <c r="A20" s="47" t="s">
        <v>25</v>
      </c>
      <c r="B20" s="97">
        <f>[3]Frontier!$GM$8</f>
        <v>0</v>
      </c>
      <c r="C20" s="97">
        <f>'[3]Air Choice One'!$GM$8</f>
        <v>0</v>
      </c>
      <c r="D20" s="97">
        <f>'[3]Aer Lingus'!$GM$8</f>
        <v>0</v>
      </c>
      <c r="E20" s="97">
        <f>'[3]Boutique Air'!$GM$8</f>
        <v>0</v>
      </c>
      <c r="F20" s="97">
        <f>[3]Icelandair!$GM$8</f>
        <v>0</v>
      </c>
      <c r="G20" s="97">
        <f>[3]Southwest!$GM$8</f>
        <v>0</v>
      </c>
      <c r="H20" s="97">
        <f>'[3]Sun Country'!$GM$8</f>
        <v>63</v>
      </c>
      <c r="I20" s="97">
        <f>[3]Alaska!$GM$8</f>
        <v>0</v>
      </c>
      <c r="J20" s="120">
        <f>SUM(B20:I20)</f>
        <v>63</v>
      </c>
    </row>
    <row r="21" spans="1:257" x14ac:dyDescent="0.2">
      <c r="A21" s="47" t="s">
        <v>26</v>
      </c>
      <c r="B21" s="97">
        <f>[3]Frontier!$GM$9</f>
        <v>0</v>
      </c>
      <c r="C21" s="97">
        <f>'[3]Air Choice One'!$GM$9</f>
        <v>0</v>
      </c>
      <c r="D21" s="97">
        <f>'[3]Aer Lingus'!$GM$9</f>
        <v>0</v>
      </c>
      <c r="E21" s="97">
        <f>'[3]Boutique Air'!$GM$9</f>
        <v>0</v>
      </c>
      <c r="F21" s="97">
        <f>[3]Icelandair!$GM$9</f>
        <v>0</v>
      </c>
      <c r="G21" s="97">
        <f>[3]Southwest!$GM$9</f>
        <v>0</v>
      </c>
      <c r="H21" s="97">
        <f>'[3]Sun Country'!$GM$9</f>
        <v>61</v>
      </c>
      <c r="I21" s="97">
        <f>[3]Alaska!$GM$9</f>
        <v>0</v>
      </c>
      <c r="J21" s="120">
        <f>SUM(B21:I21)</f>
        <v>61</v>
      </c>
    </row>
    <row r="22" spans="1:257" x14ac:dyDescent="0.2">
      <c r="A22" s="51" t="s">
        <v>27</v>
      </c>
      <c r="B22" s="121">
        <f t="shared" ref="B22:I22" si="6">SUM(B20:B21)</f>
        <v>0</v>
      </c>
      <c r="C22" s="121">
        <f t="shared" ref="C22:E22" si="7">SUM(C20:C21)</f>
        <v>0</v>
      </c>
      <c r="D22" s="121">
        <f t="shared" si="7"/>
        <v>0</v>
      </c>
      <c r="E22" s="121">
        <f t="shared" si="7"/>
        <v>0</v>
      </c>
      <c r="F22" s="121">
        <f t="shared" si="6"/>
        <v>0</v>
      </c>
      <c r="G22" s="121">
        <f t="shared" si="6"/>
        <v>0</v>
      </c>
      <c r="H22" s="121">
        <f t="shared" si="6"/>
        <v>124</v>
      </c>
      <c r="I22" s="121">
        <f t="shared" si="6"/>
        <v>0</v>
      </c>
      <c r="J22" s="122">
        <f>SUM(B22:I22)</f>
        <v>124</v>
      </c>
    </row>
    <row r="23" spans="1:257" ht="15.75" thickBot="1" x14ac:dyDescent="0.3">
      <c r="A23" s="48" t="s">
        <v>28</v>
      </c>
      <c r="B23" s="123">
        <f t="shared" ref="B23:I23" si="8">B22+B18</f>
        <v>217</v>
      </c>
      <c r="C23" s="123">
        <f t="shared" ref="C23:E23" si="9">C22+C18</f>
        <v>206</v>
      </c>
      <c r="D23" s="123">
        <f t="shared" si="9"/>
        <v>58</v>
      </c>
      <c r="E23" s="123">
        <f t="shared" si="9"/>
        <v>159</v>
      </c>
      <c r="F23" s="123">
        <f t="shared" si="8"/>
        <v>36</v>
      </c>
      <c r="G23" s="123">
        <f t="shared" si="8"/>
        <v>1078</v>
      </c>
      <c r="H23" s="123">
        <f t="shared" si="8"/>
        <v>2034</v>
      </c>
      <c r="I23" s="123">
        <f t="shared" si="8"/>
        <v>183</v>
      </c>
      <c r="J23" s="124">
        <f>SUM(B23:I23)</f>
        <v>3971</v>
      </c>
    </row>
    <row r="24" spans="1:257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</row>
    <row r="25" spans="1:257" ht="13.5" thickBot="1" x14ac:dyDescent="0.25">
      <c r="B25" s="357"/>
      <c r="C25" s="357"/>
      <c r="D25" s="357"/>
      <c r="E25" s="357"/>
      <c r="F25" s="357"/>
      <c r="G25" s="357"/>
      <c r="H25" s="357"/>
      <c r="I25" s="357"/>
      <c r="J25" s="97"/>
    </row>
    <row r="26" spans="1:257" ht="15.75" thickTop="1" x14ac:dyDescent="0.25">
      <c r="A26" s="50" t="s">
        <v>35</v>
      </c>
      <c r="B26" s="132"/>
      <c r="C26" s="132"/>
      <c r="D26" s="132"/>
      <c r="E26" s="132"/>
      <c r="F26" s="132"/>
      <c r="G26" s="132"/>
      <c r="H26" s="132"/>
      <c r="I26" s="132"/>
      <c r="J26" s="133"/>
    </row>
    <row r="27" spans="1:257" x14ac:dyDescent="0.2">
      <c r="A27" s="47" t="s">
        <v>36</v>
      </c>
      <c r="B27" s="134"/>
      <c r="C27" s="134"/>
      <c r="D27" s="134"/>
      <c r="E27" s="134"/>
      <c r="F27" s="134"/>
      <c r="G27" s="134"/>
      <c r="H27" s="134"/>
      <c r="I27" s="134"/>
      <c r="J27" s="126"/>
    </row>
    <row r="28" spans="1:257" x14ac:dyDescent="0.2">
      <c r="A28" s="47" t="s">
        <v>37</v>
      </c>
      <c r="B28" s="97">
        <f>[3]Frontier!$GM$47</f>
        <v>0</v>
      </c>
      <c r="C28" s="97">
        <f>'[3]Air Choice One'!$GM$47</f>
        <v>0</v>
      </c>
      <c r="D28" s="97">
        <f>'[3]Aer Lingus'!$GM$47</f>
        <v>0</v>
      </c>
      <c r="E28" s="97">
        <f>'[3]Boutique Air'!$GM$47</f>
        <v>0</v>
      </c>
      <c r="F28" s="97">
        <f>[3]Icelandair!$GM$47</f>
        <v>3589</v>
      </c>
      <c r="G28" s="97">
        <f>[3]Southwest!$GM$47</f>
        <v>195437</v>
      </c>
      <c r="H28" s="97">
        <f>'[3]Sun Country'!$GM$47</f>
        <v>28579</v>
      </c>
      <c r="I28" s="97">
        <f>[3]Alaska!$GM$47</f>
        <v>17377</v>
      </c>
      <c r="J28" s="120">
        <f>SUM(B28:I28)</f>
        <v>244982</v>
      </c>
    </row>
    <row r="29" spans="1:257" x14ac:dyDescent="0.2">
      <c r="A29" s="47" t="s">
        <v>38</v>
      </c>
      <c r="B29" s="97">
        <f>[3]Frontier!$GM$48</f>
        <v>0</v>
      </c>
      <c r="C29" s="97">
        <f>'[3]Air Choice One'!$GM$48</f>
        <v>0</v>
      </c>
      <c r="D29" s="97">
        <f>'[3]Aer Lingus'!$GM$48</f>
        <v>0</v>
      </c>
      <c r="E29" s="97">
        <f>'[3]Boutique Air'!$GM$48</f>
        <v>0</v>
      </c>
      <c r="F29" s="97">
        <f>[3]Icelandair!$GM$48</f>
        <v>0</v>
      </c>
      <c r="G29" s="97">
        <f>[3]Southwest!$GM$48</f>
        <v>0</v>
      </c>
      <c r="H29" s="97">
        <f>'[3]Sun Country'!$GM$48</f>
        <v>338445</v>
      </c>
      <c r="I29" s="97">
        <f>[3]Alaska!$GM$48</f>
        <v>501</v>
      </c>
      <c r="J29" s="120">
        <f>SUM(B29:I29)</f>
        <v>338946</v>
      </c>
    </row>
    <row r="30" spans="1:257" x14ac:dyDescent="0.2">
      <c r="A30" s="51" t="s">
        <v>39</v>
      </c>
      <c r="B30" s="135">
        <f t="shared" ref="B30:I30" si="10">SUM(B28:B29)</f>
        <v>0</v>
      </c>
      <c r="C30" s="135">
        <f t="shared" ref="C30:E30" si="11">SUM(C28:C29)</f>
        <v>0</v>
      </c>
      <c r="D30" s="135">
        <f t="shared" si="11"/>
        <v>0</v>
      </c>
      <c r="E30" s="135">
        <f t="shared" si="11"/>
        <v>0</v>
      </c>
      <c r="F30" s="135">
        <f t="shared" si="10"/>
        <v>3589</v>
      </c>
      <c r="G30" s="135">
        <f t="shared" si="10"/>
        <v>195437</v>
      </c>
      <c r="H30" s="135">
        <f t="shared" si="10"/>
        <v>367024</v>
      </c>
      <c r="I30" s="135">
        <f t="shared" si="10"/>
        <v>17878</v>
      </c>
      <c r="J30" s="137">
        <f>SUM(B30:I30)</f>
        <v>583928</v>
      </c>
    </row>
    <row r="31" spans="1:257" x14ac:dyDescent="0.2">
      <c r="A31" s="47"/>
      <c r="B31" s="127"/>
      <c r="C31" s="127"/>
      <c r="D31" s="127"/>
      <c r="E31" s="127"/>
      <c r="F31" s="127"/>
      <c r="G31" s="127"/>
      <c r="H31" s="127"/>
      <c r="I31" s="127"/>
      <c r="J31" s="120"/>
    </row>
    <row r="32" spans="1:257" x14ac:dyDescent="0.2">
      <c r="A32" s="47" t="s">
        <v>40</v>
      </c>
      <c r="B32" s="97"/>
      <c r="C32" s="97"/>
      <c r="D32" s="97"/>
      <c r="E32" s="97"/>
      <c r="F32" s="97"/>
      <c r="G32" s="97"/>
      <c r="H32" s="97"/>
      <c r="I32" s="97"/>
      <c r="J32" s="120"/>
    </row>
    <row r="33" spans="1:10" x14ac:dyDescent="0.2">
      <c r="A33" s="47" t="s">
        <v>37</v>
      </c>
      <c r="B33" s="97">
        <f>[3]Frontier!$GM$52</f>
        <v>0</v>
      </c>
      <c r="C33" s="97">
        <f>'[3]Air Choice One'!$GM$52</f>
        <v>0</v>
      </c>
      <c r="D33" s="97">
        <f>'[3]Aer Lingus'!$GM$52</f>
        <v>0</v>
      </c>
      <c r="E33" s="97">
        <f>'[3]Boutique Air'!$GM$52</f>
        <v>0</v>
      </c>
      <c r="F33" s="97">
        <f>[3]Icelandair!$GM$52</f>
        <v>0</v>
      </c>
      <c r="G33" s="97">
        <f>[3]Southwest!$GM$52</f>
        <v>120223</v>
      </c>
      <c r="H33" s="97">
        <f>'[3]Sun Country'!$GM$52</f>
        <v>165</v>
      </c>
      <c r="I33" s="97">
        <f>[3]Alaska!$GM$52</f>
        <v>2417</v>
      </c>
      <c r="J33" s="120">
        <f>SUM(B33:I33)</f>
        <v>122805</v>
      </c>
    </row>
    <row r="34" spans="1:10" x14ac:dyDescent="0.2">
      <c r="A34" s="47" t="s">
        <v>38</v>
      </c>
      <c r="B34" s="97">
        <f>[3]Frontier!$GM$53</f>
        <v>0</v>
      </c>
      <c r="C34" s="97">
        <f>'[3]Air Choice One'!$GM$53</f>
        <v>0</v>
      </c>
      <c r="D34" s="97">
        <f>'[3]Aer Lingus'!$GM$53</f>
        <v>0</v>
      </c>
      <c r="E34" s="97">
        <f>'[3]Boutique Air'!$GM$53</f>
        <v>0</v>
      </c>
      <c r="F34" s="97">
        <f>[3]Icelandair!$GM$53</f>
        <v>0</v>
      </c>
      <c r="G34" s="97">
        <f>[3]Southwest!$GM$53</f>
        <v>0</v>
      </c>
      <c r="H34" s="97">
        <f>'[3]Sun Country'!$GM$53</f>
        <v>346984</v>
      </c>
      <c r="I34" s="97">
        <f>[3]Alaska!$GM$53</f>
        <v>1058</v>
      </c>
      <c r="J34" s="136">
        <f>SUM(B34:I34)</f>
        <v>348042</v>
      </c>
    </row>
    <row r="35" spans="1:10" x14ac:dyDescent="0.2">
      <c r="A35" s="51" t="s">
        <v>41</v>
      </c>
      <c r="B35" s="121">
        <f t="shared" ref="B35:I35" si="12">SUM(B33:B34)</f>
        <v>0</v>
      </c>
      <c r="C35" s="121">
        <f t="shared" ref="C35:E35" si="13">SUM(C33:C34)</f>
        <v>0</v>
      </c>
      <c r="D35" s="121">
        <f t="shared" si="13"/>
        <v>0</v>
      </c>
      <c r="E35" s="121">
        <f t="shared" si="13"/>
        <v>0</v>
      </c>
      <c r="F35" s="121">
        <f t="shared" si="12"/>
        <v>0</v>
      </c>
      <c r="G35" s="121">
        <f t="shared" si="12"/>
        <v>120223</v>
      </c>
      <c r="H35" s="121">
        <f t="shared" si="12"/>
        <v>347149</v>
      </c>
      <c r="I35" s="121">
        <f t="shared" si="12"/>
        <v>3475</v>
      </c>
      <c r="J35" s="137">
        <f>SUM(B35:I35)</f>
        <v>470847</v>
      </c>
    </row>
    <row r="36" spans="1:10" hidden="1" x14ac:dyDescent="0.2">
      <c r="A36" s="47"/>
      <c r="B36" s="127"/>
      <c r="C36" s="127"/>
      <c r="D36" s="127"/>
      <c r="E36" s="127"/>
      <c r="F36" s="127"/>
      <c r="G36" s="127"/>
      <c r="H36" s="127"/>
      <c r="I36" s="127"/>
      <c r="J36" s="120"/>
    </row>
    <row r="37" spans="1:10" hidden="1" x14ac:dyDescent="0.2">
      <c r="A37" s="47" t="s">
        <v>42</v>
      </c>
      <c r="B37" s="127"/>
      <c r="C37" s="127"/>
      <c r="D37" s="127"/>
      <c r="E37" s="127"/>
      <c r="F37" s="127"/>
      <c r="G37" s="127"/>
      <c r="H37" s="127"/>
      <c r="I37" s="127"/>
      <c r="J37" s="120"/>
    </row>
    <row r="38" spans="1:10" hidden="1" x14ac:dyDescent="0.2">
      <c r="A38" s="47" t="s">
        <v>37</v>
      </c>
      <c r="B38" s="127">
        <f>[3]Frontier!$GM$57</f>
        <v>0</v>
      </c>
      <c r="C38" s="127">
        <f>'[3]Air Choice One'!$GM$57</f>
        <v>0</v>
      </c>
      <c r="D38" s="127">
        <f>'[3]Aer Lingus'!$GM$57</f>
        <v>0</v>
      </c>
      <c r="E38" s="127">
        <f>'[3]Boutique Air'!$GM$57</f>
        <v>0</v>
      </c>
      <c r="F38" s="127">
        <f>[3]Icelandair!$GM$57</f>
        <v>0</v>
      </c>
      <c r="G38" s="127">
        <f>[3]Southwest!$GM$57</f>
        <v>0</v>
      </c>
      <c r="H38" s="127">
        <f>'[3]Sun Country'!$GM$57</f>
        <v>0</v>
      </c>
      <c r="I38" s="127">
        <f>[3]Alaska!$GM$57</f>
        <v>0</v>
      </c>
      <c r="J38" s="120">
        <f>SUM(B38:H38)</f>
        <v>0</v>
      </c>
    </row>
    <row r="39" spans="1:10" hidden="1" x14ac:dyDescent="0.2">
      <c r="A39" s="47" t="s">
        <v>38</v>
      </c>
      <c r="B39" s="130">
        <f>[3]Frontier!$GM$58</f>
        <v>0</v>
      </c>
      <c r="C39" s="130">
        <f>'[3]Air Choice One'!$GM$58</f>
        <v>0</v>
      </c>
      <c r="D39" s="130">
        <f>'[3]Aer Lingus'!$GM$58</f>
        <v>0</v>
      </c>
      <c r="E39" s="130">
        <f>'[3]Boutique Air'!$GM$58</f>
        <v>0</v>
      </c>
      <c r="F39" s="130">
        <f>[3]Icelandair!$GM$58</f>
        <v>0</v>
      </c>
      <c r="G39" s="130">
        <f>[3]Southwest!$GM$58</f>
        <v>0</v>
      </c>
      <c r="H39" s="130">
        <f>'[3]Sun Country'!$GM$58</f>
        <v>0</v>
      </c>
      <c r="I39" s="130">
        <f>[3]Alaska!$GM$58</f>
        <v>0</v>
      </c>
      <c r="J39" s="136">
        <f>SUM(B39:H39)</f>
        <v>0</v>
      </c>
    </row>
    <row r="40" spans="1:10" hidden="1" x14ac:dyDescent="0.2">
      <c r="A40" s="51" t="s">
        <v>43</v>
      </c>
      <c r="B40" s="138">
        <f t="shared" ref="B40:I40" si="14">SUM(B38:B39)</f>
        <v>0</v>
      </c>
      <c r="C40" s="138">
        <f t="shared" ref="C40:E40" si="15">SUM(C38:C39)</f>
        <v>0</v>
      </c>
      <c r="D40" s="138">
        <f t="shared" si="15"/>
        <v>0</v>
      </c>
      <c r="E40" s="138">
        <f t="shared" si="15"/>
        <v>0</v>
      </c>
      <c r="F40" s="138">
        <f t="shared" si="14"/>
        <v>0</v>
      </c>
      <c r="G40" s="138">
        <f t="shared" si="14"/>
        <v>0</v>
      </c>
      <c r="H40" s="138">
        <f t="shared" si="14"/>
        <v>0</v>
      </c>
      <c r="I40" s="138">
        <f t="shared" si="14"/>
        <v>0</v>
      </c>
      <c r="J40" s="120">
        <f>SUM(B40:H40)</f>
        <v>0</v>
      </c>
    </row>
    <row r="41" spans="1:10" x14ac:dyDescent="0.2">
      <c r="A41" s="47"/>
      <c r="B41" s="127"/>
      <c r="C41" s="127"/>
      <c r="D41" s="127"/>
      <c r="E41" s="127"/>
      <c r="F41" s="127"/>
      <c r="G41" s="127"/>
      <c r="H41" s="127"/>
      <c r="I41" s="127"/>
      <c r="J41" s="120"/>
    </row>
    <row r="42" spans="1:10" x14ac:dyDescent="0.2">
      <c r="A42" s="47" t="s">
        <v>44</v>
      </c>
      <c r="B42" s="127"/>
      <c r="C42" s="127"/>
      <c r="D42" s="127"/>
      <c r="E42" s="127"/>
      <c r="F42" s="127"/>
      <c r="G42" s="127"/>
      <c r="H42" s="127"/>
      <c r="I42" s="127"/>
      <c r="J42" s="120"/>
    </row>
    <row r="43" spans="1:10" x14ac:dyDescent="0.2">
      <c r="A43" s="47" t="s">
        <v>45</v>
      </c>
      <c r="B43" s="127">
        <f t="shared" ref="B43:I43" si="16">B28+B33+B38</f>
        <v>0</v>
      </c>
      <c r="C43" s="127">
        <f t="shared" ref="C43:E43" si="17">C28+C33+C38</f>
        <v>0</v>
      </c>
      <c r="D43" s="127">
        <f t="shared" si="17"/>
        <v>0</v>
      </c>
      <c r="E43" s="127">
        <f t="shared" si="17"/>
        <v>0</v>
      </c>
      <c r="F43" s="127">
        <f t="shared" si="16"/>
        <v>3589</v>
      </c>
      <c r="G43" s="127">
        <f t="shared" si="16"/>
        <v>315660</v>
      </c>
      <c r="H43" s="127">
        <f t="shared" si="16"/>
        <v>28744</v>
      </c>
      <c r="I43" s="127">
        <f t="shared" si="16"/>
        <v>19794</v>
      </c>
      <c r="J43" s="120">
        <f>SUM(B43:I43)</f>
        <v>367787</v>
      </c>
    </row>
    <row r="44" spans="1:10" x14ac:dyDescent="0.2">
      <c r="A44" s="47" t="s">
        <v>38</v>
      </c>
      <c r="B44" s="130">
        <f t="shared" ref="B44:I44" si="18">+B39+B34+B29</f>
        <v>0</v>
      </c>
      <c r="C44" s="130">
        <f t="shared" ref="C44:E44" si="19">+C39+C34+C29</f>
        <v>0</v>
      </c>
      <c r="D44" s="130">
        <f t="shared" si="19"/>
        <v>0</v>
      </c>
      <c r="E44" s="130">
        <f t="shared" si="19"/>
        <v>0</v>
      </c>
      <c r="F44" s="130">
        <f t="shared" si="18"/>
        <v>0</v>
      </c>
      <c r="G44" s="130">
        <f t="shared" si="18"/>
        <v>0</v>
      </c>
      <c r="H44" s="130">
        <f t="shared" si="18"/>
        <v>685429</v>
      </c>
      <c r="I44" s="130">
        <f t="shared" si="18"/>
        <v>1559</v>
      </c>
      <c r="J44" s="120">
        <f>SUM(B44:I44)</f>
        <v>686988</v>
      </c>
    </row>
    <row r="45" spans="1:10" ht="15.75" thickBot="1" x14ac:dyDescent="0.3">
      <c r="A45" s="48" t="s">
        <v>46</v>
      </c>
      <c r="B45" s="139">
        <f t="shared" ref="B45:I45" si="20">B43+B44</f>
        <v>0</v>
      </c>
      <c r="C45" s="139">
        <f t="shared" ref="C45:E45" si="21">C43+C44</f>
        <v>0</v>
      </c>
      <c r="D45" s="139">
        <f t="shared" si="21"/>
        <v>0</v>
      </c>
      <c r="E45" s="139">
        <f t="shared" si="21"/>
        <v>0</v>
      </c>
      <c r="F45" s="139">
        <f t="shared" si="20"/>
        <v>3589</v>
      </c>
      <c r="G45" s="139">
        <f t="shared" si="20"/>
        <v>315660</v>
      </c>
      <c r="H45" s="139">
        <f t="shared" si="20"/>
        <v>714173</v>
      </c>
      <c r="I45" s="139">
        <f t="shared" si="20"/>
        <v>21353</v>
      </c>
      <c r="J45" s="140">
        <f>SUM(B45:I45)</f>
        <v>1054775</v>
      </c>
    </row>
    <row r="48" spans="1:10" x14ac:dyDescent="0.2">
      <c r="A48" s="322" t="s">
        <v>123</v>
      </c>
      <c r="B48" s="333"/>
      <c r="C48" s="333"/>
      <c r="D48" s="333"/>
      <c r="E48" s="333"/>
      <c r="G48" s="279">
        <f>[3]Southwest!$GM$70+[3]Southwest!$GM$73</f>
        <v>64985</v>
      </c>
      <c r="H48" s="279">
        <f>'[3]Sun Country'!$GM$70+'[3]Sun Country'!$GM$73</f>
        <v>148356</v>
      </c>
      <c r="I48" s="333"/>
      <c r="J48" s="268">
        <f>SUM(B48:I48)</f>
        <v>213341</v>
      </c>
    </row>
    <row r="49" spans="1:10" x14ac:dyDescent="0.2">
      <c r="A49" s="335" t="s">
        <v>124</v>
      </c>
      <c r="B49" s="333"/>
      <c r="C49" s="333"/>
      <c r="D49" s="333"/>
      <c r="E49" s="333"/>
      <c r="G49" s="279">
        <f>[3]Southwest!$GM$71+[3]Southwest!$GM$74</f>
        <v>236</v>
      </c>
      <c r="H49" s="279">
        <f>'[3]Sun Country'!$GM$71+'[3]Sun Country'!$GM$74</f>
        <v>0</v>
      </c>
      <c r="I49" s="333"/>
      <c r="J49" s="268">
        <f>SUM(B49:I49)</f>
        <v>236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December 2019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7"/>
  <sheetViews>
    <sheetView zoomScaleNormal="100" zoomScaleSheetLayoutView="85" zoomScalePageLayoutView="70" workbookViewId="0">
      <selection activeCell="J2" sqref="J2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38" x14ac:dyDescent="0.2">
      <c r="A1" s="331"/>
    </row>
    <row r="2" spans="1:38" ht="51.75" thickBot="1" x14ac:dyDescent="0.25">
      <c r="A2" s="325">
        <v>43800</v>
      </c>
      <c r="B2" s="371" t="s">
        <v>161</v>
      </c>
      <c r="C2" s="371" t="s">
        <v>164</v>
      </c>
      <c r="D2" s="371" t="s">
        <v>173</v>
      </c>
      <c r="E2" s="371" t="s">
        <v>172</v>
      </c>
      <c r="F2" s="371" t="s">
        <v>174</v>
      </c>
      <c r="G2" s="371" t="s">
        <v>209</v>
      </c>
      <c r="H2" s="371" t="s">
        <v>178</v>
      </c>
      <c r="I2" s="371" t="s">
        <v>185</v>
      </c>
      <c r="J2" s="371" t="s">
        <v>205</v>
      </c>
      <c r="K2" s="371" t="s">
        <v>177</v>
      </c>
      <c r="L2" s="12" t="s">
        <v>117</v>
      </c>
      <c r="M2" s="12" t="s">
        <v>21</v>
      </c>
    </row>
    <row r="3" spans="1:38" ht="15.75" thickTop="1" x14ac:dyDescent="0.25">
      <c r="A3" s="240" t="s">
        <v>3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4"/>
    </row>
    <row r="4" spans="1:38" x14ac:dyDescent="0.2">
      <c r="A4" s="47" t="s">
        <v>29</v>
      </c>
      <c r="B4" s="97"/>
      <c r="C4" s="89"/>
      <c r="D4" s="97"/>
      <c r="E4" s="97"/>
      <c r="F4" s="97"/>
      <c r="G4" s="97"/>
      <c r="H4" s="97"/>
      <c r="I4" s="97"/>
      <c r="J4" s="97"/>
      <c r="K4" s="97"/>
      <c r="L4" s="97"/>
      <c r="M4" s="90"/>
    </row>
    <row r="5" spans="1:38" x14ac:dyDescent="0.2">
      <c r="A5" s="47" t="s">
        <v>30</v>
      </c>
      <c r="B5" s="89">
        <f>[3]Pinnacle!$GM$22+[3]Pinnacle!$GM$32</f>
        <v>78061</v>
      </c>
      <c r="C5" s="89">
        <f>[3]MESA_UA!$GM$22</f>
        <v>8310</v>
      </c>
      <c r="D5" s="97">
        <f>'[3]Sky West'!$GM$22+'[3]Sky West'!$GM$32</f>
        <v>181194</v>
      </c>
      <c r="E5" s="97">
        <f>'[3]Sky West_UA'!$GM$22</f>
        <v>5957</v>
      </c>
      <c r="F5" s="97">
        <f>'[3]Sky West_AS'!$GM$22</f>
        <v>0</v>
      </c>
      <c r="G5" s="97">
        <f>'[3]Sky West_AA'!$GM$22</f>
        <v>1529</v>
      </c>
      <c r="H5" s="97">
        <f>[3]Republic!$GM$22</f>
        <v>11839</v>
      </c>
      <c r="I5" s="97">
        <f>[3]Republic_UA!$GM$22</f>
        <v>15364</v>
      </c>
      <c r="J5" s="97">
        <f>'[3]Sky Regional'!$GM$32</f>
        <v>4982</v>
      </c>
      <c r="K5" s="97">
        <f>'[3]American Eagle'!$GM$22</f>
        <v>1001</v>
      </c>
      <c r="L5" s="97">
        <f>'Other Regional'!J5</f>
        <v>8369</v>
      </c>
      <c r="M5" s="90">
        <f>SUM(B5:L5)</f>
        <v>316606</v>
      </c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442"/>
    </row>
    <row r="6" spans="1:38" s="6" customFormat="1" x14ac:dyDescent="0.2">
      <c r="A6" s="47" t="s">
        <v>31</v>
      </c>
      <c r="B6" s="89">
        <f>[3]Pinnacle!$GM$23+[3]Pinnacle!$GM$33</f>
        <v>77005</v>
      </c>
      <c r="C6" s="89">
        <f>[3]MESA_UA!$GM$23</f>
        <v>8534</v>
      </c>
      <c r="D6" s="97">
        <f>'[3]Sky West'!$GM$23+'[3]Sky West'!$GM$33</f>
        <v>191226</v>
      </c>
      <c r="E6" s="97">
        <f>'[3]Sky West_UA'!$GM$23</f>
        <v>5944</v>
      </c>
      <c r="F6" s="97">
        <f>'[3]Sky West_AS'!$GM$23</f>
        <v>0</v>
      </c>
      <c r="G6" s="97">
        <f>'[3]Sky West_AA'!$GM$23</f>
        <v>1571</v>
      </c>
      <c r="H6" s="97">
        <f>[3]Republic!$GM$23</f>
        <v>12740</v>
      </c>
      <c r="I6" s="97">
        <f>[3]Republic_UA!$GM$23</f>
        <v>14913</v>
      </c>
      <c r="J6" s="97">
        <f>'[3]Sky Regional'!$GM$33</f>
        <v>4713</v>
      </c>
      <c r="K6" s="97">
        <f>'[3]American Eagle'!$GM$23</f>
        <v>857</v>
      </c>
      <c r="L6" s="97">
        <f>'Other Regional'!J6</f>
        <v>8508</v>
      </c>
      <c r="M6" s="94">
        <f>SUM(B6:L6)</f>
        <v>326011</v>
      </c>
    </row>
    <row r="7" spans="1:38" ht="15" thickBot="1" x14ac:dyDescent="0.25">
      <c r="A7" s="56" t="s">
        <v>7</v>
      </c>
      <c r="B7" s="107">
        <f>SUM(B5:B6)</f>
        <v>155066</v>
      </c>
      <c r="C7" s="107">
        <f t="shared" ref="C7:L7" si="0">SUM(C5:C6)</f>
        <v>16844</v>
      </c>
      <c r="D7" s="107">
        <f t="shared" si="0"/>
        <v>372420</v>
      </c>
      <c r="E7" s="107">
        <f t="shared" si="0"/>
        <v>11901</v>
      </c>
      <c r="F7" s="107">
        <f t="shared" ref="F7:G7" si="1">SUM(F5:F6)</f>
        <v>0</v>
      </c>
      <c r="G7" s="107">
        <f t="shared" si="1"/>
        <v>3100</v>
      </c>
      <c r="H7" s="107">
        <f t="shared" si="0"/>
        <v>24579</v>
      </c>
      <c r="I7" s="107">
        <f t="shared" si="0"/>
        <v>30277</v>
      </c>
      <c r="J7" s="107">
        <f t="shared" si="0"/>
        <v>9695</v>
      </c>
      <c r="K7" s="107">
        <f t="shared" si="0"/>
        <v>1858</v>
      </c>
      <c r="L7" s="107">
        <f t="shared" si="0"/>
        <v>16877</v>
      </c>
      <c r="M7" s="108">
        <f>SUM(B7:L7)</f>
        <v>642617</v>
      </c>
    </row>
    <row r="8" spans="1:38" ht="13.5" thickTop="1" x14ac:dyDescent="0.2">
      <c r="A8" s="47"/>
      <c r="B8" s="97"/>
      <c r="C8" s="89"/>
      <c r="D8" s="97"/>
      <c r="E8" s="97"/>
      <c r="F8" s="97"/>
      <c r="G8" s="97"/>
      <c r="H8" s="97"/>
      <c r="I8" s="97"/>
      <c r="J8" s="97"/>
      <c r="K8" s="97"/>
      <c r="L8" s="97"/>
      <c r="M8" s="109"/>
    </row>
    <row r="9" spans="1:38" s="6" customFormat="1" x14ac:dyDescent="0.2">
      <c r="A9" s="47" t="s">
        <v>32</v>
      </c>
      <c r="B9" s="97"/>
      <c r="C9" s="89"/>
      <c r="D9" s="97"/>
      <c r="E9" s="97"/>
      <c r="F9" s="97"/>
      <c r="G9" s="97"/>
      <c r="H9" s="97"/>
      <c r="I9" s="97"/>
      <c r="J9" s="97"/>
      <c r="K9" s="97"/>
      <c r="L9" s="97"/>
      <c r="M9" s="90"/>
    </row>
    <row r="10" spans="1:38" x14ac:dyDescent="0.2">
      <c r="A10" s="47" t="s">
        <v>30</v>
      </c>
      <c r="B10" s="89">
        <f>[3]Pinnacle!$GM$27+[3]Pinnacle!$GM$37</f>
        <v>2136</v>
      </c>
      <c r="C10" s="89">
        <f>[3]MESA_UA!$GM$27</f>
        <v>284</v>
      </c>
      <c r="D10" s="97">
        <f>'[3]Sky West'!$GM$27+'[3]Sky West'!$GM$37</f>
        <v>5102</v>
      </c>
      <c r="E10" s="97">
        <f>'[3]Sky West_UA'!$GM$27</f>
        <v>172</v>
      </c>
      <c r="F10" s="97">
        <f>'[3]Sky West_AS'!$GM$27</f>
        <v>0</v>
      </c>
      <c r="G10" s="97">
        <f>'[3]Sky West_AA'!$GM$27</f>
        <v>107</v>
      </c>
      <c r="H10" s="97">
        <f>[3]Republic!$GM$27</f>
        <v>468</v>
      </c>
      <c r="I10" s="97">
        <f>[3]Republic_UA!$GM$27</f>
        <v>528</v>
      </c>
      <c r="J10" s="97">
        <f>'[3]Sky Regional'!$GM$37</f>
        <v>52</v>
      </c>
      <c r="K10" s="97">
        <f>'[3]American Eagle'!$GM$27</f>
        <v>68</v>
      </c>
      <c r="L10" s="97">
        <f>'Other Regional'!J10</f>
        <v>295</v>
      </c>
      <c r="M10" s="90">
        <f>SUM(B10:L10)</f>
        <v>9212</v>
      </c>
    </row>
    <row r="11" spans="1:38" x14ac:dyDescent="0.2">
      <c r="A11" s="47" t="s">
        <v>33</v>
      </c>
      <c r="B11" s="89">
        <f>[3]Pinnacle!$GM$28+[3]Pinnacle!$GM$38</f>
        <v>2241</v>
      </c>
      <c r="C11" s="89">
        <f>[3]MESA_UA!$GM$28</f>
        <v>315</v>
      </c>
      <c r="D11" s="97">
        <f>'[3]Sky West'!$GM$28+'[3]Sky West'!$GM$38</f>
        <v>6159</v>
      </c>
      <c r="E11" s="97">
        <f>'[3]Sky West_UA'!$GM$28</f>
        <v>181</v>
      </c>
      <c r="F11" s="97">
        <f>'[3]Sky West_AS'!$GM$28</f>
        <v>0</v>
      </c>
      <c r="G11" s="97">
        <f>'[3]Sky West_AA'!$GM$28</f>
        <v>98</v>
      </c>
      <c r="H11" s="97">
        <f>[3]Republic!$GM$28</f>
        <v>509</v>
      </c>
      <c r="I11" s="97">
        <f>[3]Republic_UA!$GM$28</f>
        <v>508</v>
      </c>
      <c r="J11" s="97">
        <f>'[3]Sky Regional'!$GM$38</f>
        <v>54</v>
      </c>
      <c r="K11" s="97">
        <f>'[3]American Eagle'!$GM$28</f>
        <v>65</v>
      </c>
      <c r="L11" s="97">
        <f>'Other Regional'!J11</f>
        <v>269</v>
      </c>
      <c r="M11" s="94">
        <f>SUM(B11:L11)</f>
        <v>10399</v>
      </c>
    </row>
    <row r="12" spans="1:38" ht="15" thickBot="1" x14ac:dyDescent="0.25">
      <c r="A12" s="57" t="s">
        <v>34</v>
      </c>
      <c r="B12" s="110">
        <f t="shared" ref="B12:L12" si="2">SUM(B10:B11)</f>
        <v>4377</v>
      </c>
      <c r="C12" s="110">
        <f t="shared" si="2"/>
        <v>599</v>
      </c>
      <c r="D12" s="110">
        <f t="shared" si="2"/>
        <v>11261</v>
      </c>
      <c r="E12" s="110">
        <f t="shared" si="2"/>
        <v>353</v>
      </c>
      <c r="F12" s="110">
        <f t="shared" ref="F12:G12" si="3">SUM(F10:F11)</f>
        <v>0</v>
      </c>
      <c r="G12" s="110">
        <f t="shared" si="3"/>
        <v>205</v>
      </c>
      <c r="H12" s="110">
        <f t="shared" si="2"/>
        <v>977</v>
      </c>
      <c r="I12" s="110">
        <f t="shared" si="2"/>
        <v>1036</v>
      </c>
      <c r="J12" s="110">
        <f t="shared" si="2"/>
        <v>106</v>
      </c>
      <c r="K12" s="110">
        <f t="shared" si="2"/>
        <v>133</v>
      </c>
      <c r="L12" s="110">
        <f t="shared" si="2"/>
        <v>564</v>
      </c>
      <c r="M12" s="111">
        <f>SUM(B12:L12)</f>
        <v>19611</v>
      </c>
    </row>
    <row r="13" spans="1:38" ht="13.5" thickBot="1" x14ac:dyDescent="0.25"/>
    <row r="14" spans="1:38" ht="15.75" thickTop="1" x14ac:dyDescent="0.25">
      <c r="A14" s="46" t="s">
        <v>9</v>
      </c>
      <c r="B14" s="84"/>
      <c r="C14" s="85"/>
      <c r="D14" s="84"/>
      <c r="E14" s="84"/>
      <c r="F14" s="84"/>
      <c r="G14" s="84"/>
      <c r="H14" s="84"/>
      <c r="I14" s="84"/>
      <c r="J14" s="84"/>
      <c r="K14" s="84"/>
      <c r="L14" s="84"/>
      <c r="M14" s="86">
        <f t="shared" ref="M14" si="4">SUM(B14:L14)</f>
        <v>0</v>
      </c>
    </row>
    <row r="15" spans="1:38" x14ac:dyDescent="0.2">
      <c r="A15" s="47" t="s">
        <v>53</v>
      </c>
      <c r="B15" s="13">
        <f>[3]Pinnacle!$GM$4+[3]Pinnacle!$GM$15</f>
        <v>1288</v>
      </c>
      <c r="C15" s="88">
        <f>[3]MESA_UA!$GM$4</f>
        <v>136</v>
      </c>
      <c r="D15" s="87">
        <f>'[3]Sky West'!$GM$4+'[3]Sky West'!$GM$15</f>
        <v>3557</v>
      </c>
      <c r="E15" s="87">
        <f>'[3]Sky West_UA'!$GM$4</f>
        <v>93</v>
      </c>
      <c r="F15" s="87">
        <f>'[3]Sky West_AS'!$GM$4</f>
        <v>0</v>
      </c>
      <c r="G15" s="87">
        <f>'[3]Sky West_AA'!$GM$4</f>
        <v>27</v>
      </c>
      <c r="H15" s="89">
        <f>[3]Republic!$GM$4</f>
        <v>221</v>
      </c>
      <c r="I15" s="384">
        <f>[3]Republic_UA!$GM$4</f>
        <v>236</v>
      </c>
      <c r="J15" s="384">
        <f>'[3]Sky Regional'!$GM$15</f>
        <v>89</v>
      </c>
      <c r="K15" s="89">
        <f>'[3]American Eagle'!$GM$4</f>
        <v>15</v>
      </c>
      <c r="L15" s="88">
        <f>'Other Regional'!J15</f>
        <v>133</v>
      </c>
      <c r="M15" s="90">
        <f t="shared" ref="M15:M21" si="5">SUM(B15:L15)</f>
        <v>5795</v>
      </c>
    </row>
    <row r="16" spans="1:38" x14ac:dyDescent="0.2">
      <c r="A16" s="47" t="s">
        <v>54</v>
      </c>
      <c r="B16" s="7">
        <f>[3]Pinnacle!$GM$5+[3]Pinnacle!$GM$16</f>
        <v>1285</v>
      </c>
      <c r="C16" s="92">
        <f>[3]MESA_UA!$GM$5</f>
        <v>136</v>
      </c>
      <c r="D16" s="91">
        <f>'[3]Sky West'!$GM$5+'[3]Sky West'!$GM$16</f>
        <v>3551</v>
      </c>
      <c r="E16" s="91">
        <f>'[3]Sky West_UA'!$GM$5</f>
        <v>93</v>
      </c>
      <c r="F16" s="91">
        <f>'[3]Sky West_AS'!$GM$5</f>
        <v>0</v>
      </c>
      <c r="G16" s="91">
        <f>'[3]Sky West_AA'!$GM$5</f>
        <v>27</v>
      </c>
      <c r="H16" s="93">
        <f>[3]Republic!$GM$5</f>
        <v>221</v>
      </c>
      <c r="I16" s="255">
        <f>[3]Republic_UA!$GM$5</f>
        <v>236</v>
      </c>
      <c r="J16" s="255">
        <f>'[3]Sky Regional'!$GM$16</f>
        <v>89</v>
      </c>
      <c r="K16" s="93">
        <f>'[3]American Eagle'!$GM$5</f>
        <v>15</v>
      </c>
      <c r="L16" s="92">
        <f>'Other Regional'!J16</f>
        <v>134</v>
      </c>
      <c r="M16" s="94">
        <f t="shared" si="5"/>
        <v>5787</v>
      </c>
    </row>
    <row r="17" spans="1:13" x14ac:dyDescent="0.2">
      <c r="A17" s="51" t="s">
        <v>55</v>
      </c>
      <c r="B17" s="95">
        <f t="shared" ref="B17:E17" si="6">SUM(B15:B16)</f>
        <v>2573</v>
      </c>
      <c r="C17" s="95">
        <f t="shared" si="6"/>
        <v>272</v>
      </c>
      <c r="D17" s="95">
        <f t="shared" si="6"/>
        <v>7108</v>
      </c>
      <c r="E17" s="95">
        <f t="shared" si="6"/>
        <v>186</v>
      </c>
      <c r="F17" s="95">
        <f t="shared" ref="F17:G17" si="7">SUM(F15:F16)</f>
        <v>0</v>
      </c>
      <c r="G17" s="95">
        <f t="shared" si="7"/>
        <v>54</v>
      </c>
      <c r="H17" s="95">
        <f>SUM(H15:H16)</f>
        <v>442</v>
      </c>
      <c r="I17" s="95">
        <f t="shared" ref="I17:J17" si="8">SUM(I15:I16)</f>
        <v>472</v>
      </c>
      <c r="J17" s="95">
        <f t="shared" si="8"/>
        <v>178</v>
      </c>
      <c r="K17" s="95">
        <f>SUM(K15:K16)</f>
        <v>30</v>
      </c>
      <c r="L17" s="95">
        <f>SUM(L15:L16)</f>
        <v>267</v>
      </c>
      <c r="M17" s="96">
        <f t="shared" si="5"/>
        <v>11582</v>
      </c>
    </row>
    <row r="18" spans="1:13" x14ac:dyDescent="0.2">
      <c r="A18" s="47" t="s">
        <v>56</v>
      </c>
      <c r="B18" s="97">
        <f>[3]Pinnacle!$GM$8</f>
        <v>0</v>
      </c>
      <c r="C18" s="89">
        <f>[3]MESA_UA!$GM$8</f>
        <v>0</v>
      </c>
      <c r="D18" s="97">
        <f>'[3]Sky West'!$GM$8</f>
        <v>0</v>
      </c>
      <c r="E18" s="97">
        <f>'[3]Sky West_UA'!$GM$8</f>
        <v>0</v>
      </c>
      <c r="F18" s="97">
        <f>'[3]Sky West_AS'!$GM$8</f>
        <v>0</v>
      </c>
      <c r="G18" s="97">
        <f>'[3]Sky West_AA'!$GM$8</f>
        <v>0</v>
      </c>
      <c r="H18" s="97">
        <f>[3]Republic!$GM$8</f>
        <v>0</v>
      </c>
      <c r="I18" s="97">
        <f>[3]Republic_UA!$GM$8</f>
        <v>0</v>
      </c>
      <c r="J18" s="97">
        <f>'[3]Sky Regional'!$GM$8</f>
        <v>0</v>
      </c>
      <c r="K18" s="97">
        <f>'[3]American Eagle'!$GM$8</f>
        <v>0</v>
      </c>
      <c r="L18" s="97">
        <f>'Other Regional'!J18</f>
        <v>1</v>
      </c>
      <c r="M18" s="90">
        <f t="shared" si="5"/>
        <v>1</v>
      </c>
    </row>
    <row r="19" spans="1:13" x14ac:dyDescent="0.2">
      <c r="A19" s="47" t="s">
        <v>57</v>
      </c>
      <c r="B19" s="98">
        <f>[3]Pinnacle!$GM$9</f>
        <v>4</v>
      </c>
      <c r="C19" s="93">
        <f>[3]MESA_UA!$GM$9</f>
        <v>0</v>
      </c>
      <c r="D19" s="98">
        <f>'[3]Sky West'!$GM$9</f>
        <v>9</v>
      </c>
      <c r="E19" s="98">
        <f>'[3]Sky West_UA'!$GM$9</f>
        <v>0</v>
      </c>
      <c r="F19" s="98">
        <f>'[3]Sky West_AS'!$GM$9</f>
        <v>0</v>
      </c>
      <c r="G19" s="98">
        <f>'[3]Sky West_AA'!$GM$9</f>
        <v>0</v>
      </c>
      <c r="H19" s="98">
        <f>[3]Republic!$GM$9</f>
        <v>0</v>
      </c>
      <c r="I19" s="98">
        <f>[3]Republic_UA!$GM$9</f>
        <v>0</v>
      </c>
      <c r="J19" s="98">
        <f>'[3]Sky Regional'!$GM$9</f>
        <v>0</v>
      </c>
      <c r="K19" s="98">
        <f>'[3]American Eagle'!$GM$9</f>
        <v>0</v>
      </c>
      <c r="L19" s="98">
        <f>'Other Regional'!J19</f>
        <v>0</v>
      </c>
      <c r="M19" s="94">
        <f t="shared" si="5"/>
        <v>13</v>
      </c>
    </row>
    <row r="20" spans="1:13" x14ac:dyDescent="0.2">
      <c r="A20" s="51" t="s">
        <v>58</v>
      </c>
      <c r="B20" s="95">
        <f t="shared" ref="B20:L20" si="9">SUM(B18:B19)</f>
        <v>4</v>
      </c>
      <c r="C20" s="95">
        <f t="shared" si="9"/>
        <v>0</v>
      </c>
      <c r="D20" s="95">
        <f t="shared" si="9"/>
        <v>9</v>
      </c>
      <c r="E20" s="95">
        <f t="shared" si="9"/>
        <v>0</v>
      </c>
      <c r="F20" s="95">
        <f t="shared" ref="F20:G20" si="10">SUM(F18:F19)</f>
        <v>0</v>
      </c>
      <c r="G20" s="95">
        <f t="shared" si="10"/>
        <v>0</v>
      </c>
      <c r="H20" s="95">
        <f t="shared" si="9"/>
        <v>0</v>
      </c>
      <c r="I20" s="95">
        <f t="shared" si="9"/>
        <v>0</v>
      </c>
      <c r="J20" s="95">
        <f t="shared" si="9"/>
        <v>0</v>
      </c>
      <c r="K20" s="95">
        <f t="shared" si="9"/>
        <v>0</v>
      </c>
      <c r="L20" s="95">
        <f t="shared" si="9"/>
        <v>1</v>
      </c>
      <c r="M20" s="96">
        <f t="shared" si="5"/>
        <v>14</v>
      </c>
    </row>
    <row r="21" spans="1:13" ht="15.75" thickBot="1" x14ac:dyDescent="0.3">
      <c r="A21" s="55" t="s">
        <v>28</v>
      </c>
      <c r="B21" s="99">
        <f t="shared" ref="B21:K21" si="11">SUM(B20,B17)</f>
        <v>2577</v>
      </c>
      <c r="C21" s="99">
        <f t="shared" si="11"/>
        <v>272</v>
      </c>
      <c r="D21" s="99">
        <f t="shared" si="11"/>
        <v>7117</v>
      </c>
      <c r="E21" s="99">
        <f t="shared" si="11"/>
        <v>186</v>
      </c>
      <c r="F21" s="99">
        <f t="shared" ref="F21:G21" si="12">SUM(F20,F17)</f>
        <v>0</v>
      </c>
      <c r="G21" s="99">
        <f t="shared" si="12"/>
        <v>54</v>
      </c>
      <c r="H21" s="99">
        <f t="shared" si="11"/>
        <v>442</v>
      </c>
      <c r="I21" s="99">
        <f t="shared" si="11"/>
        <v>472</v>
      </c>
      <c r="J21" s="99">
        <f t="shared" si="11"/>
        <v>178</v>
      </c>
      <c r="K21" s="99">
        <f t="shared" si="11"/>
        <v>30</v>
      </c>
      <c r="L21" s="99">
        <f>SUM(L20,L17)</f>
        <v>268</v>
      </c>
      <c r="M21" s="100">
        <f t="shared" si="5"/>
        <v>11596</v>
      </c>
    </row>
    <row r="22" spans="1:13" ht="13.5" thickBot="1" x14ac:dyDescent="0.25"/>
    <row r="23" spans="1:13" ht="15.75" thickTop="1" x14ac:dyDescent="0.25">
      <c r="A23" s="50" t="s">
        <v>116</v>
      </c>
      <c r="B23" s="112"/>
      <c r="C23" s="113"/>
      <c r="D23" s="112"/>
      <c r="E23" s="112"/>
      <c r="F23" s="112"/>
      <c r="G23" s="112"/>
      <c r="H23" s="112"/>
      <c r="I23" s="112"/>
      <c r="J23" s="112"/>
      <c r="K23" s="112"/>
      <c r="L23" s="112"/>
      <c r="M23" s="114"/>
    </row>
    <row r="24" spans="1:13" x14ac:dyDescent="0.2">
      <c r="A24" s="47" t="s">
        <v>36</v>
      </c>
      <c r="B24" s="97"/>
      <c r="C24" s="89"/>
      <c r="D24" s="97"/>
      <c r="E24" s="97"/>
      <c r="F24" s="97"/>
      <c r="G24" s="97"/>
      <c r="H24" s="97"/>
      <c r="I24" s="97"/>
      <c r="J24" s="97"/>
      <c r="K24" s="97"/>
      <c r="L24" s="97"/>
      <c r="M24" s="90"/>
    </row>
    <row r="25" spans="1:13" x14ac:dyDescent="0.2">
      <c r="A25" s="47" t="s">
        <v>37</v>
      </c>
      <c r="B25" s="97">
        <f>[3]Pinnacle!$GM$47</f>
        <v>0</v>
      </c>
      <c r="C25" s="89">
        <f>[3]MESA_UA!$GM$47</f>
        <v>0</v>
      </c>
      <c r="D25" s="97">
        <f>'[3]Sky West'!$GM$47</f>
        <v>0</v>
      </c>
      <c r="E25" s="97">
        <f>'[3]Sky West_UA'!$GM$47</f>
        <v>0</v>
      </c>
      <c r="F25" s="97">
        <f>'[3]Sky West_AS'!$GM$47</f>
        <v>0</v>
      </c>
      <c r="G25" s="97">
        <f>'[3]Sky West_AA'!$GM$47</f>
        <v>50</v>
      </c>
      <c r="H25" s="97">
        <f>[3]Republic!$GM$47</f>
        <v>90</v>
      </c>
      <c r="I25" s="97">
        <f>[3]Republic_UA!$GM$47</f>
        <v>0</v>
      </c>
      <c r="J25" s="97">
        <f>'[3]Sky Regional'!$GM$47</f>
        <v>1316</v>
      </c>
      <c r="K25" s="97">
        <f>'[3]American Eagle'!$GM$47</f>
        <v>43</v>
      </c>
      <c r="L25" s="97">
        <f>'Other Regional'!J25</f>
        <v>2246</v>
      </c>
      <c r="M25" s="90">
        <f>SUM(B25:L25)</f>
        <v>3745</v>
      </c>
    </row>
    <row r="26" spans="1:13" x14ac:dyDescent="0.2">
      <c r="A26" s="47" t="s">
        <v>38</v>
      </c>
      <c r="B26" s="97">
        <f>[3]Pinnacle!$GM$48</f>
        <v>0</v>
      </c>
      <c r="C26" s="89">
        <f>[3]MESA_UA!$GM$48</f>
        <v>0</v>
      </c>
      <c r="D26" s="97">
        <f>'[3]Sky West'!$GM$48</f>
        <v>0</v>
      </c>
      <c r="E26" s="97">
        <f>'[3]Sky West_UA'!$GM$48</f>
        <v>0</v>
      </c>
      <c r="F26" s="97">
        <f>'[3]Sky West_AS'!$GM$48</f>
        <v>0</v>
      </c>
      <c r="G26" s="97">
        <f>'[3]Sky West_AA'!$GM$48</f>
        <v>0</v>
      </c>
      <c r="H26" s="97">
        <f>[3]Republic!$GM$48</f>
        <v>0</v>
      </c>
      <c r="I26" s="97">
        <f>[3]Republic_UA!$GM$48</f>
        <v>0</v>
      </c>
      <c r="J26" s="97">
        <f>'[3]Sky Regional'!$GM$48</f>
        <v>33</v>
      </c>
      <c r="K26" s="97">
        <f>'[3]American Eagle'!$GM$48</f>
        <v>0</v>
      </c>
      <c r="L26" s="97">
        <f>'Other Regional'!J26</f>
        <v>0</v>
      </c>
      <c r="M26" s="90">
        <f>SUM(B26:L26)</f>
        <v>33</v>
      </c>
    </row>
    <row r="27" spans="1:13" ht="15" thickBot="1" x14ac:dyDescent="0.25">
      <c r="A27" s="56" t="s">
        <v>39</v>
      </c>
      <c r="B27" s="107">
        <f t="shared" ref="B27:L27" si="13">SUM(B25:B26)</f>
        <v>0</v>
      </c>
      <c r="C27" s="107">
        <f t="shared" si="13"/>
        <v>0</v>
      </c>
      <c r="D27" s="107">
        <f t="shared" si="13"/>
        <v>0</v>
      </c>
      <c r="E27" s="107">
        <f t="shared" si="13"/>
        <v>0</v>
      </c>
      <c r="F27" s="107">
        <f t="shared" ref="F27:G27" si="14">SUM(F25:F26)</f>
        <v>0</v>
      </c>
      <c r="G27" s="107">
        <f t="shared" si="14"/>
        <v>50</v>
      </c>
      <c r="H27" s="107">
        <f t="shared" si="13"/>
        <v>90</v>
      </c>
      <c r="I27" s="107">
        <f t="shared" si="13"/>
        <v>0</v>
      </c>
      <c r="J27" s="107">
        <f t="shared" si="13"/>
        <v>1349</v>
      </c>
      <c r="K27" s="107">
        <f t="shared" si="13"/>
        <v>43</v>
      </c>
      <c r="L27" s="107">
        <f t="shared" si="13"/>
        <v>2246</v>
      </c>
      <c r="M27" s="108">
        <f>SUM(B27:L27)</f>
        <v>3778</v>
      </c>
    </row>
    <row r="28" spans="1:13" ht="13.5" thickTop="1" x14ac:dyDescent="0.2">
      <c r="A28" s="47"/>
      <c r="B28" s="97"/>
      <c r="C28" s="89"/>
      <c r="D28" s="97"/>
      <c r="E28" s="97"/>
      <c r="F28" s="97"/>
      <c r="G28" s="97"/>
      <c r="H28" s="97"/>
      <c r="I28" s="97"/>
      <c r="J28" s="97"/>
      <c r="K28" s="97"/>
      <c r="L28" s="97"/>
      <c r="M28" s="90"/>
    </row>
    <row r="29" spans="1:13" x14ac:dyDescent="0.2">
      <c r="A29" s="47" t="s">
        <v>40</v>
      </c>
      <c r="B29" s="97"/>
      <c r="C29" s="89"/>
      <c r="D29" s="97"/>
      <c r="E29" s="97"/>
      <c r="F29" s="97"/>
      <c r="G29" s="97"/>
      <c r="H29" s="97"/>
      <c r="I29" s="97"/>
      <c r="J29" s="97"/>
      <c r="K29" s="97"/>
      <c r="M29" s="90"/>
    </row>
    <row r="30" spans="1:13" x14ac:dyDescent="0.2">
      <c r="A30" s="47" t="s">
        <v>59</v>
      </c>
      <c r="B30" s="97">
        <f>[3]Pinnacle!$GM$52</f>
        <v>0</v>
      </c>
      <c r="C30" s="89">
        <f>[3]MESA_UA!$GM$52</f>
        <v>0</v>
      </c>
      <c r="D30" s="97">
        <f>'[3]Sky West'!$GM$52</f>
        <v>0</v>
      </c>
      <c r="E30" s="97">
        <f>'[3]Sky West_UA'!$GM$52</f>
        <v>0</v>
      </c>
      <c r="F30" s="97">
        <f>'[3]Sky West_AS'!$GM$52</f>
        <v>0</v>
      </c>
      <c r="G30" s="97">
        <f>'[3]Sky West_AA'!$GM$52</f>
        <v>0</v>
      </c>
      <c r="H30" s="97">
        <f>[3]Republic!$GM$52</f>
        <v>686</v>
      </c>
      <c r="I30" s="97">
        <f>[3]Republic_UA!$GM$52</f>
        <v>0</v>
      </c>
      <c r="J30" s="97">
        <f>'[3]Sky Regional'!$GM$52</f>
        <v>1166</v>
      </c>
      <c r="K30" s="97">
        <f>'[3]American Eagle'!$GM$52</f>
        <v>226</v>
      </c>
      <c r="L30" s="97">
        <f>'Other Regional'!J30</f>
        <v>0</v>
      </c>
      <c r="M30" s="90">
        <f t="shared" ref="M30:M37" si="15">SUM(B30:L30)</f>
        <v>2078</v>
      </c>
    </row>
    <row r="31" spans="1:13" x14ac:dyDescent="0.2">
      <c r="A31" s="47" t="s">
        <v>60</v>
      </c>
      <c r="B31" s="97">
        <f>[3]Pinnacle!$GM$53</f>
        <v>0</v>
      </c>
      <c r="C31" s="89">
        <f>[3]MESA_UA!$GM$53</f>
        <v>0</v>
      </c>
      <c r="D31" s="97">
        <f>'[3]Sky West'!$GM$53</f>
        <v>0</v>
      </c>
      <c r="E31" s="97">
        <f>'[3]Sky West_UA'!$GM$53</f>
        <v>0</v>
      </c>
      <c r="F31" s="97">
        <f>'[3]Sky West_AS'!$GM$53</f>
        <v>0</v>
      </c>
      <c r="G31" s="97">
        <f>'[3]Sky West_AA'!$GM$53</f>
        <v>0</v>
      </c>
      <c r="H31" s="97">
        <f>[3]Republic!$GM$53</f>
        <v>0</v>
      </c>
      <c r="I31" s="97">
        <f>[3]Republic_UA!$GM$53</f>
        <v>0</v>
      </c>
      <c r="J31" s="97">
        <f>'[3]Sky Regional'!$GM$53</f>
        <v>0</v>
      </c>
      <c r="K31" s="97">
        <f>'[3]American Eagle'!$GM$53</f>
        <v>0</v>
      </c>
      <c r="L31" s="97">
        <f>'Other Regional'!J31</f>
        <v>3935</v>
      </c>
      <c r="M31" s="90">
        <f t="shared" si="15"/>
        <v>3935</v>
      </c>
    </row>
    <row r="32" spans="1:13" ht="15" thickBot="1" x14ac:dyDescent="0.25">
      <c r="A32" s="56" t="s">
        <v>41</v>
      </c>
      <c r="B32" s="107">
        <f t="shared" ref="B32:K32" si="16">SUM(B30:B31)</f>
        <v>0</v>
      </c>
      <c r="C32" s="107">
        <f t="shared" si="16"/>
        <v>0</v>
      </c>
      <c r="D32" s="107">
        <f t="shared" si="16"/>
        <v>0</v>
      </c>
      <c r="E32" s="107">
        <f t="shared" si="16"/>
        <v>0</v>
      </c>
      <c r="F32" s="107">
        <f t="shared" ref="F32:G32" si="17">SUM(F30:F31)</f>
        <v>0</v>
      </c>
      <c r="G32" s="107">
        <f t="shared" si="17"/>
        <v>0</v>
      </c>
      <c r="H32" s="107">
        <f t="shared" si="16"/>
        <v>686</v>
      </c>
      <c r="I32" s="107">
        <f t="shared" si="16"/>
        <v>0</v>
      </c>
      <c r="J32" s="107">
        <f t="shared" si="16"/>
        <v>1166</v>
      </c>
      <c r="K32" s="107">
        <f t="shared" si="16"/>
        <v>226</v>
      </c>
      <c r="L32" s="107">
        <f>SUM(L30:L31)</f>
        <v>3935</v>
      </c>
      <c r="M32" s="108">
        <f t="shared" si="15"/>
        <v>6013</v>
      </c>
    </row>
    <row r="33" spans="1:13" ht="13.5" hidden="1" thickTop="1" x14ac:dyDescent="0.2">
      <c r="A33" s="47"/>
      <c r="B33" s="97"/>
      <c r="C33" s="89"/>
      <c r="D33" s="97"/>
      <c r="E33" s="97"/>
      <c r="F33" s="97"/>
      <c r="G33" s="97"/>
      <c r="H33" s="97"/>
      <c r="I33" s="97"/>
      <c r="J33" s="97"/>
      <c r="K33" s="97"/>
      <c r="L33" s="97"/>
      <c r="M33" s="90">
        <f t="shared" si="15"/>
        <v>0</v>
      </c>
    </row>
    <row r="34" spans="1:13" ht="13.5" hidden="1" thickTop="1" x14ac:dyDescent="0.2">
      <c r="A34" s="47" t="s">
        <v>42</v>
      </c>
      <c r="B34" s="97"/>
      <c r="C34" s="89"/>
      <c r="D34" s="97"/>
      <c r="E34" s="97"/>
      <c r="F34" s="97"/>
      <c r="G34" s="97"/>
      <c r="H34" s="97"/>
      <c r="I34" s="97"/>
      <c r="J34" s="97"/>
      <c r="K34" s="97"/>
      <c r="L34" s="97"/>
      <c r="M34" s="90">
        <f t="shared" si="15"/>
        <v>0</v>
      </c>
    </row>
    <row r="35" spans="1:13" ht="13.5" hidden="1" thickTop="1" x14ac:dyDescent="0.2">
      <c r="A35" s="47" t="s">
        <v>37</v>
      </c>
      <c r="B35" s="97">
        <f>[3]Pinnacle!$GM$57</f>
        <v>0</v>
      </c>
      <c r="C35" s="89">
        <f>[3]MESA_UA!$GM$57</f>
        <v>0</v>
      </c>
      <c r="D35" s="97">
        <f>'[3]Sky West'!$GM$57</f>
        <v>0</v>
      </c>
      <c r="E35" s="97">
        <f>'[3]Sky West_UA'!$GM$57</f>
        <v>0</v>
      </c>
      <c r="F35" s="97">
        <f>'[3]Sky West_AS'!$GM$57</f>
        <v>0</v>
      </c>
      <c r="G35" s="97">
        <f>'[3]Sky West_AA'!$GM$57</f>
        <v>0</v>
      </c>
      <c r="H35" s="97">
        <f>[3]Republic!$GM$57</f>
        <v>0</v>
      </c>
      <c r="I35" s="97">
        <f>[3]Republic!$GM$57</f>
        <v>0</v>
      </c>
      <c r="J35" s="97">
        <f>[3]Republic!$GM$57</f>
        <v>0</v>
      </c>
      <c r="K35" s="97">
        <f>'[3]American Eagle'!$GM$57</f>
        <v>0</v>
      </c>
      <c r="L35" s="97">
        <f>'Other Regional'!J35</f>
        <v>0</v>
      </c>
      <c r="M35" s="90">
        <f t="shared" si="15"/>
        <v>0</v>
      </c>
    </row>
    <row r="36" spans="1:13" ht="13.5" hidden="1" thickTop="1" x14ac:dyDescent="0.2">
      <c r="A36" s="47" t="s">
        <v>38</v>
      </c>
      <c r="B36" s="97">
        <f>[3]Pinnacle!$GM$58</f>
        <v>0</v>
      </c>
      <c r="C36" s="89">
        <f>[3]MESA_UA!$GM$58</f>
        <v>0</v>
      </c>
      <c r="D36" s="97">
        <f>'[3]Sky West'!$GM$58</f>
        <v>0</v>
      </c>
      <c r="E36" s="97">
        <f>'[3]Sky West_UA'!$GM$58</f>
        <v>0</v>
      </c>
      <c r="F36" s="97">
        <f>'[3]Sky West_AS'!$GM$58</f>
        <v>0</v>
      </c>
      <c r="G36" s="97">
        <f>'[3]Sky West_AA'!$GM$58</f>
        <v>0</v>
      </c>
      <c r="H36" s="97">
        <f>[3]Republic!$GM$58</f>
        <v>0</v>
      </c>
      <c r="I36" s="97">
        <f>[3]Republic!$GM$58</f>
        <v>0</v>
      </c>
      <c r="J36" s="97">
        <f>[3]Republic!$GM$58</f>
        <v>0</v>
      </c>
      <c r="K36" s="97">
        <f>'[3]American Eagle'!$GM$58</f>
        <v>0</v>
      </c>
      <c r="L36" s="97">
        <f>'Other Regional'!J36</f>
        <v>0</v>
      </c>
      <c r="M36" s="90">
        <f t="shared" si="15"/>
        <v>0</v>
      </c>
    </row>
    <row r="37" spans="1:13" ht="13.5" hidden="1" thickTop="1" x14ac:dyDescent="0.2">
      <c r="A37" s="58" t="s">
        <v>43</v>
      </c>
      <c r="B37" s="115">
        <f t="shared" ref="B37:K37" si="18">SUM(B35:B36)</f>
        <v>0</v>
      </c>
      <c r="C37" s="115">
        <f t="shared" si="18"/>
        <v>0</v>
      </c>
      <c r="D37" s="115">
        <f t="shared" si="18"/>
        <v>0</v>
      </c>
      <c r="E37" s="115">
        <f t="shared" si="18"/>
        <v>0</v>
      </c>
      <c r="F37" s="115">
        <f t="shared" ref="F37:G37" si="19">SUM(F35:F36)</f>
        <v>0</v>
      </c>
      <c r="G37" s="115">
        <f t="shared" si="19"/>
        <v>0</v>
      </c>
      <c r="H37" s="115">
        <f t="shared" si="18"/>
        <v>0</v>
      </c>
      <c r="I37" s="115">
        <f t="shared" si="18"/>
        <v>0</v>
      </c>
      <c r="J37" s="115">
        <f t="shared" si="18"/>
        <v>0</v>
      </c>
      <c r="K37" s="115">
        <f t="shared" si="18"/>
        <v>0</v>
      </c>
      <c r="L37" s="115">
        <f>SUM(L35:L36)</f>
        <v>0</v>
      </c>
      <c r="M37" s="117">
        <f t="shared" si="15"/>
        <v>0</v>
      </c>
    </row>
    <row r="38" spans="1:13" ht="13.5" thickTop="1" x14ac:dyDescent="0.2">
      <c r="A38" s="47"/>
      <c r="B38" s="97"/>
      <c r="C38" s="89"/>
      <c r="D38" s="97"/>
      <c r="E38" s="97"/>
      <c r="F38" s="97"/>
      <c r="G38" s="97"/>
      <c r="H38" s="97"/>
      <c r="I38" s="97"/>
      <c r="J38" s="97"/>
      <c r="K38" s="97"/>
      <c r="L38" s="97"/>
      <c r="M38" s="90"/>
    </row>
    <row r="39" spans="1:13" x14ac:dyDescent="0.2">
      <c r="A39" s="47" t="s">
        <v>44</v>
      </c>
      <c r="B39" s="97"/>
      <c r="C39" s="89"/>
      <c r="D39" s="97"/>
      <c r="E39" s="97"/>
      <c r="F39" s="97"/>
      <c r="G39" s="97"/>
      <c r="H39" s="97"/>
      <c r="I39" s="97"/>
      <c r="J39" s="97"/>
      <c r="K39" s="97"/>
      <c r="L39" s="97"/>
      <c r="M39" s="90"/>
    </row>
    <row r="40" spans="1:13" x14ac:dyDescent="0.2">
      <c r="A40" s="47" t="s">
        <v>45</v>
      </c>
      <c r="B40" s="97">
        <f t="shared" ref="B40:J42" si="20">SUM(B35,B30,B25)</f>
        <v>0</v>
      </c>
      <c r="C40" s="97">
        <f>SUM(C35,C30,C25)</f>
        <v>0</v>
      </c>
      <c r="D40" s="97">
        <f t="shared" si="20"/>
        <v>0</v>
      </c>
      <c r="E40" s="97">
        <f t="shared" ref="E40:F42" si="21">SUM(E35,E30,E25)</f>
        <v>0</v>
      </c>
      <c r="F40" s="97">
        <f t="shared" si="21"/>
        <v>0</v>
      </c>
      <c r="G40" s="97">
        <f t="shared" ref="G40" si="22">SUM(G35,G30,G25)</f>
        <v>50</v>
      </c>
      <c r="H40" s="97">
        <f t="shared" si="20"/>
        <v>776</v>
      </c>
      <c r="I40" s="97">
        <f t="shared" si="20"/>
        <v>0</v>
      </c>
      <c r="J40" s="97">
        <f t="shared" si="20"/>
        <v>2482</v>
      </c>
      <c r="K40" s="97">
        <f>SUM(K35,K30,K25)</f>
        <v>269</v>
      </c>
      <c r="L40" s="97">
        <f>L35+L30+L25</f>
        <v>2246</v>
      </c>
      <c r="M40" s="90">
        <f>SUM(B40:L40)</f>
        <v>5823</v>
      </c>
    </row>
    <row r="41" spans="1:13" x14ac:dyDescent="0.2">
      <c r="A41" s="47" t="s">
        <v>38</v>
      </c>
      <c r="B41" s="97">
        <f t="shared" si="20"/>
        <v>0</v>
      </c>
      <c r="C41" s="97">
        <f>SUM(C36,C31,C26)</f>
        <v>0</v>
      </c>
      <c r="D41" s="97">
        <f t="shared" si="20"/>
        <v>0</v>
      </c>
      <c r="E41" s="97">
        <f t="shared" si="21"/>
        <v>0</v>
      </c>
      <c r="F41" s="97">
        <f t="shared" si="21"/>
        <v>0</v>
      </c>
      <c r="G41" s="97">
        <f t="shared" ref="G41" si="23">SUM(G36,G31,G26)</f>
        <v>0</v>
      </c>
      <c r="H41" s="97">
        <f t="shared" si="20"/>
        <v>0</v>
      </c>
      <c r="I41" s="97">
        <f t="shared" si="20"/>
        <v>0</v>
      </c>
      <c r="J41" s="97">
        <f t="shared" si="20"/>
        <v>33</v>
      </c>
      <c r="K41" s="97">
        <f>SUM(K36,K31,K26)</f>
        <v>0</v>
      </c>
      <c r="L41" s="97">
        <f>L36+L31+L26</f>
        <v>3935</v>
      </c>
      <c r="M41" s="90">
        <f>SUM(B41:L41)</f>
        <v>3968</v>
      </c>
    </row>
    <row r="42" spans="1:13" ht="15" thickBot="1" x14ac:dyDescent="0.25">
      <c r="A42" s="57" t="s">
        <v>46</v>
      </c>
      <c r="B42" s="110">
        <f t="shared" si="20"/>
        <v>0</v>
      </c>
      <c r="C42" s="110">
        <f>SUM(C37,C32,C27)</f>
        <v>0</v>
      </c>
      <c r="D42" s="110">
        <f t="shared" si="20"/>
        <v>0</v>
      </c>
      <c r="E42" s="110">
        <f t="shared" si="21"/>
        <v>0</v>
      </c>
      <c r="F42" s="110">
        <f t="shared" si="21"/>
        <v>0</v>
      </c>
      <c r="G42" s="110">
        <f t="shared" ref="G42" si="24">SUM(G37,G32,G27)</f>
        <v>50</v>
      </c>
      <c r="H42" s="110">
        <f t="shared" si="20"/>
        <v>776</v>
      </c>
      <c r="I42" s="110">
        <f t="shared" si="20"/>
        <v>0</v>
      </c>
      <c r="J42" s="110">
        <f t="shared" si="20"/>
        <v>2515</v>
      </c>
      <c r="K42" s="110">
        <f>SUM(K37,K32,K27)</f>
        <v>269</v>
      </c>
      <c r="L42" s="110">
        <f>SUM(L37,L32,L27)</f>
        <v>6181</v>
      </c>
      <c r="M42" s="111">
        <f>SUM(B42:L42)</f>
        <v>9791</v>
      </c>
    </row>
    <row r="44" spans="1:13" x14ac:dyDescent="0.2">
      <c r="A44" s="322" t="s">
        <v>123</v>
      </c>
      <c r="B44" s="278">
        <f>[3]Pinnacle!$GM$70+[3]Pinnacle!$GM$73</f>
        <v>32490</v>
      </c>
      <c r="D44" s="279">
        <f>'[3]Sky West'!$GM$70+'[3]Sky West'!$GM$73</f>
        <v>59973</v>
      </c>
      <c r="E44" s="2"/>
      <c r="F44" s="2"/>
      <c r="G44" s="2"/>
      <c r="L44" s="279">
        <f>+'Other Regional'!J46</f>
        <v>1865</v>
      </c>
      <c r="M44" s="268">
        <f>SUM(B44:L44)</f>
        <v>94328</v>
      </c>
    </row>
    <row r="45" spans="1:13" x14ac:dyDescent="0.2">
      <c r="A45" s="335" t="s">
        <v>124</v>
      </c>
      <c r="B45" s="278">
        <f>[3]Pinnacle!$GM$71+[3]Pinnacle!$GM$74</f>
        <v>44515</v>
      </c>
      <c r="D45" s="279">
        <f>'[3]Sky West'!$GM$71+'[3]Sky West'!$GM$74</f>
        <v>131253</v>
      </c>
      <c r="E45" s="2"/>
      <c r="F45" s="2"/>
      <c r="G45" s="2"/>
      <c r="L45" s="279">
        <f>+'Other Regional'!J47</f>
        <v>1403</v>
      </c>
      <c r="M45" s="268">
        <f>SUM(B45:L45)</f>
        <v>177171</v>
      </c>
    </row>
    <row r="46" spans="1:13" x14ac:dyDescent="0.2">
      <c r="A46" s="269" t="s">
        <v>125</v>
      </c>
      <c r="B46" s="270">
        <f>SUM(B44:B45)</f>
        <v>77005</v>
      </c>
      <c r="L46" s="2"/>
      <c r="M46" s="254"/>
    </row>
    <row r="47" spans="1:13" x14ac:dyDescent="0.2">
      <c r="A47" s="271"/>
      <c r="B47" s="272" t="b">
        <f>IF(B46=B6,TRUE,FALSE)</f>
        <v>1</v>
      </c>
    </row>
  </sheetData>
  <phoneticPr fontId="6" type="noConversion"/>
  <pageMargins left="0.75" right="0.75" top="1" bottom="1" header="0.5" footer="0.5"/>
  <pageSetup scale="79" orientation="landscape" r:id="rId1"/>
  <headerFooter alignWithMargins="0">
    <oddHeader>&amp;L
Schedule 4
&amp;CMinneapolis-St. Paul International Airport
&amp;"Arial,Bold"Regional Major
December 2019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topLeftCell="A2" zoomScaleNormal="100" zoomScaleSheetLayoutView="100" workbookViewId="0">
      <selection activeCell="F16" sqref="F1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ht="36" customHeight="1" x14ac:dyDescent="0.2">
      <c r="A1" s="331"/>
    </row>
    <row r="2" spans="1:10" ht="55.5" customHeight="1" thickBot="1" x14ac:dyDescent="0.25">
      <c r="A2" s="325">
        <v>43800</v>
      </c>
      <c r="B2" s="427" t="s">
        <v>176</v>
      </c>
      <c r="C2" s="427" t="s">
        <v>175</v>
      </c>
      <c r="D2" s="427" t="s">
        <v>208</v>
      </c>
      <c r="E2" s="427" t="s">
        <v>186</v>
      </c>
      <c r="F2" s="427" t="s">
        <v>180</v>
      </c>
      <c r="G2" s="427" t="s">
        <v>179</v>
      </c>
      <c r="H2" s="427" t="s">
        <v>163</v>
      </c>
      <c r="I2" s="427" t="s">
        <v>167</v>
      </c>
      <c r="J2" s="428" t="s">
        <v>21</v>
      </c>
    </row>
    <row r="3" spans="1:10" ht="15" x14ac:dyDescent="0.25">
      <c r="A3" s="240" t="s">
        <v>3</v>
      </c>
      <c r="B3" s="347"/>
      <c r="C3" s="347"/>
      <c r="D3" s="347"/>
      <c r="E3" s="347"/>
      <c r="F3" s="348"/>
      <c r="G3" s="348"/>
      <c r="H3" s="348"/>
      <c r="I3" s="348"/>
      <c r="J3" s="426"/>
    </row>
    <row r="4" spans="1:10" x14ac:dyDescent="0.2">
      <c r="A4" s="47" t="s">
        <v>29</v>
      </c>
      <c r="B4" s="105"/>
      <c r="C4" s="105"/>
      <c r="D4" s="105"/>
      <c r="E4" s="106"/>
      <c r="F4" s="89"/>
      <c r="G4" s="89"/>
      <c r="H4" s="89"/>
      <c r="I4" s="89"/>
      <c r="J4" s="90"/>
    </row>
    <row r="5" spans="1:10" x14ac:dyDescent="0.2">
      <c r="A5" s="47" t="s">
        <v>30</v>
      </c>
      <c r="B5" s="89">
        <f>'[3]Shuttle America'!$GM$22</f>
        <v>70</v>
      </c>
      <c r="C5" s="89">
        <f>'[3]Shuttle America_Delta'!$GM$22</f>
        <v>0</v>
      </c>
      <c r="D5" s="384">
        <f>[3]Horizon_AS!$GM$22</f>
        <v>2119</v>
      </c>
      <c r="E5" s="384">
        <f>[3]PSA!$GM$22</f>
        <v>0</v>
      </c>
      <c r="F5" s="89">
        <f>'[3]Atlantic Southeast'!$GM$22+'[3]Atlantic Southeast'!$GM$32</f>
        <v>0</v>
      </c>
      <c r="G5" s="89">
        <f>'[3]Continental Express'!$GM$22</f>
        <v>2667</v>
      </c>
      <c r="H5" s="97">
        <f>'[3]Go Jet_UA'!$GM$22</f>
        <v>131</v>
      </c>
      <c r="I5" s="13">
        <f>'[3]Go Jet'!$GM$22+'[3]Go Jet'!$GM$32</f>
        <v>3382</v>
      </c>
      <c r="J5" s="90">
        <f>SUM(B5:I5)</f>
        <v>8369</v>
      </c>
    </row>
    <row r="6" spans="1:10" s="6" customFormat="1" x14ac:dyDescent="0.2">
      <c r="A6" s="47" t="s">
        <v>31</v>
      </c>
      <c r="B6" s="89">
        <f>'[3]Shuttle America'!$GM$23</f>
        <v>0</v>
      </c>
      <c r="C6" s="89">
        <f>'[3]Shuttle America_Delta'!$GM$23</f>
        <v>0</v>
      </c>
      <c r="D6" s="384">
        <f>[3]Horizon_AS!$GM$23</f>
        <v>2129</v>
      </c>
      <c r="E6" s="384">
        <f>[3]PSA!$GM$23</f>
        <v>0</v>
      </c>
      <c r="F6" s="89">
        <f>'[3]Atlantic Southeast'!$GM$23+'[3]Atlantic Southeast'!$GM$33</f>
        <v>0</v>
      </c>
      <c r="G6" s="89">
        <f>'[3]Continental Express'!$GM$23</f>
        <v>2982</v>
      </c>
      <c r="H6" s="97">
        <f>'[3]Go Jet_UA'!$GM$23</f>
        <v>129</v>
      </c>
      <c r="I6" s="7">
        <f>'[3]Go Jet'!$GM$23+'[3]Go Jet'!$GM$33</f>
        <v>3268</v>
      </c>
      <c r="J6" s="94">
        <f>SUM(B6:I6)</f>
        <v>8508</v>
      </c>
    </row>
    <row r="7" spans="1:10" ht="15" thickBot="1" x14ac:dyDescent="0.25">
      <c r="A7" s="56" t="s">
        <v>7</v>
      </c>
      <c r="B7" s="107">
        <f t="shared" ref="B7:H7" si="0">SUM(B5:B6)</f>
        <v>70</v>
      </c>
      <c r="C7" s="107">
        <f t="shared" si="0"/>
        <v>0</v>
      </c>
      <c r="D7" s="107">
        <f t="shared" ref="D7" si="1">SUM(D5:D6)</f>
        <v>4248</v>
      </c>
      <c r="E7" s="107">
        <f t="shared" si="0"/>
        <v>0</v>
      </c>
      <c r="F7" s="107">
        <f t="shared" si="0"/>
        <v>0</v>
      </c>
      <c r="G7" s="107">
        <f t="shared" si="0"/>
        <v>5649</v>
      </c>
      <c r="H7" s="107">
        <f t="shared" si="0"/>
        <v>260</v>
      </c>
      <c r="I7" s="107">
        <f>SUM(I5:I6)</f>
        <v>6650</v>
      </c>
      <c r="J7" s="108">
        <f>SUM(B7:I7)</f>
        <v>16877</v>
      </c>
    </row>
    <row r="8" spans="1:10" ht="13.5" thickTop="1" x14ac:dyDescent="0.2">
      <c r="A8" s="47"/>
      <c r="B8" s="89"/>
      <c r="C8" s="89"/>
      <c r="D8" s="384"/>
      <c r="E8" s="384"/>
      <c r="F8" s="89"/>
      <c r="G8" s="89"/>
      <c r="H8" s="97"/>
      <c r="I8" s="297"/>
      <c r="J8" s="109"/>
    </row>
    <row r="9" spans="1:10" s="6" customFormat="1" x14ac:dyDescent="0.2">
      <c r="A9" s="47" t="s">
        <v>32</v>
      </c>
      <c r="B9" s="89"/>
      <c r="C9" s="89"/>
      <c r="D9" s="384"/>
      <c r="E9" s="384"/>
      <c r="F9" s="89"/>
      <c r="G9" s="89"/>
      <c r="H9" s="97"/>
      <c r="I9" s="13"/>
      <c r="J9" s="90"/>
    </row>
    <row r="10" spans="1:10" x14ac:dyDescent="0.2">
      <c r="A10" s="47" t="s">
        <v>30</v>
      </c>
      <c r="B10" s="89">
        <f>'[3]Shuttle America'!$GM$27</f>
        <v>1</v>
      </c>
      <c r="C10" s="89">
        <f>'[3]Shuttle America_Delta'!$GM$27</f>
        <v>0</v>
      </c>
      <c r="D10" s="384">
        <f>[3]Horizon_AS!$GM$27</f>
        <v>66</v>
      </c>
      <c r="E10" s="384">
        <f>[3]PSA!$GM$27</f>
        <v>0</v>
      </c>
      <c r="F10" s="13">
        <f>'[3]Atlantic Southeast'!$GM$27+'[3]Atlantic Southeast'!$GM$37</f>
        <v>0</v>
      </c>
      <c r="G10" s="89">
        <f>'[3]Continental Express'!$GM$27</f>
        <v>114</v>
      </c>
      <c r="H10" s="97">
        <f>'[3]Go Jet_UA'!$GM$27</f>
        <v>3</v>
      </c>
      <c r="I10" s="13">
        <f>'[3]Go Jet'!$GM$27+'[3]Go Jet'!$GM$37</f>
        <v>111</v>
      </c>
      <c r="J10" s="90">
        <f>SUM(B10:I10)</f>
        <v>295</v>
      </c>
    </row>
    <row r="11" spans="1:10" x14ac:dyDescent="0.2">
      <c r="A11" s="47" t="s">
        <v>33</v>
      </c>
      <c r="B11" s="89">
        <f>'[3]Shuttle America'!$GM$28</f>
        <v>0</v>
      </c>
      <c r="C11" s="89">
        <f>'[3]Shuttle America_Delta'!$GM$28</f>
        <v>0</v>
      </c>
      <c r="D11" s="384">
        <f>[3]Horizon_AS!$GM$28</f>
        <v>82</v>
      </c>
      <c r="E11" s="384">
        <f>[3]PSA!$GM$28</f>
        <v>0</v>
      </c>
      <c r="F11" s="7">
        <f>'[3]Atlantic Southeast'!$GM$28+'[3]Atlantic Southeast'!$GM$38</f>
        <v>0</v>
      </c>
      <c r="G11" s="89">
        <f>'[3]Continental Express'!$GM$28</f>
        <v>89</v>
      </c>
      <c r="H11" s="97">
        <f>'[3]Go Jet_UA'!$GM$28</f>
        <v>5</v>
      </c>
      <c r="I11" s="7">
        <f>'[3]Go Jet'!$GM$28+'[3]Go Jet'!$GM$38</f>
        <v>93</v>
      </c>
      <c r="J11" s="94">
        <f>SUM(B11:I11)</f>
        <v>269</v>
      </c>
    </row>
    <row r="12" spans="1:10" ht="15" thickBot="1" x14ac:dyDescent="0.25">
      <c r="A12" s="57" t="s">
        <v>34</v>
      </c>
      <c r="B12" s="110">
        <f>SUM(B10:B11)</f>
        <v>1</v>
      </c>
      <c r="C12" s="110">
        <f>SUM(C10:C11)</f>
        <v>0</v>
      </c>
      <c r="D12" s="110">
        <f t="shared" ref="D12:E12" si="2">SUM(D10:D11)</f>
        <v>148</v>
      </c>
      <c r="E12" s="110">
        <f t="shared" si="2"/>
        <v>0</v>
      </c>
      <c r="F12" s="110">
        <f t="shared" ref="F12:H12" si="3">SUM(F10:F11)</f>
        <v>0</v>
      </c>
      <c r="G12" s="110">
        <f t="shared" si="3"/>
        <v>203</v>
      </c>
      <c r="H12" s="110">
        <f t="shared" si="3"/>
        <v>8</v>
      </c>
      <c r="I12" s="110">
        <f t="shared" ref="I12" si="4">SUM(I10:I11)</f>
        <v>204</v>
      </c>
      <c r="J12" s="111">
        <f>SUM(B12:I12)</f>
        <v>564</v>
      </c>
    </row>
    <row r="13" spans="1:10" ht="6" customHeight="1" thickBot="1" x14ac:dyDescent="0.25"/>
    <row r="14" spans="1:10" ht="15.75" thickTop="1" x14ac:dyDescent="0.25">
      <c r="A14" s="46" t="s">
        <v>9</v>
      </c>
      <c r="B14" s="84"/>
      <c r="C14" s="84"/>
      <c r="D14" s="84"/>
      <c r="E14" s="84"/>
      <c r="F14" s="85"/>
      <c r="G14" s="85"/>
      <c r="H14" s="84"/>
      <c r="I14" s="84"/>
      <c r="J14" s="86"/>
    </row>
    <row r="15" spans="1:10" x14ac:dyDescent="0.2">
      <c r="A15" s="47" t="s">
        <v>53</v>
      </c>
      <c r="B15" s="87">
        <f>'[3]Shuttle America'!$GM$4</f>
        <v>0</v>
      </c>
      <c r="C15" s="87">
        <f>'[3]Shuttle America_Delta'!$GM$4</f>
        <v>0</v>
      </c>
      <c r="D15" s="385">
        <f>[3]Horizon_AS!$GM$4</f>
        <v>31</v>
      </c>
      <c r="E15" s="385">
        <f>[3]PSA!$GM$4</f>
        <v>0</v>
      </c>
      <c r="F15" s="88">
        <f>'[3]Atlantic Southeast'!$GM$4+'[3]Atlantic Southeast'!$GM$15</f>
        <v>0</v>
      </c>
      <c r="G15" s="88">
        <f>'[3]Continental Express'!$GM$4</f>
        <v>48</v>
      </c>
      <c r="H15" s="87">
        <f>'[3]Go Jet_UA'!$GM$4</f>
        <v>2</v>
      </c>
      <c r="I15" s="13">
        <f>'[3]Go Jet'!$GM$4+'[3]Go Jet'!$GM$15</f>
        <v>52</v>
      </c>
      <c r="J15" s="90">
        <f t="shared" ref="J15:J21" si="5">SUM(B15:I15)</f>
        <v>133</v>
      </c>
    </row>
    <row r="16" spans="1:10" x14ac:dyDescent="0.2">
      <c r="A16" s="47" t="s">
        <v>54</v>
      </c>
      <c r="B16" s="91">
        <f>'[3]Shuttle America'!$GM$5</f>
        <v>1</v>
      </c>
      <c r="C16" s="91">
        <f>'[3]Shuttle America_Delta'!$GM$5</f>
        <v>0</v>
      </c>
      <c r="D16" s="386">
        <f>[3]Horizon_AS!$GM$5</f>
        <v>31</v>
      </c>
      <c r="E16" s="386">
        <f>[3]PSA!$GM$5</f>
        <v>0</v>
      </c>
      <c r="F16" s="92">
        <f>'[3]Atlantic Southeast'!$GM$5+'[3]Atlantic Southeast'!$GM$16</f>
        <v>0</v>
      </c>
      <c r="G16" s="92">
        <f>'[3]Continental Express'!$GM$5</f>
        <v>48</v>
      </c>
      <c r="H16" s="91">
        <f>'[3]Go Jet_UA'!$GM$5</f>
        <v>2</v>
      </c>
      <c r="I16" s="7">
        <f>'[3]Go Jet'!$GM$5+'[3]Go Jet'!$GM$16</f>
        <v>52</v>
      </c>
      <c r="J16" s="94">
        <f t="shared" si="5"/>
        <v>134</v>
      </c>
    </row>
    <row r="17" spans="1:10" x14ac:dyDescent="0.2">
      <c r="A17" s="51" t="s">
        <v>55</v>
      </c>
      <c r="B17" s="95">
        <f>SUM(B15:B16)</f>
        <v>1</v>
      </c>
      <c r="C17" s="95">
        <f>SUM(C15:C16)</f>
        <v>0</v>
      </c>
      <c r="D17" s="95">
        <f t="shared" ref="D17:E17" si="6">SUM(D15:D16)</f>
        <v>62</v>
      </c>
      <c r="E17" s="95">
        <f t="shared" si="6"/>
        <v>0</v>
      </c>
      <c r="F17" s="95">
        <f t="shared" ref="F17:H17" si="7">SUM(F15:F16)</f>
        <v>0</v>
      </c>
      <c r="G17" s="95">
        <f t="shared" si="7"/>
        <v>96</v>
      </c>
      <c r="H17" s="95">
        <f t="shared" si="7"/>
        <v>4</v>
      </c>
      <c r="I17" s="247">
        <f>SUM(I15:I16)</f>
        <v>104</v>
      </c>
      <c r="J17" s="96">
        <f t="shared" si="5"/>
        <v>267</v>
      </c>
    </row>
    <row r="18" spans="1:10" x14ac:dyDescent="0.2">
      <c r="A18" s="47" t="s">
        <v>56</v>
      </c>
      <c r="B18" s="97">
        <f>'[3]Shuttle America'!$GM$8</f>
        <v>1</v>
      </c>
      <c r="C18" s="97">
        <f>'[3]Shuttle America_Delta'!$GM$8</f>
        <v>0</v>
      </c>
      <c r="D18" s="97">
        <f>[3]Horizon_AS!$GM$8</f>
        <v>0</v>
      </c>
      <c r="E18" s="97">
        <f>[3]PSA!$GM$8</f>
        <v>0</v>
      </c>
      <c r="F18" s="89">
        <f>'[3]Atlantic Southeast'!$GM$8</f>
        <v>0</v>
      </c>
      <c r="G18" s="89">
        <f>'[3]Continental Express'!$GM$8</f>
        <v>0</v>
      </c>
      <c r="H18" s="97">
        <f>'[3]Go Jet_UA'!$GM$8</f>
        <v>0</v>
      </c>
      <c r="I18" s="13">
        <f>'[3]Go Jet'!$GM$8</f>
        <v>0</v>
      </c>
      <c r="J18" s="90">
        <f t="shared" si="5"/>
        <v>1</v>
      </c>
    </row>
    <row r="19" spans="1:10" x14ac:dyDescent="0.2">
      <c r="A19" s="47" t="s">
        <v>57</v>
      </c>
      <c r="B19" s="98">
        <f>'[3]Shuttle America'!$GM$9</f>
        <v>0</v>
      </c>
      <c r="C19" s="98">
        <f>'[3]Shuttle America_Delta'!$GM$9</f>
        <v>0</v>
      </c>
      <c r="D19" s="98">
        <f>[3]Horizon_AS!$GM$9</f>
        <v>0</v>
      </c>
      <c r="E19" s="98">
        <f>[3]PSA!$GM$9</f>
        <v>0</v>
      </c>
      <c r="F19" s="93">
        <f>'[3]Atlantic Southeast'!$GM$9</f>
        <v>0</v>
      </c>
      <c r="G19" s="93">
        <f>'[3]Continental Express'!$GM$9</f>
        <v>0</v>
      </c>
      <c r="H19" s="98">
        <f>'[3]Go Jet_UA'!$GM$9</f>
        <v>0</v>
      </c>
      <c r="I19" s="7">
        <f>'[3]Go Jet'!$GM$9</f>
        <v>0</v>
      </c>
      <c r="J19" s="94">
        <f t="shared" si="5"/>
        <v>0</v>
      </c>
    </row>
    <row r="20" spans="1:10" x14ac:dyDescent="0.2">
      <c r="A20" s="51" t="s">
        <v>58</v>
      </c>
      <c r="B20" s="95">
        <f>SUM(B18:B19)</f>
        <v>1</v>
      </c>
      <c r="C20" s="95">
        <f>SUM(C18:C19)</f>
        <v>0</v>
      </c>
      <c r="D20" s="95">
        <f t="shared" ref="D20:E20" si="8">SUM(D18:D19)</f>
        <v>0</v>
      </c>
      <c r="E20" s="95">
        <f t="shared" si="8"/>
        <v>0</v>
      </c>
      <c r="F20" s="95">
        <f t="shared" ref="F20:H20" si="9">SUM(F18:F19)</f>
        <v>0</v>
      </c>
      <c r="G20" s="95">
        <f t="shared" si="9"/>
        <v>0</v>
      </c>
      <c r="H20" s="95">
        <f t="shared" si="9"/>
        <v>0</v>
      </c>
      <c r="I20" s="247">
        <f>SUM(I18:I19)</f>
        <v>0</v>
      </c>
      <c r="J20" s="96">
        <f t="shared" si="5"/>
        <v>1</v>
      </c>
    </row>
    <row r="21" spans="1:10" ht="15.75" thickBot="1" x14ac:dyDescent="0.3">
      <c r="A21" s="55" t="s">
        <v>28</v>
      </c>
      <c r="B21" s="99">
        <f>SUM(B20,B17)</f>
        <v>2</v>
      </c>
      <c r="C21" s="99">
        <f>SUM(C20,C17)</f>
        <v>0</v>
      </c>
      <c r="D21" s="99">
        <f t="shared" ref="D21:E21" si="10">SUM(D20,D17)</f>
        <v>62</v>
      </c>
      <c r="E21" s="99">
        <f t="shared" si="10"/>
        <v>0</v>
      </c>
      <c r="F21" s="99">
        <f t="shared" ref="F21:H21" si="11">SUM(F20,F17)</f>
        <v>0</v>
      </c>
      <c r="G21" s="99">
        <f t="shared" si="11"/>
        <v>96</v>
      </c>
      <c r="H21" s="99">
        <f t="shared" si="11"/>
        <v>4</v>
      </c>
      <c r="I21" s="99">
        <f t="shared" ref="I21" si="12">SUM(I20,I17)</f>
        <v>104</v>
      </c>
      <c r="J21" s="100">
        <f t="shared" si="5"/>
        <v>268</v>
      </c>
    </row>
    <row r="22" spans="1:10" ht="3.75" customHeight="1" thickBot="1" x14ac:dyDescent="0.25"/>
    <row r="23" spans="1:10" ht="15.75" thickTop="1" x14ac:dyDescent="0.25">
      <c r="A23" s="50" t="s">
        <v>116</v>
      </c>
      <c r="B23" s="112"/>
      <c r="C23" s="112"/>
      <c r="D23" s="112"/>
      <c r="E23" s="112"/>
      <c r="F23" s="113"/>
      <c r="G23" s="113"/>
      <c r="H23" s="112"/>
      <c r="I23" s="112"/>
      <c r="J23" s="114"/>
    </row>
    <row r="24" spans="1:10" x14ac:dyDescent="0.2">
      <c r="A24" s="47" t="s">
        <v>36</v>
      </c>
      <c r="B24" s="97"/>
      <c r="C24" s="97"/>
      <c r="D24" s="97"/>
      <c r="E24" s="97"/>
      <c r="F24" s="89"/>
      <c r="G24" s="89"/>
      <c r="H24" s="97"/>
      <c r="J24" s="90"/>
    </row>
    <row r="25" spans="1:10" x14ac:dyDescent="0.2">
      <c r="A25" s="47" t="s">
        <v>37</v>
      </c>
      <c r="B25" s="97">
        <f>'[3]Shuttle America'!$GM$47</f>
        <v>0</v>
      </c>
      <c r="C25" s="97">
        <f>'[3]Shuttle America_Delta'!$GM$47</f>
        <v>0</v>
      </c>
      <c r="D25" s="97">
        <f>[3]Horizon_AS!$GM$47</f>
        <v>2246</v>
      </c>
      <c r="E25" s="97">
        <f>[3]PSA!$GM$47</f>
        <v>0</v>
      </c>
      <c r="F25" s="89">
        <f>'[3]Atlantic Southeast'!$GM$47</f>
        <v>0</v>
      </c>
      <c r="G25" s="89">
        <f>'[3]Continental Express'!$GM$47</f>
        <v>0</v>
      </c>
      <c r="H25" s="97">
        <f>'[3]Go Jet_UA'!$GM$47</f>
        <v>0</v>
      </c>
      <c r="I25" s="97">
        <f>'[3]Go Jet'!$GM$47</f>
        <v>0</v>
      </c>
      <c r="J25" s="90">
        <f>SUM(B25:I25)</f>
        <v>2246</v>
      </c>
    </row>
    <row r="26" spans="1:10" x14ac:dyDescent="0.2">
      <c r="A26" s="47" t="s">
        <v>38</v>
      </c>
      <c r="B26" s="97">
        <f>'[3]Shuttle America'!$GM$48</f>
        <v>0</v>
      </c>
      <c r="C26" s="97">
        <f>'[3]Shuttle America_Delta'!$GM$48</f>
        <v>0</v>
      </c>
      <c r="D26" s="97">
        <f>[3]Horizon_AS!$GM$48</f>
        <v>0</v>
      </c>
      <c r="E26" s="97">
        <f>[3]PSA!$GM$48</f>
        <v>0</v>
      </c>
      <c r="F26" s="89">
        <f>'[3]Atlantic Southeast'!$GM$48</f>
        <v>0</v>
      </c>
      <c r="G26" s="89">
        <f>'[3]Continental Express'!$GM$48</f>
        <v>0</v>
      </c>
      <c r="H26" s="97">
        <f>'[3]Go Jet_UA'!$GM$48</f>
        <v>0</v>
      </c>
      <c r="I26" s="97">
        <f>'[3]Go Jet'!$GM$48</f>
        <v>0</v>
      </c>
      <c r="J26" s="90">
        <f>SUM(B26:I26)</f>
        <v>0</v>
      </c>
    </row>
    <row r="27" spans="1:10" ht="15" thickBot="1" x14ac:dyDescent="0.25">
      <c r="A27" s="56" t="s">
        <v>39</v>
      </c>
      <c r="B27" s="107">
        <f>SUM(B25:B26)</f>
        <v>0</v>
      </c>
      <c r="C27" s="107">
        <f>SUM(C25:C26)</f>
        <v>0</v>
      </c>
      <c r="D27" s="107">
        <f t="shared" ref="D27:E27" si="13">SUM(D25:D26)</f>
        <v>2246</v>
      </c>
      <c r="E27" s="107">
        <f t="shared" si="13"/>
        <v>0</v>
      </c>
      <c r="F27" s="107">
        <f t="shared" ref="F27:H27" si="14">SUM(F25:F26)</f>
        <v>0</v>
      </c>
      <c r="G27" s="107">
        <f t="shared" si="14"/>
        <v>0</v>
      </c>
      <c r="H27" s="107">
        <f t="shared" si="14"/>
        <v>0</v>
      </c>
      <c r="I27" s="107">
        <f>SUM(I25:I26)</f>
        <v>0</v>
      </c>
      <c r="J27" s="108">
        <f>SUM(B27:I27)</f>
        <v>2246</v>
      </c>
    </row>
    <row r="28" spans="1:10" ht="7.5" customHeight="1" thickTop="1" x14ac:dyDescent="0.2">
      <c r="A28" s="47"/>
      <c r="B28" s="97"/>
      <c r="C28" s="97"/>
      <c r="D28" s="97"/>
      <c r="E28" s="97"/>
      <c r="F28" s="89"/>
      <c r="G28" s="89"/>
      <c r="H28" s="97"/>
      <c r="I28" s="97"/>
      <c r="J28" s="90"/>
    </row>
    <row r="29" spans="1:10" x14ac:dyDescent="0.2">
      <c r="A29" s="47" t="s">
        <v>40</v>
      </c>
      <c r="B29" s="97"/>
      <c r="C29" s="97"/>
      <c r="D29" s="97"/>
      <c r="E29" s="97"/>
      <c r="F29" s="89"/>
      <c r="G29" s="89"/>
      <c r="H29" s="97"/>
      <c r="I29" s="97"/>
      <c r="J29" s="90"/>
    </row>
    <row r="30" spans="1:10" x14ac:dyDescent="0.2">
      <c r="A30" s="47" t="s">
        <v>59</v>
      </c>
      <c r="B30" s="97">
        <f>'[3]Shuttle America'!$GM$52</f>
        <v>0</v>
      </c>
      <c r="C30" s="97">
        <f>'[3]Shuttle America_Delta'!$GM$52</f>
        <v>0</v>
      </c>
      <c r="D30" s="97">
        <f>[3]Horizon_AS!$GM$52</f>
        <v>0</v>
      </c>
      <c r="E30" s="97">
        <f>[3]PSA!$GM$52</f>
        <v>0</v>
      </c>
      <c r="F30" s="89">
        <f>'[3]Atlantic Southeast'!$GM$52</f>
        <v>0</v>
      </c>
      <c r="G30" s="89">
        <f>'[3]Continental Express'!$GM$52</f>
        <v>0</v>
      </c>
      <c r="H30" s="97">
        <f>'[3]Go Jet_UA'!$GM$52</f>
        <v>0</v>
      </c>
      <c r="I30" s="97">
        <f>'[3]Go Jet'!$GM$52</f>
        <v>0</v>
      </c>
      <c r="J30" s="90">
        <f>SUM(B30:I30)</f>
        <v>0</v>
      </c>
    </row>
    <row r="31" spans="1:10" x14ac:dyDescent="0.2">
      <c r="A31" s="47" t="s">
        <v>60</v>
      </c>
      <c r="B31" s="97">
        <f>'[3]Shuttle America'!$GM$53</f>
        <v>0</v>
      </c>
      <c r="C31" s="97">
        <f>'[3]Shuttle America_Delta'!$GM$53</f>
        <v>0</v>
      </c>
      <c r="D31" s="97">
        <f>[3]Horizon_AS!$GM$53</f>
        <v>3935</v>
      </c>
      <c r="E31" s="97">
        <f>[3]PSA!$GM$53</f>
        <v>0</v>
      </c>
      <c r="F31" s="89">
        <f>'[3]Atlantic Southeast'!$GM$53</f>
        <v>0</v>
      </c>
      <c r="G31" s="89">
        <f>'[3]Continental Express'!$GM$53</f>
        <v>0</v>
      </c>
      <c r="H31" s="97">
        <f>'[3]Go Jet_UA'!$GM$53</f>
        <v>0</v>
      </c>
      <c r="I31" s="97">
        <f>'[3]Go Jet'!$GM$53</f>
        <v>0</v>
      </c>
      <c r="J31" s="90">
        <f>SUM(B31:I31)</f>
        <v>3935</v>
      </c>
    </row>
    <row r="32" spans="1:10" ht="15" thickBot="1" x14ac:dyDescent="0.25">
      <c r="A32" s="56" t="s">
        <v>41</v>
      </c>
      <c r="B32" s="107">
        <f t="shared" ref="B32:H32" si="15">SUM(B30:B31)</f>
        <v>0</v>
      </c>
      <c r="C32" s="107">
        <f t="shared" si="15"/>
        <v>0</v>
      </c>
      <c r="D32" s="107">
        <f t="shared" ref="D32" si="16">SUM(D30:D31)</f>
        <v>3935</v>
      </c>
      <c r="E32" s="107">
        <f t="shared" si="15"/>
        <v>0</v>
      </c>
      <c r="F32" s="107">
        <f t="shared" si="15"/>
        <v>0</v>
      </c>
      <c r="G32" s="107">
        <f t="shared" si="15"/>
        <v>0</v>
      </c>
      <c r="H32" s="107">
        <f t="shared" si="15"/>
        <v>0</v>
      </c>
      <c r="I32" s="107">
        <f t="shared" ref="I32" si="17">SUM(I30:I31)</f>
        <v>0</v>
      </c>
      <c r="J32" s="108">
        <f>SUM(B32:I32)</f>
        <v>3935</v>
      </c>
    </row>
    <row r="33" spans="1:10" ht="13.5" hidden="1" thickTop="1" x14ac:dyDescent="0.2">
      <c r="A33" s="47"/>
      <c r="B33" s="97"/>
      <c r="C33" s="97"/>
      <c r="D33" s="97"/>
      <c r="E33" s="97"/>
      <c r="F33" s="89"/>
      <c r="G33" s="89"/>
      <c r="H33" s="97"/>
      <c r="I33" s="97"/>
      <c r="J33" s="90"/>
    </row>
    <row r="34" spans="1:10" ht="13.5" hidden="1" thickTop="1" x14ac:dyDescent="0.2">
      <c r="A34" s="47" t="s">
        <v>42</v>
      </c>
      <c r="B34" s="97"/>
      <c r="C34" s="97"/>
      <c r="D34" s="97"/>
      <c r="E34" s="97"/>
      <c r="F34" s="89"/>
      <c r="G34" s="89"/>
      <c r="H34" s="97"/>
      <c r="I34" s="97"/>
      <c r="J34" s="90"/>
    </row>
    <row r="35" spans="1:10" ht="13.5" hidden="1" thickTop="1" x14ac:dyDescent="0.2">
      <c r="A35" s="47" t="s">
        <v>37</v>
      </c>
      <c r="B35" s="97">
        <f>'[3]Shuttle America'!$GM$57</f>
        <v>0</v>
      </c>
      <c r="C35" s="97">
        <f>'[3]Shuttle America_Delta'!$GM$57</f>
        <v>0</v>
      </c>
      <c r="D35" s="97">
        <f>[3]Horizon_AS!$GM$57</f>
        <v>0</v>
      </c>
      <c r="E35" s="97">
        <f>[3]PSA!$GM$57</f>
        <v>0</v>
      </c>
      <c r="F35" s="89">
        <f>'[3]Atlantic Southeast'!$GM$57</f>
        <v>0</v>
      </c>
      <c r="G35" s="89">
        <f>'[3]Continental Express'!$GM$57</f>
        <v>0</v>
      </c>
      <c r="H35" s="97">
        <f>'[3]Go Jet_UA'!$AJ$57</f>
        <v>0</v>
      </c>
      <c r="I35" s="97">
        <f>'[3]Go Jet'!$GM$57</f>
        <v>0</v>
      </c>
      <c r="J35" s="90">
        <f>SUM(B35:I35)</f>
        <v>0</v>
      </c>
    </row>
    <row r="36" spans="1:10" ht="13.5" hidden="1" thickTop="1" x14ac:dyDescent="0.2">
      <c r="A36" s="47" t="s">
        <v>38</v>
      </c>
      <c r="B36" s="97">
        <f>'[3]Shuttle America'!BG$58</f>
        <v>0</v>
      </c>
      <c r="C36" s="97">
        <f>'[3]Shuttle America_Delta'!BH$58</f>
        <v>0</v>
      </c>
      <c r="D36" s="97">
        <f>[3]Horizon_AS!BF$58</f>
        <v>0</v>
      </c>
      <c r="E36" s="97">
        <f>[3]PSA!BG$58</f>
        <v>0</v>
      </c>
      <c r="F36" s="89">
        <f>'[3]Atlantic Southeast'!BG$58</f>
        <v>0</v>
      </c>
      <c r="G36" s="89">
        <f>'[3]Continental Express'!BG$58</f>
        <v>0</v>
      </c>
      <c r="H36" s="97">
        <f>'[3]Go Jet_UA'!$AJ$58</f>
        <v>0</v>
      </c>
      <c r="I36" s="97">
        <f>'[3]Go Jet'!BK$58</f>
        <v>0</v>
      </c>
      <c r="J36" s="90">
        <f>SUM(B36:I36)</f>
        <v>0</v>
      </c>
    </row>
    <row r="37" spans="1:10" ht="13.5" hidden="1" thickTop="1" x14ac:dyDescent="0.2">
      <c r="A37" s="58" t="s">
        <v>43</v>
      </c>
      <c r="B37" s="115">
        <f>SUM(B35:B36)</f>
        <v>0</v>
      </c>
      <c r="C37" s="115">
        <f>SUM(C35:C36)</f>
        <v>0</v>
      </c>
      <c r="D37" s="115">
        <f t="shared" ref="D37:E37" si="18">SUM(D35:D36)</f>
        <v>0</v>
      </c>
      <c r="E37" s="115">
        <f t="shared" si="18"/>
        <v>0</v>
      </c>
      <c r="F37" s="116">
        <f t="shared" ref="F37:H37" si="19">SUM(F35:F36)</f>
        <v>0</v>
      </c>
      <c r="G37" s="116">
        <f t="shared" si="19"/>
        <v>0</v>
      </c>
      <c r="H37" s="115">
        <f t="shared" si="19"/>
        <v>0</v>
      </c>
      <c r="I37" s="115">
        <f>SUM(I35:I36)</f>
        <v>0</v>
      </c>
      <c r="J37" s="117">
        <f>SUM(B37:I37)</f>
        <v>0</v>
      </c>
    </row>
    <row r="38" spans="1:10" ht="6.75" customHeight="1" thickTop="1" x14ac:dyDescent="0.2">
      <c r="A38" s="47"/>
      <c r="B38" s="97"/>
      <c r="C38" s="97"/>
      <c r="D38" s="97"/>
      <c r="E38" s="97"/>
      <c r="F38" s="89"/>
      <c r="G38" s="89"/>
      <c r="H38" s="97"/>
      <c r="I38" s="97"/>
      <c r="J38" s="90"/>
    </row>
    <row r="39" spans="1:10" x14ac:dyDescent="0.2">
      <c r="A39" s="47" t="s">
        <v>44</v>
      </c>
      <c r="B39" s="97"/>
      <c r="C39" s="97"/>
      <c r="D39" s="97"/>
      <c r="E39" s="97"/>
      <c r="F39" s="89"/>
      <c r="G39" s="89"/>
      <c r="H39" s="97"/>
      <c r="I39" s="97"/>
      <c r="J39" s="90"/>
    </row>
    <row r="40" spans="1:10" x14ac:dyDescent="0.2">
      <c r="A40" s="47" t="s">
        <v>45</v>
      </c>
      <c r="B40" s="97">
        <f t="shared" ref="B40:G40" si="20">SUM(B35,B30,B25)</f>
        <v>0</v>
      </c>
      <c r="C40" s="97">
        <f>SUM(C35,C30,C25)</f>
        <v>0</v>
      </c>
      <c r="D40" s="97">
        <f t="shared" ref="D40:E41" si="21">SUM(D35,D30,D25)</f>
        <v>2246</v>
      </c>
      <c r="E40" s="97">
        <f t="shared" si="21"/>
        <v>0</v>
      </c>
      <c r="F40" s="97">
        <f t="shared" si="20"/>
        <v>0</v>
      </c>
      <c r="G40" s="97">
        <f t="shared" si="20"/>
        <v>0</v>
      </c>
      <c r="H40" s="97">
        <f>SUM(H35,H30,H25)</f>
        <v>0</v>
      </c>
      <c r="I40" s="97">
        <f t="shared" ref="I40" si="22">SUM(I35,I30,I25)</f>
        <v>0</v>
      </c>
      <c r="J40" s="90">
        <f>SUM(B40:I40)</f>
        <v>2246</v>
      </c>
    </row>
    <row r="41" spans="1:10" x14ac:dyDescent="0.2">
      <c r="A41" s="47" t="s">
        <v>38</v>
      </c>
      <c r="B41" s="97">
        <f>SUM(B36,B31,B26)</f>
        <v>0</v>
      </c>
      <c r="C41" s="97">
        <f>SUM(C36,C31,C26)</f>
        <v>0</v>
      </c>
      <c r="D41" s="97">
        <f t="shared" si="21"/>
        <v>3935</v>
      </c>
      <c r="E41" s="97">
        <f t="shared" si="21"/>
        <v>0</v>
      </c>
      <c r="F41" s="97">
        <f t="shared" ref="F41:G41" si="23">SUM(F36,F31,F26)</f>
        <v>0</v>
      </c>
      <c r="G41" s="97">
        <f t="shared" si="23"/>
        <v>0</v>
      </c>
      <c r="H41" s="97">
        <f>SUM(H36,H31,H26)</f>
        <v>0</v>
      </c>
      <c r="I41" s="97">
        <f t="shared" ref="I41" si="24">SUM(I36,I31,I26)</f>
        <v>0</v>
      </c>
      <c r="J41" s="90">
        <f>SUM(B41:I41)</f>
        <v>3935</v>
      </c>
    </row>
    <row r="42" spans="1:10" ht="15" thickBot="1" x14ac:dyDescent="0.25">
      <c r="A42" s="57" t="s">
        <v>46</v>
      </c>
      <c r="B42" s="110">
        <f>SUM(B40:B41)</f>
        <v>0</v>
      </c>
      <c r="C42" s="110">
        <f>SUM(C40:C41)</f>
        <v>0</v>
      </c>
      <c r="D42" s="110">
        <f t="shared" ref="D42:E42" si="25">SUM(D40:D41)</f>
        <v>6181</v>
      </c>
      <c r="E42" s="110">
        <f t="shared" si="25"/>
        <v>0</v>
      </c>
      <c r="F42" s="110">
        <f t="shared" ref="F42:H42" si="26">SUM(F40:F41)</f>
        <v>0</v>
      </c>
      <c r="G42" s="110">
        <f t="shared" si="26"/>
        <v>0</v>
      </c>
      <c r="H42" s="110">
        <f t="shared" si="26"/>
        <v>0</v>
      </c>
      <c r="I42" s="110">
        <f t="shared" ref="I42" si="27">SUM(I40:I41)</f>
        <v>0</v>
      </c>
      <c r="J42" s="111">
        <f>SUM(B42:I42)</f>
        <v>6181</v>
      </c>
    </row>
    <row r="43" spans="1:10" ht="4.5" customHeight="1" x14ac:dyDescent="0.2"/>
    <row r="44" spans="1:10" hidden="1" x14ac:dyDescent="0.2">
      <c r="A44" s="280" t="s">
        <v>126</v>
      </c>
      <c r="F44" s="266"/>
      <c r="I44" s="279">
        <f>'[3]Go Jet'!BK$70+'[3]Go Jet'!BK$73</f>
        <v>0</v>
      </c>
      <c r="J44" s="268" t="e">
        <f>SUM(#REF!)</f>
        <v>#REF!</v>
      </c>
    </row>
    <row r="45" spans="1:10" hidden="1" x14ac:dyDescent="0.2">
      <c r="A45" s="280" t="s">
        <v>127</v>
      </c>
      <c r="F45" s="283"/>
      <c r="I45" s="279">
        <f>'[3]Go Jet'!BK$71+'[3]Go Jet'!BK$74</f>
        <v>0</v>
      </c>
      <c r="J45" s="268" t="e">
        <f>SUM(#REF!)</f>
        <v>#REF!</v>
      </c>
    </row>
    <row r="46" spans="1:10" x14ac:dyDescent="0.2">
      <c r="A46" s="322" t="s">
        <v>123</v>
      </c>
      <c r="C46" s="279">
        <f>'[3]Shuttle America_Delta'!$GM$70+'[3]Shuttle America_Delta'!$GM$73</f>
        <v>0</v>
      </c>
      <c r="D46" s="2"/>
      <c r="F46" s="279">
        <f>'[3]Atlantic Southeast'!$GM$70+'[3]Atlantic Southeast'!$GM$73</f>
        <v>0</v>
      </c>
      <c r="I46" s="279">
        <f>'[3]Go Jet'!$GM$70+'[3]Go Jet'!$GM$73</f>
        <v>1865</v>
      </c>
      <c r="J46" s="334">
        <f>SUM(B46:I46)</f>
        <v>1865</v>
      </c>
    </row>
    <row r="47" spans="1:10" x14ac:dyDescent="0.2">
      <c r="A47" s="335" t="s">
        <v>124</v>
      </c>
      <c r="C47" s="279">
        <f>'[3]Shuttle America_Delta'!$GM$71+'[3]Shuttle America_Delta'!$GM$74</f>
        <v>0</v>
      </c>
      <c r="D47" s="2"/>
      <c r="F47" s="279">
        <f>'[3]Atlantic Southeast'!$GM$71+'[3]Atlantic Southeast'!$GM$74</f>
        <v>0</v>
      </c>
      <c r="I47" s="279">
        <f>'[3]Go Jet'!$GM$71+'[3]Go Jet'!$GM$74</f>
        <v>1403</v>
      </c>
      <c r="J47" s="334">
        <f>SUM(B47:I47)</f>
        <v>1403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December 2019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A16" zoomScale="115" zoomScaleNormal="115" workbookViewId="0">
      <selection activeCell="D36" sqref="D36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25">
        <v>43800</v>
      </c>
      <c r="B2" s="152" t="s">
        <v>118</v>
      </c>
      <c r="C2" s="152" t="s">
        <v>156</v>
      </c>
      <c r="D2" s="83" t="s">
        <v>78</v>
      </c>
      <c r="E2" s="83" t="s">
        <v>157</v>
      </c>
      <c r="F2" s="152" t="s">
        <v>132</v>
      </c>
      <c r="G2" s="146" t="s">
        <v>79</v>
      </c>
    </row>
    <row r="3" spans="1:17" x14ac:dyDescent="0.2">
      <c r="A3" s="239" t="s">
        <v>3</v>
      </c>
      <c r="B3" s="158"/>
      <c r="C3" s="157"/>
      <c r="D3" s="157"/>
      <c r="E3" s="157"/>
      <c r="F3" s="157"/>
      <c r="G3" s="231"/>
    </row>
    <row r="4" spans="1:17" x14ac:dyDescent="0.2">
      <c r="A4" s="47" t="s">
        <v>29</v>
      </c>
      <c r="B4" s="359"/>
      <c r="C4" s="156"/>
      <c r="D4" s="156"/>
      <c r="E4" s="156"/>
      <c r="F4" s="156"/>
      <c r="G4" s="217"/>
    </row>
    <row r="5" spans="1:17" x14ac:dyDescent="0.2">
      <c r="A5" s="47" t="s">
        <v>30</v>
      </c>
      <c r="B5" s="359">
        <f>'[3]Charter Misc'!$GM$22</f>
        <v>147</v>
      </c>
      <c r="C5" s="156">
        <f>[3]Ryan!$GM$22</f>
        <v>0</v>
      </c>
      <c r="D5" s="156">
        <f>'[3]Charter Misc'!$GM$32</f>
        <v>84</v>
      </c>
      <c r="E5" s="156">
        <f>[3]Omni!$GM$32</f>
        <v>0</v>
      </c>
      <c r="F5" s="156">
        <f>[3]Xtra!$GM$32+[3]Xtra!$GM$22</f>
        <v>0</v>
      </c>
      <c r="G5" s="296">
        <f>SUM(B5:F5)</f>
        <v>231</v>
      </c>
    </row>
    <row r="6" spans="1:17" x14ac:dyDescent="0.2">
      <c r="A6" s="47" t="s">
        <v>31</v>
      </c>
      <c r="B6" s="360">
        <f>'[3]Charter Misc'!$GM$23</f>
        <v>328</v>
      </c>
      <c r="C6" s="159">
        <f>[3]Ryan!$GM$23</f>
        <v>0</v>
      </c>
      <c r="D6" s="159">
        <f>'[3]Charter Misc'!$GM$33</f>
        <v>0</v>
      </c>
      <c r="E6" s="159">
        <f>[3]Omni!$GM$33+[3]Omni!$GM$23</f>
        <v>0</v>
      </c>
      <c r="F6" s="159">
        <f>[3]Xtra!$GM$33+[3]Xtra!$GM$23</f>
        <v>0</v>
      </c>
      <c r="G6" s="295">
        <f>SUM(B6:F6)</f>
        <v>328</v>
      </c>
    </row>
    <row r="7" spans="1:17" ht="15.75" thickBot="1" x14ac:dyDescent="0.3">
      <c r="A7" s="155" t="s">
        <v>7</v>
      </c>
      <c r="B7" s="361">
        <f>SUM(B5:B6)</f>
        <v>475</v>
      </c>
      <c r="C7" s="256">
        <f>SUM(C5:C6)</f>
        <v>0</v>
      </c>
      <c r="D7" s="256">
        <f>SUM(D5:D6)</f>
        <v>84</v>
      </c>
      <c r="E7" s="256">
        <f>SUM(E5:E6)</f>
        <v>0</v>
      </c>
      <c r="F7" s="256">
        <f>SUM(F5:F6)</f>
        <v>0</v>
      </c>
      <c r="G7" s="257">
        <f>SUM(B7:F7)</f>
        <v>559</v>
      </c>
    </row>
    <row r="8" spans="1:17" ht="13.5" thickBot="1" x14ac:dyDescent="0.25"/>
    <row r="9" spans="1:17" x14ac:dyDescent="0.2">
      <c r="A9" s="153" t="s">
        <v>9</v>
      </c>
      <c r="B9" s="362"/>
      <c r="C9" s="30"/>
      <c r="D9" s="30"/>
      <c r="E9" s="30"/>
      <c r="F9" s="30"/>
      <c r="G9" s="42"/>
    </row>
    <row r="10" spans="1:17" x14ac:dyDescent="0.2">
      <c r="A10" s="154" t="s">
        <v>80</v>
      </c>
      <c r="B10" s="359">
        <f>'[3]Charter Misc'!$GM$4</f>
        <v>2</v>
      </c>
      <c r="C10" s="156">
        <f>[3]Ryan!$GM$4</f>
        <v>0</v>
      </c>
      <c r="D10" s="156">
        <f>'[3]Charter Misc'!$GM$15</f>
        <v>0</v>
      </c>
      <c r="E10" s="156">
        <f>[3]Omni!$GM$15+[3]Omni!$GM$4+[3]Omni!$GM$8</f>
        <v>0</v>
      </c>
      <c r="F10" s="156">
        <f>[3]Xtra!$GM$15+[3]Xtra!$GM$4+[3]Omni!$GM$8</f>
        <v>0</v>
      </c>
      <c r="G10" s="295">
        <f>SUM(B10:F10)</f>
        <v>2</v>
      </c>
    </row>
    <row r="11" spans="1:17" x14ac:dyDescent="0.2">
      <c r="A11" s="154" t="s">
        <v>81</v>
      </c>
      <c r="B11" s="359">
        <f>'[3]Charter Misc'!$GM$5</f>
        <v>2</v>
      </c>
      <c r="C11" s="156">
        <f>[3]Ryan!$GM$5</f>
        <v>0</v>
      </c>
      <c r="D11" s="156">
        <f>'[3]Charter Misc'!$GM$16</f>
        <v>0</v>
      </c>
      <c r="E11" s="156">
        <f>[3]Omni!$GM$16+[3]Omni!$GM$5+[3]Omni!$GM$9</f>
        <v>0</v>
      </c>
      <c r="F11" s="156">
        <f>[3]Xtra!$GM$16+[3]Xtra!$GM$5+[3]Omni!$GM$9</f>
        <v>0</v>
      </c>
      <c r="G11" s="295">
        <f>SUM(B11:F11)</f>
        <v>2</v>
      </c>
    </row>
    <row r="12" spans="1:17" ht="15.75" thickBot="1" x14ac:dyDescent="0.3">
      <c r="A12" s="238" t="s">
        <v>28</v>
      </c>
      <c r="B12" s="363">
        <f>SUM(B10:B11)</f>
        <v>4</v>
      </c>
      <c r="C12" s="258">
        <f>SUM(C10:C11)</f>
        <v>0</v>
      </c>
      <c r="D12" s="258">
        <f>SUM(D10:D11)</f>
        <v>0</v>
      </c>
      <c r="E12" s="258">
        <f>SUM(E10:E11)</f>
        <v>0</v>
      </c>
      <c r="F12" s="258">
        <f>SUM(F10:F11)</f>
        <v>0</v>
      </c>
      <c r="G12" s="259">
        <f>SUM(B12:F12)</f>
        <v>4</v>
      </c>
      <c r="Q12" s="97"/>
    </row>
    <row r="17" spans="1:16" x14ac:dyDescent="0.2">
      <c r="B17" s="466" t="s">
        <v>154</v>
      </c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8"/>
    </row>
    <row r="18" spans="1:16" ht="13.5" thickBot="1" x14ac:dyDescent="0.25">
      <c r="A18" s="274"/>
      <c r="E18" s="193"/>
      <c r="G18" s="193"/>
      <c r="H18" s="193"/>
      <c r="L18" s="197"/>
      <c r="N18" s="4"/>
    </row>
    <row r="19" spans="1:16" ht="13.5" customHeight="1" thickBot="1" x14ac:dyDescent="0.25">
      <c r="A19" s="349"/>
      <c r="B19" s="469" t="s">
        <v>120</v>
      </c>
      <c r="C19" s="470"/>
      <c r="D19" s="470"/>
      <c r="E19" s="471"/>
      <c r="G19" s="469" t="s">
        <v>121</v>
      </c>
      <c r="H19" s="472"/>
      <c r="I19" s="472"/>
      <c r="J19" s="473"/>
      <c r="L19" s="474" t="s">
        <v>122</v>
      </c>
      <c r="M19" s="475"/>
      <c r="N19" s="475"/>
      <c r="O19" s="476"/>
    </row>
    <row r="20" spans="1:16" ht="13.5" thickBot="1" x14ac:dyDescent="0.25">
      <c r="A20" s="200" t="s">
        <v>101</v>
      </c>
      <c r="B20" s="205" t="s">
        <v>102</v>
      </c>
      <c r="C20" s="5" t="s">
        <v>103</v>
      </c>
      <c r="D20" s="5" t="s">
        <v>214</v>
      </c>
      <c r="E20" s="5" t="s">
        <v>207</v>
      </c>
      <c r="F20" s="206" t="s">
        <v>98</v>
      </c>
      <c r="G20" s="5" t="s">
        <v>102</v>
      </c>
      <c r="H20" s="5" t="s">
        <v>103</v>
      </c>
      <c r="I20" s="5" t="s">
        <v>214</v>
      </c>
      <c r="J20" s="5" t="s">
        <v>207</v>
      </c>
      <c r="K20" s="206" t="s">
        <v>98</v>
      </c>
      <c r="L20" s="205" t="s">
        <v>102</v>
      </c>
      <c r="M20" s="199" t="s">
        <v>103</v>
      </c>
      <c r="N20" s="5" t="s">
        <v>214</v>
      </c>
      <c r="O20" s="5" t="s">
        <v>207</v>
      </c>
      <c r="P20" s="206" t="s">
        <v>98</v>
      </c>
    </row>
    <row r="21" spans="1:16" ht="14.1" customHeight="1" x14ac:dyDescent="0.2">
      <c r="A21" s="209" t="s">
        <v>104</v>
      </c>
      <c r="B21" s="435">
        <f>+[4]Charter!$B$21</f>
        <v>137103</v>
      </c>
      <c r="C21" s="436">
        <f>+[4]Charter!$C$21</f>
        <v>129608</v>
      </c>
      <c r="D21" s="433">
        <f t="shared" ref="D21" si="0">SUM(B21:C21)</f>
        <v>266711</v>
      </c>
      <c r="E21" s="434">
        <f>[5]Charter!$D$21</f>
        <v>268837</v>
      </c>
      <c r="F21" s="294">
        <f t="shared" ref="F21:F32" si="1">(D21-E21)/E21</f>
        <v>-7.9081376447438408E-3</v>
      </c>
      <c r="G21" s="290">
        <f t="shared" ref="G21:H22" si="2">L21-B21</f>
        <v>1214024</v>
      </c>
      <c r="H21" s="291">
        <f t="shared" si="2"/>
        <v>1256106</v>
      </c>
      <c r="I21" s="291">
        <f t="shared" ref="I21:I26" si="3">SUM(G21:H21)</f>
        <v>2470130</v>
      </c>
      <c r="J21" s="292">
        <f>[5]Charter!$I$21</f>
        <v>2415973</v>
      </c>
      <c r="K21" s="210">
        <f t="shared" ref="K21:K32" si="4">(I21-J21)/J21</f>
        <v>2.2416227333666394E-2</v>
      </c>
      <c r="L21" s="439">
        <f>+[4]Charter!$L$21</f>
        <v>1351127</v>
      </c>
      <c r="M21" s="440">
        <f>+[4]Charter!$M$21</f>
        <v>1385714</v>
      </c>
      <c r="N21" s="291">
        <f t="shared" ref="N21" si="5">SUM(L21:M21)</f>
        <v>2736841</v>
      </c>
      <c r="O21" s="292">
        <f>[5]Charter!$N$21</f>
        <v>2684810</v>
      </c>
      <c r="P21" s="210">
        <f>(N21-O21)/O21</f>
        <v>1.9379769890606784E-2</v>
      </c>
    </row>
    <row r="22" spans="1:16" ht="14.1" customHeight="1" x14ac:dyDescent="0.2">
      <c r="A22" s="211" t="s">
        <v>105</v>
      </c>
      <c r="B22" s="437">
        <f>+[6]Charter!$B22</f>
        <v>135822</v>
      </c>
      <c r="C22" s="438">
        <f>+[6]Charter!$C22</f>
        <v>139060</v>
      </c>
      <c r="D22" s="429">
        <f t="shared" ref="D22" si="6">SUM(B22:C22)</f>
        <v>274882</v>
      </c>
      <c r="E22" s="430">
        <f>[7]Charter!$D22</f>
        <v>285115</v>
      </c>
      <c r="F22" s="289">
        <f t="shared" si="1"/>
        <v>-3.5890780912964944E-2</v>
      </c>
      <c r="G22" s="431">
        <f t="shared" si="2"/>
        <v>1165574</v>
      </c>
      <c r="H22" s="432">
        <f t="shared" si="2"/>
        <v>1184555</v>
      </c>
      <c r="I22" s="432">
        <f t="shared" si="3"/>
        <v>2350129</v>
      </c>
      <c r="J22" s="293">
        <f>[7]Charter!$I22</f>
        <v>2426258</v>
      </c>
      <c r="K22" s="213">
        <f t="shared" si="4"/>
        <v>-3.1377124774034745E-2</v>
      </c>
      <c r="L22" s="286">
        <f>+[6]Charter!$L22</f>
        <v>1301396</v>
      </c>
      <c r="M22" s="288">
        <f>+[6]Charter!$M22</f>
        <v>1323615</v>
      </c>
      <c r="N22" s="432">
        <f t="shared" ref="N22" si="7">SUM(L22:M22)</f>
        <v>2625011</v>
      </c>
      <c r="O22" s="293">
        <f>[7]Charter!$N22</f>
        <v>2711373</v>
      </c>
      <c r="P22" s="212">
        <f t="shared" ref="P22:P32" si="8">(N22-O22)/O22</f>
        <v>-3.1851759237847395E-2</v>
      </c>
    </row>
    <row r="23" spans="1:16" ht="14.1" customHeight="1" x14ac:dyDescent="0.2">
      <c r="A23" s="211" t="s">
        <v>106</v>
      </c>
      <c r="B23" s="437">
        <f>+[8]Charter!$B23</f>
        <v>182334</v>
      </c>
      <c r="C23" s="438">
        <f>+[8]Charter!$C23</f>
        <v>184603</v>
      </c>
      <c r="D23" s="429">
        <f t="shared" ref="D23" si="9">SUM(B23:C23)</f>
        <v>366937</v>
      </c>
      <c r="E23" s="430">
        <f>[9]Charter!$D23</f>
        <v>367828</v>
      </c>
      <c r="F23" s="212">
        <f t="shared" si="1"/>
        <v>-2.4223278271365964E-3</v>
      </c>
      <c r="G23" s="431">
        <f t="shared" ref="G23" si="10">L23-B23</f>
        <v>1576599</v>
      </c>
      <c r="H23" s="432">
        <f t="shared" ref="H23" si="11">M23-C23</f>
        <v>1593868</v>
      </c>
      <c r="I23" s="432">
        <f t="shared" si="3"/>
        <v>3170467</v>
      </c>
      <c r="J23" s="293">
        <f>[9]Charter!$I23</f>
        <v>3043039</v>
      </c>
      <c r="K23" s="213">
        <f t="shared" si="4"/>
        <v>4.187524379411503E-2</v>
      </c>
      <c r="L23" s="286">
        <f>+[8]Charter!$L23</f>
        <v>1758933</v>
      </c>
      <c r="M23" s="288">
        <f>+[8]Charter!$M23</f>
        <v>1778471</v>
      </c>
      <c r="N23" s="432">
        <f t="shared" ref="N23" si="12">SUM(L23:M23)</f>
        <v>3537404</v>
      </c>
      <c r="O23" s="293">
        <f>[9]Charter!$N23</f>
        <v>3410867</v>
      </c>
      <c r="P23" s="212">
        <f t="shared" si="8"/>
        <v>3.7098192336435284E-2</v>
      </c>
    </row>
    <row r="24" spans="1:16" ht="14.1" customHeight="1" x14ac:dyDescent="0.2">
      <c r="A24" s="211" t="s">
        <v>107</v>
      </c>
      <c r="B24" s="437">
        <f>+[10]Charter!$B24</f>
        <v>134432</v>
      </c>
      <c r="C24" s="438">
        <f>+[10]Charter!$C24</f>
        <v>115520</v>
      </c>
      <c r="D24" s="429">
        <f t="shared" ref="D24" si="13">SUM(B24:C24)</f>
        <v>249952</v>
      </c>
      <c r="E24" s="430">
        <f>[11]Charter!$D24</f>
        <v>242418</v>
      </c>
      <c r="F24" s="212">
        <f t="shared" si="1"/>
        <v>3.1078550272669522E-2</v>
      </c>
      <c r="G24" s="431">
        <f t="shared" ref="G24" si="14">L24-B24</f>
        <v>1483600</v>
      </c>
      <c r="H24" s="432">
        <f t="shared" ref="H24" si="15">M24-C24</f>
        <v>1402478</v>
      </c>
      <c r="I24" s="287">
        <f t="shared" si="3"/>
        <v>2886078</v>
      </c>
      <c r="J24" s="293">
        <f>[11]Charter!$I24</f>
        <v>2750844</v>
      </c>
      <c r="K24" s="213">
        <f t="shared" si="4"/>
        <v>4.9160912069168589E-2</v>
      </c>
      <c r="L24" s="286">
        <f>+[10]Charter!$L24</f>
        <v>1618032</v>
      </c>
      <c r="M24" s="288">
        <f>+[10]Charter!$M24</f>
        <v>1517998</v>
      </c>
      <c r="N24" s="432">
        <f t="shared" ref="N24" si="16">SUM(L24:M24)</f>
        <v>3136030</v>
      </c>
      <c r="O24" s="293">
        <f>[11]Charter!$N24</f>
        <v>2993262</v>
      </c>
      <c r="P24" s="212">
        <f t="shared" si="8"/>
        <v>4.7696459581553503E-2</v>
      </c>
    </row>
    <row r="25" spans="1:16" ht="14.1" customHeight="1" x14ac:dyDescent="0.2">
      <c r="A25" s="198" t="s">
        <v>76</v>
      </c>
      <c r="B25" s="437">
        <f>+[12]Charter!$B25</f>
        <v>120364</v>
      </c>
      <c r="C25" s="438">
        <f>+[12]Charter!$C25</f>
        <v>132909</v>
      </c>
      <c r="D25" s="429">
        <f t="shared" ref="D25" si="17">SUM(B25:C25)</f>
        <v>253273</v>
      </c>
      <c r="E25" s="430">
        <f>[13]Charter!$D25</f>
        <v>246334</v>
      </c>
      <c r="F25" s="201">
        <f t="shared" si="1"/>
        <v>2.8169071260970877E-2</v>
      </c>
      <c r="G25" s="431">
        <f t="shared" ref="G25" si="18">L25-B25</f>
        <v>1558009</v>
      </c>
      <c r="H25" s="432">
        <f t="shared" ref="H25" si="19">M25-C25</f>
        <v>1529530</v>
      </c>
      <c r="I25" s="287">
        <f t="shared" si="3"/>
        <v>3087539</v>
      </c>
      <c r="J25" s="293">
        <f>[13]Charter!$I25</f>
        <v>2981156</v>
      </c>
      <c r="K25" s="207">
        <f t="shared" si="4"/>
        <v>3.5685150324236636E-2</v>
      </c>
      <c r="L25" s="286">
        <f>+[12]Charter!$L25</f>
        <v>1678373</v>
      </c>
      <c r="M25" s="288">
        <f>+[12]Charter!$M25</f>
        <v>1662439</v>
      </c>
      <c r="N25" s="432">
        <f t="shared" ref="N25" si="20">SUM(L25:M25)</f>
        <v>3340812</v>
      </c>
      <c r="O25" s="293">
        <f>[13]Charter!$N25</f>
        <v>3227490</v>
      </c>
      <c r="P25" s="201">
        <f t="shared" si="8"/>
        <v>3.5111495310597401E-2</v>
      </c>
    </row>
    <row r="26" spans="1:16" ht="14.1" customHeight="1" x14ac:dyDescent="0.2">
      <c r="A26" s="211" t="s">
        <v>108</v>
      </c>
      <c r="B26" s="437">
        <f>+[14]Charter!$B26</f>
        <v>140743</v>
      </c>
      <c r="C26" s="438">
        <f>+[14]Charter!$C26</f>
        <v>147358</v>
      </c>
      <c r="D26" s="429">
        <f t="shared" ref="D26" si="21">SUM(B26:C26)</f>
        <v>288101</v>
      </c>
      <c r="E26" s="430">
        <f>[15]Charter!$D26</f>
        <v>260189</v>
      </c>
      <c r="F26" s="212">
        <f t="shared" si="1"/>
        <v>0.10727586485208829</v>
      </c>
      <c r="G26" s="431">
        <f t="shared" ref="G26" si="22">L26-B26</f>
        <v>1698978</v>
      </c>
      <c r="H26" s="432">
        <f t="shared" ref="H26" si="23">M26-C26</f>
        <v>1680266</v>
      </c>
      <c r="I26" s="287">
        <f t="shared" si="3"/>
        <v>3379244</v>
      </c>
      <c r="J26" s="293">
        <f>[15]Charter!$I26</f>
        <v>3255476</v>
      </c>
      <c r="K26" s="213">
        <f t="shared" si="4"/>
        <v>3.8018403453135577E-2</v>
      </c>
      <c r="L26" s="286">
        <f>+[14]Charter!$L26</f>
        <v>1839721</v>
      </c>
      <c r="M26" s="288">
        <f>+[14]Charter!$M26</f>
        <v>1827624</v>
      </c>
      <c r="N26" s="432">
        <f t="shared" ref="N26" si="24">SUM(L26:M26)</f>
        <v>3667345</v>
      </c>
      <c r="O26" s="293">
        <f>[15]Charter!$N26</f>
        <v>3515665</v>
      </c>
      <c r="P26" s="212">
        <f t="shared" si="8"/>
        <v>4.3144042450005901E-2</v>
      </c>
    </row>
    <row r="27" spans="1:16" ht="14.1" customHeight="1" x14ac:dyDescent="0.2">
      <c r="A27" s="198" t="s">
        <v>109</v>
      </c>
      <c r="B27" s="437">
        <f>+[16]Charter!$B27</f>
        <v>155961</v>
      </c>
      <c r="C27" s="438">
        <f>+[16]Charter!$C27</f>
        <v>140807</v>
      </c>
      <c r="D27" s="429">
        <f t="shared" ref="D27" si="25">SUM(B27:C27)</f>
        <v>296768</v>
      </c>
      <c r="E27" s="430">
        <f>[17]Charter!$D27</f>
        <v>266074</v>
      </c>
      <c r="F27" s="201">
        <f t="shared" si="1"/>
        <v>0.11535888512218405</v>
      </c>
      <c r="G27" s="431">
        <f t="shared" ref="G27" si="26">L27-B27</f>
        <v>1770399</v>
      </c>
      <c r="H27" s="432">
        <f t="shared" ref="H27" si="27">M27-C27</f>
        <v>1777862</v>
      </c>
      <c r="I27" s="287">
        <f t="shared" ref="I27" si="28">SUM(G27:H27)</f>
        <v>3548261</v>
      </c>
      <c r="J27" s="293">
        <f>[17]Charter!$I27</f>
        <v>3398934</v>
      </c>
      <c r="K27" s="207">
        <f t="shared" si="4"/>
        <v>4.3933480320594631E-2</v>
      </c>
      <c r="L27" s="286">
        <f>+[16]Charter!$L27</f>
        <v>1926360</v>
      </c>
      <c r="M27" s="288">
        <f>+[16]Charter!$M27</f>
        <v>1918669</v>
      </c>
      <c r="N27" s="432">
        <f t="shared" ref="N27" si="29">SUM(L27:M27)</f>
        <v>3845029</v>
      </c>
      <c r="O27" s="293">
        <f>[17]Charter!$N27</f>
        <v>3665008</v>
      </c>
      <c r="P27" s="201">
        <f t="shared" si="8"/>
        <v>4.911885594792699E-2</v>
      </c>
    </row>
    <row r="28" spans="1:16" ht="14.1" customHeight="1" x14ac:dyDescent="0.2">
      <c r="A28" s="211" t="s">
        <v>110</v>
      </c>
      <c r="B28" s="437">
        <f>+[18]Charter!$B28</f>
        <v>155262</v>
      </c>
      <c r="C28" s="438">
        <f>+[18]Charter!$C28</f>
        <v>151595</v>
      </c>
      <c r="D28" s="429">
        <f t="shared" ref="D28" si="30">SUM(B28:C28)</f>
        <v>306857</v>
      </c>
      <c r="E28" s="430">
        <f>[19]Charter!$D28</f>
        <v>275867</v>
      </c>
      <c r="F28" s="212">
        <f t="shared" si="1"/>
        <v>0.11233674198073709</v>
      </c>
      <c r="G28" s="431">
        <f t="shared" ref="G28" si="31">L28-B28</f>
        <v>1774347</v>
      </c>
      <c r="H28" s="432">
        <f t="shared" ref="H28" si="32">M28-C28</f>
        <v>1764393</v>
      </c>
      <c r="I28" s="287">
        <f t="shared" ref="I28" si="33">SUM(G28:H28)</f>
        <v>3538740</v>
      </c>
      <c r="J28" s="293">
        <f>[19]Charter!$I28</f>
        <v>3463238</v>
      </c>
      <c r="K28" s="213">
        <f t="shared" si="4"/>
        <v>2.1800985089676192E-2</v>
      </c>
      <c r="L28" s="286">
        <f>+[18]Charter!$L28</f>
        <v>1929609</v>
      </c>
      <c r="M28" s="288">
        <f>+[18]Charter!$M28</f>
        <v>1915988</v>
      </c>
      <c r="N28" s="432">
        <f t="shared" ref="N28" si="34">SUM(L28:M28)</f>
        <v>3845597</v>
      </c>
      <c r="O28" s="293">
        <f>[19]Charter!$N28</f>
        <v>3739105</v>
      </c>
      <c r="P28" s="212">
        <f t="shared" si="8"/>
        <v>2.8480612339049052E-2</v>
      </c>
    </row>
    <row r="29" spans="1:16" ht="14.1" customHeight="1" x14ac:dyDescent="0.2">
      <c r="A29" s="198" t="s">
        <v>111</v>
      </c>
      <c r="B29" s="437">
        <f>+[20]Charter!$B29</f>
        <v>134390</v>
      </c>
      <c r="C29" s="438">
        <f>+[20]Charter!$C29</f>
        <v>135820</v>
      </c>
      <c r="D29" s="429">
        <f t="shared" ref="D29" si="35">SUM(B29:C29)</f>
        <v>270210</v>
      </c>
      <c r="E29" s="430">
        <f>[21]Charter!$D29</f>
        <v>225661</v>
      </c>
      <c r="F29" s="201">
        <f t="shared" si="1"/>
        <v>0.19741559241517143</v>
      </c>
      <c r="G29" s="431">
        <f t="shared" ref="G29" si="36">L29-B29</f>
        <v>1484438</v>
      </c>
      <c r="H29" s="432">
        <f t="shared" ref="H29" si="37">M29-C29</f>
        <v>1493914</v>
      </c>
      <c r="I29" s="287">
        <f t="shared" ref="I29" si="38">SUM(G29:H29)</f>
        <v>2978352</v>
      </c>
      <c r="J29" s="293">
        <f>[21]Charter!$I29</f>
        <v>2824553</v>
      </c>
      <c r="K29" s="207">
        <f t="shared" si="4"/>
        <v>5.4450739639157066E-2</v>
      </c>
      <c r="L29" s="286">
        <f>+[20]Charter!$L29</f>
        <v>1618828</v>
      </c>
      <c r="M29" s="288">
        <f>+[20]Charter!$M29</f>
        <v>1629734</v>
      </c>
      <c r="N29" s="432">
        <f t="shared" ref="N29" si="39">SUM(L29:M29)</f>
        <v>3248562</v>
      </c>
      <c r="O29" s="293">
        <f>[21]Charter!$N29</f>
        <v>3050214</v>
      </c>
      <c r="P29" s="201">
        <f t="shared" si="8"/>
        <v>6.5027568557484816E-2</v>
      </c>
    </row>
    <row r="30" spans="1:16" ht="14.1" customHeight="1" x14ac:dyDescent="0.2">
      <c r="A30" s="211" t="s">
        <v>112</v>
      </c>
      <c r="B30" s="437">
        <f>+[22]Charter!$B30</f>
        <v>127725</v>
      </c>
      <c r="C30" s="438">
        <f>+[22]Charter!$C30</f>
        <v>122290</v>
      </c>
      <c r="D30" s="429">
        <f t="shared" ref="D30" si="40">SUM(B30:C30)</f>
        <v>250015</v>
      </c>
      <c r="E30" s="430">
        <f>[23]Charter!$D30</f>
        <v>208545</v>
      </c>
      <c r="F30" s="212">
        <f t="shared" si="1"/>
        <v>0.19885396437219785</v>
      </c>
      <c r="G30" s="431">
        <f t="shared" ref="G30:H32" si="41">L30-B30</f>
        <v>1557720</v>
      </c>
      <c r="H30" s="432">
        <f t="shared" si="41"/>
        <v>1576987</v>
      </c>
      <c r="I30" s="287">
        <f>SUM(G30:H30)</f>
        <v>3134707</v>
      </c>
      <c r="J30" s="293">
        <f>[23]Charter!$I30</f>
        <v>3017398</v>
      </c>
      <c r="K30" s="213">
        <f t="shared" si="4"/>
        <v>3.8877536208349051E-2</v>
      </c>
      <c r="L30" s="286">
        <f>+[22]Charter!$L30</f>
        <v>1685445</v>
      </c>
      <c r="M30" s="288">
        <f>+[22]Charter!$M30</f>
        <v>1699277</v>
      </c>
      <c r="N30" s="432">
        <f t="shared" ref="N30" si="42">SUM(L30:M30)</f>
        <v>3384722</v>
      </c>
      <c r="O30" s="293">
        <f>[23]Charter!$N30</f>
        <v>3225943</v>
      </c>
      <c r="P30" s="212">
        <f t="shared" si="8"/>
        <v>4.9219406542521056E-2</v>
      </c>
    </row>
    <row r="31" spans="1:16" ht="14.1" customHeight="1" x14ac:dyDescent="0.2">
      <c r="A31" s="198" t="s">
        <v>113</v>
      </c>
      <c r="B31" s="437">
        <f>+[2]Charter!$B31</f>
        <v>104027</v>
      </c>
      <c r="C31" s="438">
        <f>+[2]Charter!$C31</f>
        <v>106500</v>
      </c>
      <c r="D31" s="429">
        <f t="shared" ref="D31" si="43">SUM(B31:C31)</f>
        <v>210527</v>
      </c>
      <c r="E31" s="430">
        <f>[24]Charter!$D31</f>
        <v>178822</v>
      </c>
      <c r="F31" s="201">
        <f t="shared" si="1"/>
        <v>0.17729921374327542</v>
      </c>
      <c r="G31" s="431">
        <f t="shared" si="41"/>
        <v>1376376</v>
      </c>
      <c r="H31" s="432">
        <f t="shared" si="41"/>
        <v>1379697</v>
      </c>
      <c r="I31" s="287">
        <f>SUM(G31:H31)</f>
        <v>2756073</v>
      </c>
      <c r="J31" s="293">
        <f>[24]Charter!$I31</f>
        <v>2743099</v>
      </c>
      <c r="K31" s="207">
        <f t="shared" si="4"/>
        <v>4.7296871166516413E-3</v>
      </c>
      <c r="L31" s="286">
        <f>+[2]Charter!$L31</f>
        <v>1480403</v>
      </c>
      <c r="M31" s="288">
        <f>+[2]Charter!$M31</f>
        <v>1486197</v>
      </c>
      <c r="N31" s="432">
        <f t="shared" ref="N31" si="44">SUM(L31:M31)</f>
        <v>2966600</v>
      </c>
      <c r="O31" s="293">
        <f>[24]Charter!$N31</f>
        <v>2921921</v>
      </c>
      <c r="P31" s="201">
        <f t="shared" si="8"/>
        <v>1.5290967825618831E-2</v>
      </c>
    </row>
    <row r="32" spans="1:16" ht="14.1" customHeight="1" x14ac:dyDescent="0.2">
      <c r="A32" s="214" t="s">
        <v>114</v>
      </c>
      <c r="B32" s="457">
        <f>'Intl Detail'!$N$4+'Intl Detail'!$N$9</f>
        <v>122388</v>
      </c>
      <c r="C32" s="458">
        <f>'Intl Detail'!$N$5+'Intl Detail'!$N$10</f>
        <v>139941</v>
      </c>
      <c r="D32" s="459">
        <f>SUM(B32:C32)</f>
        <v>262329</v>
      </c>
      <c r="E32" s="454">
        <f>[1]Charter!$D32</f>
        <v>213291</v>
      </c>
      <c r="F32" s="215">
        <f t="shared" si="1"/>
        <v>0.22991124801327764</v>
      </c>
      <c r="G32" s="216">
        <f t="shared" si="41"/>
        <v>1461040</v>
      </c>
      <c r="H32" s="134">
        <f t="shared" si="41"/>
        <v>1497713</v>
      </c>
      <c r="I32" s="134">
        <f>SUM(G32:H32)</f>
        <v>2958753</v>
      </c>
      <c r="J32" s="293">
        <f>[1]Charter!$I32</f>
        <v>2687136</v>
      </c>
      <c r="K32" s="215">
        <f t="shared" si="4"/>
        <v>0.1010804812261084</v>
      </c>
      <c r="L32" s="286">
        <f>'Monthly Summary'!$B$11</f>
        <v>1583428</v>
      </c>
      <c r="M32" s="288">
        <f>'Monthly Summary'!$C$11</f>
        <v>1637654</v>
      </c>
      <c r="N32" s="134">
        <f t="shared" ref="N32" si="45">SUM(L32:M32)</f>
        <v>3221082</v>
      </c>
      <c r="O32" s="293">
        <f>[1]Charter!$N32</f>
        <v>2900427</v>
      </c>
      <c r="P32" s="215">
        <f t="shared" si="8"/>
        <v>0.11055441147113856</v>
      </c>
    </row>
    <row r="33" spans="1:16" ht="13.5" thickBot="1" x14ac:dyDescent="0.25">
      <c r="A33" s="208" t="s">
        <v>77</v>
      </c>
      <c r="B33" s="218">
        <f>SUM(B21:B32)</f>
        <v>1650551</v>
      </c>
      <c r="C33" s="219">
        <f>SUM(C21:C32)</f>
        <v>1646011</v>
      </c>
      <c r="D33" s="219">
        <f>SUM(D21:D32)</f>
        <v>3296562</v>
      </c>
      <c r="E33" s="220">
        <f>SUM(E21:E32)</f>
        <v>3038981</v>
      </c>
      <c r="F33" s="203">
        <f>(D33-E33)/E33</f>
        <v>8.4759003100052285E-2</v>
      </c>
      <c r="G33" s="221">
        <f>SUM(G21:G32)</f>
        <v>18121104</v>
      </c>
      <c r="H33" s="219">
        <f>SUM(H21:H32)</f>
        <v>18137369</v>
      </c>
      <c r="I33" s="219">
        <f>SUM(I21:I32)</f>
        <v>36258473</v>
      </c>
      <c r="J33" s="222">
        <f>SUM(J21:J32)</f>
        <v>35007104</v>
      </c>
      <c r="K33" s="204">
        <f>(I33-J33)/J33</f>
        <v>3.5746144553973958E-2</v>
      </c>
      <c r="L33" s="221">
        <f>SUM(L21:L32)</f>
        <v>19771655</v>
      </c>
      <c r="M33" s="219">
        <f>SUM(M21:M32)</f>
        <v>19783380</v>
      </c>
      <c r="N33" s="219">
        <f>SUM(N21:N32)</f>
        <v>39555035</v>
      </c>
      <c r="O33" s="220">
        <f>SUM(O21:O32)</f>
        <v>38046085</v>
      </c>
      <c r="P33" s="202">
        <f>(N33-O33)/O33</f>
        <v>3.9661110992103392E-2</v>
      </c>
    </row>
    <row r="35" spans="1:16" x14ac:dyDescent="0.2">
      <c r="N35" s="97"/>
      <c r="O35" s="97"/>
    </row>
    <row r="36" spans="1:16" x14ac:dyDescent="0.2">
      <c r="D36" s="97"/>
      <c r="O36" s="97"/>
    </row>
    <row r="37" spans="1:16" x14ac:dyDescent="0.2">
      <c r="N37" s="97"/>
      <c r="O37" s="9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December 2019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3"/>
  <sheetViews>
    <sheetView zoomScaleNormal="100" workbookViewId="0">
      <selection activeCell="H3" sqref="H3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0.28515625" customWidth="1"/>
    <col min="5" max="6" width="11.28515625" bestFit="1" customWidth="1"/>
    <col min="7" max="7" width="1" customWidth="1"/>
    <col min="8" max="8" width="11.28515625" bestFit="1" customWidth="1"/>
    <col min="9" max="11" width="11.28515625" customWidth="1"/>
    <col min="13" max="14" width="11.28515625" bestFit="1" customWidth="1"/>
    <col min="16" max="16" width="11.28515625" bestFit="1" customWidth="1"/>
  </cols>
  <sheetData>
    <row r="1" spans="1:19" s="44" customFormat="1" ht="15.75" thickBot="1" x14ac:dyDescent="0.3">
      <c r="B1" s="480" t="s">
        <v>224</v>
      </c>
      <c r="C1" s="481"/>
      <c r="D1" s="481"/>
      <c r="E1" s="481"/>
      <c r="F1" s="482"/>
      <c r="G1" s="450"/>
      <c r="H1" s="480" t="s">
        <v>93</v>
      </c>
      <c r="I1" s="481"/>
      <c r="J1" s="481"/>
      <c r="K1" s="481"/>
      <c r="L1" s="481"/>
      <c r="M1" s="481"/>
      <c r="N1" s="481"/>
      <c r="O1" s="482"/>
    </row>
    <row r="2" spans="1:19" s="28" customFormat="1" ht="30.75" customHeight="1" thickBot="1" x14ac:dyDescent="0.25">
      <c r="A2" s="325">
        <v>43800</v>
      </c>
      <c r="B2" s="372" t="s">
        <v>181</v>
      </c>
      <c r="C2" s="372" t="s">
        <v>228</v>
      </c>
      <c r="D2" s="372" t="s">
        <v>216</v>
      </c>
      <c r="E2" s="373" t="s">
        <v>82</v>
      </c>
      <c r="F2" s="373" t="s">
        <v>83</v>
      </c>
      <c r="G2" s="451"/>
      <c r="H2" s="452" t="s">
        <v>232</v>
      </c>
      <c r="I2" s="452" t="s">
        <v>225</v>
      </c>
      <c r="J2" s="452" t="s">
        <v>182</v>
      </c>
      <c r="K2" s="452" t="s">
        <v>165</v>
      </c>
      <c r="L2" s="453" t="s">
        <v>84</v>
      </c>
      <c r="M2" s="373" t="s">
        <v>85</v>
      </c>
      <c r="N2" s="452" t="s">
        <v>86</v>
      </c>
      <c r="O2" s="452" t="s">
        <v>129</v>
      </c>
      <c r="P2" s="452" t="s">
        <v>21</v>
      </c>
    </row>
    <row r="3" spans="1:19" ht="15" x14ac:dyDescent="0.25">
      <c r="A3" s="168" t="s">
        <v>9</v>
      </c>
      <c r="B3" s="169"/>
      <c r="C3" s="169"/>
      <c r="D3" s="169"/>
      <c r="E3" s="169"/>
      <c r="F3" s="169"/>
      <c r="G3" s="170"/>
      <c r="H3" s="30"/>
      <c r="I3" s="30"/>
      <c r="J3" s="30"/>
      <c r="K3" s="30"/>
      <c r="L3" s="30"/>
      <c r="M3" s="41"/>
      <c r="N3" s="30"/>
      <c r="O3" s="30"/>
      <c r="P3" s="171"/>
    </row>
    <row r="4" spans="1:19" x14ac:dyDescent="0.2">
      <c r="A4" s="38" t="s">
        <v>53</v>
      </c>
      <c r="B4" s="134">
        <f>[3]DHL_Atlas!$GM$4</f>
        <v>3</v>
      </c>
      <c r="C4" s="134">
        <f>[3]DHL_Kalitta!$GM$4</f>
        <v>21</v>
      </c>
      <c r="D4" s="134">
        <f>'[3]Atlas Air'!$GM$4</f>
        <v>30</v>
      </c>
      <c r="E4" s="134">
        <f>[3]FedEx!$GM$4+[3]FedEx!$GM$15</f>
        <v>159</v>
      </c>
      <c r="F4" s="134">
        <f>[3]UPS!$GM$4+[3]UPS!$GM$15</f>
        <v>189</v>
      </c>
      <c r="G4" s="161"/>
      <c r="H4" s="97">
        <f>[3]Airborne!$GM$4</f>
        <v>1</v>
      </c>
      <c r="I4" s="134">
        <f>[3]Encore!$GM$4+[3]Encore!$GM$15</f>
        <v>40</v>
      </c>
      <c r="J4" s="134">
        <f>[3]IFL!$GM$4+[3]IFL!$GM$15</f>
        <v>15</v>
      </c>
      <c r="K4" s="97">
        <f>'[3]Suburban Air Freight'!$GM$15</f>
        <v>0</v>
      </c>
      <c r="L4" s="97">
        <f>[3]Bemidji!$GM$4</f>
        <v>236</v>
      </c>
      <c r="M4" s="97">
        <f>'[3]CSA Air'!$GM$4</f>
        <v>0</v>
      </c>
      <c r="N4" s="97">
        <f>'[3]Mountain Cargo'!$GM$4</f>
        <v>20</v>
      </c>
      <c r="O4" s="97">
        <f>'[3]Misc Cargo'!$GM$4</f>
        <v>0</v>
      </c>
      <c r="P4" s="172">
        <f>SUM(B4:O4)</f>
        <v>714</v>
      </c>
    </row>
    <row r="5" spans="1:19" x14ac:dyDescent="0.2">
      <c r="A5" s="38" t="s">
        <v>54</v>
      </c>
      <c r="B5" s="167">
        <f>[3]DHL_Atlas!$GM$5</f>
        <v>3</v>
      </c>
      <c r="C5" s="167">
        <f>[3]DHL_Kalitta!$GM$5</f>
        <v>21</v>
      </c>
      <c r="D5" s="167">
        <f>'[3]Atlas Air'!$GM$5</f>
        <v>30</v>
      </c>
      <c r="E5" s="167">
        <f>[3]FedEx!$GM$5</f>
        <v>159</v>
      </c>
      <c r="F5" s="167">
        <f>[3]UPS!$GM$5+[3]UPS!$GM$16</f>
        <v>189</v>
      </c>
      <c r="G5" s="161"/>
      <c r="H5" s="98">
        <f>[3]Airborne!$GM$5</f>
        <v>1</v>
      </c>
      <c r="I5" s="167">
        <f>[3]Encore!$GM$5</f>
        <v>40</v>
      </c>
      <c r="J5" s="167">
        <f>[3]IFL!$GM$5</f>
        <v>15</v>
      </c>
      <c r="K5" s="98">
        <f>'[3]Suburban Air Freight'!$GM$16</f>
        <v>0</v>
      </c>
      <c r="L5" s="98">
        <f>[3]Bemidji!$GM$5</f>
        <v>236</v>
      </c>
      <c r="M5" s="98">
        <f>'[3]CSA Air'!$GM$5</f>
        <v>0</v>
      </c>
      <c r="N5" s="98">
        <f>'[3]Mountain Cargo'!$GM$5</f>
        <v>20</v>
      </c>
      <c r="O5" s="98">
        <f>'[3]Misc Cargo'!$GM$5</f>
        <v>0</v>
      </c>
      <c r="P5" s="176">
        <f>SUM(B5:O5)</f>
        <v>714</v>
      </c>
    </row>
    <row r="6" spans="1:19" s="160" customFormat="1" x14ac:dyDescent="0.2">
      <c r="A6" s="173" t="s">
        <v>55</v>
      </c>
      <c r="B6" s="174">
        <f>SUM(B4:B5)</f>
        <v>6</v>
      </c>
      <c r="C6" s="174">
        <f>SUM(C4:C5)</f>
        <v>42</v>
      </c>
      <c r="D6" s="174">
        <f>SUM(D4:D5)</f>
        <v>60</v>
      </c>
      <c r="E6" s="174">
        <f>SUM(E4:E5)</f>
        <v>318</v>
      </c>
      <c r="F6" s="174">
        <f>SUM(F4:F5)</f>
        <v>378</v>
      </c>
      <c r="G6" s="162"/>
      <c r="H6" s="95">
        <f t="shared" ref="H6:O6" si="0">SUM(H4:H5)</f>
        <v>2</v>
      </c>
      <c r="I6" s="174">
        <f>SUM(I4:I5)</f>
        <v>80</v>
      </c>
      <c r="J6" s="174">
        <f>SUM(J4:J5)</f>
        <v>30</v>
      </c>
      <c r="K6" s="95">
        <f t="shared" si="0"/>
        <v>0</v>
      </c>
      <c r="L6" s="95">
        <f t="shared" si="0"/>
        <v>472</v>
      </c>
      <c r="M6" s="95">
        <f t="shared" si="0"/>
        <v>0</v>
      </c>
      <c r="N6" s="95">
        <f t="shared" si="0"/>
        <v>40</v>
      </c>
      <c r="O6" s="95">
        <f t="shared" si="0"/>
        <v>0</v>
      </c>
      <c r="P6" s="175">
        <f>SUM(B6:O6)</f>
        <v>1428</v>
      </c>
    </row>
    <row r="7" spans="1:19" x14ac:dyDescent="0.2">
      <c r="A7" s="38"/>
      <c r="B7" s="134"/>
      <c r="C7" s="134"/>
      <c r="D7" s="134"/>
      <c r="E7" s="134"/>
      <c r="F7" s="134"/>
      <c r="G7" s="161"/>
      <c r="H7" s="97"/>
      <c r="I7" s="134"/>
      <c r="J7" s="134"/>
      <c r="K7" s="97"/>
      <c r="L7" s="97"/>
      <c r="M7" s="97"/>
      <c r="N7" s="97"/>
      <c r="O7" s="97"/>
      <c r="P7" s="172"/>
    </row>
    <row r="8" spans="1:19" x14ac:dyDescent="0.2">
      <c r="A8" s="38" t="s">
        <v>56</v>
      </c>
      <c r="B8" s="134"/>
      <c r="C8" s="134"/>
      <c r="D8" s="134"/>
      <c r="E8" s="134"/>
      <c r="F8" s="134"/>
      <c r="G8" s="161"/>
      <c r="H8" s="97"/>
      <c r="I8" s="134"/>
      <c r="J8" s="134"/>
      <c r="K8" s="97"/>
      <c r="L8" s="97"/>
      <c r="M8" s="97"/>
      <c r="N8" s="97"/>
      <c r="O8" s="97">
        <f>'[3]Misc Cargo'!$GM$8</f>
        <v>0</v>
      </c>
      <c r="P8" s="172">
        <f>SUM(B8:O8)</f>
        <v>0</v>
      </c>
    </row>
    <row r="9" spans="1:19" ht="15" x14ac:dyDescent="0.25">
      <c r="A9" s="38" t="s">
        <v>57</v>
      </c>
      <c r="B9" s="167"/>
      <c r="C9" s="167"/>
      <c r="D9" s="167"/>
      <c r="E9" s="167"/>
      <c r="F9" s="167"/>
      <c r="G9" s="161"/>
      <c r="H9" s="98"/>
      <c r="I9" s="167"/>
      <c r="J9" s="167"/>
      <c r="K9" s="98"/>
      <c r="L9" s="98"/>
      <c r="M9" s="98"/>
      <c r="N9" s="98"/>
      <c r="O9" s="98">
        <f>'[3]Misc Cargo'!$GM$9</f>
        <v>0</v>
      </c>
      <c r="P9" s="176">
        <f>SUM(B9:O9)</f>
        <v>0</v>
      </c>
      <c r="S9" s="8"/>
    </row>
    <row r="10" spans="1:19" s="160" customFormat="1" x14ac:dyDescent="0.2">
      <c r="A10" s="173" t="s">
        <v>58</v>
      </c>
      <c r="B10" s="174">
        <f>SUM(B8:B9)</f>
        <v>0</v>
      </c>
      <c r="C10" s="174">
        <f>SUM(C8:C9)</f>
        <v>0</v>
      </c>
      <c r="D10" s="174">
        <f>SUM(D8:D9)</f>
        <v>0</v>
      </c>
      <c r="E10" s="174">
        <f>SUM(E8:E9)</f>
        <v>0</v>
      </c>
      <c r="F10" s="174">
        <f>SUM(F8:F9)</f>
        <v>0</v>
      </c>
      <c r="G10" s="162"/>
      <c r="H10" s="95">
        <f t="shared" ref="H10:O10" si="1">SUM(H8:H9)</f>
        <v>0</v>
      </c>
      <c r="I10" s="174">
        <f>SUM(I8:I9)</f>
        <v>0</v>
      </c>
      <c r="J10" s="174">
        <f>SUM(J8:J9)</f>
        <v>0</v>
      </c>
      <c r="K10" s="95">
        <f t="shared" si="1"/>
        <v>0</v>
      </c>
      <c r="L10" s="95">
        <f t="shared" si="1"/>
        <v>0</v>
      </c>
      <c r="M10" s="95">
        <f t="shared" si="1"/>
        <v>0</v>
      </c>
      <c r="N10" s="95">
        <f t="shared" si="1"/>
        <v>0</v>
      </c>
      <c r="O10" s="95">
        <f t="shared" si="1"/>
        <v>0</v>
      </c>
      <c r="P10" s="175">
        <f>SUM(B10:O10)</f>
        <v>0</v>
      </c>
    </row>
    <row r="11" spans="1:19" x14ac:dyDescent="0.2">
      <c r="A11" s="38"/>
      <c r="B11" s="134"/>
      <c r="C11" s="134"/>
      <c r="D11" s="134"/>
      <c r="E11" s="134"/>
      <c r="F11" s="134"/>
      <c r="G11" s="161"/>
      <c r="H11" s="97"/>
      <c r="I11" s="134"/>
      <c r="J11" s="134"/>
      <c r="K11" s="97"/>
      <c r="L11" s="97"/>
      <c r="M11" s="97"/>
      <c r="N11" s="97"/>
      <c r="O11" s="97"/>
      <c r="P11" s="142"/>
    </row>
    <row r="12" spans="1:19" ht="18" customHeight="1" thickBot="1" x14ac:dyDescent="0.25">
      <c r="A12" s="177" t="s">
        <v>28</v>
      </c>
      <c r="B12" s="178">
        <f>B6+B10</f>
        <v>6</v>
      </c>
      <c r="C12" s="178">
        <f>C6+C10</f>
        <v>42</v>
      </c>
      <c r="D12" s="178">
        <f>D6+D10</f>
        <v>60</v>
      </c>
      <c r="E12" s="178">
        <f>E6+E10</f>
        <v>318</v>
      </c>
      <c r="F12" s="178">
        <f>F6+F10</f>
        <v>378</v>
      </c>
      <c r="G12" s="179"/>
      <c r="H12" s="180">
        <f t="shared" ref="H12:O12" si="2">H6+H10</f>
        <v>2</v>
      </c>
      <c r="I12" s="178">
        <f>I6+I10</f>
        <v>80</v>
      </c>
      <c r="J12" s="178">
        <f>J6+J10</f>
        <v>30</v>
      </c>
      <c r="K12" s="180">
        <f t="shared" si="2"/>
        <v>0</v>
      </c>
      <c r="L12" s="180">
        <f t="shared" si="2"/>
        <v>472</v>
      </c>
      <c r="M12" s="180">
        <f t="shared" si="2"/>
        <v>0</v>
      </c>
      <c r="N12" s="180">
        <f t="shared" si="2"/>
        <v>40</v>
      </c>
      <c r="O12" s="180">
        <f t="shared" si="2"/>
        <v>0</v>
      </c>
      <c r="P12" s="181">
        <f>SUM(B12:O12)</f>
        <v>1428</v>
      </c>
    </row>
    <row r="13" spans="1:19" ht="18" customHeight="1" thickBot="1" x14ac:dyDescent="0.25">
      <c r="A13" s="149"/>
      <c r="B13" s="163"/>
      <c r="C13" s="163"/>
      <c r="D13" s="163"/>
      <c r="E13" s="163"/>
      <c r="F13" s="163"/>
      <c r="G13" s="164"/>
      <c r="H13" s="165"/>
      <c r="I13" s="163"/>
      <c r="J13" s="163"/>
      <c r="K13" s="165"/>
      <c r="L13" s="150"/>
      <c r="M13" s="150"/>
      <c r="N13" s="150"/>
      <c r="O13" s="150"/>
      <c r="P13" s="2"/>
    </row>
    <row r="14" spans="1:19" ht="15" x14ac:dyDescent="0.25">
      <c r="A14" s="182" t="s">
        <v>94</v>
      </c>
      <c r="B14" s="183"/>
      <c r="C14" s="183"/>
      <c r="D14" s="183"/>
      <c r="E14" s="183"/>
      <c r="F14" s="183"/>
      <c r="G14" s="184"/>
      <c r="H14" s="147"/>
      <c r="I14" s="183"/>
      <c r="J14" s="183"/>
      <c r="K14" s="147"/>
      <c r="L14" s="63"/>
      <c r="M14" s="63"/>
      <c r="N14" s="63"/>
      <c r="O14" s="63"/>
      <c r="P14" s="185"/>
    </row>
    <row r="15" spans="1:19" x14ac:dyDescent="0.2">
      <c r="A15" s="186" t="s">
        <v>95</v>
      </c>
      <c r="B15" s="134"/>
      <c r="C15" s="134"/>
      <c r="D15" s="134"/>
      <c r="E15" s="134"/>
      <c r="F15" s="134"/>
      <c r="G15" s="161"/>
      <c r="H15" s="97"/>
      <c r="I15" s="134"/>
      <c r="J15" s="134"/>
      <c r="K15" s="97"/>
      <c r="L15" s="2"/>
      <c r="M15" s="2"/>
      <c r="N15" s="2"/>
      <c r="O15" s="2"/>
      <c r="P15" s="151"/>
    </row>
    <row r="16" spans="1:19" x14ac:dyDescent="0.2">
      <c r="A16" s="38" t="s">
        <v>37</v>
      </c>
      <c r="B16" s="134">
        <f>[3]DHL_Atlas!$GM$47</f>
        <v>71623</v>
      </c>
      <c r="C16" s="134">
        <f>[3]DHL_Kalitta!$GM$47</f>
        <v>311071</v>
      </c>
      <c r="D16" s="134">
        <f>'[3]Atlas Air'!$GM$47</f>
        <v>2187774</v>
      </c>
      <c r="E16" s="134">
        <f>[3]FedEx!$GM$47</f>
        <v>8621693</v>
      </c>
      <c r="F16" s="134">
        <f>[3]UPS!$GM$47</f>
        <v>8824010</v>
      </c>
      <c r="G16" s="161"/>
      <c r="H16" s="97">
        <f>[3]Airborne!$GM$47</f>
        <v>35888</v>
      </c>
      <c r="I16" s="134">
        <f>[3]Encore!$GM$47</f>
        <v>34106</v>
      </c>
      <c r="J16" s="134">
        <f>[3]IFL!$GM$47</f>
        <v>37601</v>
      </c>
      <c r="K16" s="97">
        <f>'[3]Suburban Air Freight'!$GM$47</f>
        <v>0</v>
      </c>
      <c r="L16" s="477" t="s">
        <v>87</v>
      </c>
      <c r="M16" s="97">
        <f>'[3]CSA Air'!$GM$47</f>
        <v>0</v>
      </c>
      <c r="N16" s="97">
        <f>'[3]Mountain Cargo'!$GM$47</f>
        <v>122281</v>
      </c>
      <c r="O16" s="97">
        <f>'[3]Misc Cargo'!$GM$47</f>
        <v>0</v>
      </c>
      <c r="P16" s="172">
        <f>SUM(B16:K16)+SUM(M16:O16)</f>
        <v>20246047</v>
      </c>
    </row>
    <row r="17" spans="1:16" x14ac:dyDescent="0.2">
      <c r="A17" s="38" t="s">
        <v>38</v>
      </c>
      <c r="B17" s="134">
        <f>[3]DHL_Atlas!$GM$48</f>
        <v>0</v>
      </c>
      <c r="C17" s="134">
        <f>[3]DHL_Kalitta!$GM$48</f>
        <v>0</v>
      </c>
      <c r="D17" s="134">
        <f>'[3]Atlas Air'!$GM$48</f>
        <v>0</v>
      </c>
      <c r="E17" s="134">
        <f>[3]FedEx!$GM$48</f>
        <v>0</v>
      </c>
      <c r="F17" s="134">
        <f>[3]UPS!$GM$48</f>
        <v>0</v>
      </c>
      <c r="G17" s="161"/>
      <c r="H17" s="97">
        <f>[3]Airborne!$GM$48</f>
        <v>0</v>
      </c>
      <c r="I17" s="134">
        <f>[3]Encore!$GM$48</f>
        <v>0</v>
      </c>
      <c r="J17" s="134">
        <f>[3]IFL!$GM$48</f>
        <v>0</v>
      </c>
      <c r="K17" s="97">
        <f>'[3]Suburban Air Freight'!$GM$48</f>
        <v>0</v>
      </c>
      <c r="L17" s="478"/>
      <c r="M17" s="97">
        <f>'[3]CSA Air'!$GM$48</f>
        <v>0</v>
      </c>
      <c r="N17" s="97">
        <f>'[3]Mountain Cargo'!$GM$48</f>
        <v>0</v>
      </c>
      <c r="O17" s="97">
        <f>'[3]Misc Cargo'!$GM$48</f>
        <v>0</v>
      </c>
      <c r="P17" s="172">
        <f>SUM(B17:K17)+SUM(M17:O17)</f>
        <v>0</v>
      </c>
    </row>
    <row r="18" spans="1:16" ht="18" customHeight="1" x14ac:dyDescent="0.2">
      <c r="A18" s="187" t="s">
        <v>39</v>
      </c>
      <c r="B18" s="260">
        <f>SUM(B16:B17)</f>
        <v>71623</v>
      </c>
      <c r="C18" s="260">
        <f>SUM(C16:C17)</f>
        <v>311071</v>
      </c>
      <c r="D18" s="260">
        <f>SUM(D16:D17)</f>
        <v>2187774</v>
      </c>
      <c r="E18" s="260">
        <f>SUM(E16:E17)</f>
        <v>8621693</v>
      </c>
      <c r="F18" s="260">
        <f>SUM(F16:F17)</f>
        <v>8824010</v>
      </c>
      <c r="G18" s="166"/>
      <c r="H18" s="261">
        <f>SUM(H16:H17)</f>
        <v>35888</v>
      </c>
      <c r="I18" s="260">
        <f>SUM(I16:I17)</f>
        <v>34106</v>
      </c>
      <c r="J18" s="260">
        <f>SUM(J16:J17)</f>
        <v>37601</v>
      </c>
      <c r="K18" s="261">
        <f>SUM(K16:K17)</f>
        <v>0</v>
      </c>
      <c r="L18" s="478"/>
      <c r="M18" s="261">
        <f>SUM(M16:M17)</f>
        <v>0</v>
      </c>
      <c r="N18" s="261">
        <f>SUM(N16:N17)</f>
        <v>122281</v>
      </c>
      <c r="O18" s="261">
        <f>SUM(O16:O17)</f>
        <v>0</v>
      </c>
      <c r="P18" s="188">
        <f>SUM(B18:K18)+SUM(M18:O18)</f>
        <v>20246047</v>
      </c>
    </row>
    <row r="19" spans="1:16" x14ac:dyDescent="0.2">
      <c r="A19" s="38"/>
      <c r="B19" s="134"/>
      <c r="C19" s="134"/>
      <c r="D19" s="134"/>
      <c r="E19" s="134"/>
      <c r="F19" s="134"/>
      <c r="G19" s="161"/>
      <c r="H19" s="97"/>
      <c r="I19" s="134"/>
      <c r="J19" s="134"/>
      <c r="K19" s="97"/>
      <c r="L19" s="478"/>
      <c r="M19" s="97"/>
      <c r="N19" s="97"/>
      <c r="O19" s="97"/>
      <c r="P19" s="172"/>
    </row>
    <row r="20" spans="1:16" x14ac:dyDescent="0.2">
      <c r="A20" s="189" t="s">
        <v>88</v>
      </c>
      <c r="B20" s="134"/>
      <c r="C20" s="134"/>
      <c r="D20" s="134"/>
      <c r="E20" s="134"/>
      <c r="F20" s="134"/>
      <c r="G20" s="161"/>
      <c r="H20" s="97"/>
      <c r="I20" s="134"/>
      <c r="J20" s="134"/>
      <c r="K20" s="97"/>
      <c r="L20" s="478"/>
      <c r="M20" s="97"/>
      <c r="N20" s="97"/>
      <c r="O20" s="97"/>
      <c r="P20" s="172"/>
    </row>
    <row r="21" spans="1:16" x14ac:dyDescent="0.2">
      <c r="A21" s="38" t="s">
        <v>59</v>
      </c>
      <c r="B21" s="134">
        <f>[3]DHL_Atlas!$GM$52</f>
        <v>33600</v>
      </c>
      <c r="C21" s="134">
        <f>[3]DHL_Kalitta!$GM$52</f>
        <v>307220</v>
      </c>
      <c r="D21" s="134">
        <f>'[3]Atlas Air'!$GM$52</f>
        <v>568803</v>
      </c>
      <c r="E21" s="134">
        <f>[3]FedEx!$GM$52</f>
        <v>8085324</v>
      </c>
      <c r="F21" s="134">
        <f>[3]UPS!$GM$52</f>
        <v>6939977</v>
      </c>
      <c r="G21" s="161"/>
      <c r="H21" s="97">
        <f>[3]Airborne!$GM$52</f>
        <v>66342</v>
      </c>
      <c r="I21" s="134">
        <f>[3]Encore!$GM$52</f>
        <v>63027</v>
      </c>
      <c r="J21" s="134">
        <f>[3]IFL!$GM$52</f>
        <v>0</v>
      </c>
      <c r="K21" s="97">
        <f>'[3]Suburban Air Freight'!$GM$52</f>
        <v>0</v>
      </c>
      <c r="L21" s="478"/>
      <c r="M21" s="97">
        <f>'[3]CSA Air'!$GM$52</f>
        <v>0</v>
      </c>
      <c r="N21" s="97">
        <f>'[3]Mountain Cargo'!$GM$52</f>
        <v>41986</v>
      </c>
      <c r="O21" s="97">
        <f>'[3]Misc Cargo'!$GM$52</f>
        <v>0</v>
      </c>
      <c r="P21" s="172">
        <f>SUM(B21:K21)+SUM(M21:O21)</f>
        <v>16106279</v>
      </c>
    </row>
    <row r="22" spans="1:16" x14ac:dyDescent="0.2">
      <c r="A22" s="38" t="s">
        <v>60</v>
      </c>
      <c r="B22" s="134">
        <f>[3]DHL_Atlas!$GM$53</f>
        <v>0</v>
      </c>
      <c r="C22" s="134">
        <f>[3]DHL_Kalitta!$GM$53</f>
        <v>0</v>
      </c>
      <c r="D22" s="134">
        <f>'[3]Atlas Air'!$GM$53</f>
        <v>0</v>
      </c>
      <c r="E22" s="134">
        <f>[3]FedEx!$GM$53</f>
        <v>0</v>
      </c>
      <c r="F22" s="134">
        <f>[3]UPS!$GM$53</f>
        <v>80610</v>
      </c>
      <c r="G22" s="161"/>
      <c r="H22" s="97">
        <f>[3]Airborne!$GM$53</f>
        <v>0</v>
      </c>
      <c r="I22" s="134">
        <f>[3]Encore!$GM$53</f>
        <v>0</v>
      </c>
      <c r="J22" s="134">
        <f>[3]IFL!$GM$53</f>
        <v>0</v>
      </c>
      <c r="K22" s="97">
        <f>'[3]Suburban Air Freight'!$GM$53</f>
        <v>0</v>
      </c>
      <c r="L22" s="478"/>
      <c r="M22" s="97">
        <f>'[3]CSA Air'!$GM$53</f>
        <v>0</v>
      </c>
      <c r="N22" s="97">
        <f>'[3]Mountain Cargo'!$GM$53</f>
        <v>0</v>
      </c>
      <c r="O22" s="97">
        <f>'[3]Misc Cargo'!$GM$53</f>
        <v>0</v>
      </c>
      <c r="P22" s="172">
        <f>SUM(B22:K22)+SUM(M22:O22)</f>
        <v>80610</v>
      </c>
    </row>
    <row r="23" spans="1:16" ht="18" customHeight="1" x14ac:dyDescent="0.2">
      <c r="A23" s="187" t="s">
        <v>41</v>
      </c>
      <c r="B23" s="260">
        <f>SUM(B21:B22)</f>
        <v>33600</v>
      </c>
      <c r="C23" s="260">
        <f>SUM(C21:C22)</f>
        <v>307220</v>
      </c>
      <c r="D23" s="260">
        <f>SUM(D21:D22)</f>
        <v>568803</v>
      </c>
      <c r="E23" s="260">
        <f>SUM(E21:E22)</f>
        <v>8085324</v>
      </c>
      <c r="F23" s="260">
        <f>SUM(F21:F22)</f>
        <v>7020587</v>
      </c>
      <c r="G23" s="166"/>
      <c r="H23" s="261">
        <f>SUM(H21:H22)</f>
        <v>66342</v>
      </c>
      <c r="I23" s="260">
        <f>SUM(I21:I22)</f>
        <v>63027</v>
      </c>
      <c r="J23" s="260">
        <f>SUM(J21:J22)</f>
        <v>0</v>
      </c>
      <c r="K23" s="261">
        <f>SUM(K21:K22)</f>
        <v>0</v>
      </c>
      <c r="L23" s="478"/>
      <c r="M23" s="261">
        <f>SUM(M21:M22)</f>
        <v>0</v>
      </c>
      <c r="N23" s="261">
        <f>SUM(N21:N22)</f>
        <v>41986</v>
      </c>
      <c r="O23" s="261">
        <f>SUM(O21:O22)</f>
        <v>0</v>
      </c>
      <c r="P23" s="188">
        <f>SUM(B23:K23)+SUM(M23:O23)</f>
        <v>16186889</v>
      </c>
    </row>
    <row r="24" spans="1:16" x14ac:dyDescent="0.2">
      <c r="A24" s="38"/>
      <c r="B24" s="134"/>
      <c r="C24" s="134"/>
      <c r="D24" s="134"/>
      <c r="E24" s="134"/>
      <c r="F24" s="134"/>
      <c r="G24" s="161"/>
      <c r="H24" s="97"/>
      <c r="I24" s="134"/>
      <c r="J24" s="134"/>
      <c r="K24" s="97"/>
      <c r="L24" s="478"/>
      <c r="M24" s="97"/>
      <c r="N24" s="97"/>
      <c r="O24" s="97"/>
      <c r="P24" s="172"/>
    </row>
    <row r="25" spans="1:16" x14ac:dyDescent="0.2">
      <c r="A25" s="189" t="s">
        <v>96</v>
      </c>
      <c r="B25" s="134"/>
      <c r="C25" s="134"/>
      <c r="D25" s="134"/>
      <c r="E25" s="134"/>
      <c r="F25" s="134"/>
      <c r="G25" s="161"/>
      <c r="H25" s="97"/>
      <c r="I25" s="134"/>
      <c r="J25" s="134"/>
      <c r="K25" s="97"/>
      <c r="L25" s="478"/>
      <c r="M25" s="97"/>
      <c r="N25" s="97"/>
      <c r="O25" s="97"/>
      <c r="P25" s="172"/>
    </row>
    <row r="26" spans="1:16" x14ac:dyDescent="0.2">
      <c r="A26" s="38" t="s">
        <v>59</v>
      </c>
      <c r="B26" s="134">
        <f>[3]DHL_Atlas!$GM$57</f>
        <v>0</v>
      </c>
      <c r="C26" s="134">
        <f>[3]DHL_Kalitta!$GM$57</f>
        <v>0</v>
      </c>
      <c r="D26" s="134">
        <f>'[3]Atlas Air'!$GM$57</f>
        <v>0</v>
      </c>
      <c r="E26" s="134">
        <f>[3]FedEx!$GM$57</f>
        <v>0</v>
      </c>
      <c r="F26" s="134">
        <f>[3]UPS!$GM$57</f>
        <v>0</v>
      </c>
      <c r="G26" s="161"/>
      <c r="H26" s="97">
        <f>[3]Airborne!$GM$57</f>
        <v>0</v>
      </c>
      <c r="I26" s="134">
        <f>[3]Encore!$GM$57</f>
        <v>0</v>
      </c>
      <c r="J26" s="134">
        <f>[3]IFL!$GM$57</f>
        <v>0</v>
      </c>
      <c r="K26" s="97">
        <f>'[3]Suburban Air Freight'!$GM$57</f>
        <v>0</v>
      </c>
      <c r="L26" s="478"/>
      <c r="M26" s="97">
        <f>'[3]CSA Air'!$GM$57</f>
        <v>0</v>
      </c>
      <c r="N26" s="97">
        <f>'[3]Mountain Cargo'!$GM$57</f>
        <v>0</v>
      </c>
      <c r="O26" s="97">
        <f>'[3]Misc Cargo'!$GM$57</f>
        <v>0</v>
      </c>
      <c r="P26" s="172">
        <f>SUM(B26:K26)+SUM(M26:O26)</f>
        <v>0</v>
      </c>
    </row>
    <row r="27" spans="1:16" x14ac:dyDescent="0.2">
      <c r="A27" s="38" t="s">
        <v>60</v>
      </c>
      <c r="B27" s="134">
        <f>[3]DHL_Atlas!$GM$58</f>
        <v>0</v>
      </c>
      <c r="C27" s="134">
        <f>[3]DHL_Kalitta!$GM$58</f>
        <v>0</v>
      </c>
      <c r="D27" s="134">
        <f>'[3]Atlas Air'!$GM$58</f>
        <v>0</v>
      </c>
      <c r="E27" s="134">
        <f>[3]FedEx!$GM$58</f>
        <v>0</v>
      </c>
      <c r="F27" s="134">
        <f>[3]UPS!$GM$58</f>
        <v>0</v>
      </c>
      <c r="G27" s="161"/>
      <c r="H27" s="97">
        <f>[3]Airborne!$GM$58</f>
        <v>0</v>
      </c>
      <c r="I27" s="134">
        <f>[3]Encore!$GM$58</f>
        <v>0</v>
      </c>
      <c r="J27" s="134">
        <f>[3]IFL!$GM$58</f>
        <v>0</v>
      </c>
      <c r="K27" s="97">
        <f>'[3]Suburban Air Freight'!$GM$58</f>
        <v>0</v>
      </c>
      <c r="L27" s="478"/>
      <c r="M27" s="97">
        <f>'[3]CSA Air'!$GM$58</f>
        <v>0</v>
      </c>
      <c r="N27" s="97">
        <f>'[3]Mountain Cargo'!$GM$58</f>
        <v>0</v>
      </c>
      <c r="O27" s="97">
        <f>'[3]Misc Cargo'!$GM$58</f>
        <v>0</v>
      </c>
      <c r="P27" s="172">
        <f>SUM(B27:K27)+SUM(M27:O27)</f>
        <v>0</v>
      </c>
    </row>
    <row r="28" spans="1:16" ht="18" customHeight="1" x14ac:dyDescent="0.2">
      <c r="A28" s="187" t="s">
        <v>43</v>
      </c>
      <c r="B28" s="260">
        <f>SUM(B26:B27)</f>
        <v>0</v>
      </c>
      <c r="C28" s="260">
        <f>SUM(C26:C27)</f>
        <v>0</v>
      </c>
      <c r="D28" s="260">
        <f>SUM(D26:D27)</f>
        <v>0</v>
      </c>
      <c r="E28" s="260">
        <f>SUM(E26:E27)</f>
        <v>0</v>
      </c>
      <c r="F28" s="260">
        <f>SUM(F26:F27)</f>
        <v>0</v>
      </c>
      <c r="G28" s="166"/>
      <c r="H28" s="261">
        <f>SUM(H26:H27)</f>
        <v>0</v>
      </c>
      <c r="I28" s="260">
        <f>SUM(I26:I27)</f>
        <v>0</v>
      </c>
      <c r="J28" s="260">
        <f>SUM(J26:J27)</f>
        <v>0</v>
      </c>
      <c r="K28" s="261">
        <f>SUM(K26:K27)</f>
        <v>0</v>
      </c>
      <c r="L28" s="478"/>
      <c r="M28" s="261">
        <f>SUM(M26:M27)</f>
        <v>0</v>
      </c>
      <c r="N28" s="261">
        <f>SUM(N26:N27)</f>
        <v>0</v>
      </c>
      <c r="O28" s="261">
        <f>SUM(O26:O27)</f>
        <v>0</v>
      </c>
      <c r="P28" s="188">
        <f>SUM(B28:K28)+SUM(M28:O28)</f>
        <v>0</v>
      </c>
    </row>
    <row r="29" spans="1:16" x14ac:dyDescent="0.2">
      <c r="A29" s="38"/>
      <c r="B29" s="134"/>
      <c r="C29" s="134"/>
      <c r="D29" s="134"/>
      <c r="E29" s="134"/>
      <c r="F29" s="134"/>
      <c r="G29" s="161"/>
      <c r="H29" s="97"/>
      <c r="I29" s="134"/>
      <c r="J29" s="134"/>
      <c r="K29" s="97"/>
      <c r="L29" s="478"/>
      <c r="M29" s="97"/>
      <c r="N29" s="97"/>
      <c r="O29" s="97"/>
      <c r="P29" s="172"/>
    </row>
    <row r="30" spans="1:16" x14ac:dyDescent="0.2">
      <c r="A30" s="190" t="s">
        <v>44</v>
      </c>
      <c r="B30" s="134"/>
      <c r="C30" s="134"/>
      <c r="D30" s="134"/>
      <c r="E30" s="134"/>
      <c r="F30" s="134"/>
      <c r="G30" s="161"/>
      <c r="H30" s="97"/>
      <c r="I30" s="134"/>
      <c r="J30" s="134"/>
      <c r="K30" s="97"/>
      <c r="L30" s="478"/>
      <c r="M30" s="97"/>
      <c r="N30" s="97"/>
      <c r="O30" s="97"/>
      <c r="P30" s="172"/>
    </row>
    <row r="31" spans="1:16" x14ac:dyDescent="0.2">
      <c r="A31" s="38" t="s">
        <v>89</v>
      </c>
      <c r="B31" s="134">
        <f t="shared" ref="B31:F33" si="3">B26+B21+B16</f>
        <v>105223</v>
      </c>
      <c r="C31" s="134">
        <f t="shared" ref="C31" si="4">C26+C21+C16</f>
        <v>618291</v>
      </c>
      <c r="D31" s="134">
        <f t="shared" ref="D31" si="5">D26+D21+D16</f>
        <v>2756577</v>
      </c>
      <c r="E31" s="134">
        <f t="shared" si="3"/>
        <v>16707017</v>
      </c>
      <c r="F31" s="134">
        <f t="shared" si="3"/>
        <v>15763987</v>
      </c>
      <c r="G31" s="161"/>
      <c r="H31" s="97">
        <f t="shared" ref="H31:K33" si="6">H26+H21+H16</f>
        <v>102230</v>
      </c>
      <c r="I31" s="134">
        <f t="shared" ref="I31" si="7">I26+I21+I16</f>
        <v>97133</v>
      </c>
      <c r="J31" s="134">
        <f t="shared" si="6"/>
        <v>37601</v>
      </c>
      <c r="K31" s="97">
        <f t="shared" si="6"/>
        <v>0</v>
      </c>
      <c r="L31" s="478"/>
      <c r="M31" s="97">
        <f t="shared" ref="M31:O33" si="8">M26+M21+M16</f>
        <v>0</v>
      </c>
      <c r="N31" s="97">
        <f t="shared" si="8"/>
        <v>164267</v>
      </c>
      <c r="O31" s="97">
        <f>O26+O21+O16</f>
        <v>0</v>
      </c>
      <c r="P31" s="172">
        <f>SUM(B31:K31)+SUM(M31:O31)</f>
        <v>36352326</v>
      </c>
    </row>
    <row r="32" spans="1:16" x14ac:dyDescent="0.2">
      <c r="A32" s="38" t="s">
        <v>60</v>
      </c>
      <c r="B32" s="134">
        <f t="shared" si="3"/>
        <v>0</v>
      </c>
      <c r="C32" s="134">
        <f t="shared" ref="C32" si="9">C27+C22+C17</f>
        <v>0</v>
      </c>
      <c r="D32" s="134">
        <f t="shared" ref="D32" si="10">D27+D22+D17</f>
        <v>0</v>
      </c>
      <c r="E32" s="134">
        <f t="shared" si="3"/>
        <v>0</v>
      </c>
      <c r="F32" s="134">
        <f t="shared" si="3"/>
        <v>80610</v>
      </c>
      <c r="G32" s="161"/>
      <c r="H32" s="97">
        <f t="shared" si="6"/>
        <v>0</v>
      </c>
      <c r="I32" s="134">
        <f t="shared" ref="I32" si="11">I27+I22+I17</f>
        <v>0</v>
      </c>
      <c r="J32" s="134">
        <f t="shared" si="6"/>
        <v>0</v>
      </c>
      <c r="K32" s="97">
        <f t="shared" si="6"/>
        <v>0</v>
      </c>
      <c r="L32" s="479"/>
      <c r="M32" s="97">
        <f t="shared" si="8"/>
        <v>0</v>
      </c>
      <c r="N32" s="97">
        <f t="shared" si="8"/>
        <v>0</v>
      </c>
      <c r="O32" s="97">
        <f>O27+O22+O17</f>
        <v>0</v>
      </c>
      <c r="P32" s="176">
        <f>SUM(B32:K32)+SUM(M32:O32)</f>
        <v>80610</v>
      </c>
    </row>
    <row r="33" spans="1:16" ht="18" customHeight="1" thickBot="1" x14ac:dyDescent="0.25">
      <c r="A33" s="177" t="s">
        <v>46</v>
      </c>
      <c r="B33" s="178">
        <f t="shared" si="3"/>
        <v>105223</v>
      </c>
      <c r="C33" s="178">
        <f t="shared" ref="C33" si="12">C28+C23+C18</f>
        <v>618291</v>
      </c>
      <c r="D33" s="178">
        <f t="shared" ref="D33" si="13">D28+D23+D18</f>
        <v>2756577</v>
      </c>
      <c r="E33" s="178">
        <f t="shared" si="3"/>
        <v>16707017</v>
      </c>
      <c r="F33" s="178">
        <f t="shared" si="3"/>
        <v>15844597</v>
      </c>
      <c r="G33" s="191"/>
      <c r="H33" s="180">
        <f t="shared" si="6"/>
        <v>102230</v>
      </c>
      <c r="I33" s="178">
        <f t="shared" ref="I33" si="14">I28+I23+I18</f>
        <v>97133</v>
      </c>
      <c r="J33" s="178">
        <f t="shared" si="6"/>
        <v>37601</v>
      </c>
      <c r="K33" s="180">
        <f t="shared" si="6"/>
        <v>0</v>
      </c>
      <c r="L33" s="262">
        <f>L28+L23+L18</f>
        <v>0</v>
      </c>
      <c r="M33" s="180">
        <f t="shared" si="8"/>
        <v>0</v>
      </c>
      <c r="N33" s="180">
        <f t="shared" si="8"/>
        <v>164267</v>
      </c>
      <c r="O33" s="180">
        <f t="shared" si="8"/>
        <v>0</v>
      </c>
      <c r="P33" s="181">
        <f>SUM(B33:K33)+SUM(M33:O33)</f>
        <v>36432936</v>
      </c>
    </row>
    <row r="34" spans="1:16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</row>
    <row r="35" spans="1:16" x14ac:dyDescent="0.2">
      <c r="A35" t="s">
        <v>90</v>
      </c>
      <c r="B35" s="2"/>
      <c r="C35" s="2"/>
      <c r="D35" s="2"/>
      <c r="E35" s="2"/>
      <c r="F35" s="2"/>
      <c r="G35" s="2"/>
    </row>
    <row r="36" spans="1:16" x14ac:dyDescent="0.2">
      <c r="A36" t="s">
        <v>91</v>
      </c>
    </row>
    <row r="37" spans="1:16" x14ac:dyDescent="0.2">
      <c r="A37" t="s">
        <v>92</v>
      </c>
    </row>
    <row r="43" spans="1:16" ht="15" x14ac:dyDescent="0.25">
      <c r="L43" s="44"/>
    </row>
  </sheetData>
  <mergeCells count="3">
    <mergeCell ref="L16:L32"/>
    <mergeCell ref="B1:F1"/>
    <mergeCell ref="H1:O1"/>
  </mergeCells>
  <phoneticPr fontId="6" type="noConversion"/>
  <pageMargins left="0.75" right="0.75" top="1" bottom="1" header="0.5" footer="0.5"/>
  <pageSetup scale="74" orientation="landscape" r:id="rId1"/>
  <headerFooter alignWithMargins="0">
    <oddHeader>&amp;L
Schedule 7
&amp;CMinneapolis-St. Paul International Airport
&amp;"Arial,Bold"Cargo
December 2019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D20" sqref="D20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10.140625" bestFit="1" customWidth="1"/>
    <col min="17" max="17" width="12.85546875" style="2" bestFit="1" customWidth="1"/>
  </cols>
  <sheetData>
    <row r="1" spans="1:18" s="28" customFormat="1" ht="12" customHeight="1" x14ac:dyDescent="0.2">
      <c r="A1" s="15"/>
      <c r="L1" s="9"/>
      <c r="M1" s="9"/>
      <c r="N1" s="9"/>
      <c r="O1" s="9"/>
      <c r="P1" s="9"/>
      <c r="Q1" s="455"/>
      <c r="R1" s="9"/>
    </row>
    <row r="2" spans="1:18" s="9" customFormat="1" ht="30" customHeight="1" thickBot="1" x14ac:dyDescent="0.25">
      <c r="A2" s="325">
        <v>43800</v>
      </c>
      <c r="B2" s="59" t="s">
        <v>63</v>
      </c>
      <c r="C2" s="59" t="s">
        <v>64</v>
      </c>
      <c r="D2" s="59" t="s">
        <v>65</v>
      </c>
      <c r="E2" s="273" t="s">
        <v>75</v>
      </c>
      <c r="F2" s="60" t="s">
        <v>215</v>
      </c>
      <c r="G2" s="60" t="s">
        <v>206</v>
      </c>
      <c r="H2" s="61" t="s">
        <v>66</v>
      </c>
      <c r="I2" s="62" t="s">
        <v>211</v>
      </c>
      <c r="J2" s="62" t="s">
        <v>197</v>
      </c>
      <c r="K2" s="71" t="s">
        <v>2</v>
      </c>
      <c r="Q2" s="455"/>
    </row>
    <row r="3" spans="1:18" ht="20.25" customHeight="1" x14ac:dyDescent="0.2">
      <c r="A3" s="68" t="s">
        <v>67</v>
      </c>
      <c r="B3" s="70"/>
      <c r="C3" s="63"/>
      <c r="D3" s="63"/>
      <c r="E3" s="63"/>
      <c r="F3" s="64"/>
      <c r="G3" s="64"/>
      <c r="H3" s="65"/>
      <c r="I3" s="64"/>
      <c r="J3" s="64"/>
      <c r="K3" s="66"/>
    </row>
    <row r="4" spans="1:18" x14ac:dyDescent="0.2">
      <c r="A4" s="47" t="s">
        <v>68</v>
      </c>
      <c r="B4" s="141"/>
      <c r="C4" s="97"/>
      <c r="D4" s="97"/>
      <c r="E4" s="97"/>
      <c r="F4" s="97"/>
      <c r="G4" s="97"/>
      <c r="H4" s="97"/>
      <c r="I4" s="97"/>
      <c r="J4" s="97"/>
      <c r="K4" s="142"/>
    </row>
    <row r="5" spans="1:18" x14ac:dyDescent="0.2">
      <c r="A5" s="47" t="s">
        <v>69</v>
      </c>
      <c r="B5" s="141">
        <f>'Major Airline Stats'!K28</f>
        <v>3383334</v>
      </c>
      <c r="C5" s="97">
        <f>'Regional Major'!M25</f>
        <v>3745</v>
      </c>
      <c r="D5" s="97">
        <f>Cargo!P16</f>
        <v>20246047</v>
      </c>
      <c r="E5" s="97">
        <f>SUM(B5:D5)</f>
        <v>23633126</v>
      </c>
      <c r="F5" s="97">
        <f>E5*0.00045359237</f>
        <v>10719.80563284862</v>
      </c>
      <c r="G5" s="97">
        <f>'[1]Cargo Summary'!F5</f>
        <v>10397.092805288419</v>
      </c>
      <c r="H5" s="79">
        <f>(F5-G5)/G5</f>
        <v>3.1038756083436599E-2</v>
      </c>
      <c r="I5" s="97">
        <f>+F5+'[2]Cargo Summary'!I5</f>
        <v>112886.70112225274</v>
      </c>
      <c r="J5" s="97">
        <f>'[1]Cargo Summary'!I5</f>
        <v>120192.30927504107</v>
      </c>
      <c r="K5" s="67">
        <f>(I5-J5)/J5</f>
        <v>-6.0782659030792129E-2</v>
      </c>
      <c r="M5" s="26"/>
      <c r="N5" s="97"/>
      <c r="O5" s="97"/>
      <c r="Q5" s="456"/>
    </row>
    <row r="6" spans="1:18" x14ac:dyDescent="0.2">
      <c r="A6" s="47" t="s">
        <v>16</v>
      </c>
      <c r="B6" s="141">
        <f>'Major Airline Stats'!K29</f>
        <v>1920937</v>
      </c>
      <c r="C6" s="97">
        <f>'Regional Major'!M26</f>
        <v>33</v>
      </c>
      <c r="D6" s="97">
        <f>Cargo!P17</f>
        <v>0</v>
      </c>
      <c r="E6" s="97">
        <f>SUM(B6:D6)</f>
        <v>1920970</v>
      </c>
      <c r="F6" s="97">
        <f>E6*0.00045359237</f>
        <v>871.33733499890002</v>
      </c>
      <c r="G6" s="97">
        <f>'[1]Cargo Summary'!F6</f>
        <v>905.99043128978997</v>
      </c>
      <c r="H6" s="3">
        <f>(F6-G6)/G6</f>
        <v>-3.824885461710336E-2</v>
      </c>
      <c r="I6" s="97">
        <f>+F6+'[2]Cargo Summary'!I6</f>
        <v>10461.029371394141</v>
      </c>
      <c r="J6" s="97">
        <f>'[1]Cargo Summary'!I6</f>
        <v>10382.277117707112</v>
      </c>
      <c r="K6" s="67">
        <f>(I6-J6)/J6</f>
        <v>7.5852583006782021E-3</v>
      </c>
      <c r="M6" s="26"/>
      <c r="N6" s="97"/>
      <c r="O6" s="97"/>
      <c r="Q6" s="456"/>
    </row>
    <row r="7" spans="1:18" ht="18" customHeight="1" thickBot="1" x14ac:dyDescent="0.25">
      <c r="A7" s="56" t="s">
        <v>72</v>
      </c>
      <c r="B7" s="143">
        <f>SUM(B5:B6)</f>
        <v>5304271</v>
      </c>
      <c r="C7" s="107">
        <f t="shared" ref="C7:J7" si="0">SUM(C5:C6)</f>
        <v>3778</v>
      </c>
      <c r="D7" s="107">
        <f t="shared" si="0"/>
        <v>20246047</v>
      </c>
      <c r="E7" s="107">
        <f t="shared" si="0"/>
        <v>25554096</v>
      </c>
      <c r="F7" s="107">
        <f t="shared" si="0"/>
        <v>11591.14296784752</v>
      </c>
      <c r="G7" s="107">
        <f t="shared" si="0"/>
        <v>11303.08323657821</v>
      </c>
      <c r="H7" s="29">
        <f>(F7-G7)/G7</f>
        <v>2.548505794747331E-2</v>
      </c>
      <c r="I7" s="107">
        <f t="shared" si="0"/>
        <v>123347.73049364687</v>
      </c>
      <c r="J7" s="107">
        <f t="shared" si="0"/>
        <v>130574.58639274818</v>
      </c>
      <c r="K7" s="275">
        <f>(I7-J7)/J7</f>
        <v>-5.5346573163663308E-2</v>
      </c>
      <c r="M7" s="26"/>
    </row>
    <row r="8" spans="1:18" ht="13.5" thickTop="1" x14ac:dyDescent="0.2">
      <c r="A8" s="47"/>
      <c r="B8" s="141"/>
      <c r="C8" s="97"/>
      <c r="D8" s="97"/>
      <c r="E8" s="97"/>
      <c r="F8" s="97"/>
      <c r="G8" s="97"/>
      <c r="I8" s="97"/>
      <c r="J8" s="97"/>
      <c r="K8" s="67"/>
      <c r="M8" s="26"/>
    </row>
    <row r="9" spans="1:18" x14ac:dyDescent="0.2">
      <c r="A9" s="47" t="s">
        <v>70</v>
      </c>
      <c r="B9" s="141"/>
      <c r="C9" s="97"/>
      <c r="D9" s="97"/>
      <c r="E9" s="97"/>
      <c r="F9" s="97"/>
      <c r="G9" s="97"/>
      <c r="I9" s="97"/>
      <c r="J9" s="97"/>
      <c r="K9" s="67"/>
      <c r="M9" s="26"/>
    </row>
    <row r="10" spans="1:18" x14ac:dyDescent="0.2">
      <c r="A10" s="47" t="s">
        <v>69</v>
      </c>
      <c r="B10" s="141">
        <f>'Major Airline Stats'!K33</f>
        <v>1793274</v>
      </c>
      <c r="C10" s="97">
        <f>'Regional Major'!M30</f>
        <v>2078</v>
      </c>
      <c r="D10" s="97">
        <f>Cargo!P21</f>
        <v>16106279</v>
      </c>
      <c r="E10" s="97">
        <f>SUM(B10:D10)</f>
        <v>17901631</v>
      </c>
      <c r="F10" s="97">
        <f>E10*0.00045359237</f>
        <v>8120.0432321554699</v>
      </c>
      <c r="G10" s="97">
        <f>'[1]Cargo Summary'!F10</f>
        <v>7969.8438299002601</v>
      </c>
      <c r="H10" s="3">
        <f>(F10-G10)/G10</f>
        <v>1.8845965549752756E-2</v>
      </c>
      <c r="I10" s="97">
        <f>+F10+'[2]Cargo Summary'!I10</f>
        <v>91345.587223958748</v>
      </c>
      <c r="J10" s="97">
        <f>'[1]Cargo Summary'!I10</f>
        <v>93991.19012315647</v>
      </c>
      <c r="K10" s="67">
        <f>(I10-J10)/J10</f>
        <v>-2.8147349722151552E-2</v>
      </c>
      <c r="M10" s="26"/>
      <c r="N10" s="97"/>
      <c r="O10" s="97"/>
      <c r="Q10" s="456"/>
    </row>
    <row r="11" spans="1:18" x14ac:dyDescent="0.2">
      <c r="A11" s="47" t="s">
        <v>16</v>
      </c>
      <c r="B11" s="141">
        <f>'Major Airline Stats'!K34</f>
        <v>2193463</v>
      </c>
      <c r="C11" s="97">
        <f>'Regional Major'!M31</f>
        <v>3935</v>
      </c>
      <c r="D11" s="97">
        <f>Cargo!P22</f>
        <v>80610</v>
      </c>
      <c r="E11" s="97">
        <f>SUM(B11:D11)</f>
        <v>2278008</v>
      </c>
      <c r="F11" s="97">
        <f>E11*0.00045359237</f>
        <v>1033.28704759896</v>
      </c>
      <c r="G11" s="97">
        <f>'[1]Cargo Summary'!F11</f>
        <v>1229.49704549749</v>
      </c>
      <c r="H11" s="26">
        <f>(F11-G11)/G11</f>
        <v>-0.15958557901140605</v>
      </c>
      <c r="I11" s="97">
        <f>+F11+'[2]Cargo Summary'!I11</f>
        <v>14336.326175177928</v>
      </c>
      <c r="J11" s="97">
        <f>'[1]Cargo Summary'!I11</f>
        <v>14980.088053485169</v>
      </c>
      <c r="K11" s="67">
        <f>(I11-J11)/J11</f>
        <v>-4.2974505624315588E-2</v>
      </c>
      <c r="M11" s="26"/>
      <c r="N11" s="97"/>
      <c r="O11" s="97"/>
      <c r="Q11" s="456"/>
    </row>
    <row r="12" spans="1:18" ht="18" customHeight="1" thickBot="1" x14ac:dyDescent="0.25">
      <c r="A12" s="56" t="s">
        <v>73</v>
      </c>
      <c r="B12" s="143">
        <f>SUM(B10:B11)</f>
        <v>3986737</v>
      </c>
      <c r="C12" s="107">
        <f t="shared" ref="C12:J12" si="1">SUM(C10:C11)</f>
        <v>6013</v>
      </c>
      <c r="D12" s="107">
        <f t="shared" si="1"/>
        <v>16186889</v>
      </c>
      <c r="E12" s="107">
        <f t="shared" si="1"/>
        <v>20179639</v>
      </c>
      <c r="F12" s="107">
        <f t="shared" si="1"/>
        <v>9153.3302797544293</v>
      </c>
      <c r="G12" s="107">
        <f t="shared" si="1"/>
        <v>9199.3408753977492</v>
      </c>
      <c r="H12" s="29">
        <f>(F12-G12)/G12</f>
        <v>-5.0015100284378318E-3</v>
      </c>
      <c r="I12" s="107">
        <f t="shared" si="1"/>
        <v>105681.91339913668</v>
      </c>
      <c r="J12" s="107">
        <f t="shared" si="1"/>
        <v>108971.27817664164</v>
      </c>
      <c r="K12" s="275">
        <f>(I12-J12)/J12</f>
        <v>-3.0185612507663946E-2</v>
      </c>
      <c r="M12" s="26"/>
    </row>
    <row r="13" spans="1:18" ht="13.5" thickTop="1" x14ac:dyDescent="0.2">
      <c r="A13" s="47"/>
      <c r="B13" s="141"/>
      <c r="C13" s="97"/>
      <c r="D13" s="97"/>
      <c r="E13" s="97"/>
      <c r="F13" s="97"/>
      <c r="G13" s="97"/>
      <c r="I13" s="97"/>
      <c r="J13" s="97"/>
      <c r="K13" s="67"/>
      <c r="M13" s="26"/>
    </row>
    <row r="14" spans="1:18" x14ac:dyDescent="0.2">
      <c r="A14" s="47" t="s">
        <v>71</v>
      </c>
      <c r="B14" s="141"/>
      <c r="C14" s="97"/>
      <c r="D14" s="97"/>
      <c r="E14" s="97"/>
      <c r="F14" s="97"/>
      <c r="G14" s="97"/>
      <c r="I14" s="97"/>
      <c r="J14" s="97"/>
      <c r="K14" s="67"/>
      <c r="M14" s="26"/>
    </row>
    <row r="15" spans="1:18" x14ac:dyDescent="0.2">
      <c r="A15" s="47" t="s">
        <v>69</v>
      </c>
      <c r="B15" s="141">
        <f>'Major Airline Stats'!K38</f>
        <v>0</v>
      </c>
      <c r="C15" s="97">
        <f>'Regional Major'!M35</f>
        <v>0</v>
      </c>
      <c r="D15" s="97">
        <f>Cargo!P26</f>
        <v>0</v>
      </c>
      <c r="E15" s="97">
        <f>SUM(B15:D15)</f>
        <v>0</v>
      </c>
      <c r="F15" s="97">
        <f>E15*0.00045359237</f>
        <v>0</v>
      </c>
      <c r="G15" s="97">
        <f>'[1]Cargo Summary'!F15</f>
        <v>0</v>
      </c>
      <c r="H15" t="e">
        <f>(F15-G15)/G15</f>
        <v>#DIV/0!</v>
      </c>
      <c r="I15" s="97">
        <f>+F15+'[2]Cargo Summary'!I15</f>
        <v>0</v>
      </c>
      <c r="J15" s="97">
        <f>'[1]Cargo Summary'!I15</f>
        <v>0</v>
      </c>
      <c r="K15" s="67" t="e">
        <f>(I15-J15)/J15</f>
        <v>#DIV/0!</v>
      </c>
      <c r="M15" s="26"/>
      <c r="N15" s="97"/>
      <c r="O15" s="97"/>
    </row>
    <row r="16" spans="1:18" ht="15" customHeight="1" x14ac:dyDescent="0.2">
      <c r="A16" s="47" t="s">
        <v>16</v>
      </c>
      <c r="B16" s="141">
        <f>'Major Airline Stats'!K39</f>
        <v>0</v>
      </c>
      <c r="C16" s="97">
        <f>'Regional Major'!M36</f>
        <v>0</v>
      </c>
      <c r="D16" s="97">
        <f>Cargo!P27</f>
        <v>0</v>
      </c>
      <c r="E16" s="97">
        <f>SUM(B16:D16)</f>
        <v>0</v>
      </c>
      <c r="F16" s="97">
        <f>E16*0.00045359237</f>
        <v>0</v>
      </c>
      <c r="G16" s="97">
        <f>'[1]Cargo Summary'!F16</f>
        <v>0</v>
      </c>
      <c r="H16" s="3" t="e">
        <f>(F16-G16)/G16</f>
        <v>#DIV/0!</v>
      </c>
      <c r="I16" s="97">
        <f>+F16+'[2]Cargo Summary'!I16</f>
        <v>0</v>
      </c>
      <c r="J16" s="97">
        <f>'[1]Cargo Summary'!I16</f>
        <v>0</v>
      </c>
      <c r="K16" s="67">
        <v>1</v>
      </c>
      <c r="M16" s="26"/>
      <c r="N16" s="97"/>
      <c r="O16" s="97"/>
    </row>
    <row r="17" spans="1:17" ht="18" customHeight="1" thickBot="1" x14ac:dyDescent="0.25">
      <c r="A17" s="56" t="s">
        <v>74</v>
      </c>
      <c r="B17" s="143">
        <f>SUM(B15:B16)</f>
        <v>0</v>
      </c>
      <c r="C17" s="107">
        <f t="shared" ref="C17:J17" si="2">SUM(C15:C16)</f>
        <v>0</v>
      </c>
      <c r="D17" s="107">
        <f t="shared" si="2"/>
        <v>0</v>
      </c>
      <c r="E17" s="107">
        <f t="shared" si="2"/>
        <v>0</v>
      </c>
      <c r="F17" s="107">
        <f t="shared" si="2"/>
        <v>0</v>
      </c>
      <c r="G17" s="107">
        <f t="shared" si="2"/>
        <v>0</v>
      </c>
      <c r="H17" s="29" t="e">
        <f>(F17-G17)/G17</f>
        <v>#DIV/0!</v>
      </c>
      <c r="I17" s="107">
        <f t="shared" si="2"/>
        <v>0</v>
      </c>
      <c r="J17" s="107">
        <f t="shared" si="2"/>
        <v>0</v>
      </c>
      <c r="K17" s="275" t="e">
        <f>(I17-J17)/J17</f>
        <v>#DIV/0!</v>
      </c>
      <c r="M17" s="26"/>
    </row>
    <row r="18" spans="1:17" ht="13.5" thickTop="1" x14ac:dyDescent="0.2">
      <c r="A18" s="47"/>
      <c r="B18" s="141"/>
      <c r="C18" s="97"/>
      <c r="D18" s="97"/>
      <c r="E18" s="97"/>
      <c r="F18" s="97"/>
      <c r="G18" s="97"/>
      <c r="I18" s="97"/>
      <c r="J18" s="97"/>
      <c r="K18" s="67"/>
      <c r="M18" s="26"/>
    </row>
    <row r="19" spans="1:17" x14ac:dyDescent="0.2">
      <c r="A19" s="47" t="s">
        <v>14</v>
      </c>
      <c r="B19" s="141"/>
      <c r="C19" s="97"/>
      <c r="D19" s="97"/>
      <c r="E19" s="97"/>
      <c r="F19" s="97"/>
      <c r="G19" s="97"/>
      <c r="I19" s="97"/>
      <c r="J19" s="97"/>
      <c r="K19" s="67"/>
      <c r="M19" s="26"/>
    </row>
    <row r="20" spans="1:17" x14ac:dyDescent="0.2">
      <c r="A20" s="47" t="s">
        <v>69</v>
      </c>
      <c r="B20" s="141">
        <f t="shared" ref="B20:D21" si="3">B15+B10+B5</f>
        <v>5176608</v>
      </c>
      <c r="C20" s="97">
        <f t="shared" si="3"/>
        <v>5823</v>
      </c>
      <c r="D20" s="97">
        <f t="shared" si="3"/>
        <v>36352326</v>
      </c>
      <c r="E20" s="97">
        <f>SUM(B20:D20)</f>
        <v>41534757</v>
      </c>
      <c r="F20" s="97">
        <f>E20*0.00045359237</f>
        <v>18839.848865004089</v>
      </c>
      <c r="G20" s="97">
        <f>'[1]Cargo Summary'!F20</f>
        <v>18366.936635188678</v>
      </c>
      <c r="H20" s="3">
        <f>(F20-G20)/G20</f>
        <v>2.5748018801860072E-2</v>
      </c>
      <c r="I20" s="97">
        <f>+I5+I10+I15</f>
        <v>204232.28834621148</v>
      </c>
      <c r="J20" s="97">
        <f>+J5+J10+J15</f>
        <v>214183.49939819754</v>
      </c>
      <c r="K20" s="67">
        <f>(I20-J20)/J20</f>
        <v>-4.6461147006872566E-2</v>
      </c>
      <c r="M20" s="26"/>
      <c r="N20" s="97"/>
      <c r="O20" s="97"/>
      <c r="Q20" s="456"/>
    </row>
    <row r="21" spans="1:17" x14ac:dyDescent="0.2">
      <c r="A21" s="47" t="s">
        <v>16</v>
      </c>
      <c r="B21" s="141">
        <f t="shared" si="3"/>
        <v>4114400</v>
      </c>
      <c r="C21" s="98">
        <f t="shared" si="3"/>
        <v>3968</v>
      </c>
      <c r="D21" s="98">
        <f t="shared" si="3"/>
        <v>80610</v>
      </c>
      <c r="E21" s="97">
        <f>SUM(B21:D21)</f>
        <v>4198978</v>
      </c>
      <c r="F21" s="97">
        <f>E21*0.00045359237</f>
        <v>1904.6243825978599</v>
      </c>
      <c r="G21" s="97">
        <f>'[1]Cargo Summary'!F21</f>
        <v>2135.4874767872798</v>
      </c>
      <c r="H21" s="3">
        <f>(F21-G21)/G21</f>
        <v>-0.10810791292334822</v>
      </c>
      <c r="I21" s="97">
        <f>+I6+I11+I16</f>
        <v>24797.355546572071</v>
      </c>
      <c r="J21" s="97">
        <f>+J6+J11+J16</f>
        <v>25362.365171192279</v>
      </c>
      <c r="K21" s="67">
        <f>(I21-J21)/J21</f>
        <v>-2.2277481646781578E-2</v>
      </c>
      <c r="M21" s="26"/>
      <c r="N21" s="97"/>
      <c r="O21" s="97"/>
      <c r="Q21" s="456"/>
    </row>
    <row r="22" spans="1:17" ht="18" customHeight="1" thickBot="1" x14ac:dyDescent="0.25">
      <c r="A22" s="69" t="s">
        <v>62</v>
      </c>
      <c r="B22" s="144">
        <f>SUM(B20:B21)</f>
        <v>9291008</v>
      </c>
      <c r="C22" s="145">
        <f t="shared" ref="C22:J22" si="4">SUM(C20:C21)</f>
        <v>9791</v>
      </c>
      <c r="D22" s="145">
        <f t="shared" si="4"/>
        <v>36432936</v>
      </c>
      <c r="E22" s="145">
        <f t="shared" si="4"/>
        <v>45733735</v>
      </c>
      <c r="F22" s="145">
        <f t="shared" si="4"/>
        <v>20744.473247601949</v>
      </c>
      <c r="G22" s="145">
        <f t="shared" si="4"/>
        <v>20502.424111975957</v>
      </c>
      <c r="H22" s="281">
        <f>(F22-G22)/G22</f>
        <v>1.1805878870908981E-2</v>
      </c>
      <c r="I22" s="145">
        <f t="shared" si="4"/>
        <v>229029.64389278356</v>
      </c>
      <c r="J22" s="145">
        <f t="shared" si="4"/>
        <v>239545.86456938981</v>
      </c>
      <c r="K22" s="282">
        <f>(I22-J22)/J22</f>
        <v>-4.3900656333643366E-2</v>
      </c>
      <c r="M22" s="26"/>
    </row>
    <row r="23" spans="1:17" x14ac:dyDescent="0.2">
      <c r="G23" s="2"/>
    </row>
    <row r="26" spans="1:17" x14ac:dyDescent="0.2">
      <c r="A26" s="27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December 2019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71"/>
  <sheetViews>
    <sheetView zoomScaleNormal="100" workbookViewId="0">
      <selection activeCell="J8" sqref="J8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92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96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8" ht="13.5" thickBot="1" x14ac:dyDescent="0.25">
      <c r="F1" s="195"/>
      <c r="K1"/>
    </row>
    <row r="2" spans="1:18" s="9" customFormat="1" ht="26.25" thickBot="1" x14ac:dyDescent="0.25">
      <c r="A2" s="489" t="s">
        <v>192</v>
      </c>
      <c r="B2" s="490"/>
      <c r="C2" s="387" t="s">
        <v>218</v>
      </c>
      <c r="D2" s="389" t="s">
        <v>201</v>
      </c>
      <c r="E2" s="390" t="s">
        <v>97</v>
      </c>
      <c r="F2" s="391" t="s">
        <v>219</v>
      </c>
      <c r="G2" s="389" t="s">
        <v>202</v>
      </c>
      <c r="H2" s="388" t="s">
        <v>98</v>
      </c>
      <c r="I2" s="390" t="s">
        <v>139</v>
      </c>
      <c r="J2" s="489" t="s">
        <v>188</v>
      </c>
      <c r="K2" s="490"/>
      <c r="L2" s="387" t="s">
        <v>220</v>
      </c>
      <c r="M2" s="389" t="s">
        <v>203</v>
      </c>
      <c r="N2" s="392" t="s">
        <v>98</v>
      </c>
      <c r="O2" s="393" t="s">
        <v>221</v>
      </c>
      <c r="P2" s="393" t="s">
        <v>204</v>
      </c>
      <c r="Q2" s="420" t="s">
        <v>98</v>
      </c>
      <c r="R2" s="390" t="s">
        <v>222</v>
      </c>
    </row>
    <row r="3" spans="1:18" s="9" customFormat="1" ht="13.5" customHeight="1" thickBot="1" x14ac:dyDescent="0.25">
      <c r="A3" s="491">
        <v>43800</v>
      </c>
      <c r="B3" s="492"/>
      <c r="C3" s="493" t="s">
        <v>9</v>
      </c>
      <c r="D3" s="494"/>
      <c r="E3" s="494"/>
      <c r="F3" s="494"/>
      <c r="G3" s="494"/>
      <c r="H3" s="495"/>
      <c r="I3" s="394"/>
      <c r="J3" s="491">
        <f>+A3</f>
        <v>43800</v>
      </c>
      <c r="K3" s="492"/>
      <c r="L3" s="483" t="s">
        <v>189</v>
      </c>
      <c r="M3" s="484"/>
      <c r="N3" s="484"/>
      <c r="O3" s="484"/>
      <c r="P3" s="484"/>
      <c r="Q3" s="484"/>
      <c r="R3" s="485"/>
    </row>
    <row r="4" spans="1:18" x14ac:dyDescent="0.2">
      <c r="A4" s="299"/>
      <c r="B4" s="300"/>
      <c r="C4" s="301"/>
      <c r="D4" s="302"/>
      <c r="E4" s="303"/>
      <c r="F4" s="395"/>
      <c r="G4" s="302"/>
      <c r="H4" s="411"/>
      <c r="I4" s="303"/>
      <c r="J4" s="304"/>
      <c r="K4" s="300"/>
      <c r="L4" s="310"/>
      <c r="N4" s="67"/>
      <c r="O4" s="38"/>
      <c r="R4" s="40"/>
    </row>
    <row r="5" spans="1:18" ht="14.1" customHeight="1" x14ac:dyDescent="0.2">
      <c r="A5" s="306" t="s">
        <v>229</v>
      </c>
      <c r="B5" s="40"/>
      <c r="C5" s="307">
        <f>+[3]DHL!$GM$19</f>
        <v>0</v>
      </c>
      <c r="D5" s="150">
        <f>+[3]DHL!$FY$19</f>
        <v>48</v>
      </c>
      <c r="E5" s="309">
        <f>(C5-D5)/D5</f>
        <v>-1</v>
      </c>
      <c r="F5" s="307">
        <f>+SUM([3]DHL!$GB$19:$GM$19)</f>
        <v>0</v>
      </c>
      <c r="G5" s="150">
        <f>+SUM([3]DHL!$FN$19:$FY$19)</f>
        <v>508</v>
      </c>
      <c r="H5" s="308">
        <f>(F5-G5)/G5</f>
        <v>-1</v>
      </c>
      <c r="I5" s="309">
        <f>+F5/$F$34</f>
        <v>0</v>
      </c>
      <c r="J5" s="306" t="s">
        <v>229</v>
      </c>
      <c r="K5" s="40"/>
      <c r="L5" s="307">
        <f>+[3]DHL!$GM$64</f>
        <v>0</v>
      </c>
      <c r="M5" s="150">
        <f>+[3]DHL!$FY$64</f>
        <v>1363803</v>
      </c>
      <c r="N5" s="309">
        <f>(L5-M5)/M5</f>
        <v>-1</v>
      </c>
      <c r="O5" s="307">
        <f>+SUM([3]DHL!$GB$64:$GM$64)</f>
        <v>0</v>
      </c>
      <c r="P5" s="150">
        <f>+SUM([3]DHL!$FN$64:$FY$64)</f>
        <v>15514125</v>
      </c>
      <c r="Q5" s="308">
        <f>(O5-P5)/P5</f>
        <v>-1</v>
      </c>
      <c r="R5" s="309">
        <f>O5/$O$34</f>
        <v>0</v>
      </c>
    </row>
    <row r="6" spans="1:18" ht="14.1" customHeight="1" x14ac:dyDescent="0.2">
      <c r="A6" s="306"/>
      <c r="B6" s="40"/>
      <c r="C6" s="307"/>
      <c r="D6" s="150"/>
      <c r="E6" s="309"/>
      <c r="F6" s="307"/>
      <c r="G6" s="150"/>
      <c r="H6" s="308"/>
      <c r="I6" s="309"/>
      <c r="J6" s="306"/>
      <c r="K6" s="40"/>
      <c r="L6" s="310"/>
      <c r="N6" s="67"/>
      <c r="O6" s="310"/>
      <c r="P6" s="150"/>
      <c r="Q6" s="3"/>
      <c r="R6" s="67"/>
    </row>
    <row r="7" spans="1:18" ht="14.1" customHeight="1" x14ac:dyDescent="0.2">
      <c r="A7" s="306" t="s">
        <v>232</v>
      </c>
      <c r="B7" s="40"/>
      <c r="C7" s="307">
        <f>+[3]Airborne!$GM$19</f>
        <v>2</v>
      </c>
      <c r="D7" s="150">
        <f>+[3]Airborne!$FY$19</f>
        <v>0</v>
      </c>
      <c r="E7" s="309" t="e">
        <f>(C7-D7)/D7</f>
        <v>#DIV/0!</v>
      </c>
      <c r="F7" s="307">
        <f>+SUM([3]Airborne!$GB$19:$GM$19)</f>
        <v>5</v>
      </c>
      <c r="G7" s="150">
        <f>+SUM([3]Airborne!$FN$19:$FY$19)</f>
        <v>1</v>
      </c>
      <c r="H7" s="308">
        <f>(F7-G7)/G7</f>
        <v>4</v>
      </c>
      <c r="I7" s="309">
        <f>+F7/$F$34</f>
        <v>3.4590107229332413E-4</v>
      </c>
      <c r="J7" s="306" t="s">
        <v>232</v>
      </c>
      <c r="K7" s="40"/>
      <c r="L7" s="307">
        <f>+[3]Airborne!$GM$64</f>
        <v>102230</v>
      </c>
      <c r="M7" s="150">
        <f>+[3]Airborne!$FY$64</f>
        <v>0</v>
      </c>
      <c r="N7" s="309" t="e">
        <f>(L7-M7)/M7</f>
        <v>#DIV/0!</v>
      </c>
      <c r="O7" s="307">
        <f>+SUM([3]Airborne!$GB$64:$GM$64)</f>
        <v>145582</v>
      </c>
      <c r="P7" s="150">
        <f>+SUM([3]Airborne!$FN$64:$FY$64)</f>
        <v>0</v>
      </c>
      <c r="Q7" s="308" t="e">
        <f>(O7-P7)/P7</f>
        <v>#DIV/0!</v>
      </c>
      <c r="R7" s="309">
        <f>O7/$O$34</f>
        <v>3.801072032756258E-4</v>
      </c>
    </row>
    <row r="8" spans="1:18" ht="14.1" customHeight="1" x14ac:dyDescent="0.2">
      <c r="A8" s="306"/>
      <c r="B8" s="40"/>
      <c r="C8" s="307"/>
      <c r="D8" s="150"/>
      <c r="E8" s="309"/>
      <c r="F8" s="307"/>
      <c r="G8" s="150"/>
      <c r="H8" s="308"/>
      <c r="I8" s="309"/>
      <c r="J8" s="306"/>
      <c r="K8" s="40"/>
      <c r="L8" s="310"/>
      <c r="N8" s="67"/>
      <c r="O8" s="310"/>
      <c r="P8" s="150"/>
      <c r="Q8" s="3"/>
      <c r="R8" s="67"/>
    </row>
    <row r="9" spans="1:18" ht="14.1" customHeight="1" x14ac:dyDescent="0.2">
      <c r="A9" s="306" t="s">
        <v>230</v>
      </c>
      <c r="B9" s="40"/>
      <c r="C9" s="307">
        <f>+[3]DHL_Kalitta!$GM$19</f>
        <v>42</v>
      </c>
      <c r="D9" s="150">
        <f>+[3]DHL_Kalitta!$FY$19</f>
        <v>0</v>
      </c>
      <c r="E9" s="309" t="e">
        <f>(C9-D9)/D9</f>
        <v>#DIV/0!</v>
      </c>
      <c r="F9" s="307">
        <f>+SUM([3]DHL_Kalitta!$GB$19:$GM$19)</f>
        <v>498</v>
      </c>
      <c r="G9" s="150">
        <f>+SUM([3]DHL_Kalitta!$FN$19:$FY$19)</f>
        <v>0</v>
      </c>
      <c r="H9" s="308" t="e">
        <f>(F9-G9)/G9</f>
        <v>#DIV/0!</v>
      </c>
      <c r="I9" s="309">
        <f>+F9/$F$34</f>
        <v>3.445174680041508E-2</v>
      </c>
      <c r="J9" s="306" t="s">
        <v>230</v>
      </c>
      <c r="K9" s="40"/>
      <c r="L9" s="307">
        <f>+[3]DHL_Kalitta!$GM$64</f>
        <v>618291</v>
      </c>
      <c r="M9" s="150">
        <f>+[3]DHL_Kalitta!$FY$64</f>
        <v>0</v>
      </c>
      <c r="N9" s="309" t="e">
        <f>(L9-M9)/M9</f>
        <v>#DIV/0!</v>
      </c>
      <c r="O9" s="307">
        <f>+SUM([3]DHL_Kalitta!$GB$64:$GM$64)</f>
        <v>14163380</v>
      </c>
      <c r="P9" s="150">
        <f>+SUM([3]DHL_Kalitta!$FN$64:$FY$64)</f>
        <v>0</v>
      </c>
      <c r="Q9" s="308" t="e">
        <f>(O9-P9)/P9</f>
        <v>#DIV/0!</v>
      </c>
      <c r="R9" s="309">
        <f>O9/$O$34</f>
        <v>3.6979865372985213E-2</v>
      </c>
    </row>
    <row r="10" spans="1:18" ht="14.1" customHeight="1" x14ac:dyDescent="0.2">
      <c r="A10" s="306"/>
      <c r="B10" s="40"/>
      <c r="C10" s="307"/>
      <c r="D10" s="150"/>
      <c r="E10" s="309"/>
      <c r="F10" s="307"/>
      <c r="G10" s="150"/>
      <c r="H10" s="308"/>
      <c r="I10" s="309"/>
      <c r="J10" s="306"/>
      <c r="K10" s="40"/>
      <c r="L10" s="310"/>
      <c r="N10" s="67"/>
      <c r="O10" s="310"/>
      <c r="P10" s="150"/>
      <c r="Q10" s="3"/>
      <c r="R10" s="67"/>
    </row>
    <row r="11" spans="1:18" ht="14.1" customHeight="1" x14ac:dyDescent="0.2">
      <c r="A11" s="306" t="s">
        <v>231</v>
      </c>
      <c r="B11" s="40"/>
      <c r="C11" s="307">
        <f>+[3]DHL_Atlas!$GM$19</f>
        <v>6</v>
      </c>
      <c r="D11" s="150">
        <f>+[3]DHL_Atlas!$FY$19</f>
        <v>0</v>
      </c>
      <c r="E11" s="309" t="e">
        <f>(C11-D11)/D11</f>
        <v>#DIV/0!</v>
      </c>
      <c r="F11" s="307">
        <f>+SUM([3]DHL_Atlas!$GB$19:$GM$19)</f>
        <v>20</v>
      </c>
      <c r="G11" s="150">
        <f>+SUM([3]DHL_Atlas!$FN$19:$FY$19)</f>
        <v>0</v>
      </c>
      <c r="H11" s="308" t="e">
        <f>(F11-G11)/G11</f>
        <v>#DIV/0!</v>
      </c>
      <c r="I11" s="309">
        <f>+F11/$F$34</f>
        <v>1.3836042891732965E-3</v>
      </c>
      <c r="J11" s="306" t="s">
        <v>231</v>
      </c>
      <c r="K11" s="40"/>
      <c r="L11" s="307">
        <f>+[3]DHL_Atlas!$GM$64</f>
        <v>105223</v>
      </c>
      <c r="M11" s="150">
        <f>+[3]DHL_Atlas!$FY$64</f>
        <v>0</v>
      </c>
      <c r="N11" s="309" t="e">
        <f>(L11-M11)/M11</f>
        <v>#DIV/0!</v>
      </c>
      <c r="O11" s="307">
        <f>+SUM([3]DHL_Atlas!$GB$64:$GM$64)</f>
        <v>395545</v>
      </c>
      <c r="P11" s="150">
        <f>+SUM([3]DHL_Atlas!$FN$64:$FY$64)</f>
        <v>0</v>
      </c>
      <c r="Q11" s="308" t="e">
        <f>(O11-P11)/P11</f>
        <v>#DIV/0!</v>
      </c>
      <c r="R11" s="309">
        <f>O11/$O$34</f>
        <v>1.0327478927316387E-3</v>
      </c>
    </row>
    <row r="12" spans="1:18" ht="14.1" customHeight="1" x14ac:dyDescent="0.2">
      <c r="A12" s="306"/>
      <c r="B12" s="40"/>
      <c r="C12" s="307"/>
      <c r="D12" s="150"/>
      <c r="E12" s="309"/>
      <c r="F12" s="307"/>
      <c r="G12" s="150"/>
      <c r="H12" s="308"/>
      <c r="I12" s="309"/>
      <c r="J12" s="306"/>
      <c r="K12" s="40"/>
      <c r="L12" s="310"/>
      <c r="N12" s="67"/>
      <c r="O12" s="310"/>
      <c r="P12" s="150"/>
      <c r="Q12" s="3"/>
      <c r="R12" s="67"/>
    </row>
    <row r="13" spans="1:18" ht="14.1" customHeight="1" x14ac:dyDescent="0.2">
      <c r="A13" s="306" t="s">
        <v>217</v>
      </c>
      <c r="B13" s="40"/>
      <c r="C13" s="307">
        <f>+'[3]Atlas Air'!$GM$19</f>
        <v>60</v>
      </c>
      <c r="D13" s="150">
        <f>+'[3]Atlas Air'!$FY$19</f>
        <v>60</v>
      </c>
      <c r="E13" s="309">
        <f>(C13-D13)/D13</f>
        <v>0</v>
      </c>
      <c r="F13" s="307">
        <f>+SUM('[3]Atlas Air'!$GB$19:$GM$19)</f>
        <v>728</v>
      </c>
      <c r="G13" s="150">
        <f>+SUM('[3]Atlas Air'!$FN$19:$FY$19)</f>
        <v>430</v>
      </c>
      <c r="H13" s="308">
        <f>(F13-G13)/G13</f>
        <v>0.69302325581395352</v>
      </c>
      <c r="I13" s="309">
        <f>+F13/$F$34</f>
        <v>5.0363196125907991E-2</v>
      </c>
      <c r="J13" s="306" t="s">
        <v>217</v>
      </c>
      <c r="K13" s="40"/>
      <c r="L13" s="307">
        <f>+'[3]Atlas Air'!$GM$64</f>
        <v>2756577</v>
      </c>
      <c r="M13" s="150">
        <f>+'[3]Atlas Air'!$FY$64</f>
        <v>2539094</v>
      </c>
      <c r="N13" s="309">
        <f>(L13-M13)/M13</f>
        <v>8.5653780442945401E-2</v>
      </c>
      <c r="O13" s="307">
        <f>+SUM('[3]Atlas Air'!$GB$64:$GM$64)</f>
        <v>28509567</v>
      </c>
      <c r="P13" s="150">
        <f>+SUM('[3]Atlas Air'!$FN$64:$FY$64)</f>
        <v>15002638</v>
      </c>
      <c r="Q13" s="308">
        <f>(O13-P13)/P13</f>
        <v>0.9003035999402238</v>
      </c>
      <c r="R13" s="309">
        <f>O13/$O$34</f>
        <v>7.4437030532408355E-2</v>
      </c>
    </row>
    <row r="14" spans="1:18" ht="14.1" customHeight="1" x14ac:dyDescent="0.2">
      <c r="A14" s="306"/>
      <c r="B14" s="40"/>
      <c r="C14" s="307"/>
      <c r="D14" s="150"/>
      <c r="E14" s="309"/>
      <c r="F14" s="307"/>
      <c r="G14" s="150"/>
      <c r="H14" s="308"/>
      <c r="I14" s="309"/>
      <c r="J14" s="306"/>
      <c r="K14" s="40"/>
      <c r="L14" s="310"/>
      <c r="N14" s="67"/>
      <c r="O14" s="310"/>
      <c r="P14" s="150"/>
      <c r="Q14" s="3"/>
      <c r="R14" s="67"/>
    </row>
    <row r="15" spans="1:18" ht="14.1" customHeight="1" x14ac:dyDescent="0.2">
      <c r="A15" s="306" t="s">
        <v>226</v>
      </c>
      <c r="B15" s="40"/>
      <c r="C15" s="307">
        <f>+[3]Encore!$GM$19</f>
        <v>80</v>
      </c>
      <c r="D15" s="150">
        <f>+[3]Encore!$FY$19</f>
        <v>0</v>
      </c>
      <c r="E15" s="309" t="e">
        <f>(C15-D15)/D15</f>
        <v>#DIV/0!</v>
      </c>
      <c r="F15" s="307">
        <f>+SUM([3]Encore!$GB$19:$GM$19)</f>
        <v>1013</v>
      </c>
      <c r="G15" s="150">
        <f>+SUM([3]Encore!$FN$19:$FY$19)</f>
        <v>0</v>
      </c>
      <c r="H15" s="308" t="e">
        <f>(F15-G15)/G15</f>
        <v>#DIV/0!</v>
      </c>
      <c r="I15" s="309">
        <f>+F15/$F$34</f>
        <v>7.0079557246627469E-2</v>
      </c>
      <c r="J15" s="306" t="s">
        <v>226</v>
      </c>
      <c r="K15" s="40"/>
      <c r="L15" s="307">
        <f>+[3]Encore!$GM$64</f>
        <v>97133</v>
      </c>
      <c r="M15" s="150">
        <f>+[3]Encore!$FY$64</f>
        <v>0</v>
      </c>
      <c r="N15" s="309" t="e">
        <f>(L15-M15)/M15</f>
        <v>#DIV/0!</v>
      </c>
      <c r="O15" s="307">
        <f>+SUM([3]Encore!$GB$64:$GM$64)</f>
        <v>1196897</v>
      </c>
      <c r="P15" s="150">
        <f>+SUM([3]Encore!$FN$64:$FY$64)</f>
        <v>0</v>
      </c>
      <c r="Q15" s="308" t="e">
        <f>(O15-P15)/P15</f>
        <v>#DIV/0!</v>
      </c>
      <c r="R15" s="309">
        <f>O15/$O$34</f>
        <v>3.1250372386626554E-3</v>
      </c>
    </row>
    <row r="16" spans="1:18" ht="14.1" customHeight="1" x14ac:dyDescent="0.2">
      <c r="A16" s="306"/>
      <c r="B16" s="40"/>
      <c r="C16" s="307"/>
      <c r="D16" s="150"/>
      <c r="E16" s="309"/>
      <c r="F16" s="307"/>
      <c r="G16" s="150"/>
      <c r="H16" s="308"/>
      <c r="I16" s="309"/>
      <c r="J16" s="306"/>
      <c r="K16" s="40"/>
      <c r="L16" s="310"/>
      <c r="N16" s="67"/>
      <c r="O16" s="310"/>
      <c r="P16" s="150"/>
      <c r="Q16" s="3"/>
      <c r="R16" s="67"/>
    </row>
    <row r="17" spans="1:19" ht="14.1" customHeight="1" x14ac:dyDescent="0.2">
      <c r="A17" s="306" t="s">
        <v>190</v>
      </c>
      <c r="B17" s="40"/>
      <c r="C17" s="307">
        <f>+[3]FedEx!$GM$19</f>
        <v>318</v>
      </c>
      <c r="D17" s="150">
        <f>+[3]FedEx!$FY$19</f>
        <v>340</v>
      </c>
      <c r="E17" s="309">
        <f>(C17-D17)/D17</f>
        <v>-6.4705882352941183E-2</v>
      </c>
      <c r="F17" s="307">
        <f>+SUM([3]FedEx!$GB$19:$GM$19)</f>
        <v>3144</v>
      </c>
      <c r="G17" s="150">
        <f>+SUM([3]FedEx!$FN$19:$FY$19)</f>
        <v>3078</v>
      </c>
      <c r="H17" s="308">
        <f t="shared" ref="H17" si="0">(F17-G17)/G17</f>
        <v>2.1442495126705652E-2</v>
      </c>
      <c r="I17" s="309">
        <f>+F17/$F$34</f>
        <v>0.21750259425804219</v>
      </c>
      <c r="J17" s="306" t="s">
        <v>190</v>
      </c>
      <c r="K17" s="40"/>
      <c r="L17" s="307">
        <f>+[3]FedEx!$GM$64</f>
        <v>16707017</v>
      </c>
      <c r="M17" s="150">
        <f>+[3]FedEx!$FY$64</f>
        <v>16772442</v>
      </c>
      <c r="N17" s="309">
        <f>(L17-M17)/M17</f>
        <v>-3.9007438511339016E-3</v>
      </c>
      <c r="O17" s="307">
        <f>+SUM([3]FedEx!$GB$64:$GM$64)</f>
        <v>183370483</v>
      </c>
      <c r="P17" s="150">
        <f>+SUM([3]FedEx!$FN$64:$FY$64)</f>
        <v>203798706</v>
      </c>
      <c r="Q17" s="308">
        <f t="shared" ref="Q17" si="1">(O17-P17)/P17</f>
        <v>-0.10023725567717785</v>
      </c>
      <c r="R17" s="309">
        <f>O17/$O$34</f>
        <v>0.47877101191377153</v>
      </c>
    </row>
    <row r="18" spans="1:19" ht="14.1" customHeight="1" x14ac:dyDescent="0.2">
      <c r="A18" s="306"/>
      <c r="B18" s="40"/>
      <c r="C18" s="307"/>
      <c r="D18" s="150"/>
      <c r="E18" s="309"/>
      <c r="F18" s="307"/>
      <c r="G18" s="150"/>
      <c r="H18" s="308"/>
      <c r="I18" s="309"/>
      <c r="J18" s="306"/>
      <c r="K18" s="40"/>
      <c r="L18" s="310"/>
      <c r="N18" s="67"/>
      <c r="O18" s="310"/>
      <c r="P18" s="2"/>
      <c r="Q18" s="3"/>
      <c r="R18" s="67"/>
    </row>
    <row r="19" spans="1:19" ht="14.1" customHeight="1" x14ac:dyDescent="0.2">
      <c r="A19" s="306" t="s">
        <v>83</v>
      </c>
      <c r="B19" s="40"/>
      <c r="C19" s="307">
        <f>+[3]UPS!$GM$19</f>
        <v>378</v>
      </c>
      <c r="D19" s="150">
        <f>+[3]UPS!$FY$19</f>
        <v>352</v>
      </c>
      <c r="E19" s="309">
        <f>(C19-D19)/D19</f>
        <v>7.3863636363636367E-2</v>
      </c>
      <c r="F19" s="307">
        <f>+SUM([3]UPS!$GB$19:$GM$19)</f>
        <v>3388</v>
      </c>
      <c r="G19" s="150">
        <f>+SUM([3]UPS!$FN$19:$FY$19)</f>
        <v>3070</v>
      </c>
      <c r="H19" s="308">
        <f>(F19-G19)/G19</f>
        <v>0.10358306188925082</v>
      </c>
      <c r="I19" s="309">
        <f>+F19/$F$34</f>
        <v>0.23438256658595641</v>
      </c>
      <c r="J19" s="306" t="s">
        <v>83</v>
      </c>
      <c r="K19" s="40"/>
      <c r="L19" s="307">
        <f>+[3]UPS!$GM$64</f>
        <v>15844597</v>
      </c>
      <c r="M19" s="150">
        <f>+[3]UPS!$FY$64</f>
        <v>12665316</v>
      </c>
      <c r="N19" s="309">
        <f>(L19-M19)/M19</f>
        <v>0.25102263536101271</v>
      </c>
      <c r="O19" s="307">
        <f>+SUM([3]UPS!$GB$64:$GM$64)</f>
        <v>153224713</v>
      </c>
      <c r="P19" s="150">
        <f>+SUM([3]UPS!$FN$64:$FY$64)</f>
        <v>139610302</v>
      </c>
      <c r="Q19" s="308">
        <f>(O19-P19)/P19</f>
        <v>9.7517237660584677E-2</v>
      </c>
      <c r="R19" s="309">
        <f>O19/$O$34</f>
        <v>0.40006193850297722</v>
      </c>
    </row>
    <row r="20" spans="1:19" ht="14.1" customHeight="1" x14ac:dyDescent="0.2">
      <c r="A20" s="306"/>
      <c r="B20" s="40"/>
      <c r="C20" s="307"/>
      <c r="D20" s="150"/>
      <c r="E20" s="309"/>
      <c r="F20" s="307"/>
      <c r="G20" s="150"/>
      <c r="H20" s="308"/>
      <c r="I20" s="309"/>
      <c r="J20" s="306"/>
      <c r="K20" s="40"/>
      <c r="L20" s="310"/>
      <c r="N20" s="67"/>
      <c r="O20" s="310"/>
      <c r="P20" s="2"/>
      <c r="Q20" s="3"/>
      <c r="R20" s="67"/>
    </row>
    <row r="21" spans="1:19" ht="14.1" customHeight="1" x14ac:dyDescent="0.2">
      <c r="A21" s="306" t="s">
        <v>182</v>
      </c>
      <c r="B21" s="40"/>
      <c r="C21" s="307">
        <f>+[3]IFL!$GM$19</f>
        <v>30</v>
      </c>
      <c r="D21" s="150">
        <f>+[3]IFL!$FY$19</f>
        <v>22</v>
      </c>
      <c r="E21" s="309">
        <f>(C21-D21)/D21</f>
        <v>0.36363636363636365</v>
      </c>
      <c r="F21" s="307">
        <f>+SUM([3]IFL!$GB$19:$GM$19)</f>
        <v>385</v>
      </c>
      <c r="G21" s="150">
        <f>+SUM([3]IFL!$FN$19:$FY$19)</f>
        <v>486</v>
      </c>
      <c r="H21" s="308">
        <f>(F21-G21)/G21</f>
        <v>-0.20781893004115226</v>
      </c>
      <c r="I21" s="309">
        <f>+F21/$F$34</f>
        <v>2.6634382566585957E-2</v>
      </c>
      <c r="J21" s="306" t="s">
        <v>182</v>
      </c>
      <c r="K21" s="40"/>
      <c r="L21" s="307">
        <f>+[3]IFL!$GM$64</f>
        <v>37601</v>
      </c>
      <c r="M21" s="150">
        <f>+[3]IFL!$FY$64</f>
        <v>9310</v>
      </c>
      <c r="N21" s="309">
        <f>(L21-M21)/M21</f>
        <v>3.0387755102040814</v>
      </c>
      <c r="O21" s="307">
        <f>+SUM([3]IFL!$GB$64:$GM$64)</f>
        <v>353343</v>
      </c>
      <c r="P21" s="150">
        <f>+SUM([3]IFL!$FN$64:$FY$64)</f>
        <v>246306</v>
      </c>
      <c r="Q21" s="308">
        <f>(O21-P21)/P21</f>
        <v>0.43456919441670117</v>
      </c>
      <c r="R21" s="309">
        <f>O21/$O$34</f>
        <v>9.2256061550891901E-4</v>
      </c>
    </row>
    <row r="22" spans="1:19" ht="14.1" customHeight="1" x14ac:dyDescent="0.2">
      <c r="A22" s="306"/>
      <c r="B22" s="40"/>
      <c r="C22" s="307"/>
      <c r="D22" s="165"/>
      <c r="E22" s="309"/>
      <c r="F22" s="396"/>
      <c r="G22" s="165"/>
      <c r="H22" s="308"/>
      <c r="I22" s="309"/>
      <c r="J22" s="306"/>
      <c r="K22" s="40"/>
      <c r="L22" s="141"/>
      <c r="M22" s="97"/>
      <c r="N22" s="67"/>
      <c r="O22" s="141"/>
      <c r="P22" s="97"/>
      <c r="Q22" s="3"/>
      <c r="R22" s="67"/>
    </row>
    <row r="23" spans="1:19" ht="14.1" customHeight="1" x14ac:dyDescent="0.2">
      <c r="A23" s="306" t="s">
        <v>165</v>
      </c>
      <c r="B23" s="311"/>
      <c r="C23" s="307">
        <f>+'[3]Suburban Air Freight'!$GM$19</f>
        <v>0</v>
      </c>
      <c r="D23" s="150">
        <f>+'[3]Suburban Air Freight'!$FY$19</f>
        <v>0</v>
      </c>
      <c r="E23" s="309" t="e">
        <f>(C23-D23)/D23</f>
        <v>#DIV/0!</v>
      </c>
      <c r="F23" s="307">
        <f>+SUM('[3]Suburban Air Freight'!$GB$19:$GM$19)</f>
        <v>0</v>
      </c>
      <c r="G23" s="150">
        <f>+SUM('[3]Suburban Air Freight'!$FN$19:$FY$19)</f>
        <v>0</v>
      </c>
      <c r="H23" s="308" t="e">
        <f t="shared" ref="H23" si="2">(F23-G23)/G23</f>
        <v>#DIV/0!</v>
      </c>
      <c r="I23" s="309">
        <f>+F23/$F$34</f>
        <v>0</v>
      </c>
      <c r="J23" s="306" t="s">
        <v>165</v>
      </c>
      <c r="K23" s="311"/>
      <c r="L23" s="307">
        <f>+'[3]Suburban Air Freight'!$GM$64</f>
        <v>0</v>
      </c>
      <c r="M23" s="150">
        <f>+'[3]Suburban Air Freight'!$FY$64</f>
        <v>0</v>
      </c>
      <c r="N23" s="309" t="e">
        <f>(L23-M23)/M23</f>
        <v>#DIV/0!</v>
      </c>
      <c r="O23" s="307">
        <f>+SUM('[3]Suburban Air Freight'!$GB$64:$GM$64)</f>
        <v>0</v>
      </c>
      <c r="P23" s="150">
        <f>+SUM('[3]Suburban Air Freight'!$FN$64:$FY$64)</f>
        <v>0</v>
      </c>
      <c r="Q23" s="308" t="e">
        <f t="shared" ref="Q23" si="3">(O23-P23)/P23</f>
        <v>#DIV/0!</v>
      </c>
      <c r="R23" s="309">
        <f>O23/$O$34</f>
        <v>0</v>
      </c>
    </row>
    <row r="24" spans="1:19" ht="14.1" customHeight="1" x14ac:dyDescent="0.2">
      <c r="A24" s="38"/>
      <c r="B24" s="40"/>
      <c r="C24" s="307"/>
      <c r="E24" s="67"/>
      <c r="F24" s="310"/>
      <c r="I24" s="67"/>
      <c r="J24" s="38"/>
      <c r="K24" s="40"/>
      <c r="L24" s="310"/>
      <c r="N24" s="67"/>
      <c r="O24" s="310"/>
      <c r="P24" s="2"/>
      <c r="Q24" s="3"/>
      <c r="R24" s="67"/>
    </row>
    <row r="25" spans="1:19" ht="14.1" customHeight="1" x14ac:dyDescent="0.2">
      <c r="A25" s="306" t="s">
        <v>84</v>
      </c>
      <c r="B25" s="40"/>
      <c r="C25" s="307">
        <f>+[3]Bemidji!$GM$19</f>
        <v>472</v>
      </c>
      <c r="D25" s="150">
        <f>+[3]Bemidji!$FY$19</f>
        <v>442</v>
      </c>
      <c r="E25" s="309">
        <f>(C25-D25)/D25</f>
        <v>6.7873303167420809E-2</v>
      </c>
      <c r="F25" s="307">
        <f>+SUM([3]Bemidji!$GB$19:$GM$19)</f>
        <v>4816</v>
      </c>
      <c r="G25" s="150">
        <f>+SUM([3]Bemidji!$FN$19:$FY$19)</f>
        <v>6448</v>
      </c>
      <c r="H25" s="308">
        <f t="shared" ref="H25" si="4">(F25-G25)/G25</f>
        <v>-0.25310173697270472</v>
      </c>
      <c r="I25" s="309">
        <f>+F25/$F$34</f>
        <v>0.3331719128329298</v>
      </c>
      <c r="J25" s="306" t="s">
        <v>84</v>
      </c>
      <c r="K25" s="40"/>
      <c r="L25" s="486" t="s">
        <v>193</v>
      </c>
      <c r="M25" s="487"/>
      <c r="N25" s="487"/>
      <c r="O25" s="487"/>
      <c r="P25" s="487"/>
      <c r="Q25" s="487"/>
      <c r="R25" s="488"/>
    </row>
    <row r="26" spans="1:19" ht="14.1" customHeight="1" x14ac:dyDescent="0.2">
      <c r="A26" s="38"/>
      <c r="B26" s="40"/>
      <c r="C26" s="307"/>
      <c r="E26" s="67"/>
      <c r="F26" s="310"/>
      <c r="I26" s="67"/>
      <c r="J26" s="38"/>
      <c r="K26" s="40"/>
      <c r="L26" s="310"/>
      <c r="N26" s="67"/>
      <c r="O26" s="310"/>
      <c r="P26" s="2"/>
      <c r="Q26" s="3"/>
      <c r="R26" s="67"/>
    </row>
    <row r="27" spans="1:19" ht="14.1" customHeight="1" x14ac:dyDescent="0.2">
      <c r="A27" s="306" t="s">
        <v>85</v>
      </c>
      <c r="B27" s="40"/>
      <c r="C27" s="307">
        <f>+'[3]CSA Air'!$GM$19</f>
        <v>0</v>
      </c>
      <c r="D27" s="150">
        <f>+'[3]CSA Air'!$FY$19</f>
        <v>11</v>
      </c>
      <c r="E27" s="309">
        <f>(C27-D27)/D27</f>
        <v>-1</v>
      </c>
      <c r="F27" s="307">
        <f>+SUM('[3]CSA Air'!$GB$19:$GM$19)</f>
        <v>9</v>
      </c>
      <c r="G27" s="150">
        <f>+SUM('[3]CSA Air'!$FN$19:$FY$19)</f>
        <v>26</v>
      </c>
      <c r="H27" s="308">
        <f t="shared" ref="H27" si="5">(F27-G27)/G27</f>
        <v>-0.65384615384615385</v>
      </c>
      <c r="I27" s="309">
        <f>+F27/$F$34</f>
        <v>6.2262193012798338E-4</v>
      </c>
      <c r="J27" s="306" t="s">
        <v>85</v>
      </c>
      <c r="K27" s="40"/>
      <c r="L27" s="307">
        <f>+'[3]CSA Air'!$GM$64</f>
        <v>0</v>
      </c>
      <c r="M27" s="150">
        <f>+'[3]CSA Air'!$FY$64</f>
        <v>19270</v>
      </c>
      <c r="N27" s="309">
        <f>(L27-M27)/M27</f>
        <v>-1</v>
      </c>
      <c r="O27" s="307">
        <f>+SUM('[3]CSA Air'!$GB$64:$GM$64)</f>
        <v>9686</v>
      </c>
      <c r="P27" s="150">
        <f>+SUM('[3]CSA Air'!$FN$64:$FY$64)</f>
        <v>36077</v>
      </c>
      <c r="Q27" s="308">
        <f t="shared" ref="Q27" si="6">(O27-P27)/P27</f>
        <v>-0.73151869612218312</v>
      </c>
      <c r="R27" s="309">
        <f>O27/$O$34</f>
        <v>2.5289653741037434E-5</v>
      </c>
    </row>
    <row r="28" spans="1:19" ht="14.1" customHeight="1" x14ac:dyDescent="0.2">
      <c r="A28" s="38"/>
      <c r="B28" s="40"/>
      <c r="C28" s="307"/>
      <c r="E28" s="67"/>
      <c r="F28" s="310"/>
      <c r="I28" s="67"/>
      <c r="J28" s="38"/>
      <c r="K28" s="40"/>
      <c r="L28" s="310"/>
      <c r="N28" s="67"/>
      <c r="O28" s="310"/>
      <c r="P28" s="2"/>
      <c r="Q28" s="3"/>
      <c r="R28" s="67"/>
    </row>
    <row r="29" spans="1:19" ht="14.1" customHeight="1" x14ac:dyDescent="0.2">
      <c r="A29" s="306" t="s">
        <v>86</v>
      </c>
      <c r="B29" s="311"/>
      <c r="C29" s="307">
        <f>+'[3]Mountain Cargo'!$GM$19</f>
        <v>40</v>
      </c>
      <c r="D29" s="150">
        <f>+'[3]Mountain Cargo'!$FY$19</f>
        <v>36</v>
      </c>
      <c r="E29" s="309">
        <f>(C29-D29)/D29</f>
        <v>0.1111111111111111</v>
      </c>
      <c r="F29" s="307">
        <f>+SUM('[3]Mountain Cargo'!$GB$19:$GM$19)</f>
        <v>444</v>
      </c>
      <c r="G29" s="150">
        <f>+SUM('[3]Mountain Cargo'!$FN$19:$FY$19)</f>
        <v>488</v>
      </c>
      <c r="H29" s="308">
        <f>(F29-G29)/G29</f>
        <v>-9.0163934426229511E-2</v>
      </c>
      <c r="I29" s="309">
        <f>+F29/$F$34</f>
        <v>3.0716015219647182E-2</v>
      </c>
      <c r="J29" s="306" t="s">
        <v>86</v>
      </c>
      <c r="K29" s="311"/>
      <c r="L29" s="307">
        <f>+'[3]Mountain Cargo'!$GM$64</f>
        <v>164267</v>
      </c>
      <c r="M29" s="150">
        <f>+'[3]Mountain Cargo'!$FY$64</f>
        <v>287677</v>
      </c>
      <c r="N29" s="309">
        <f>(L29-M29)/M29</f>
        <v>-0.42898806647733395</v>
      </c>
      <c r="O29" s="307">
        <f>+SUM('[3]Mountain Cargo'!$GB$64:$GM$64)</f>
        <v>1600063</v>
      </c>
      <c r="P29" s="150">
        <f>+SUM('[3]Mountain Cargo'!$FN$64:$FY$64)</f>
        <v>2104555</v>
      </c>
      <c r="Q29" s="308">
        <f t="shared" ref="Q29" si="7">(O29-P29)/P29</f>
        <v>-0.23971433390906866</v>
      </c>
      <c r="R29" s="309">
        <f>O29/$O$34</f>
        <v>4.1776831750821369E-3</v>
      </c>
      <c r="S29" s="353"/>
    </row>
    <row r="30" spans="1:19" ht="14.1" customHeight="1" x14ac:dyDescent="0.2">
      <c r="A30" s="38"/>
      <c r="B30" s="364"/>
      <c r="C30" s="307"/>
      <c r="E30" s="67"/>
      <c r="F30" s="310"/>
      <c r="I30" s="67"/>
      <c r="J30" s="38"/>
      <c r="K30" s="364"/>
      <c r="L30" s="310"/>
      <c r="N30" s="67"/>
      <c r="O30" s="310"/>
      <c r="P30" s="2"/>
      <c r="Q30" s="3"/>
      <c r="R30" s="67"/>
      <c r="S30" s="284"/>
    </row>
    <row r="31" spans="1:19" ht="14.1" customHeight="1" x14ac:dyDescent="0.2">
      <c r="A31" s="306" t="s">
        <v>129</v>
      </c>
      <c r="B31" s="40"/>
      <c r="C31" s="307">
        <f>+'[3]Misc Cargo'!$GM$19</f>
        <v>0</v>
      </c>
      <c r="D31" s="150">
        <f>+'[3]Misc Cargo'!$FY$19</f>
        <v>78</v>
      </c>
      <c r="E31" s="309">
        <f>(C31-D31)/D31</f>
        <v>-1</v>
      </c>
      <c r="F31" s="307">
        <f>+SUM('[3]Misc Cargo'!$GB$19:$GM$19)</f>
        <v>5</v>
      </c>
      <c r="G31" s="150">
        <f>+SUM('[3]Misc Cargo'!$FN$19:$FY$19)</f>
        <v>921</v>
      </c>
      <c r="H31" s="308">
        <f>(F31-G31)/G31</f>
        <v>-0.99457111834961998</v>
      </c>
      <c r="I31" s="309">
        <f>+F31/$F$34</f>
        <v>3.4590107229332413E-4</v>
      </c>
      <c r="J31" s="306" t="s">
        <v>129</v>
      </c>
      <c r="K31" s="40"/>
      <c r="L31" s="307">
        <f>+'[3]Misc Cargo'!$GM$64</f>
        <v>0</v>
      </c>
      <c r="M31" s="150">
        <f>+'[3]Misc Cargo'!$FY$64</f>
        <v>95385</v>
      </c>
      <c r="N31" s="309">
        <f>(L31-M31)/M31</f>
        <v>-1</v>
      </c>
      <c r="O31" s="307">
        <f>+SUM('[3]Misc Cargo'!$GB$64:$GM$64)</f>
        <v>33217</v>
      </c>
      <c r="P31" s="150">
        <f>+SUM('[3]Misc Cargo'!$FN$64:$FY$64)</f>
        <v>1259705</v>
      </c>
      <c r="Q31" s="308">
        <f>(O31-P31)/P31</f>
        <v>-0.97363112792280737</v>
      </c>
      <c r="R31" s="309">
        <f>O31/$O$34</f>
        <v>8.6727898855672156E-5</v>
      </c>
      <c r="S31" s="397"/>
    </row>
    <row r="32" spans="1:19" ht="14.1" customHeight="1" thickBot="1" x14ac:dyDescent="0.25">
      <c r="A32" s="398"/>
      <c r="B32" s="399"/>
      <c r="C32" s="400"/>
      <c r="D32" s="402"/>
      <c r="E32" s="403"/>
      <c r="F32" s="400"/>
      <c r="G32" s="402"/>
      <c r="H32" s="401"/>
      <c r="I32" s="403"/>
      <c r="J32" s="306"/>
      <c r="K32" s="40"/>
      <c r="L32" s="313"/>
      <c r="M32" s="315"/>
      <c r="N32" s="316"/>
      <c r="O32" s="313"/>
      <c r="P32" s="315"/>
      <c r="Q32" s="314"/>
      <c r="R32" s="399"/>
      <c r="S32" s="397"/>
    </row>
    <row r="33" spans="2:18" ht="13.5" thickBot="1" x14ac:dyDescent="0.25">
      <c r="D33" s="3"/>
      <c r="F33" s="2"/>
      <c r="G33"/>
      <c r="H33"/>
      <c r="I33"/>
      <c r="J33"/>
      <c r="K33"/>
      <c r="M33"/>
      <c r="N33"/>
    </row>
    <row r="34" spans="2:18" ht="15.75" thickBot="1" x14ac:dyDescent="0.3">
      <c r="B34" s="404" t="s">
        <v>191</v>
      </c>
      <c r="C34" s="405">
        <f>+SUM(C5:C31)</f>
        <v>1428</v>
      </c>
      <c r="D34" s="406">
        <f>SUM(D5:D32)</f>
        <v>1389</v>
      </c>
      <c r="E34" s="407">
        <f>(C34-D34)/D34</f>
        <v>2.8077753779697623E-2</v>
      </c>
      <c r="F34" s="405">
        <f>+SUM(F5:F31)</f>
        <v>14455</v>
      </c>
      <c r="G34" s="405">
        <f>+SUM(G5:G31)</f>
        <v>15456</v>
      </c>
      <c r="H34" s="408">
        <f>(F34-G34)/G34</f>
        <v>-6.4764492753623185E-2</v>
      </c>
      <c r="I34" s="419"/>
      <c r="J34"/>
      <c r="K34" s="404" t="s">
        <v>191</v>
      </c>
      <c r="L34" s="405">
        <f>+SUM(L5:L31)</f>
        <v>36432936</v>
      </c>
      <c r="M34" s="409">
        <f>SUM(M5:M32)</f>
        <v>33752297</v>
      </c>
      <c r="N34" s="410">
        <f>(L34-M34)/M34</f>
        <v>7.9420935410707008E-2</v>
      </c>
      <c r="O34" s="405">
        <f>+SUM(O5:O31)</f>
        <v>383002476</v>
      </c>
      <c r="P34" s="405">
        <f>+SUM(P5:P31)</f>
        <v>377572414</v>
      </c>
      <c r="Q34" s="408">
        <f t="shared" ref="Q34" si="8">(O34-P34)/P34</f>
        <v>1.4381511462858088E-2</v>
      </c>
      <c r="R34" s="419"/>
    </row>
    <row r="35" spans="2:18" x14ac:dyDescent="0.2">
      <c r="D35" s="3"/>
      <c r="F35"/>
      <c r="G35"/>
      <c r="H35"/>
      <c r="I35"/>
      <c r="J35"/>
      <c r="K35"/>
      <c r="L35"/>
      <c r="M35"/>
      <c r="N35"/>
    </row>
    <row r="36" spans="2:18" x14ac:dyDescent="0.2">
      <c r="D36" s="3"/>
      <c r="F36"/>
      <c r="G36"/>
      <c r="H36"/>
      <c r="I36"/>
      <c r="J36"/>
      <c r="K36"/>
      <c r="L36"/>
      <c r="M36"/>
      <c r="N36"/>
    </row>
    <row r="37" spans="2:18" x14ac:dyDescent="0.2">
      <c r="D37" s="3"/>
      <c r="F37"/>
      <c r="G37"/>
      <c r="H37"/>
      <c r="I37"/>
      <c r="J37"/>
      <c r="K37"/>
      <c r="L37"/>
      <c r="M37"/>
      <c r="N37"/>
    </row>
    <row r="38" spans="2:18" x14ac:dyDescent="0.2">
      <c r="D38" s="3"/>
      <c r="F38"/>
      <c r="G38"/>
      <c r="H38"/>
      <c r="I38"/>
      <c r="J38"/>
      <c r="K38"/>
      <c r="L38"/>
      <c r="M38"/>
      <c r="N38"/>
    </row>
    <row r="39" spans="2:18" x14ac:dyDescent="0.2">
      <c r="D39" s="3"/>
      <c r="F39"/>
      <c r="G39"/>
      <c r="H39"/>
      <c r="I39"/>
      <c r="J39"/>
      <c r="K39"/>
      <c r="L39"/>
      <c r="M39"/>
      <c r="N39"/>
    </row>
    <row r="40" spans="2:18" x14ac:dyDescent="0.2">
      <c r="D40" s="3"/>
      <c r="F40"/>
      <c r="G40"/>
      <c r="H40"/>
      <c r="I40"/>
      <c r="J40"/>
      <c r="K40"/>
      <c r="L40"/>
      <c r="M40"/>
      <c r="N40"/>
    </row>
    <row r="41" spans="2:18" x14ac:dyDescent="0.2">
      <c r="D41" s="3"/>
      <c r="F41"/>
      <c r="G41"/>
      <c r="H41"/>
      <c r="I41"/>
      <c r="J41"/>
      <c r="K41"/>
      <c r="L41"/>
      <c r="M41"/>
      <c r="N41"/>
    </row>
    <row r="42" spans="2:18" x14ac:dyDescent="0.2">
      <c r="D42" s="3"/>
      <c r="F42"/>
      <c r="G42"/>
      <c r="H42"/>
      <c r="I42"/>
      <c r="J42"/>
      <c r="K42"/>
      <c r="L42"/>
      <c r="M42"/>
      <c r="N42"/>
    </row>
    <row r="43" spans="2:18" x14ac:dyDescent="0.2">
      <c r="D43" s="3"/>
      <c r="F43"/>
      <c r="G43"/>
      <c r="H43"/>
      <c r="I43"/>
      <c r="J43"/>
      <c r="K43"/>
      <c r="L43"/>
      <c r="M43"/>
      <c r="N43"/>
    </row>
    <row r="44" spans="2:18" x14ac:dyDescent="0.2">
      <c r="D44" s="3"/>
      <c r="F44"/>
      <c r="G44"/>
      <c r="H44"/>
      <c r="I44"/>
      <c r="J44"/>
      <c r="K44"/>
      <c r="L44"/>
      <c r="M44"/>
      <c r="N44"/>
    </row>
    <row r="45" spans="2:18" x14ac:dyDescent="0.2">
      <c r="D45" s="3"/>
      <c r="F45"/>
      <c r="G45"/>
      <c r="H45"/>
      <c r="I45"/>
      <c r="J45"/>
      <c r="K45"/>
      <c r="L45"/>
      <c r="M45"/>
      <c r="N45"/>
    </row>
    <row r="46" spans="2:18" x14ac:dyDescent="0.2">
      <c r="D46" s="3"/>
      <c r="F46"/>
      <c r="G46"/>
      <c r="H46"/>
      <c r="I46"/>
      <c r="J46"/>
      <c r="K46"/>
      <c r="L46"/>
      <c r="M46"/>
      <c r="N46"/>
    </row>
    <row r="47" spans="2:18" x14ac:dyDescent="0.2">
      <c r="D47" s="3"/>
      <c r="F47"/>
      <c r="G47"/>
      <c r="H47"/>
      <c r="I47"/>
      <c r="J47"/>
      <c r="K47"/>
      <c r="L47"/>
      <c r="M47"/>
      <c r="N47"/>
    </row>
    <row r="48" spans="2:18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F104" s="195"/>
      <c r="K104"/>
    </row>
    <row r="105" spans="4:14" x14ac:dyDescent="0.2">
      <c r="F105" s="195"/>
      <c r="K105"/>
    </row>
    <row r="106" spans="4:14" x14ac:dyDescent="0.2">
      <c r="F106" s="195"/>
      <c r="K106"/>
    </row>
    <row r="107" spans="4:14" x14ac:dyDescent="0.2">
      <c r="F107" s="195"/>
      <c r="K107"/>
    </row>
    <row r="108" spans="4:14" x14ac:dyDescent="0.2">
      <c r="F108" s="195"/>
      <c r="K108"/>
    </row>
    <row r="109" spans="4:14" x14ac:dyDescent="0.2">
      <c r="F109" s="195"/>
      <c r="K109"/>
    </row>
    <row r="110" spans="4:14" x14ac:dyDescent="0.2">
      <c r="F110" s="195"/>
      <c r="K110"/>
    </row>
    <row r="111" spans="4:14" x14ac:dyDescent="0.2">
      <c r="F111" s="195"/>
      <c r="K111"/>
    </row>
    <row r="112" spans="4:14" x14ac:dyDescent="0.2">
      <c r="F112" s="195"/>
      <c r="K112"/>
    </row>
    <row r="113" spans="6:11" x14ac:dyDescent="0.2">
      <c r="F113" s="195"/>
      <c r="K113"/>
    </row>
    <row r="114" spans="6:11" x14ac:dyDescent="0.2">
      <c r="F114" s="195"/>
      <c r="K114"/>
    </row>
    <row r="115" spans="6:11" x14ac:dyDescent="0.2">
      <c r="F115" s="195"/>
      <c r="K115"/>
    </row>
    <row r="116" spans="6:11" x14ac:dyDescent="0.2">
      <c r="F116" s="195"/>
      <c r="K116"/>
    </row>
    <row r="117" spans="6:11" x14ac:dyDescent="0.2">
      <c r="F117" s="195"/>
      <c r="K117"/>
    </row>
    <row r="118" spans="6:11" x14ac:dyDescent="0.2">
      <c r="F118" s="195"/>
      <c r="K118"/>
    </row>
    <row r="119" spans="6:11" x14ac:dyDescent="0.2">
      <c r="F119" s="195"/>
      <c r="K119"/>
    </row>
    <row r="120" spans="6:11" x14ac:dyDescent="0.2">
      <c r="F120" s="195"/>
      <c r="K120"/>
    </row>
    <row r="121" spans="6:11" x14ac:dyDescent="0.2">
      <c r="F121" s="195"/>
      <c r="K121"/>
    </row>
    <row r="122" spans="6:11" x14ac:dyDescent="0.2">
      <c r="F122" s="195"/>
      <c r="K122"/>
    </row>
    <row r="123" spans="6:11" x14ac:dyDescent="0.2">
      <c r="F123" s="195"/>
      <c r="K123"/>
    </row>
    <row r="124" spans="6:11" x14ac:dyDescent="0.2">
      <c r="F124" s="195"/>
      <c r="K124"/>
    </row>
    <row r="125" spans="6:11" x14ac:dyDescent="0.2">
      <c r="F125" s="195"/>
      <c r="K125"/>
    </row>
    <row r="126" spans="6:11" x14ac:dyDescent="0.2">
      <c r="F126" s="195"/>
      <c r="K126"/>
    </row>
    <row r="127" spans="6:11" x14ac:dyDescent="0.2">
      <c r="F127" s="195"/>
      <c r="K127"/>
    </row>
    <row r="128" spans="6:11" x14ac:dyDescent="0.2">
      <c r="F128" s="195"/>
      <c r="K128"/>
    </row>
    <row r="129" spans="6:11" x14ac:dyDescent="0.2">
      <c r="F129" s="195"/>
      <c r="K129"/>
    </row>
    <row r="130" spans="6:11" x14ac:dyDescent="0.2">
      <c r="F130" s="195"/>
      <c r="K130"/>
    </row>
    <row r="131" spans="6:11" x14ac:dyDescent="0.2">
      <c r="F131" s="195"/>
      <c r="K131"/>
    </row>
    <row r="132" spans="6:11" x14ac:dyDescent="0.2">
      <c r="F132" s="195"/>
      <c r="K132"/>
    </row>
    <row r="133" spans="6:11" x14ac:dyDescent="0.2">
      <c r="F133" s="195"/>
      <c r="K133"/>
    </row>
    <row r="134" spans="6:11" x14ac:dyDescent="0.2">
      <c r="F134" s="195"/>
      <c r="K134"/>
    </row>
    <row r="135" spans="6:11" x14ac:dyDescent="0.2">
      <c r="F135" s="195"/>
      <c r="K135"/>
    </row>
    <row r="136" spans="6:11" x14ac:dyDescent="0.2">
      <c r="F136" s="195"/>
      <c r="K136"/>
    </row>
    <row r="137" spans="6:11" x14ac:dyDescent="0.2">
      <c r="F137" s="195"/>
      <c r="K137"/>
    </row>
    <row r="138" spans="6:11" x14ac:dyDescent="0.2">
      <c r="F138" s="195"/>
      <c r="K138"/>
    </row>
    <row r="139" spans="6:11" x14ac:dyDescent="0.2">
      <c r="F139" s="195"/>
      <c r="K139"/>
    </row>
    <row r="140" spans="6:11" x14ac:dyDescent="0.2">
      <c r="F140" s="195"/>
      <c r="K140"/>
    </row>
    <row r="141" spans="6:11" x14ac:dyDescent="0.2">
      <c r="F141" s="195"/>
      <c r="K141"/>
    </row>
    <row r="142" spans="6:11" x14ac:dyDescent="0.2">
      <c r="F142" s="195"/>
      <c r="K142"/>
    </row>
    <row r="143" spans="6:11" x14ac:dyDescent="0.2">
      <c r="F143" s="195"/>
      <c r="K143"/>
    </row>
    <row r="144" spans="6:11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  <row r="4666" spans="6:11" x14ac:dyDescent="0.2">
      <c r="F4666" s="195"/>
      <c r="K4666"/>
    </row>
    <row r="4667" spans="6:11" x14ac:dyDescent="0.2">
      <c r="F4667" s="195"/>
      <c r="K4667"/>
    </row>
    <row r="4668" spans="6:11" x14ac:dyDescent="0.2">
      <c r="F4668" s="195"/>
      <c r="K4668"/>
    </row>
    <row r="4669" spans="6:11" x14ac:dyDescent="0.2">
      <c r="F4669" s="195"/>
      <c r="K4669"/>
    </row>
    <row r="4670" spans="6:11" x14ac:dyDescent="0.2">
      <c r="F4670" s="195"/>
      <c r="K4670"/>
    </row>
    <row r="4671" spans="6:11" x14ac:dyDescent="0.2">
      <c r="F4671" s="195"/>
      <c r="K4671"/>
    </row>
  </sheetData>
  <mergeCells count="7">
    <mergeCell ref="L3:R3"/>
    <mergeCell ref="L25:R2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December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2020-01-22T23:09:47Z</cp:lastPrinted>
  <dcterms:created xsi:type="dcterms:W3CDTF">2007-09-24T12:26:24Z</dcterms:created>
  <dcterms:modified xsi:type="dcterms:W3CDTF">2022-04-01T15:50:57Z</dcterms:modified>
</cp:coreProperties>
</file>