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FCFE8EF7-94D8-41D4-BD0C-CBFE0231DDD4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Activity'!$A$1:$AA$63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7" l="1"/>
  <c r="D17" i="17"/>
  <c r="P30" i="17" l="1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M31" i="7"/>
  <c r="L31" i="7"/>
  <c r="O32" i="7"/>
  <c r="J32" i="7"/>
  <c r="C31" i="7"/>
  <c r="B31" i="7"/>
  <c r="N31" i="7" l="1"/>
  <c r="D31" i="7"/>
  <c r="E32" i="7" l="1"/>
  <c r="Y57" i="9"/>
  <c r="V57" i="9"/>
  <c r="P57" i="9"/>
  <c r="M57" i="9"/>
  <c r="G57" i="9"/>
  <c r="D57" i="9"/>
  <c r="Y55" i="9"/>
  <c r="V55" i="9"/>
  <c r="P55" i="9"/>
  <c r="M55" i="9"/>
  <c r="G55" i="9"/>
  <c r="D55" i="9"/>
  <c r="Y54" i="9"/>
  <c r="V54" i="9"/>
  <c r="P54" i="9"/>
  <c r="M54" i="9"/>
  <c r="G54" i="9"/>
  <c r="D54" i="9"/>
  <c r="Y53" i="9"/>
  <c r="V53" i="9"/>
  <c r="P53" i="9"/>
  <c r="M53" i="9"/>
  <c r="G53" i="9"/>
  <c r="D53" i="9"/>
  <c r="Y52" i="9"/>
  <c r="V52" i="9"/>
  <c r="P52" i="9"/>
  <c r="M52" i="9"/>
  <c r="G52" i="9"/>
  <c r="D52" i="9"/>
  <c r="Y51" i="9"/>
  <c r="V51" i="9"/>
  <c r="P51" i="9"/>
  <c r="M51" i="9"/>
  <c r="G51" i="9"/>
  <c r="D51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0" i="9"/>
  <c r="V40" i="9"/>
  <c r="P40" i="9"/>
  <c r="M40" i="9"/>
  <c r="G40" i="9"/>
  <c r="D40" i="9"/>
  <c r="Y38" i="9"/>
  <c r="V38" i="9"/>
  <c r="P38" i="9"/>
  <c r="M38" i="9"/>
  <c r="G38" i="9"/>
  <c r="D38" i="9"/>
  <c r="Y36" i="9"/>
  <c r="V36" i="9"/>
  <c r="P36" i="9"/>
  <c r="M36" i="9"/>
  <c r="G36" i="9"/>
  <c r="D36" i="9"/>
  <c r="Y34" i="9"/>
  <c r="V34" i="9"/>
  <c r="P34" i="9"/>
  <c r="M34" i="9"/>
  <c r="G34" i="9"/>
  <c r="D34" i="9"/>
  <c r="Y33" i="9"/>
  <c r="V33" i="9"/>
  <c r="P33" i="9"/>
  <c r="M33" i="9"/>
  <c r="G33" i="9"/>
  <c r="D33" i="9"/>
  <c r="Y32" i="9"/>
  <c r="V32" i="9"/>
  <c r="P32" i="9"/>
  <c r="M32" i="9"/>
  <c r="G32" i="9"/>
  <c r="D32" i="9"/>
  <c r="Y31" i="9"/>
  <c r="V31" i="9"/>
  <c r="P31" i="9"/>
  <c r="M31" i="9"/>
  <c r="G31" i="9"/>
  <c r="D31" i="9"/>
  <c r="Y28" i="9"/>
  <c r="V28" i="9"/>
  <c r="P28" i="9"/>
  <c r="M28" i="9"/>
  <c r="G28" i="9"/>
  <c r="D28" i="9"/>
  <c r="Y26" i="9"/>
  <c r="V26" i="9"/>
  <c r="P26" i="9"/>
  <c r="M26" i="9"/>
  <c r="G26" i="9"/>
  <c r="D26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5" i="9"/>
  <c r="V15" i="9"/>
  <c r="P15" i="9"/>
  <c r="M15" i="9"/>
  <c r="G15" i="9"/>
  <c r="D15" i="9"/>
  <c r="Y14" i="9"/>
  <c r="V14" i="9"/>
  <c r="P14" i="9"/>
  <c r="M14" i="9"/>
  <c r="G14" i="9"/>
  <c r="D14" i="9"/>
  <c r="Y11" i="9"/>
  <c r="V11" i="9"/>
  <c r="P11" i="9"/>
  <c r="M11" i="9"/>
  <c r="G11" i="9"/>
  <c r="D11" i="9"/>
  <c r="Y9" i="9"/>
  <c r="V9" i="9"/>
  <c r="P9" i="9"/>
  <c r="M9" i="9"/>
  <c r="G9" i="9"/>
  <c r="D9" i="9"/>
  <c r="Y7" i="9"/>
  <c r="V7" i="9"/>
  <c r="P7" i="9"/>
  <c r="M7" i="9"/>
  <c r="G7" i="9"/>
  <c r="D7" i="9"/>
  <c r="Y6" i="9"/>
  <c r="V6" i="9"/>
  <c r="P6" i="9"/>
  <c r="M6" i="9"/>
  <c r="G6" i="9"/>
  <c r="D6" i="9"/>
  <c r="Y5" i="9"/>
  <c r="V5" i="9"/>
  <c r="P5" i="9"/>
  <c r="M5" i="9"/>
  <c r="G5" i="9"/>
  <c r="D5" i="9"/>
  <c r="X57" i="9"/>
  <c r="U57" i="9"/>
  <c r="O57" i="9"/>
  <c r="L57" i="9"/>
  <c r="F57" i="9"/>
  <c r="C57" i="9"/>
  <c r="X55" i="9"/>
  <c r="U55" i="9"/>
  <c r="O55" i="9"/>
  <c r="L55" i="9"/>
  <c r="F55" i="9"/>
  <c r="C55" i="9"/>
  <c r="X54" i="9"/>
  <c r="U54" i="9"/>
  <c r="O54" i="9"/>
  <c r="L54" i="9"/>
  <c r="F54" i="9"/>
  <c r="C54" i="9"/>
  <c r="X53" i="9"/>
  <c r="U53" i="9"/>
  <c r="O53" i="9"/>
  <c r="L53" i="9"/>
  <c r="F53" i="9"/>
  <c r="C53" i="9"/>
  <c r="X52" i="9"/>
  <c r="U52" i="9"/>
  <c r="O52" i="9"/>
  <c r="L52" i="9"/>
  <c r="F52" i="9"/>
  <c r="C52" i="9"/>
  <c r="X51" i="9"/>
  <c r="U51" i="9"/>
  <c r="O51" i="9"/>
  <c r="L51" i="9"/>
  <c r="F51" i="9"/>
  <c r="C51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0" i="9"/>
  <c r="U40" i="9"/>
  <c r="O40" i="9"/>
  <c r="L40" i="9"/>
  <c r="F40" i="9"/>
  <c r="C40" i="9"/>
  <c r="X38" i="9"/>
  <c r="U38" i="9"/>
  <c r="O38" i="9"/>
  <c r="L38" i="9"/>
  <c r="F38" i="9"/>
  <c r="C38" i="9"/>
  <c r="X36" i="9"/>
  <c r="U36" i="9"/>
  <c r="O36" i="9"/>
  <c r="L36" i="9"/>
  <c r="F36" i="9"/>
  <c r="C36" i="9"/>
  <c r="X34" i="9"/>
  <c r="U34" i="9"/>
  <c r="O34" i="9"/>
  <c r="L34" i="9"/>
  <c r="F34" i="9"/>
  <c r="C34" i="9"/>
  <c r="X33" i="9"/>
  <c r="U33" i="9"/>
  <c r="O33" i="9"/>
  <c r="L33" i="9"/>
  <c r="F33" i="9"/>
  <c r="C33" i="9"/>
  <c r="X32" i="9"/>
  <c r="U32" i="9"/>
  <c r="O32" i="9"/>
  <c r="L32" i="9"/>
  <c r="F32" i="9"/>
  <c r="C32" i="9"/>
  <c r="X31" i="9"/>
  <c r="U31" i="9"/>
  <c r="O31" i="9"/>
  <c r="L31" i="9"/>
  <c r="F31" i="9"/>
  <c r="C31" i="9"/>
  <c r="X28" i="9"/>
  <c r="U28" i="9"/>
  <c r="O28" i="9"/>
  <c r="L28" i="9"/>
  <c r="F28" i="9"/>
  <c r="C28" i="9"/>
  <c r="X26" i="9"/>
  <c r="U26" i="9"/>
  <c r="O26" i="9"/>
  <c r="L26" i="9"/>
  <c r="F26" i="9"/>
  <c r="C26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5" i="9"/>
  <c r="U15" i="9"/>
  <c r="O15" i="9"/>
  <c r="L15" i="9"/>
  <c r="F15" i="9"/>
  <c r="C15" i="9"/>
  <c r="X14" i="9"/>
  <c r="U14" i="9"/>
  <c r="O14" i="9"/>
  <c r="L14" i="9"/>
  <c r="F14" i="9"/>
  <c r="C14" i="9"/>
  <c r="X11" i="9"/>
  <c r="U11" i="9"/>
  <c r="O11" i="9"/>
  <c r="L11" i="9"/>
  <c r="F11" i="9"/>
  <c r="C11" i="9"/>
  <c r="X9" i="9"/>
  <c r="U9" i="9"/>
  <c r="O9" i="9"/>
  <c r="L9" i="9"/>
  <c r="F9" i="9"/>
  <c r="C9" i="9"/>
  <c r="X7" i="9"/>
  <c r="U7" i="9"/>
  <c r="O7" i="9"/>
  <c r="L7" i="9"/>
  <c r="F7" i="9"/>
  <c r="C7" i="9"/>
  <c r="X6" i="9"/>
  <c r="U6" i="9"/>
  <c r="O6" i="9"/>
  <c r="L6" i="9"/>
  <c r="F6" i="9"/>
  <c r="C6" i="9"/>
  <c r="X5" i="9"/>
  <c r="U5" i="9"/>
  <c r="O5" i="9"/>
  <c r="L5" i="9"/>
  <c r="F5" i="9"/>
  <c r="C5" i="9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M30" i="7"/>
  <c r="L30" i="7"/>
  <c r="O31" i="7"/>
  <c r="J31" i="7"/>
  <c r="C30" i="7"/>
  <c r="B30" i="7"/>
  <c r="E31" i="7"/>
  <c r="M29" i="7"/>
  <c r="L29" i="7"/>
  <c r="O30" i="7"/>
  <c r="J30" i="7"/>
  <c r="C29" i="7"/>
  <c r="B29" i="7"/>
  <c r="E30" i="7"/>
  <c r="N29" i="7" l="1"/>
  <c r="N30" i="7"/>
  <c r="O29" i="7"/>
  <c r="M28" i="7"/>
  <c r="L28" i="7"/>
  <c r="J29" i="7"/>
  <c r="C28" i="7"/>
  <c r="B28" i="7"/>
  <c r="N28" i="7" l="1"/>
  <c r="E29" i="7"/>
  <c r="D28" i="7"/>
  <c r="M27" i="7"/>
  <c r="L27" i="7"/>
  <c r="O28" i="7"/>
  <c r="J28" i="7"/>
  <c r="C27" i="7"/>
  <c r="B27" i="7"/>
  <c r="E28" i="7"/>
  <c r="E22" i="1" l="1"/>
  <c r="H22" i="1"/>
  <c r="N27" i="7"/>
  <c r="D27" i="7"/>
  <c r="M26" i="7"/>
  <c r="L26" i="7"/>
  <c r="M25" i="7"/>
  <c r="L25" i="7"/>
  <c r="O27" i="7"/>
  <c r="J27" i="7"/>
  <c r="C26" i="7"/>
  <c r="B26" i="7"/>
  <c r="E27" i="7"/>
  <c r="N26" i="7" l="1"/>
  <c r="N25" i="7"/>
  <c r="D26" i="7"/>
  <c r="H6" i="7"/>
  <c r="H5" i="7"/>
  <c r="L5" i="15"/>
  <c r="W57" i="9"/>
  <c r="N57" i="9"/>
  <c r="Q57" i="9"/>
  <c r="Z57" i="9"/>
  <c r="F12" i="7"/>
  <c r="F7" i="7"/>
  <c r="E57" i="9"/>
  <c r="H57" i="9"/>
  <c r="O26" i="7" l="1"/>
  <c r="J26" i="7"/>
  <c r="C25" i="7"/>
  <c r="B25" i="7"/>
  <c r="E26" i="7"/>
  <c r="E25" i="7"/>
  <c r="O25" i="7"/>
  <c r="M24" i="7"/>
  <c r="L24" i="7"/>
  <c r="J25" i="7"/>
  <c r="C24" i="7"/>
  <c r="B24" i="7"/>
  <c r="N24" i="7" l="1"/>
  <c r="K16" i="3"/>
  <c r="K17" i="3"/>
  <c r="K20" i="3"/>
  <c r="C61" i="9"/>
  <c r="D61" i="9"/>
  <c r="F61" i="9"/>
  <c r="G61" i="9"/>
  <c r="L61" i="9"/>
  <c r="M61" i="9"/>
  <c r="O61" i="9"/>
  <c r="P61" i="9"/>
  <c r="U61" i="9"/>
  <c r="V61" i="9"/>
  <c r="X61" i="9"/>
  <c r="Y61" i="9"/>
  <c r="D25" i="7"/>
  <c r="O24" i="7"/>
  <c r="M23" i="7"/>
  <c r="L23" i="7"/>
  <c r="J24" i="7"/>
  <c r="B23" i="7"/>
  <c r="C23" i="7"/>
  <c r="E24" i="7"/>
  <c r="N23" i="7" l="1"/>
  <c r="E61" i="9"/>
  <c r="G23" i="7"/>
  <c r="H23" i="7"/>
  <c r="O23" i="7"/>
  <c r="M22" i="7"/>
  <c r="L22" i="7"/>
  <c r="J23" i="7"/>
  <c r="E23" i="7"/>
  <c r="C22" i="7"/>
  <c r="B22" i="7"/>
  <c r="G9" i="17"/>
  <c r="N22" i="7" l="1"/>
  <c r="D22" i="7"/>
  <c r="N55" i="9"/>
  <c r="N53" i="9"/>
  <c r="W52" i="9"/>
  <c r="Z40" i="9"/>
  <c r="E38" i="9"/>
  <c r="H36" i="9"/>
  <c r="N34" i="9"/>
  <c r="W24" i="9"/>
  <c r="N24" i="9"/>
  <c r="E23" i="9"/>
  <c r="N20" i="9"/>
  <c r="E15" i="9"/>
  <c r="L13" i="9"/>
  <c r="W11" i="9"/>
  <c r="N9" i="9"/>
  <c r="W7" i="9"/>
  <c r="E7" i="9"/>
  <c r="N6" i="9"/>
  <c r="W5" i="9"/>
  <c r="J2" i="9"/>
  <c r="S2" i="9" s="1"/>
  <c r="L38" i="16"/>
  <c r="D38" i="16"/>
  <c r="G30" i="9" l="1"/>
  <c r="Q11" i="9"/>
  <c r="Z53" i="9"/>
  <c r="Q53" i="9"/>
  <c r="N5" i="9"/>
  <c r="N11" i="9"/>
  <c r="E14" i="9"/>
  <c r="L4" i="9"/>
  <c r="H6" i="9"/>
  <c r="Q21" i="9"/>
  <c r="Z48" i="9"/>
  <c r="P38" i="16"/>
  <c r="Q6" i="9"/>
  <c r="V13" i="9"/>
  <c r="E34" i="9"/>
  <c r="C4" i="9"/>
  <c r="H38" i="16"/>
  <c r="H15" i="9"/>
  <c r="X13" i="9"/>
  <c r="Z19" i="9"/>
  <c r="Z21" i="9"/>
  <c r="Z26" i="9"/>
  <c r="H32" i="9"/>
  <c r="Z33" i="9"/>
  <c r="Q36" i="9"/>
  <c r="C38" i="16"/>
  <c r="K38" i="16"/>
  <c r="W6" i="9"/>
  <c r="D13" i="9"/>
  <c r="N23" i="9"/>
  <c r="W36" i="9"/>
  <c r="N38" i="9"/>
  <c r="E40" i="9"/>
  <c r="W44" i="9"/>
  <c r="E53" i="9"/>
  <c r="W53" i="9"/>
  <c r="Z46" i="9"/>
  <c r="E6" i="9"/>
  <c r="X4" i="9"/>
  <c r="V4" i="9"/>
  <c r="E9" i="9"/>
  <c r="N28" i="9"/>
  <c r="Z55" i="9"/>
  <c r="Q46" i="9"/>
  <c r="O38" i="16"/>
  <c r="D4" i="9"/>
  <c r="N44" i="9"/>
  <c r="H48" i="9"/>
  <c r="N52" i="9"/>
  <c r="G38" i="16"/>
  <c r="Z14" i="9"/>
  <c r="N15" i="9"/>
  <c r="W16" i="9"/>
  <c r="P18" i="9"/>
  <c r="N32" i="9"/>
  <c r="H42" i="9"/>
  <c r="N48" i="9"/>
  <c r="E51" i="9"/>
  <c r="N38" i="16"/>
  <c r="M18" i="9"/>
  <c r="J38" i="16"/>
  <c r="Q48" i="9"/>
  <c r="V50" i="9"/>
  <c r="F38" i="16"/>
  <c r="F18" i="9"/>
  <c r="Q33" i="9"/>
  <c r="G50" i="9"/>
  <c r="Y50" i="9"/>
  <c r="G4" i="9"/>
  <c r="L50" i="9"/>
  <c r="W15" i="9"/>
  <c r="N16" i="9"/>
  <c r="W32" i="9"/>
  <c r="Q42" i="9"/>
  <c r="H44" i="9"/>
  <c r="E48" i="9"/>
  <c r="H54" i="9"/>
  <c r="E38" i="16"/>
  <c r="M38" i="16"/>
  <c r="E5" i="9"/>
  <c r="P13" i="9"/>
  <c r="M13" i="9"/>
  <c r="N13" i="9" s="1"/>
  <c r="W20" i="9"/>
  <c r="N21" i="9"/>
  <c r="E24" i="9"/>
  <c r="E28" i="9"/>
  <c r="W28" i="9"/>
  <c r="Y30" i="9"/>
  <c r="E33" i="9"/>
  <c r="W33" i="9"/>
  <c r="W40" i="9"/>
  <c r="H46" i="9"/>
  <c r="N51" i="9"/>
  <c r="E54" i="9"/>
  <c r="W54" i="9"/>
  <c r="W9" i="9"/>
  <c r="Z11" i="9"/>
  <c r="W14" i="9"/>
  <c r="E22" i="9"/>
  <c r="P30" i="9"/>
  <c r="Z36" i="9"/>
  <c r="N42" i="9"/>
  <c r="E44" i="9"/>
  <c r="Y4" i="9"/>
  <c r="C18" i="9"/>
  <c r="E26" i="9"/>
  <c r="W26" i="9"/>
  <c r="M30" i="9"/>
  <c r="H33" i="9"/>
  <c r="W34" i="9"/>
  <c r="N36" i="9"/>
  <c r="N46" i="9"/>
  <c r="Q51" i="9"/>
  <c r="U50" i="9"/>
  <c r="Z54" i="9"/>
  <c r="U4" i="9"/>
  <c r="P50" i="9"/>
  <c r="I38" i="16"/>
  <c r="Q36" i="16"/>
  <c r="G13" i="9"/>
  <c r="Y13" i="9"/>
  <c r="H19" i="9"/>
  <c r="E21" i="9"/>
  <c r="H26" i="9"/>
  <c r="N33" i="9"/>
  <c r="Z34" i="9"/>
  <c r="W38" i="9"/>
  <c r="N40" i="9"/>
  <c r="E42" i="9"/>
  <c r="W51" i="9"/>
  <c r="N54" i="9"/>
  <c r="Q35" i="16"/>
  <c r="P4" i="9"/>
  <c r="E11" i="9"/>
  <c r="U13" i="9"/>
  <c r="N14" i="9"/>
  <c r="Q15" i="9"/>
  <c r="W21" i="9"/>
  <c r="C30" i="9"/>
  <c r="Q32" i="9"/>
  <c r="W42" i="9"/>
  <c r="W48" i="9"/>
  <c r="H53" i="9"/>
  <c r="D50" i="9"/>
  <c r="W55" i="9"/>
  <c r="N19" i="9"/>
  <c r="W23" i="9"/>
  <c r="N26" i="9"/>
  <c r="D30" i="9"/>
  <c r="E32" i="9"/>
  <c r="E36" i="9"/>
  <c r="Q40" i="9"/>
  <c r="E46" i="9"/>
  <c r="W46" i="9"/>
  <c r="E52" i="9"/>
  <c r="M4" i="9"/>
  <c r="L18" i="9"/>
  <c r="N22" i="9"/>
  <c r="N31" i="9"/>
  <c r="L30" i="9"/>
  <c r="Q5" i="9"/>
  <c r="O4" i="9"/>
  <c r="N7" i="9"/>
  <c r="Z9" i="9"/>
  <c r="H21" i="9"/>
  <c r="G18" i="9"/>
  <c r="D18" i="9"/>
  <c r="E20" i="9"/>
  <c r="E16" i="9"/>
  <c r="C13" i="9"/>
  <c r="Q14" i="9"/>
  <c r="O13" i="9"/>
  <c r="W19" i="9"/>
  <c r="U18" i="9"/>
  <c r="X18" i="9"/>
  <c r="Z20" i="9"/>
  <c r="Y18" i="9"/>
  <c r="Z23" i="9"/>
  <c r="Q23" i="9"/>
  <c r="Z28" i="9"/>
  <c r="Z5" i="9"/>
  <c r="F4" i="9"/>
  <c r="H11" i="9"/>
  <c r="V18" i="9"/>
  <c r="W22" i="9"/>
  <c r="V30" i="9"/>
  <c r="W31" i="9"/>
  <c r="C50" i="9"/>
  <c r="M50" i="9"/>
  <c r="Z51" i="9"/>
  <c r="E55" i="9"/>
  <c r="U30" i="9"/>
  <c r="H5" i="9"/>
  <c r="Z7" i="9"/>
  <c r="Q9" i="9"/>
  <c r="H14" i="9"/>
  <c r="Z16" i="9"/>
  <c r="Q20" i="9"/>
  <c r="H23" i="9"/>
  <c r="Z24" i="9"/>
  <c r="Q28" i="9"/>
  <c r="E31" i="9"/>
  <c r="Q34" i="9"/>
  <c r="H40" i="9"/>
  <c r="Z44" i="9"/>
  <c r="O50" i="9"/>
  <c r="H51" i="9"/>
  <c r="Z52" i="9"/>
  <c r="Q55" i="9"/>
  <c r="X50" i="9"/>
  <c r="Q7" i="9"/>
  <c r="H9" i="9"/>
  <c r="F13" i="9"/>
  <c r="Q16" i="9"/>
  <c r="E19" i="9"/>
  <c r="H20" i="9"/>
  <c r="Z22" i="9"/>
  <c r="Q24" i="9"/>
  <c r="H28" i="9"/>
  <c r="Z31" i="9"/>
  <c r="H34" i="9"/>
  <c r="Z38" i="9"/>
  <c r="Q44" i="9"/>
  <c r="F50" i="9"/>
  <c r="Q52" i="9"/>
  <c r="H55" i="9"/>
  <c r="H7" i="9"/>
  <c r="H16" i="9"/>
  <c r="Q22" i="9"/>
  <c r="H24" i="9"/>
  <c r="X30" i="9"/>
  <c r="Q31" i="9"/>
  <c r="Q38" i="9"/>
  <c r="H52" i="9"/>
  <c r="Z6" i="9"/>
  <c r="Z15" i="9"/>
  <c r="Q19" i="9"/>
  <c r="H22" i="9"/>
  <c r="Q26" i="9"/>
  <c r="O30" i="9"/>
  <c r="H31" i="9"/>
  <c r="Z32" i="9"/>
  <c r="H38" i="9"/>
  <c r="Z42" i="9"/>
  <c r="Q54" i="9"/>
  <c r="O18" i="9"/>
  <c r="F30" i="9"/>
  <c r="B38" i="16"/>
  <c r="M62" i="9" l="1"/>
  <c r="M60" i="9" s="1"/>
  <c r="C62" i="9"/>
  <c r="C60" i="9" s="1"/>
  <c r="V62" i="9"/>
  <c r="V60" i="9" s="1"/>
  <c r="F62" i="9"/>
  <c r="F60" i="9" s="1"/>
  <c r="D62" i="9"/>
  <c r="D60" i="9" s="1"/>
  <c r="O62" i="9"/>
  <c r="O60" i="9" s="1"/>
  <c r="L62" i="9"/>
  <c r="L60" i="9" s="1"/>
  <c r="P62" i="9"/>
  <c r="P60" i="9" s="1"/>
  <c r="Y62" i="9"/>
  <c r="Y60" i="9" s="1"/>
  <c r="G62" i="9"/>
  <c r="G60" i="9" s="1"/>
  <c r="X62" i="9"/>
  <c r="X60" i="9" s="1"/>
  <c r="U62" i="9"/>
  <c r="U60" i="9" s="1"/>
  <c r="W4" i="9"/>
  <c r="W13" i="9"/>
  <c r="N30" i="9"/>
  <c r="N4" i="9"/>
  <c r="Z13" i="9"/>
  <c r="E4" i="9"/>
  <c r="Z4" i="9"/>
  <c r="N18" i="9"/>
  <c r="E13" i="9"/>
  <c r="E30" i="9"/>
  <c r="E18" i="9"/>
  <c r="W50" i="9"/>
  <c r="N50" i="9"/>
  <c r="W61" i="9"/>
  <c r="Q38" i="16"/>
  <c r="N61" i="9"/>
  <c r="W18" i="9"/>
  <c r="Q61" i="9"/>
  <c r="H18" i="9"/>
  <c r="Z50" i="9"/>
  <c r="Q50" i="9"/>
  <c r="Q4" i="9"/>
  <c r="H50" i="9"/>
  <c r="Z61" i="9"/>
  <c r="Q30" i="9"/>
  <c r="E50" i="9"/>
  <c r="Z18" i="9"/>
  <c r="Z30" i="9"/>
  <c r="H30" i="9"/>
  <c r="Q13" i="9"/>
  <c r="H61" i="9"/>
  <c r="Q18" i="9"/>
  <c r="H4" i="9"/>
  <c r="H13" i="9"/>
  <c r="W30" i="9"/>
  <c r="E60" i="9" l="1"/>
  <c r="E62" i="9"/>
  <c r="Z62" i="9"/>
  <c r="AA62" i="9" s="1"/>
  <c r="W62" i="9"/>
  <c r="AA61" i="9"/>
  <c r="AA57" i="9"/>
  <c r="I50" i="9"/>
  <c r="I57" i="9"/>
  <c r="R4" i="9"/>
  <c r="R57" i="9"/>
  <c r="R30" i="9"/>
  <c r="R50" i="9"/>
  <c r="R13" i="9"/>
  <c r="R18" i="9"/>
  <c r="R61" i="9"/>
  <c r="AA54" i="9"/>
  <c r="AA26" i="9"/>
  <c r="AA51" i="9"/>
  <c r="AA40" i="9"/>
  <c r="AA23" i="9"/>
  <c r="AA14" i="9"/>
  <c r="AA47" i="9"/>
  <c r="AA5" i="9"/>
  <c r="AA53" i="9"/>
  <c r="AA46" i="9"/>
  <c r="AA33" i="9"/>
  <c r="AA48" i="9"/>
  <c r="AA36" i="9"/>
  <c r="AA21" i="9"/>
  <c r="AA11" i="9"/>
  <c r="AA52" i="9"/>
  <c r="AA9" i="9"/>
  <c r="AA38" i="9"/>
  <c r="AA16" i="9"/>
  <c r="AA19" i="9"/>
  <c r="AA7" i="9"/>
  <c r="AA4" i="9"/>
  <c r="AA20" i="9"/>
  <c r="AA32" i="9"/>
  <c r="AA31" i="9"/>
  <c r="AA24" i="9"/>
  <c r="AA15" i="9"/>
  <c r="AA44" i="9"/>
  <c r="AA42" i="9"/>
  <c r="AA55" i="9"/>
  <c r="AA6" i="9"/>
  <c r="AA22" i="9"/>
  <c r="AA13" i="9"/>
  <c r="AA34" i="9"/>
  <c r="AA18" i="9"/>
  <c r="I4" i="9"/>
  <c r="AA50" i="9"/>
  <c r="I44" i="9"/>
  <c r="I48" i="9"/>
  <c r="I11" i="9"/>
  <c r="I5" i="9"/>
  <c r="I21" i="9"/>
  <c r="I36" i="9"/>
  <c r="I42" i="9"/>
  <c r="I32" i="9"/>
  <c r="H62" i="9"/>
  <c r="I62" i="9" s="1"/>
  <c r="I54" i="9"/>
  <c r="I26" i="9"/>
  <c r="I19" i="9"/>
  <c r="I31" i="9"/>
  <c r="I55" i="9"/>
  <c r="I9" i="9"/>
  <c r="I51" i="9"/>
  <c r="I52" i="9"/>
  <c r="I34" i="9"/>
  <c r="I53" i="9"/>
  <c r="I46" i="9"/>
  <c r="I33" i="9"/>
  <c r="I22" i="9"/>
  <c r="I14" i="9"/>
  <c r="I20" i="9"/>
  <c r="I40" i="9"/>
  <c r="I38" i="9"/>
  <c r="I18" i="9"/>
  <c r="I23" i="9"/>
  <c r="I15" i="9"/>
  <c r="I6" i="9"/>
  <c r="I24" i="9"/>
  <c r="I7" i="9"/>
  <c r="I28" i="9"/>
  <c r="I16" i="9"/>
  <c r="I13" i="9"/>
  <c r="I30" i="9"/>
  <c r="W60" i="9"/>
  <c r="AA30" i="9"/>
  <c r="I61" i="9"/>
  <c r="Q62" i="9"/>
  <c r="R62" i="9" s="1"/>
  <c r="R46" i="9"/>
  <c r="R33" i="9"/>
  <c r="R53" i="9"/>
  <c r="R47" i="9"/>
  <c r="R48" i="9"/>
  <c r="R36" i="9"/>
  <c r="R21" i="9"/>
  <c r="R42" i="9"/>
  <c r="R32" i="9"/>
  <c r="R15" i="9"/>
  <c r="R6" i="9"/>
  <c r="R31" i="9"/>
  <c r="R28" i="9"/>
  <c r="R14" i="9"/>
  <c r="R44" i="9"/>
  <c r="R40" i="9"/>
  <c r="R19" i="9"/>
  <c r="R23" i="9"/>
  <c r="R20" i="9"/>
  <c r="R11" i="9"/>
  <c r="R5" i="9"/>
  <c r="R16" i="9"/>
  <c r="R55" i="9"/>
  <c r="R22" i="9"/>
  <c r="R51" i="9"/>
  <c r="R54" i="9"/>
  <c r="R26" i="9"/>
  <c r="R34" i="9"/>
  <c r="R7" i="9"/>
  <c r="R52" i="9"/>
  <c r="R9" i="9"/>
  <c r="R38" i="9"/>
  <c r="R24" i="9"/>
  <c r="N62" i="9"/>
  <c r="N60" i="9" l="1"/>
  <c r="I60" i="9"/>
  <c r="H60" i="9"/>
  <c r="R60" i="9"/>
  <c r="Q60" i="9"/>
  <c r="AA60" i="9"/>
  <c r="Z60" i="9"/>
  <c r="AA28" i="9"/>
  <c r="H16" i="17" l="1"/>
  <c r="N16" i="17"/>
  <c r="E16" i="17"/>
  <c r="Q16" i="17"/>
  <c r="O22" i="7" l="1"/>
  <c r="O21" i="7"/>
  <c r="M21" i="7"/>
  <c r="L21" i="7"/>
  <c r="J22" i="7"/>
  <c r="J21" i="7"/>
  <c r="H21" i="7"/>
  <c r="G21" i="7"/>
  <c r="C21" i="7"/>
  <c r="B21" i="7"/>
  <c r="E22" i="7"/>
  <c r="Q10" i="16" l="1"/>
  <c r="Q9" i="16"/>
  <c r="Q4" i="16"/>
  <c r="Q5" i="16"/>
  <c r="H23" i="8"/>
  <c r="H6" i="8"/>
  <c r="H12" i="8" s="1"/>
  <c r="H10" i="8"/>
  <c r="C32" i="7" l="1"/>
  <c r="B32" i="7"/>
  <c r="H18" i="8"/>
  <c r="H31" i="8"/>
  <c r="H32" i="8"/>
  <c r="H28" i="8"/>
  <c r="D32" i="7" l="1"/>
  <c r="D30" i="7"/>
  <c r="D29" i="7"/>
  <c r="D24" i="7"/>
  <c r="H33" i="8"/>
  <c r="E21" i="7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G21" i="1" s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C7" i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K18" i="3"/>
  <c r="B33" i="1"/>
  <c r="D33" i="1" s="1"/>
  <c r="F31" i="7"/>
  <c r="K22" i="3"/>
  <c r="F24" i="7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G7" i="1" s="1"/>
  <c r="J17" i="2"/>
  <c r="K17" i="2" s="1"/>
  <c r="K44" i="3"/>
  <c r="E45" i="2"/>
  <c r="E21" i="4"/>
  <c r="D17" i="5"/>
  <c r="G45" i="3"/>
  <c r="H42" i="15"/>
  <c r="D18" i="1"/>
  <c r="G18" i="1" s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G19" i="1" s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C22" i="1" l="1"/>
  <c r="L21" i="15"/>
  <c r="F22" i="7"/>
  <c r="F32" i="7"/>
  <c r="F30" i="7"/>
  <c r="F29" i="7"/>
  <c r="F28" i="7"/>
  <c r="F27" i="7"/>
  <c r="F26" i="7"/>
  <c r="F25" i="7"/>
  <c r="B6" i="5"/>
  <c r="B7" i="5" s="1"/>
  <c r="B28" i="1"/>
  <c r="B10" i="5"/>
  <c r="B12" i="5" s="1"/>
  <c r="C27" i="1"/>
  <c r="B27" i="1"/>
  <c r="K6" i="2"/>
  <c r="D5" i="1" s="1"/>
  <c r="G5" i="1" s="1"/>
  <c r="B8" i="1"/>
  <c r="I21" i="1"/>
  <c r="I20" i="1"/>
  <c r="D6" i="1"/>
  <c r="G6" i="1" s="1"/>
  <c r="C8" i="1"/>
  <c r="C33" i="7"/>
  <c r="B10" i="1"/>
  <c r="D21" i="7"/>
  <c r="F21" i="7" s="1"/>
  <c r="F19" i="1"/>
  <c r="J45" i="2"/>
  <c r="K45" i="2" s="1"/>
  <c r="K45" i="3"/>
  <c r="J23" i="2"/>
  <c r="K23" i="2" s="1"/>
  <c r="L42" i="4"/>
  <c r="M42" i="4" s="1"/>
  <c r="L42" i="15"/>
  <c r="B17" i="1"/>
  <c r="D17" i="1" s="1"/>
  <c r="G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D16" i="1"/>
  <c r="G16" i="1" s="1"/>
  <c r="C7" i="5"/>
  <c r="E5" i="5"/>
  <c r="F5" i="5" s="1"/>
  <c r="I5" i="5" s="1"/>
  <c r="D22" i="1" l="1"/>
  <c r="F22" i="1" s="1"/>
  <c r="B22" i="1"/>
  <c r="C33" i="1"/>
  <c r="B32" i="1"/>
  <c r="D32" i="1" s="1"/>
  <c r="I7" i="1"/>
  <c r="I19" i="1"/>
  <c r="B20" i="5"/>
  <c r="E20" i="5" s="1"/>
  <c r="D10" i="1"/>
  <c r="G10" i="1" s="1"/>
  <c r="E6" i="5"/>
  <c r="F6" i="5" s="1"/>
  <c r="I6" i="5" s="1"/>
  <c r="E10" i="5"/>
  <c r="F10" i="5" s="1"/>
  <c r="I10" i="5" s="1"/>
  <c r="B21" i="5"/>
  <c r="F5" i="1"/>
  <c r="I18" i="1"/>
  <c r="D8" i="1"/>
  <c r="F8" i="1" s="1"/>
  <c r="F6" i="1"/>
  <c r="C11" i="1"/>
  <c r="B11" i="1"/>
  <c r="L32" i="7" s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D27" i="1" s="1"/>
  <c r="G27" i="1" s="1"/>
  <c r="F17" i="1"/>
  <c r="H31" i="7" l="1"/>
  <c r="M32" i="7"/>
  <c r="H32" i="7" s="1"/>
  <c r="G32" i="7"/>
  <c r="G31" i="7"/>
  <c r="H29" i="7"/>
  <c r="H30" i="7"/>
  <c r="G30" i="7"/>
  <c r="G22" i="1"/>
  <c r="P29" i="7"/>
  <c r="G29" i="7"/>
  <c r="G28" i="7"/>
  <c r="H27" i="7"/>
  <c r="H28" i="7"/>
  <c r="P27" i="7"/>
  <c r="G27" i="7"/>
  <c r="G25" i="7"/>
  <c r="G26" i="7"/>
  <c r="H26" i="7"/>
  <c r="H24" i="7"/>
  <c r="H25" i="7"/>
  <c r="P24" i="7"/>
  <c r="G24" i="7"/>
  <c r="H22" i="7"/>
  <c r="G22" i="7"/>
  <c r="N21" i="7"/>
  <c r="P31" i="7"/>
  <c r="I17" i="5"/>
  <c r="I12" i="5"/>
  <c r="B22" i="5"/>
  <c r="C32" i="1"/>
  <c r="D34" i="1"/>
  <c r="H6" i="5"/>
  <c r="K6" i="5"/>
  <c r="F28" i="1"/>
  <c r="I5" i="1"/>
  <c r="F10" i="1"/>
  <c r="E7" i="5"/>
  <c r="E21" i="5"/>
  <c r="F21" i="5" s="1"/>
  <c r="I21" i="5" s="1"/>
  <c r="I6" i="1"/>
  <c r="G8" i="1"/>
  <c r="I17" i="1"/>
  <c r="D11" i="1"/>
  <c r="F11" i="1" s="1"/>
  <c r="E12" i="5"/>
  <c r="C22" i="5"/>
  <c r="H11" i="5"/>
  <c r="F27" i="1"/>
  <c r="D29" i="1"/>
  <c r="F29" i="1" s="1"/>
  <c r="I16" i="1"/>
  <c r="H5" i="5"/>
  <c r="F7" i="5"/>
  <c r="H7" i="5" s="1"/>
  <c r="F17" i="5"/>
  <c r="H17" i="5" s="1"/>
  <c r="H15" i="5"/>
  <c r="F20" i="5"/>
  <c r="I20" i="5" s="1"/>
  <c r="F12" i="5"/>
  <c r="H12" i="5" s="1"/>
  <c r="H10" i="5"/>
  <c r="I22" i="1" l="1"/>
  <c r="I32" i="7"/>
  <c r="N32" i="7"/>
  <c r="P32" i="7" s="1"/>
  <c r="I8" i="1"/>
  <c r="I31" i="7"/>
  <c r="I30" i="7"/>
  <c r="K30" i="7" s="1"/>
  <c r="I29" i="7"/>
  <c r="K29" i="7" s="1"/>
  <c r="I28" i="7"/>
  <c r="K28" i="7" s="1"/>
  <c r="I27" i="7"/>
  <c r="K27" i="7" s="1"/>
  <c r="I24" i="7"/>
  <c r="K24" i="7" s="1"/>
  <c r="I26" i="7"/>
  <c r="K26" i="7" s="1"/>
  <c r="P26" i="7"/>
  <c r="I25" i="7"/>
  <c r="K25" i="7" s="1"/>
  <c r="P25" i="7"/>
  <c r="I22" i="7"/>
  <c r="K22" i="7" s="1"/>
  <c r="K31" i="7"/>
  <c r="P30" i="7"/>
  <c r="I22" i="5"/>
  <c r="P28" i="7"/>
  <c r="M33" i="7"/>
  <c r="P22" i="7"/>
  <c r="P23" i="7"/>
  <c r="H21" i="5"/>
  <c r="I10" i="1"/>
  <c r="E22" i="5"/>
  <c r="G11" i="1"/>
  <c r="I28" i="1"/>
  <c r="E33" i="1"/>
  <c r="K11" i="5"/>
  <c r="F22" i="5"/>
  <c r="H22" i="5" s="1"/>
  <c r="H20" i="5"/>
  <c r="K10" i="5"/>
  <c r="K12" i="5"/>
  <c r="K15" i="5"/>
  <c r="K17" i="5"/>
  <c r="I27" i="1"/>
  <c r="G29" i="1"/>
  <c r="I29" i="1" s="1"/>
  <c r="I7" i="5"/>
  <c r="K5" i="5"/>
  <c r="I11" i="1" l="1"/>
  <c r="K7" i="5"/>
  <c r="K32" i="7"/>
  <c r="H33" i="7"/>
  <c r="K21" i="5"/>
  <c r="E32" i="1"/>
  <c r="K20" i="5"/>
  <c r="K22" i="5"/>
  <c r="N33" i="7" l="1"/>
  <c r="P33" i="7" s="1"/>
  <c r="L33" i="7"/>
  <c r="I21" i="7" l="1"/>
  <c r="P21" i="7"/>
  <c r="K21" i="7" l="1"/>
  <c r="G33" i="7"/>
  <c r="B33" i="7"/>
  <c r="D23" i="7"/>
  <c r="F33" i="7" l="1"/>
  <c r="I23" i="7"/>
  <c r="F23" i="7"/>
  <c r="K23" i="7" l="1"/>
  <c r="I33" i="7"/>
  <c r="K33" i="7" l="1"/>
</calcChain>
</file>

<file path=xl/sharedStrings.xml><?xml version="1.0" encoding="utf-8"?>
<sst xmlns="http://schemas.openxmlformats.org/spreadsheetml/2006/main" count="676" uniqueCount="252">
  <si>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</si>
  <si>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</si>
  <si>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</si>
  <si>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</si>
  <si>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</si>
  <si>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</si>
  <si>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</si>
  <si>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</si>
  <si>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</si>
  <si>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</si>
  <si>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</si>
  <si>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</si>
  <si>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</si>
  <si>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</si>
  <si>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</si>
  <si>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</si>
  <si>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</si>
  <si>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</si>
  <si>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</si>
  <si>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</si>
  <si>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</si>
  <si>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</si>
  <si>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</si>
  <si>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</si>
  <si>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</si>
  <si>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</si>
  <si>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</si>
  <si>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</si>
  <si>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</si>
  <si>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</si>
  <si>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</si>
  <si>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</si>
  <si>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</si>
  <si>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</si>
  <si>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</si>
  <si>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</si>
  <si>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</si>
  <si>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</si>
  <si>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</si>
  <si>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</si>
  <si>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</si>
  <si>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</si>
  <si>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</si>
  <si>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</si>
  <si>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</si>
  <si>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</si>
  <si>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</si>
  <si>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</si>
  <si>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</si>
  <si>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</si>
  <si>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</si>
  <si>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</si>
  <si>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</si>
  <si>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</si>
  <si>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</si>
  <si>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</si>
  <si>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</si>
  <si>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</si>
  <si>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</si>
  <si>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</si>
  <si>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</si>
  <si>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</si>
  <si>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</si>
  <si>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</si>
  <si>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</si>
  <si>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</si>
  <si>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</si>
  <si>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</si>
  <si>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</si>
  <si>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</si>
  <si>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</si>
  <si>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</si>
  <si>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</si>
  <si>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</si>
  <si>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</si>
  <si>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</si>
  <si>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</si>
  <si>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</si>
  <si>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</si>
  <si>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</si>
  <si>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</si>
  <si>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</si>
  <si>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</si>
  <si>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</si>
  <si>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</si>
  <si>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</si>
  <si>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</si>
  <si>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</si>
  <si>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</si>
  <si>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</si>
  <si>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</si>
  <si>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</si>
  <si>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</si>
  <si>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</si>
  <si>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</si>
  <si>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</si>
  <si>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</si>
  <si>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</si>
  <si>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</si>
  <si>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</si>
  <si>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</si>
  <si>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</si>
  <si>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</si>
  <si>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</si>
  <si>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</si>
  <si>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</si>
  <si>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</si>
  <si>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</si>
  <si>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</si>
  <si>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</si>
  <si>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</si>
  <si>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</si>
  <si>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</si>
  <si>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</si>
  <si>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</si>
  <si>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</si>
  <si>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</si>
  <si>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</si>
  <si>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</si>
  <si>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</si>
  <si>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</si>
  <si>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</si>
  <si>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</si>
  <si>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</si>
  <si>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</si>
  <si>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</si>
  <si>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</si>
  <si>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</si>
  <si>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</si>
  <si>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</si>
  <si>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</si>
  <si>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</si>
  <si>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</si>
  <si>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</si>
  <si>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</si>
  <si>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</si>
  <si>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</si>
  <si>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</si>
  <si>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</si>
  <si>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</si>
  <si>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</si>
  <si>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</si>
  <si>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</si>
  <si>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</si>
  <si>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</si>
  <si>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</si>
  <si>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</si>
  <si>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</si>
  <si>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</si>
  <si>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</si>
  <si>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</si>
  <si>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</si>
  <si>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</si>
  <si>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</si>
  <si>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</si>
  <si>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</si>
  <si>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</si>
  <si>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</si>
  <si>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</si>
  <si>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</si>
  <si>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</si>
  <si>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</si>
  <si>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</si>
  <si>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</si>
  <si>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</si>
  <si>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</si>
  <si>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</si>
  <si>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</si>
  <si>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</si>
  <si>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</si>
  <si>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</si>
  <si>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</si>
  <si>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</si>
  <si>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</si>
  <si>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</si>
  <si>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</si>
  <si>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</si>
  <si>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</si>
  <si>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</si>
  <si>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</si>
  <si>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</si>
  <si>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</si>
  <si>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</si>
  <si>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</si>
  <si>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</si>
  <si>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</si>
  <si>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</si>
  <si>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</si>
  <si>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</si>
  <si>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</si>
  <si>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</si>
  <si>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</si>
  <si>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</si>
  <si>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</si>
  <si>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</si>
  <si>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</si>
  <si>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</si>
  <si>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</si>
  <si>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</si>
  <si>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</si>
  <si>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</si>
  <si>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</si>
  <si>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</si>
  <si>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</si>
  <si>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</si>
  <si>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</si>
  <si>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</si>
  <si>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</si>
  <si>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</si>
  <si>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</si>
  <si>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</si>
  <si>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</si>
  <si>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</si>
  <si>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</si>
  <si>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</si>
  <si>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</si>
  <si>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</si>
  <si>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</si>
  <si>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</si>
  <si>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</si>
  <si>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</si>
  <si>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</si>
  <si>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>Total 2022</t>
  </si>
  <si>
    <t>Metric Tons 2022</t>
  </si>
  <si>
    <t>Monthly Ops 2022</t>
  </si>
  <si>
    <t>Ops YTD 2022</t>
  </si>
  <si>
    <t>Current Month 2022</t>
  </si>
  <si>
    <t>YTD 2022</t>
  </si>
  <si>
    <t>Monthly Total 2023</t>
  </si>
  <si>
    <t>Y-T-D 2023</t>
  </si>
  <si>
    <t xml:space="preserve">2022 YTD </t>
  </si>
  <si>
    <t>Monthly Ops 2023</t>
  </si>
  <si>
    <t>Ops YTD 2023</t>
  </si>
  <si>
    <t>2023 Market Share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</si>
  <si>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</si>
  <si>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</si>
  <si>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</si>
  <si>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</si>
  <si>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</si>
  <si>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</si>
  <si>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</si>
  <si>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</si>
  <si>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Monthly Cargo 2022</t>
  </si>
  <si>
    <t>Cargo YTD 2023</t>
  </si>
  <si>
    <t>Cargo YTD 2022</t>
  </si>
  <si>
    <t>ATI -DHL</t>
  </si>
  <si>
    <t>WestJet</t>
  </si>
  <si>
    <t>Red Way</t>
  </si>
  <si>
    <t>.</t>
  </si>
  <si>
    <t>Air Wisconsin-American</t>
  </si>
  <si>
    <t>Jazz_AC- Air Canada</t>
  </si>
  <si>
    <t>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</si>
</sst>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13" fillId="0" borderId="18" xfId="0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December%202022.xlsx" TargetMode="External"/><Relationship Id="rId1" Type="http://schemas.openxmlformats.org/officeDocument/2006/relationships/externalLinkPath" Target="/data/Finance%20Stats/Monthly%20Operations%20report/2022/MSP%20December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MSP%20April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pril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MSP%20May%20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May%202022.xlsx" TargetMode="External"/><Relationship Id="rId1" Type="http://schemas.openxmlformats.org/officeDocument/2006/relationships/externalLinkPath" Target="/data/Finance%20Stats/Monthly%20Operations%20report/2022/MSP%20May%202022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MSP%20June%20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une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MSP%20July%202023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July%202022.xlsx" TargetMode="External"/><Relationship Id="rId1" Type="http://schemas.openxmlformats.org/officeDocument/2006/relationships/externalLinkPath" Target="/data/Finance%20Stats/Monthly%20Operations%20report/2022/MSP%20July%202022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ugust%202023.xlsx" TargetMode="External"/><Relationship Id="rId1" Type="http://schemas.openxmlformats.org/officeDocument/2006/relationships/externalLinkPath" Target="MSP%20August%20202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ugust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November%202023.xlsx" TargetMode="External"/><Relationship Id="rId1" Type="http://schemas.openxmlformats.org/officeDocument/2006/relationships/externalLinkPath" Target="MSP%20November%202023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September%202023.xlsx" TargetMode="External"/><Relationship Id="rId1" Type="http://schemas.openxmlformats.org/officeDocument/2006/relationships/externalLinkPath" Target="MSP%20September%202023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September%202022.xlsx" TargetMode="External"/><Relationship Id="rId1" Type="http://schemas.openxmlformats.org/officeDocument/2006/relationships/externalLinkPath" Target="/data/Finance%20Stats/Monthly%20Operations%20report/2022/MSP%20September%202022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October%202023.xlsx" TargetMode="External"/><Relationship Id="rId1" Type="http://schemas.openxmlformats.org/officeDocument/2006/relationships/externalLinkPath" Target="MSP%20October%202023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October%202022.xlsx" TargetMode="External"/><Relationship Id="rId1" Type="http://schemas.openxmlformats.org/officeDocument/2006/relationships/externalLinkPath" Target="/data/Finance%20Stats/Monthly%20Operations%20report/2022/MSP%20October%20202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November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anuar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MSP%20February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February%202022.xlsx" TargetMode="External"/><Relationship Id="rId1" Type="http://schemas.openxmlformats.org/officeDocument/2006/relationships/externalLinkPath" Target="/data/Finance%20Stats/Monthly%20Operations%20report/2022/MSP%20Februar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MSP%20March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2081424</v>
          </cell>
          <cell r="G5">
            <v>25220562</v>
          </cell>
        </row>
        <row r="6">
          <cell r="D6">
            <v>341907</v>
          </cell>
          <cell r="G6">
            <v>5126527</v>
          </cell>
        </row>
        <row r="7">
          <cell r="D7">
            <v>0</v>
          </cell>
          <cell r="G7">
            <v>6170</v>
          </cell>
        </row>
        <row r="10">
          <cell r="D10">
            <v>69124</v>
          </cell>
          <cell r="G10">
            <v>888563</v>
          </cell>
        </row>
        <row r="16">
          <cell r="D16">
            <v>15222</v>
          </cell>
          <cell r="G16">
            <v>180739</v>
          </cell>
        </row>
        <row r="17">
          <cell r="D17">
            <v>6358</v>
          </cell>
          <cell r="G17">
            <v>95248</v>
          </cell>
        </row>
        <row r="18">
          <cell r="D18">
            <v>0</v>
          </cell>
          <cell r="G18">
            <v>60</v>
          </cell>
        </row>
        <row r="19">
          <cell r="D19">
            <v>1531</v>
          </cell>
          <cell r="G19">
            <v>15776</v>
          </cell>
        </row>
        <row r="20">
          <cell r="D20">
            <v>1273</v>
          </cell>
          <cell r="G20">
            <v>17543</v>
          </cell>
        </row>
        <row r="21">
          <cell r="D21">
            <v>53</v>
          </cell>
          <cell r="G21">
            <v>903</v>
          </cell>
        </row>
        <row r="27">
          <cell r="D27">
            <v>19845.246785733601</v>
          </cell>
          <cell r="G27">
            <v>209317.91456127673</v>
          </cell>
        </row>
        <row r="28">
          <cell r="D28">
            <v>1377.5772642000597</v>
          </cell>
          <cell r="G28">
            <v>28111.950673910484</v>
          </cell>
        </row>
        <row r="32">
          <cell r="B32">
            <v>871681</v>
          </cell>
          <cell r="D32">
            <v>10456318</v>
          </cell>
        </row>
        <row r="33">
          <cell r="B33">
            <v>352547</v>
          </cell>
          <cell r="D33">
            <v>4712526</v>
          </cell>
        </row>
      </sheetData>
      <sheetData sheetId="1"/>
      <sheetData sheetId="2"/>
      <sheetData sheetId="3"/>
      <sheetData sheetId="4"/>
      <sheetData sheetId="5">
        <row r="21">
          <cell r="D21">
            <v>154314</v>
          </cell>
        </row>
        <row r="32">
          <cell r="D32">
            <v>206433</v>
          </cell>
          <cell r="I32">
            <v>2286022</v>
          </cell>
          <cell r="N32">
            <v>2492455</v>
          </cell>
        </row>
      </sheetData>
      <sheetData sheetId="6"/>
      <sheetData sheetId="7">
        <row r="5">
          <cell r="F5">
            <v>11212.198294178419</v>
          </cell>
          <cell r="I5">
            <v>116192.44938400669</v>
          </cell>
        </row>
        <row r="6">
          <cell r="F6">
            <v>646.42537270387993</v>
          </cell>
          <cell r="I6">
            <v>15692.914359640978</v>
          </cell>
        </row>
        <row r="10">
          <cell r="F10">
            <v>8633.0484915551806</v>
          </cell>
          <cell r="I10">
            <v>93125.46517727006</v>
          </cell>
        </row>
        <row r="11">
          <cell r="F11">
            <v>731.15189149617993</v>
          </cell>
          <cell r="I11">
            <v>12419.036314269506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19845.246785733598</v>
          </cell>
          <cell r="I20">
            <v>209317.91456127676</v>
          </cell>
        </row>
        <row r="21">
          <cell r="F21">
            <v>1377.57726420006</v>
          </cell>
          <cell r="I21">
            <v>28111.950673910491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133601</v>
          </cell>
          <cell r="C24">
            <v>115857</v>
          </cell>
          <cell r="L24">
            <v>1438963</v>
          </cell>
          <cell r="M24">
            <v>1343142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153818</v>
          </cell>
          <cell r="I24">
            <v>2445202</v>
          </cell>
          <cell r="N24">
            <v>2599020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102957</v>
          </cell>
          <cell r="C25">
            <v>111285</v>
          </cell>
          <cell r="L25">
            <v>1454036</v>
          </cell>
          <cell r="M25">
            <v>1408918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131276</v>
          </cell>
          <cell r="I25">
            <v>2565837</v>
          </cell>
          <cell r="N25">
            <v>2697113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121820</v>
          </cell>
          <cell r="C26">
            <v>128458</v>
          </cell>
          <cell r="L26">
            <v>1633239</v>
          </cell>
          <cell r="M26">
            <v>1624341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180003</v>
          </cell>
          <cell r="I26">
            <v>2666878</v>
          </cell>
          <cell r="N26">
            <v>2846881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139115</v>
          </cell>
          <cell r="C27">
            <v>126500</v>
          </cell>
          <cell r="L27">
            <v>1715903</v>
          </cell>
          <cell r="M27">
            <v>1703844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180630</v>
          </cell>
          <cell r="I27">
            <v>2778188</v>
          </cell>
          <cell r="N27">
            <v>2958818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136198</v>
          </cell>
          <cell r="C28">
            <v>125692</v>
          </cell>
          <cell r="L28">
            <v>1683949</v>
          </cell>
          <cell r="M28">
            <v>1659442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181603</v>
          </cell>
          <cell r="I28">
            <v>2731608</v>
          </cell>
          <cell r="N28">
            <v>2913211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27388779</v>
          </cell>
        </row>
        <row r="6">
          <cell r="G6">
            <v>3698339</v>
          </cell>
        </row>
        <row r="7">
          <cell r="G7">
            <v>3390</v>
          </cell>
        </row>
        <row r="10">
          <cell r="G10">
            <v>891282</v>
          </cell>
        </row>
        <row r="16">
          <cell r="G16">
            <v>198502</v>
          </cell>
        </row>
        <row r="17">
          <cell r="G17">
            <v>68357</v>
          </cell>
        </row>
        <row r="18">
          <cell r="G18">
            <v>58</v>
          </cell>
        </row>
        <row r="19">
          <cell r="G19">
            <v>12778</v>
          </cell>
        </row>
        <row r="20">
          <cell r="G20">
            <v>16530</v>
          </cell>
        </row>
        <row r="21">
          <cell r="G21">
            <v>654</v>
          </cell>
        </row>
        <row r="27">
          <cell r="G27">
            <v>174695.00792703836</v>
          </cell>
        </row>
        <row r="28">
          <cell r="G28">
            <v>10883.036290301561</v>
          </cell>
        </row>
        <row r="32">
          <cell r="D32">
            <v>10559758</v>
          </cell>
        </row>
        <row r="33">
          <cell r="D33">
            <v>4967728</v>
          </cell>
        </row>
      </sheetData>
      <sheetData sheetId="1"/>
      <sheetData sheetId="2"/>
      <sheetData sheetId="3"/>
      <sheetData sheetId="4"/>
      <sheetData sheetId="5">
        <row r="31">
          <cell r="B31">
            <v>93683</v>
          </cell>
          <cell r="C31">
            <v>95057</v>
          </cell>
          <cell r="L31">
            <v>1370641</v>
          </cell>
          <cell r="M31">
            <v>1395973</v>
          </cell>
        </row>
      </sheetData>
      <sheetData sheetId="6"/>
      <sheetData sheetId="7">
        <row r="5">
          <cell r="I5">
            <v>97618.408641532224</v>
          </cell>
        </row>
        <row r="6">
          <cell r="I6">
            <v>6476.4285998419691</v>
          </cell>
        </row>
        <row r="10">
          <cell r="I10">
            <v>77076.599285506119</v>
          </cell>
        </row>
        <row r="11">
          <cell r="I11">
            <v>4406.6076904595902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174695.00792703836</v>
          </cell>
        </row>
        <row r="21">
          <cell r="I21">
            <v>10883.036290301561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114472</v>
          </cell>
          <cell r="C29">
            <v>112599</v>
          </cell>
          <cell r="L29">
            <v>1416298</v>
          </cell>
          <cell r="M29">
            <v>1440790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146335</v>
          </cell>
          <cell r="I29">
            <v>2451268</v>
          </cell>
          <cell r="N29">
            <v>2597603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113368</v>
          </cell>
          <cell r="C30">
            <v>104951</v>
          </cell>
          <cell r="L30">
            <v>1484703</v>
          </cell>
          <cell r="M30">
            <v>1518485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138306</v>
          </cell>
          <cell r="I30">
            <v>2551547</v>
          </cell>
          <cell r="N30">
            <v>2689853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148527</v>
          </cell>
          <cell r="I31">
            <v>2377200</v>
          </cell>
          <cell r="N31">
            <v>2525727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WestJet_UA"/>
      <sheetName val="Sheet1"/>
      <sheetName val="DHL_ABX"/>
    </sheetNames>
    <sheetDataSet>
      <sheetData sheetId="0"/>
      <sheetData sheetId="1"/>
      <sheetData sheetId="2">
        <row r="19">
          <cell r="HR19">
            <v>0</v>
          </cell>
        </row>
      </sheetData>
      <sheetData sheetId="3"/>
      <sheetData sheetId="4">
        <row r="8">
          <cell r="IQ8"/>
        </row>
        <row r="9">
          <cell r="IQ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  <cell r="IQ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  <cell r="IQ16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  <cell r="HY19">
            <v>44</v>
          </cell>
          <cell r="HZ19">
            <v>36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  <cell r="IQ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  <cell r="IQ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  <cell r="HY41">
            <v>11114</v>
          </cell>
          <cell r="HZ41">
            <v>8746</v>
          </cell>
          <cell r="IA41">
            <v>0</v>
          </cell>
          <cell r="IB41">
            <v>0</v>
          </cell>
          <cell r="IC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  <cell r="HY64">
            <v>381628</v>
          </cell>
          <cell r="HZ64">
            <v>437424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5">
        <row r="4">
          <cell r="IQ4">
            <v>38</v>
          </cell>
        </row>
        <row r="5">
          <cell r="IQ5">
            <v>38</v>
          </cell>
        </row>
        <row r="8">
          <cell r="IQ8"/>
        </row>
        <row r="9">
          <cell r="IQ9"/>
        </row>
        <row r="19"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  <cell r="HY19">
            <v>44</v>
          </cell>
          <cell r="HZ19">
            <v>6</v>
          </cell>
          <cell r="IA19">
            <v>108</v>
          </cell>
          <cell r="IB19">
            <v>82</v>
          </cell>
          <cell r="IC19">
            <v>100</v>
          </cell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M19">
            <v>34</v>
          </cell>
          <cell r="IN19">
            <v>18</v>
          </cell>
          <cell r="IO19">
            <v>70</v>
          </cell>
          <cell r="IP19">
            <v>72</v>
          </cell>
          <cell r="IQ19">
            <v>76</v>
          </cell>
        </row>
        <row r="22">
          <cell r="IQ22">
            <v>4964</v>
          </cell>
        </row>
        <row r="23">
          <cell r="IQ23">
            <v>4834</v>
          </cell>
        </row>
        <row r="27">
          <cell r="IQ27"/>
        </row>
        <row r="28">
          <cell r="IQ28"/>
        </row>
        <row r="41"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  <cell r="HY41">
            <v>6801</v>
          </cell>
          <cell r="HZ41">
            <v>741</v>
          </cell>
          <cell r="IA41">
            <v>15464</v>
          </cell>
          <cell r="IB41">
            <v>11876</v>
          </cell>
          <cell r="IC41">
            <v>14021</v>
          </cell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M41">
            <v>4809</v>
          </cell>
          <cell r="IN41">
            <v>1805</v>
          </cell>
          <cell r="IO41">
            <v>9411</v>
          </cell>
          <cell r="IP41">
            <v>9859</v>
          </cell>
          <cell r="IQ41">
            <v>9798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6">
        <row r="4">
          <cell r="IQ4"/>
        </row>
        <row r="5">
          <cell r="IQ5"/>
        </row>
        <row r="8">
          <cell r="IQ8"/>
        </row>
        <row r="9">
          <cell r="IQ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  <cell r="IQ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  <cell r="IQ16"/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  <cell r="IQ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  <cell r="IQ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</sheetData>
      <sheetData sheetId="7">
        <row r="4">
          <cell r="IQ4">
            <v>56</v>
          </cell>
        </row>
        <row r="5">
          <cell r="IQ5">
            <v>57</v>
          </cell>
        </row>
        <row r="8">
          <cell r="IQ8"/>
        </row>
        <row r="9">
          <cell r="IQ9"/>
        </row>
        <row r="19"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  <cell r="HY19">
            <v>278</v>
          </cell>
          <cell r="HZ19">
            <v>173</v>
          </cell>
          <cell r="IA19">
            <v>128</v>
          </cell>
          <cell r="IB19">
            <v>112</v>
          </cell>
          <cell r="IC19">
            <v>90</v>
          </cell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M19">
            <v>261</v>
          </cell>
          <cell r="IN19">
            <v>214</v>
          </cell>
          <cell r="IO19">
            <v>179</v>
          </cell>
          <cell r="IP19">
            <v>142</v>
          </cell>
          <cell r="IQ19">
            <v>113</v>
          </cell>
        </row>
        <row r="22">
          <cell r="IQ22">
            <v>7018</v>
          </cell>
        </row>
        <row r="23">
          <cell r="IQ23">
            <v>7018</v>
          </cell>
        </row>
        <row r="27">
          <cell r="IQ27">
            <v>300</v>
          </cell>
        </row>
        <row r="28">
          <cell r="IQ28">
            <v>335</v>
          </cell>
        </row>
        <row r="41"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  <cell r="HY41">
            <v>36992</v>
          </cell>
          <cell r="HZ41">
            <v>24920</v>
          </cell>
          <cell r="IA41">
            <v>18878</v>
          </cell>
          <cell r="IB41">
            <v>15629</v>
          </cell>
          <cell r="IC41">
            <v>11391</v>
          </cell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M41">
            <v>36121</v>
          </cell>
          <cell r="IN41">
            <v>27394</v>
          </cell>
          <cell r="IO41">
            <v>24026</v>
          </cell>
          <cell r="IP41">
            <v>17743</v>
          </cell>
          <cell r="IQ41">
            <v>14036</v>
          </cell>
        </row>
        <row r="47">
          <cell r="IQ47">
            <v>12301</v>
          </cell>
        </row>
        <row r="48">
          <cell r="IQ48"/>
        </row>
        <row r="52">
          <cell r="IQ52">
            <v>7806</v>
          </cell>
        </row>
        <row r="53">
          <cell r="IQ53"/>
        </row>
        <row r="57">
          <cell r="IQ57"/>
        </row>
        <row r="58">
          <cell r="IQ58"/>
        </row>
        <row r="64"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  <cell r="HY64">
            <v>50215</v>
          </cell>
          <cell r="HZ64">
            <v>55380</v>
          </cell>
          <cell r="IA64">
            <v>31843</v>
          </cell>
          <cell r="IB64">
            <v>25709</v>
          </cell>
          <cell r="IC64">
            <v>18873</v>
          </cell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M64">
            <v>41100</v>
          </cell>
          <cell r="IN64">
            <v>54535</v>
          </cell>
          <cell r="IO64">
            <v>36116</v>
          </cell>
          <cell r="IP64">
            <v>22044</v>
          </cell>
          <cell r="IQ64">
            <v>20107</v>
          </cell>
        </row>
      </sheetData>
      <sheetData sheetId="8"/>
      <sheetData sheetId="9">
        <row r="4">
          <cell r="IQ4">
            <v>294</v>
          </cell>
        </row>
        <row r="5">
          <cell r="IQ5">
            <v>292</v>
          </cell>
        </row>
        <row r="8">
          <cell r="IQ8"/>
        </row>
        <row r="9">
          <cell r="IQ9"/>
        </row>
        <row r="19"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  <cell r="HY19">
            <v>653</v>
          </cell>
          <cell r="HZ19">
            <v>543</v>
          </cell>
          <cell r="IA19">
            <v>574</v>
          </cell>
          <cell r="IB19">
            <v>568</v>
          </cell>
          <cell r="IC19">
            <v>621</v>
          </cell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M19">
            <v>799</v>
          </cell>
          <cell r="IN19">
            <v>721</v>
          </cell>
          <cell r="IO19">
            <v>716</v>
          </cell>
          <cell r="IP19">
            <v>642</v>
          </cell>
          <cell r="IQ19">
            <v>586</v>
          </cell>
        </row>
        <row r="22">
          <cell r="IQ22">
            <v>44583</v>
          </cell>
        </row>
        <row r="23">
          <cell r="IQ23">
            <v>43176</v>
          </cell>
        </row>
        <row r="27">
          <cell r="IQ27">
            <v>1323</v>
          </cell>
        </row>
        <row r="28">
          <cell r="IQ28">
            <v>1687</v>
          </cell>
        </row>
        <row r="41"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  <cell r="HY41">
            <v>98814</v>
          </cell>
          <cell r="HZ41">
            <v>86778</v>
          </cell>
          <cell r="IA41">
            <v>89833</v>
          </cell>
          <cell r="IB41">
            <v>84025</v>
          </cell>
          <cell r="IC41">
            <v>86575</v>
          </cell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M41">
            <v>115500</v>
          </cell>
          <cell r="IN41">
            <v>101440</v>
          </cell>
          <cell r="IO41">
            <v>104794</v>
          </cell>
          <cell r="IP41">
            <v>93432</v>
          </cell>
          <cell r="IQ41">
            <v>87759</v>
          </cell>
        </row>
        <row r="47">
          <cell r="IQ47">
            <v>33889</v>
          </cell>
        </row>
        <row r="48">
          <cell r="IQ48">
            <v>2767</v>
          </cell>
        </row>
        <row r="52">
          <cell r="IQ52">
            <v>2218</v>
          </cell>
        </row>
        <row r="53">
          <cell r="IQ53">
            <v>2176</v>
          </cell>
        </row>
        <row r="57">
          <cell r="IQ57"/>
        </row>
        <row r="58">
          <cell r="IQ58"/>
        </row>
        <row r="64"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  <cell r="HY64">
            <v>50617</v>
          </cell>
          <cell r="HZ64">
            <v>72582</v>
          </cell>
          <cell r="IA64">
            <v>74334</v>
          </cell>
          <cell r="IB64">
            <v>88269</v>
          </cell>
          <cell r="IC64">
            <v>84220</v>
          </cell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M64">
            <v>31014</v>
          </cell>
          <cell r="IN64">
            <v>54691</v>
          </cell>
          <cell r="IO64">
            <v>32881</v>
          </cell>
          <cell r="IP64">
            <v>53254</v>
          </cell>
          <cell r="IQ64">
            <v>41050</v>
          </cell>
        </row>
      </sheetData>
      <sheetData sheetId="10"/>
      <sheetData sheetId="11">
        <row r="19">
          <cell r="HR19">
            <v>0</v>
          </cell>
        </row>
      </sheetData>
      <sheetData sheetId="12">
        <row r="5">
          <cell r="IQ5"/>
        </row>
        <row r="8">
          <cell r="IQ8"/>
        </row>
        <row r="9">
          <cell r="IQ9"/>
        </row>
        <row r="15">
          <cell r="IF15"/>
          <cell r="IG15"/>
          <cell r="IH15"/>
          <cell r="II15"/>
          <cell r="IJ15">
            <v>3</v>
          </cell>
          <cell r="IK15">
            <v>11</v>
          </cell>
          <cell r="IL15">
            <v>14</v>
          </cell>
          <cell r="IM15">
            <v>13</v>
          </cell>
          <cell r="IN15">
            <v>3</v>
          </cell>
          <cell r="IO15"/>
          <cell r="IP15"/>
          <cell r="IQ15"/>
        </row>
        <row r="16">
          <cell r="IF16"/>
          <cell r="IG16"/>
          <cell r="IH16"/>
          <cell r="II16"/>
          <cell r="IJ16">
            <v>3</v>
          </cell>
          <cell r="IK16">
            <v>11</v>
          </cell>
          <cell r="IL16">
            <v>14</v>
          </cell>
          <cell r="IM16">
            <v>13</v>
          </cell>
          <cell r="IN16">
            <v>3</v>
          </cell>
          <cell r="IO16"/>
          <cell r="IP16"/>
          <cell r="IQ16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  <cell r="HY19">
            <v>28</v>
          </cell>
          <cell r="HZ19">
            <v>16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M19">
            <v>26</v>
          </cell>
          <cell r="IN19">
            <v>6</v>
          </cell>
          <cell r="IO19">
            <v>0</v>
          </cell>
          <cell r="IP19">
            <v>0</v>
          </cell>
          <cell r="IQ19">
            <v>0</v>
          </cell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32">
          <cell r="IF32"/>
          <cell r="IG32"/>
          <cell r="IH32"/>
          <cell r="II32"/>
          <cell r="IJ32">
            <v>608</v>
          </cell>
          <cell r="IK32">
            <v>2259</v>
          </cell>
          <cell r="IL32">
            <v>3092</v>
          </cell>
          <cell r="IM32">
            <v>2862</v>
          </cell>
          <cell r="IN32">
            <v>609</v>
          </cell>
          <cell r="IO32"/>
          <cell r="IP32"/>
          <cell r="IQ32"/>
        </row>
        <row r="33">
          <cell r="IF33"/>
          <cell r="IG33"/>
          <cell r="IH33"/>
          <cell r="II33"/>
          <cell r="IJ33">
            <v>760</v>
          </cell>
          <cell r="IK33">
            <v>2746</v>
          </cell>
          <cell r="IL33">
            <v>2974</v>
          </cell>
          <cell r="IM33">
            <v>2506</v>
          </cell>
          <cell r="IN33">
            <v>588</v>
          </cell>
          <cell r="IO33"/>
          <cell r="IP33"/>
          <cell r="IQ33"/>
        </row>
        <row r="37">
          <cell r="IF37"/>
          <cell r="IG37"/>
          <cell r="IH37"/>
          <cell r="II37"/>
          <cell r="IJ37">
            <v>2</v>
          </cell>
          <cell r="IK37">
            <v>7</v>
          </cell>
          <cell r="IL37">
            <v>13</v>
          </cell>
          <cell r="IM37">
            <v>12</v>
          </cell>
          <cell r="IN37">
            <v>1</v>
          </cell>
          <cell r="IO37"/>
          <cell r="IP37"/>
          <cell r="IQ37"/>
        </row>
        <row r="38">
          <cell r="IF38"/>
          <cell r="IG38"/>
          <cell r="IH38"/>
          <cell r="II38"/>
          <cell r="IJ38">
            <v>1</v>
          </cell>
          <cell r="IK38">
            <v>8</v>
          </cell>
          <cell r="IL38">
            <v>7</v>
          </cell>
          <cell r="IM38">
            <v>7</v>
          </cell>
          <cell r="IN38">
            <v>5</v>
          </cell>
          <cell r="IO38"/>
          <cell r="IP38"/>
          <cell r="IQ38"/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  <cell r="HY41">
            <v>5785</v>
          </cell>
          <cell r="HZ41">
            <v>2740</v>
          </cell>
          <cell r="IA41">
            <v>0</v>
          </cell>
          <cell r="IB41">
            <v>0</v>
          </cell>
          <cell r="IC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M41">
            <v>5368</v>
          </cell>
          <cell r="IN41">
            <v>1197</v>
          </cell>
          <cell r="IO41">
            <v>0</v>
          </cell>
          <cell r="IP41">
            <v>0</v>
          </cell>
          <cell r="IQ41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  <cell r="HY64">
            <v>190442</v>
          </cell>
          <cell r="HZ64">
            <v>39278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M64">
            <v>95579</v>
          </cell>
          <cell r="IN64">
            <v>19628</v>
          </cell>
          <cell r="IO64">
            <v>0</v>
          </cell>
          <cell r="IP64">
            <v>0</v>
          </cell>
          <cell r="IQ64">
            <v>0</v>
          </cell>
        </row>
      </sheetData>
      <sheetData sheetId="13">
        <row r="4">
          <cell r="IQ4">
            <v>5468</v>
          </cell>
        </row>
        <row r="5">
          <cell r="IQ5">
            <v>5461</v>
          </cell>
        </row>
        <row r="8">
          <cell r="IQ8">
            <v>3</v>
          </cell>
        </row>
        <row r="9">
          <cell r="IQ9">
            <v>9</v>
          </cell>
        </row>
        <row r="15">
          <cell r="IF15">
            <v>547</v>
          </cell>
          <cell r="IG15">
            <v>487</v>
          </cell>
          <cell r="IH15">
            <v>597</v>
          </cell>
          <cell r="II15">
            <v>499</v>
          </cell>
          <cell r="IJ15">
            <v>409</v>
          </cell>
          <cell r="IK15">
            <v>468</v>
          </cell>
          <cell r="IL15">
            <v>549</v>
          </cell>
          <cell r="IM15">
            <v>544</v>
          </cell>
          <cell r="IN15">
            <v>498</v>
          </cell>
          <cell r="IO15">
            <v>494</v>
          </cell>
          <cell r="IP15">
            <v>420</v>
          </cell>
          <cell r="IQ15">
            <v>550</v>
          </cell>
        </row>
        <row r="16">
          <cell r="IF16">
            <v>557</v>
          </cell>
          <cell r="IG16">
            <v>487</v>
          </cell>
          <cell r="IH16">
            <v>598</v>
          </cell>
          <cell r="II16">
            <v>503</v>
          </cell>
          <cell r="IJ16">
            <v>411</v>
          </cell>
          <cell r="IK16">
            <v>470</v>
          </cell>
          <cell r="IL16">
            <v>549</v>
          </cell>
          <cell r="IM16">
            <v>547</v>
          </cell>
          <cell r="IN16">
            <v>493</v>
          </cell>
          <cell r="IO16">
            <v>495</v>
          </cell>
          <cell r="IP16">
            <v>417</v>
          </cell>
          <cell r="IQ16">
            <v>547</v>
          </cell>
        </row>
        <row r="19"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  <cell r="HY19">
            <v>11015</v>
          </cell>
          <cell r="HZ19">
            <v>10000</v>
          </cell>
          <cell r="IA19">
            <v>10102</v>
          </cell>
          <cell r="IB19">
            <v>10034</v>
          </cell>
          <cell r="IC19">
            <v>9931</v>
          </cell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M19">
            <v>14011</v>
          </cell>
          <cell r="IN19">
            <v>12365</v>
          </cell>
          <cell r="IO19">
            <v>12939</v>
          </cell>
          <cell r="IP19">
            <v>11694</v>
          </cell>
          <cell r="IQ19">
            <v>12038</v>
          </cell>
        </row>
        <row r="22">
          <cell r="IQ22">
            <v>712209</v>
          </cell>
        </row>
        <row r="23">
          <cell r="IQ23">
            <v>707015</v>
          </cell>
        </row>
        <row r="27">
          <cell r="IQ27">
            <v>22708</v>
          </cell>
        </row>
        <row r="28">
          <cell r="IQ28">
            <v>23485</v>
          </cell>
        </row>
        <row r="32">
          <cell r="IF32">
            <v>88572</v>
          </cell>
          <cell r="IG32">
            <v>76521</v>
          </cell>
          <cell r="IH32">
            <v>100578</v>
          </cell>
          <cell r="II32">
            <v>90039</v>
          </cell>
          <cell r="IJ32">
            <v>73856</v>
          </cell>
          <cell r="IK32">
            <v>88732</v>
          </cell>
          <cell r="IL32">
            <v>105880</v>
          </cell>
          <cell r="IM32">
            <v>104500</v>
          </cell>
          <cell r="IN32">
            <v>89823</v>
          </cell>
          <cell r="IO32">
            <v>88564</v>
          </cell>
          <cell r="IP32">
            <v>69154</v>
          </cell>
          <cell r="IQ32">
            <v>80159</v>
          </cell>
        </row>
        <row r="33">
          <cell r="IF33">
            <v>86065</v>
          </cell>
          <cell r="IG33">
            <v>76102</v>
          </cell>
          <cell r="IH33">
            <v>102362</v>
          </cell>
          <cell r="II33">
            <v>79232</v>
          </cell>
          <cell r="IJ33">
            <v>80034</v>
          </cell>
          <cell r="IK33">
            <v>92944</v>
          </cell>
          <cell r="IL33">
            <v>96146</v>
          </cell>
          <cell r="IM33">
            <v>95139</v>
          </cell>
          <cell r="IN33">
            <v>86475</v>
          </cell>
          <cell r="IO33">
            <v>81986</v>
          </cell>
          <cell r="IP33">
            <v>70663</v>
          </cell>
          <cell r="IQ33">
            <v>92375</v>
          </cell>
        </row>
        <row r="37">
          <cell r="IF37">
            <v>2550</v>
          </cell>
          <cell r="IG37">
            <v>2244</v>
          </cell>
          <cell r="IH37">
            <v>2346</v>
          </cell>
          <cell r="II37">
            <v>2468</v>
          </cell>
          <cell r="IJ37">
            <v>2344</v>
          </cell>
          <cell r="IK37">
            <v>2189</v>
          </cell>
          <cell r="IL37">
            <v>2189</v>
          </cell>
          <cell r="IM37">
            <v>1940</v>
          </cell>
          <cell r="IN37">
            <v>2363</v>
          </cell>
          <cell r="IO37">
            <v>2216</v>
          </cell>
          <cell r="IP37">
            <v>2038</v>
          </cell>
          <cell r="IQ37">
            <v>2348</v>
          </cell>
        </row>
        <row r="38">
          <cell r="IF38">
            <v>2234</v>
          </cell>
          <cell r="IG38">
            <v>2552</v>
          </cell>
          <cell r="IH38">
            <v>2712</v>
          </cell>
          <cell r="II38">
            <v>2500</v>
          </cell>
          <cell r="IJ38">
            <v>2339</v>
          </cell>
          <cell r="IK38">
            <v>2423</v>
          </cell>
          <cell r="IL38">
            <v>2694</v>
          </cell>
          <cell r="IM38">
            <v>2355</v>
          </cell>
          <cell r="IN38">
            <v>2711</v>
          </cell>
          <cell r="IO38">
            <v>2563</v>
          </cell>
          <cell r="IP38">
            <v>2016</v>
          </cell>
          <cell r="IQ38">
            <v>2567</v>
          </cell>
        </row>
        <row r="41"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  <cell r="HY41">
            <v>1579653</v>
          </cell>
          <cell r="HZ41">
            <v>1440588</v>
          </cell>
          <cell r="IA41">
            <v>1455656</v>
          </cell>
          <cell r="IB41">
            <v>1406262</v>
          </cell>
          <cell r="IC41">
            <v>1386607</v>
          </cell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M41">
            <v>1981650</v>
          </cell>
          <cell r="IN41">
            <v>1694216</v>
          </cell>
          <cell r="IO41">
            <v>1778987</v>
          </cell>
          <cell r="IP41">
            <v>1583169</v>
          </cell>
          <cell r="IQ41">
            <v>1591758</v>
          </cell>
        </row>
        <row r="47">
          <cell r="IQ47">
            <v>4311733</v>
          </cell>
        </row>
        <row r="48">
          <cell r="IQ48">
            <v>339388</v>
          </cell>
        </row>
        <row r="52">
          <cell r="IQ52">
            <v>2055738</v>
          </cell>
        </row>
        <row r="53">
          <cell r="IQ53">
            <v>496127</v>
          </cell>
        </row>
        <row r="57">
          <cell r="IQ57"/>
        </row>
        <row r="58">
          <cell r="IQ58"/>
        </row>
        <row r="64"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  <cell r="HY64">
            <v>7098218</v>
          </cell>
          <cell r="HZ64">
            <v>7174331</v>
          </cell>
          <cell r="IA64">
            <v>8026189</v>
          </cell>
          <cell r="IB64">
            <v>6993350</v>
          </cell>
          <cell r="IC64">
            <v>6260246</v>
          </cell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M64">
            <v>5113897</v>
          </cell>
          <cell r="IN64">
            <v>6570987</v>
          </cell>
          <cell r="IO64">
            <v>7390119</v>
          </cell>
          <cell r="IP64">
            <v>6877915</v>
          </cell>
          <cell r="IQ64">
            <v>7202986</v>
          </cell>
        </row>
        <row r="70">
          <cell r="IQ70">
            <v>408537</v>
          </cell>
        </row>
        <row r="71">
          <cell r="IQ71">
            <v>298478</v>
          </cell>
        </row>
        <row r="73">
          <cell r="IQ73">
            <v>53377</v>
          </cell>
        </row>
        <row r="74">
          <cell r="IQ74">
            <v>38998</v>
          </cell>
        </row>
      </sheetData>
      <sheetData sheetId="14">
        <row r="4">
          <cell r="IQ4">
            <v>86</v>
          </cell>
        </row>
        <row r="5">
          <cell r="IQ5">
            <v>86</v>
          </cell>
        </row>
        <row r="8">
          <cell r="IQ8">
            <v>2</v>
          </cell>
        </row>
        <row r="9">
          <cell r="IQ9">
            <v>2</v>
          </cell>
        </row>
        <row r="15">
          <cell r="IQ15"/>
        </row>
        <row r="16">
          <cell r="IQ16"/>
        </row>
        <row r="19"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  <cell r="HY19">
            <v>164</v>
          </cell>
          <cell r="HZ19">
            <v>158</v>
          </cell>
          <cell r="IA19">
            <v>154</v>
          </cell>
          <cell r="IB19">
            <v>152</v>
          </cell>
          <cell r="IC19">
            <v>162</v>
          </cell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M19">
            <v>162</v>
          </cell>
          <cell r="IN19">
            <v>140</v>
          </cell>
          <cell r="IO19">
            <v>160</v>
          </cell>
          <cell r="IP19">
            <v>156</v>
          </cell>
          <cell r="IQ19">
            <v>176</v>
          </cell>
        </row>
        <row r="22">
          <cell r="IQ22">
            <v>1081</v>
          </cell>
        </row>
        <row r="23">
          <cell r="IQ23">
            <v>1015</v>
          </cell>
        </row>
        <row r="27">
          <cell r="IQ27">
            <v>36</v>
          </cell>
        </row>
        <row r="28">
          <cell r="IQ28">
            <v>45</v>
          </cell>
        </row>
        <row r="32">
          <cell r="IQ32"/>
        </row>
        <row r="33">
          <cell r="IQ33"/>
        </row>
        <row r="37">
          <cell r="IQ37"/>
        </row>
        <row r="38">
          <cell r="IQ38"/>
        </row>
        <row r="41"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  <cell r="HY41">
            <v>1783</v>
          </cell>
          <cell r="HZ41">
            <v>1231</v>
          </cell>
          <cell r="IA41">
            <v>1200</v>
          </cell>
          <cell r="IB41">
            <v>1347</v>
          </cell>
          <cell r="IC41">
            <v>1935</v>
          </cell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M41">
            <v>1838</v>
          </cell>
          <cell r="IN41">
            <v>1653</v>
          </cell>
          <cell r="IO41">
            <v>1761</v>
          </cell>
          <cell r="IP41">
            <v>1607</v>
          </cell>
          <cell r="IQ41">
            <v>2096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15">
        <row r="4">
          <cell r="IQ4">
            <v>105</v>
          </cell>
        </row>
        <row r="5">
          <cell r="IQ5">
            <v>105</v>
          </cell>
        </row>
        <row r="8">
          <cell r="IQ8"/>
        </row>
        <row r="9">
          <cell r="IQ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>
            <v>15</v>
          </cell>
          <cell r="IQ15">
            <v>31</v>
          </cell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>
            <v>15</v>
          </cell>
          <cell r="IQ16">
            <v>31</v>
          </cell>
        </row>
        <row r="19"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  <cell r="HY19">
            <v>88</v>
          </cell>
          <cell r="HZ19">
            <v>100</v>
          </cell>
          <cell r="IA19">
            <v>102</v>
          </cell>
          <cell r="IB19">
            <v>68</v>
          </cell>
          <cell r="IC19">
            <v>60</v>
          </cell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M19">
            <v>123</v>
          </cell>
          <cell r="IN19">
            <v>118</v>
          </cell>
          <cell r="IO19">
            <v>124</v>
          </cell>
          <cell r="IP19">
            <v>185</v>
          </cell>
          <cell r="IQ19">
            <v>272</v>
          </cell>
        </row>
        <row r="22">
          <cell r="IQ22">
            <v>15396</v>
          </cell>
        </row>
        <row r="23">
          <cell r="IQ23">
            <v>17033</v>
          </cell>
        </row>
        <row r="27">
          <cell r="IQ27">
            <v>76</v>
          </cell>
        </row>
        <row r="28">
          <cell r="IQ28">
            <v>86</v>
          </cell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>
            <v>1172</v>
          </cell>
          <cell r="IQ32">
            <v>2219</v>
          </cell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>
            <v>1413</v>
          </cell>
          <cell r="IQ33">
            <v>3581</v>
          </cell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>
            <v>3</v>
          </cell>
          <cell r="IQ37">
            <v>6</v>
          </cell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>
            <v>1</v>
          </cell>
          <cell r="IQ38">
            <v>7</v>
          </cell>
        </row>
        <row r="41"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  <cell r="HY41">
            <v>14942</v>
          </cell>
          <cell r="HZ41">
            <v>16257</v>
          </cell>
          <cell r="IA41">
            <v>16586</v>
          </cell>
          <cell r="IB41">
            <v>10676</v>
          </cell>
          <cell r="IC41">
            <v>9502</v>
          </cell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M41">
            <v>21639</v>
          </cell>
          <cell r="IN41">
            <v>20561</v>
          </cell>
          <cell r="IO41">
            <v>21230</v>
          </cell>
          <cell r="IP41">
            <v>26768</v>
          </cell>
          <cell r="IQ41">
            <v>38229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16">
        <row r="4">
          <cell r="IR4">
            <v>0</v>
          </cell>
        </row>
        <row r="8">
          <cell r="IQ8"/>
        </row>
        <row r="9">
          <cell r="IQ9"/>
        </row>
        <row r="15">
          <cell r="IF15">
            <v>3</v>
          </cell>
          <cell r="IG15"/>
          <cell r="IH15">
            <v>6</v>
          </cell>
          <cell r="II15">
            <v>19</v>
          </cell>
          <cell r="IJ15">
            <v>26</v>
          </cell>
          <cell r="IK15">
            <v>31</v>
          </cell>
          <cell r="IL15">
            <v>31</v>
          </cell>
          <cell r="IM15">
            <v>31</v>
          </cell>
          <cell r="IN15">
            <v>30</v>
          </cell>
          <cell r="IO15">
            <v>18</v>
          </cell>
          <cell r="IP15">
            <v>17</v>
          </cell>
          <cell r="IQ15">
            <v>12</v>
          </cell>
        </row>
        <row r="16">
          <cell r="IF16">
            <v>3</v>
          </cell>
          <cell r="IG16"/>
          <cell r="IH16">
            <v>6</v>
          </cell>
          <cell r="II16">
            <v>19</v>
          </cell>
          <cell r="IJ16">
            <v>26</v>
          </cell>
          <cell r="IK16">
            <v>31</v>
          </cell>
          <cell r="IL16">
            <v>31</v>
          </cell>
          <cell r="IM16">
            <v>31</v>
          </cell>
          <cell r="IN16">
            <v>30</v>
          </cell>
          <cell r="IO16">
            <v>18</v>
          </cell>
          <cell r="IP16">
            <v>17</v>
          </cell>
          <cell r="IQ16">
            <v>12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  <cell r="HY19">
            <v>62</v>
          </cell>
          <cell r="HZ19">
            <v>66</v>
          </cell>
          <cell r="IA19">
            <v>38</v>
          </cell>
          <cell r="IB19">
            <v>34</v>
          </cell>
          <cell r="IC19">
            <v>20</v>
          </cell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M19">
            <v>62</v>
          </cell>
          <cell r="IN19">
            <v>60</v>
          </cell>
          <cell r="IO19">
            <v>36</v>
          </cell>
          <cell r="IP19">
            <v>34</v>
          </cell>
          <cell r="IQ19">
            <v>24</v>
          </cell>
        </row>
        <row r="32">
          <cell r="IF32">
            <v>457</v>
          </cell>
          <cell r="IG32"/>
          <cell r="IH32">
            <v>516</v>
          </cell>
          <cell r="II32">
            <v>2418</v>
          </cell>
          <cell r="IJ32">
            <v>3400</v>
          </cell>
          <cell r="IK32">
            <v>6076</v>
          </cell>
          <cell r="IL32">
            <v>6728</v>
          </cell>
          <cell r="IM32">
            <v>6099</v>
          </cell>
          <cell r="IN32">
            <v>5265</v>
          </cell>
          <cell r="IO32">
            <v>2913</v>
          </cell>
          <cell r="IP32">
            <v>2370</v>
          </cell>
          <cell r="IQ32">
            <v>1283</v>
          </cell>
        </row>
        <row r="33">
          <cell r="IF33">
            <v>274</v>
          </cell>
          <cell r="IG33"/>
          <cell r="IH33">
            <v>907</v>
          </cell>
          <cell r="II33">
            <v>2473</v>
          </cell>
          <cell r="IJ33">
            <v>4303</v>
          </cell>
          <cell r="IK33">
            <v>6142</v>
          </cell>
          <cell r="IL33">
            <v>5647</v>
          </cell>
          <cell r="IM33">
            <v>5588</v>
          </cell>
          <cell r="IN33">
            <v>5093</v>
          </cell>
          <cell r="IO33">
            <v>2376</v>
          </cell>
          <cell r="IP33">
            <v>2157</v>
          </cell>
          <cell r="IQ33">
            <v>1339</v>
          </cell>
        </row>
        <row r="37">
          <cell r="IF37"/>
          <cell r="IG37"/>
          <cell r="IH37">
            <v>14</v>
          </cell>
          <cell r="II37">
            <v>27</v>
          </cell>
          <cell r="IJ37">
            <v>22</v>
          </cell>
          <cell r="IK37">
            <v>23</v>
          </cell>
          <cell r="IL37">
            <v>35</v>
          </cell>
          <cell r="IM37">
            <v>31</v>
          </cell>
          <cell r="IN37">
            <v>23</v>
          </cell>
          <cell r="IO37">
            <v>29</v>
          </cell>
          <cell r="IP37">
            <v>57</v>
          </cell>
          <cell r="IQ37">
            <v>46</v>
          </cell>
        </row>
        <row r="38">
          <cell r="IF38">
            <v>10</v>
          </cell>
          <cell r="IG38"/>
          <cell r="IH38">
            <v>4</v>
          </cell>
          <cell r="II38">
            <v>36</v>
          </cell>
          <cell r="IJ38">
            <v>29</v>
          </cell>
          <cell r="IK38">
            <v>20</v>
          </cell>
          <cell r="IL38">
            <v>28</v>
          </cell>
          <cell r="IM38">
            <v>28</v>
          </cell>
          <cell r="IN38">
            <v>35</v>
          </cell>
          <cell r="IO38">
            <v>28</v>
          </cell>
          <cell r="IP38">
            <v>70</v>
          </cell>
          <cell r="IQ38">
            <v>56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  <cell r="HY41">
            <v>9921</v>
          </cell>
          <cell r="HZ41">
            <v>9309</v>
          </cell>
          <cell r="IA41">
            <v>5580</v>
          </cell>
          <cell r="IB41">
            <v>4016</v>
          </cell>
          <cell r="IC41">
            <v>1949</v>
          </cell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M41">
            <v>11687</v>
          </cell>
          <cell r="IN41">
            <v>10358</v>
          </cell>
          <cell r="IO41">
            <v>5289</v>
          </cell>
          <cell r="IP41">
            <v>4527</v>
          </cell>
          <cell r="IQ41">
            <v>2622</v>
          </cell>
        </row>
        <row r="47">
          <cell r="IQ47">
            <v>1235</v>
          </cell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  <cell r="HY64">
            <v>1701</v>
          </cell>
          <cell r="HZ64">
            <v>1350</v>
          </cell>
          <cell r="IA64">
            <v>3064</v>
          </cell>
          <cell r="IB64">
            <v>1716</v>
          </cell>
          <cell r="IC64">
            <v>1240</v>
          </cell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M64">
            <v>555</v>
          </cell>
          <cell r="IN64">
            <v>3456</v>
          </cell>
          <cell r="IO64">
            <v>1708</v>
          </cell>
          <cell r="IP64">
            <v>11232</v>
          </cell>
          <cell r="IQ64">
            <v>1235</v>
          </cell>
        </row>
      </sheetData>
      <sheetData sheetId="17">
        <row r="4">
          <cell r="IQ4">
            <v>31</v>
          </cell>
        </row>
        <row r="5">
          <cell r="IQ5">
            <v>31</v>
          </cell>
        </row>
        <row r="8">
          <cell r="IQ8"/>
        </row>
        <row r="9">
          <cell r="IQ9"/>
        </row>
        <row r="19"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  <cell r="HY19">
            <v>184</v>
          </cell>
          <cell r="HZ19">
            <v>216</v>
          </cell>
          <cell r="IA19">
            <v>219</v>
          </cell>
          <cell r="IB19">
            <v>177</v>
          </cell>
          <cell r="IC19">
            <v>169</v>
          </cell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M19">
            <v>60</v>
          </cell>
          <cell r="IN19">
            <v>104</v>
          </cell>
          <cell r="IO19">
            <v>118</v>
          </cell>
          <cell r="IP19">
            <v>58</v>
          </cell>
          <cell r="IQ19">
            <v>62</v>
          </cell>
        </row>
        <row r="22">
          <cell r="IQ22">
            <v>3519</v>
          </cell>
        </row>
        <row r="23">
          <cell r="IQ23">
            <v>2259</v>
          </cell>
        </row>
        <row r="27">
          <cell r="IQ27">
            <v>88</v>
          </cell>
        </row>
        <row r="28">
          <cell r="IQ28">
            <v>61</v>
          </cell>
        </row>
        <row r="41"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  <cell r="HY41">
            <v>17790</v>
          </cell>
          <cell r="HZ41">
            <v>21777</v>
          </cell>
          <cell r="IA41">
            <v>22400</v>
          </cell>
          <cell r="IB41">
            <v>15386</v>
          </cell>
          <cell r="IC41">
            <v>13479</v>
          </cell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M41">
            <v>7355</v>
          </cell>
          <cell r="IN41">
            <v>11949</v>
          </cell>
          <cell r="IO41">
            <v>13745</v>
          </cell>
          <cell r="IP41">
            <v>3197</v>
          </cell>
          <cell r="IQ41">
            <v>5778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18">
        <row r="4">
          <cell r="IQ4"/>
        </row>
        <row r="5">
          <cell r="IQ5"/>
        </row>
        <row r="8">
          <cell r="IQ8"/>
        </row>
        <row r="9">
          <cell r="IQ9"/>
        </row>
        <row r="15">
          <cell r="IF15">
            <v>17</v>
          </cell>
          <cell r="IG15">
            <v>15</v>
          </cell>
          <cell r="IH15">
            <v>18</v>
          </cell>
          <cell r="II15">
            <v>17</v>
          </cell>
          <cell r="IJ15">
            <v>17</v>
          </cell>
          <cell r="IK15">
            <v>17</v>
          </cell>
          <cell r="IL15">
            <v>16</v>
          </cell>
          <cell r="IM15">
            <v>14</v>
          </cell>
          <cell r="IN15">
            <v>15</v>
          </cell>
          <cell r="IO15">
            <v>17</v>
          </cell>
          <cell r="IP15">
            <v>16</v>
          </cell>
          <cell r="IQ15">
            <v>15</v>
          </cell>
        </row>
        <row r="16">
          <cell r="IF16">
            <v>17</v>
          </cell>
          <cell r="IG16">
            <v>15</v>
          </cell>
          <cell r="IH16">
            <v>18</v>
          </cell>
          <cell r="II16">
            <v>17</v>
          </cell>
          <cell r="IJ16">
            <v>17</v>
          </cell>
          <cell r="IK16">
            <v>17</v>
          </cell>
          <cell r="IL16">
            <v>16</v>
          </cell>
          <cell r="IM16">
            <v>14</v>
          </cell>
          <cell r="IN16">
            <v>15</v>
          </cell>
          <cell r="IO16">
            <v>17</v>
          </cell>
          <cell r="IP16">
            <v>16</v>
          </cell>
          <cell r="IQ16">
            <v>15</v>
          </cell>
        </row>
        <row r="19"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  <cell r="HY19">
            <v>44</v>
          </cell>
          <cell r="HZ19">
            <v>34</v>
          </cell>
          <cell r="IA19">
            <v>36</v>
          </cell>
          <cell r="IB19">
            <v>34</v>
          </cell>
          <cell r="IC19">
            <v>34</v>
          </cell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M19">
            <v>28</v>
          </cell>
          <cell r="IN19">
            <v>30</v>
          </cell>
          <cell r="IO19">
            <v>34</v>
          </cell>
          <cell r="IP19">
            <v>32</v>
          </cell>
          <cell r="IQ19">
            <v>30</v>
          </cell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32">
          <cell r="IF32">
            <v>3775</v>
          </cell>
          <cell r="IG32">
            <v>2550</v>
          </cell>
          <cell r="IH32">
            <v>4441</v>
          </cell>
          <cell r="II32">
            <v>4148</v>
          </cell>
          <cell r="IJ32">
            <v>4078</v>
          </cell>
          <cell r="IK32">
            <v>4618</v>
          </cell>
          <cell r="IL32">
            <v>4331</v>
          </cell>
          <cell r="IM32">
            <v>3752</v>
          </cell>
          <cell r="IN32">
            <v>3891</v>
          </cell>
          <cell r="IO32">
            <v>4379</v>
          </cell>
          <cell r="IP32">
            <v>3587</v>
          </cell>
          <cell r="IQ32">
            <v>3213</v>
          </cell>
        </row>
        <row r="33">
          <cell r="IF33">
            <v>2893</v>
          </cell>
          <cell r="IG33">
            <v>1973</v>
          </cell>
          <cell r="IH33">
            <v>3919</v>
          </cell>
          <cell r="II33">
            <v>3780</v>
          </cell>
          <cell r="IJ33">
            <v>4369</v>
          </cell>
          <cell r="IK33">
            <v>4574</v>
          </cell>
          <cell r="IL33">
            <v>3677</v>
          </cell>
          <cell r="IM33">
            <v>3356</v>
          </cell>
          <cell r="IN33">
            <v>3803</v>
          </cell>
          <cell r="IO33">
            <v>3557</v>
          </cell>
          <cell r="IP33">
            <v>3218</v>
          </cell>
          <cell r="IQ33">
            <v>3019</v>
          </cell>
        </row>
        <row r="37">
          <cell r="IF37">
            <v>6</v>
          </cell>
          <cell r="IG37">
            <v>7</v>
          </cell>
          <cell r="IH37">
            <v>8</v>
          </cell>
          <cell r="II37">
            <v>11</v>
          </cell>
          <cell r="IJ37">
            <v>13</v>
          </cell>
          <cell r="IK37">
            <v>22</v>
          </cell>
          <cell r="IL37">
            <v>8</v>
          </cell>
          <cell r="IM37">
            <v>13</v>
          </cell>
          <cell r="IN37">
            <v>7</v>
          </cell>
          <cell r="IO37">
            <v>15</v>
          </cell>
          <cell r="IP37">
            <v>18</v>
          </cell>
          <cell r="IQ37">
            <v>15</v>
          </cell>
        </row>
        <row r="38">
          <cell r="IF38">
            <v>3</v>
          </cell>
          <cell r="IG38"/>
          <cell r="IH38"/>
          <cell r="II38">
            <v>0</v>
          </cell>
          <cell r="IJ38"/>
          <cell r="IK38"/>
          <cell r="IL38"/>
          <cell r="IM38"/>
          <cell r="IN38"/>
          <cell r="IO38"/>
          <cell r="IP38"/>
          <cell r="IQ38"/>
        </row>
        <row r="41"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  <cell r="HY41">
            <v>11114</v>
          </cell>
          <cell r="HZ41">
            <v>8269</v>
          </cell>
          <cell r="IA41">
            <v>7225</v>
          </cell>
          <cell r="IB41">
            <v>7132</v>
          </cell>
          <cell r="IC41">
            <v>8082</v>
          </cell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M41">
            <v>7108</v>
          </cell>
          <cell r="IN41">
            <v>7694</v>
          </cell>
          <cell r="IO41">
            <v>7936</v>
          </cell>
          <cell r="IP41">
            <v>6805</v>
          </cell>
          <cell r="IQ41">
            <v>6232</v>
          </cell>
        </row>
        <row r="47">
          <cell r="IQ47">
            <v>247409</v>
          </cell>
        </row>
        <row r="48">
          <cell r="IQ48"/>
        </row>
        <row r="52">
          <cell r="IQ52">
            <v>56209</v>
          </cell>
        </row>
        <row r="53">
          <cell r="IQ53"/>
        </row>
        <row r="57">
          <cell r="IQ57"/>
        </row>
        <row r="58">
          <cell r="IQ58"/>
        </row>
        <row r="64"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  <cell r="HY64">
            <v>425323</v>
          </cell>
          <cell r="HZ64">
            <v>404172</v>
          </cell>
          <cell r="IA64">
            <v>614200</v>
          </cell>
          <cell r="IB64">
            <v>708810</v>
          </cell>
          <cell r="IC64">
            <v>549257</v>
          </cell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M64">
            <v>241651</v>
          </cell>
          <cell r="IN64">
            <v>366042</v>
          </cell>
          <cell r="IO64">
            <v>464449</v>
          </cell>
          <cell r="IP64">
            <v>389338</v>
          </cell>
          <cell r="IQ64">
            <v>303618</v>
          </cell>
        </row>
      </sheetData>
      <sheetData sheetId="19"/>
      <sheetData sheetId="20"/>
      <sheetData sheetId="21"/>
      <sheetData sheetId="22">
        <row r="4">
          <cell r="IQ4">
            <v>680</v>
          </cell>
        </row>
        <row r="5">
          <cell r="IQ5">
            <v>677</v>
          </cell>
        </row>
        <row r="8">
          <cell r="IQ8"/>
        </row>
        <row r="9">
          <cell r="IQ9"/>
        </row>
        <row r="19"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  <cell r="HY19">
            <v>1146</v>
          </cell>
          <cell r="HZ19">
            <v>963</v>
          </cell>
          <cell r="IA19">
            <v>952</v>
          </cell>
          <cell r="IB19">
            <v>912</v>
          </cell>
          <cell r="IC19">
            <v>797</v>
          </cell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M19">
            <v>1384</v>
          </cell>
          <cell r="IN19">
            <v>1279</v>
          </cell>
          <cell r="IO19">
            <v>1453</v>
          </cell>
          <cell r="IP19">
            <v>1331</v>
          </cell>
          <cell r="IQ19">
            <v>1357</v>
          </cell>
        </row>
        <row r="22">
          <cell r="IQ22">
            <v>67152</v>
          </cell>
        </row>
        <row r="23">
          <cell r="IQ23">
            <v>64965</v>
          </cell>
        </row>
        <row r="27">
          <cell r="IQ27">
            <v>1830</v>
          </cell>
        </row>
        <row r="28">
          <cell r="IQ28">
            <v>1716</v>
          </cell>
        </row>
        <row r="41"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  <cell r="HY41">
            <v>150438</v>
          </cell>
          <cell r="HZ41">
            <v>128733</v>
          </cell>
          <cell r="IA41">
            <v>130176</v>
          </cell>
          <cell r="IB41">
            <v>110504</v>
          </cell>
          <cell r="IC41">
            <v>90084</v>
          </cell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M41">
            <v>166154</v>
          </cell>
          <cell r="IN41">
            <v>154019</v>
          </cell>
          <cell r="IO41">
            <v>169609</v>
          </cell>
          <cell r="IP41">
            <v>134778</v>
          </cell>
          <cell r="IQ41">
            <v>132117</v>
          </cell>
        </row>
        <row r="47">
          <cell r="IQ47">
            <v>155812</v>
          </cell>
        </row>
        <row r="48">
          <cell r="IQ48"/>
        </row>
        <row r="52">
          <cell r="IQ52">
            <v>38394</v>
          </cell>
        </row>
        <row r="53">
          <cell r="IQ53"/>
        </row>
        <row r="57">
          <cell r="IQ57"/>
        </row>
        <row r="58">
          <cell r="IQ58"/>
        </row>
        <row r="64"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  <cell r="HY64">
            <v>233230</v>
          </cell>
          <cell r="HZ64">
            <v>239249</v>
          </cell>
          <cell r="IA64">
            <v>239208</v>
          </cell>
          <cell r="IB64">
            <v>219740</v>
          </cell>
          <cell r="IC64">
            <v>155849</v>
          </cell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M64">
            <v>232279</v>
          </cell>
          <cell r="IN64">
            <v>250562</v>
          </cell>
          <cell r="IO64">
            <v>246633</v>
          </cell>
          <cell r="IP64">
            <v>216158</v>
          </cell>
          <cell r="IQ64">
            <v>194206</v>
          </cell>
        </row>
        <row r="70">
          <cell r="IQ70">
            <v>64510</v>
          </cell>
        </row>
        <row r="71">
          <cell r="IQ71">
            <v>455</v>
          </cell>
        </row>
        <row r="73">
          <cell r="IQ73"/>
        </row>
        <row r="74">
          <cell r="IQ74"/>
        </row>
      </sheetData>
      <sheetData sheetId="23">
        <row r="4">
          <cell r="IQ4">
            <v>117</v>
          </cell>
        </row>
        <row r="5">
          <cell r="IQ5">
            <v>117</v>
          </cell>
        </row>
        <row r="8">
          <cell r="IQ8"/>
        </row>
        <row r="9">
          <cell r="IQ9"/>
        </row>
        <row r="19"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  <cell r="HY19">
            <v>186</v>
          </cell>
          <cell r="HZ19">
            <v>170</v>
          </cell>
          <cell r="IA19">
            <v>184</v>
          </cell>
          <cell r="IB19">
            <v>252</v>
          </cell>
          <cell r="IC19">
            <v>275</v>
          </cell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M19">
            <v>206</v>
          </cell>
          <cell r="IN19">
            <v>220</v>
          </cell>
          <cell r="IO19">
            <v>240</v>
          </cell>
          <cell r="IP19">
            <v>226</v>
          </cell>
          <cell r="IQ19">
            <v>234</v>
          </cell>
        </row>
        <row r="22">
          <cell r="IQ22">
            <v>15681</v>
          </cell>
        </row>
        <row r="23">
          <cell r="IQ23">
            <v>15802</v>
          </cell>
        </row>
        <row r="27">
          <cell r="IQ27">
            <v>129</v>
          </cell>
        </row>
        <row r="28">
          <cell r="IQ28">
            <v>117</v>
          </cell>
        </row>
        <row r="41"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  <cell r="HY41">
            <v>31655</v>
          </cell>
          <cell r="HZ41">
            <v>26402</v>
          </cell>
          <cell r="IA41">
            <v>28360</v>
          </cell>
          <cell r="IB41">
            <v>34940</v>
          </cell>
          <cell r="IC41">
            <v>37012</v>
          </cell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M41">
            <v>33094</v>
          </cell>
          <cell r="IN41">
            <v>31439</v>
          </cell>
          <cell r="IO41">
            <v>34678</v>
          </cell>
          <cell r="IP41">
            <v>30602</v>
          </cell>
          <cell r="IQ41">
            <v>31483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  <row r="70">
          <cell r="IQ70"/>
        </row>
        <row r="71">
          <cell r="IQ71"/>
        </row>
        <row r="73">
          <cell r="IQ73"/>
        </row>
        <row r="74">
          <cell r="IQ74"/>
        </row>
      </sheetData>
      <sheetData sheetId="24">
        <row r="4">
          <cell r="IQ4">
            <v>1010</v>
          </cell>
        </row>
        <row r="5">
          <cell r="IQ5">
            <v>1001</v>
          </cell>
        </row>
        <row r="8">
          <cell r="IQ8">
            <v>88</v>
          </cell>
        </row>
        <row r="9">
          <cell r="IQ9">
            <v>85</v>
          </cell>
        </row>
        <row r="15">
          <cell r="IF15">
            <v>170</v>
          </cell>
          <cell r="IG15">
            <v>232</v>
          </cell>
          <cell r="IH15">
            <v>316</v>
          </cell>
          <cell r="II15">
            <v>145</v>
          </cell>
          <cell r="IJ15">
            <v>59</v>
          </cell>
          <cell r="IK15">
            <v>18</v>
          </cell>
          <cell r="IL15">
            <v>20</v>
          </cell>
          <cell r="IM15">
            <v>17</v>
          </cell>
          <cell r="IN15">
            <v>8</v>
          </cell>
          <cell r="IO15">
            <v>17</v>
          </cell>
          <cell r="IP15">
            <v>38</v>
          </cell>
          <cell r="IQ15">
            <v>167</v>
          </cell>
        </row>
        <row r="16">
          <cell r="IF16">
            <v>170</v>
          </cell>
          <cell r="IG16">
            <v>232</v>
          </cell>
          <cell r="IH16">
            <v>316</v>
          </cell>
          <cell r="II16">
            <v>148</v>
          </cell>
          <cell r="IJ16">
            <v>58</v>
          </cell>
          <cell r="IK16">
            <v>17</v>
          </cell>
          <cell r="IL16">
            <v>9</v>
          </cell>
          <cell r="IM16">
            <v>19</v>
          </cell>
          <cell r="IN16">
            <v>7</v>
          </cell>
          <cell r="IO16">
            <v>17</v>
          </cell>
          <cell r="IP16">
            <v>41</v>
          </cell>
          <cell r="IQ16">
            <v>176</v>
          </cell>
        </row>
        <row r="19"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  <cell r="HY19">
            <v>1860</v>
          </cell>
          <cell r="HZ19">
            <v>1283</v>
          </cell>
          <cell r="IA19">
            <v>1745</v>
          </cell>
          <cell r="IB19">
            <v>1817</v>
          </cell>
          <cell r="IC19">
            <v>2219</v>
          </cell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M19">
            <v>2282</v>
          </cell>
          <cell r="IN19">
            <v>1710</v>
          </cell>
          <cell r="IO19">
            <v>2140</v>
          </cell>
          <cell r="IP19">
            <v>2246</v>
          </cell>
          <cell r="IQ19">
            <v>2527</v>
          </cell>
        </row>
        <row r="22">
          <cell r="IQ22">
            <v>162230</v>
          </cell>
        </row>
        <row r="23">
          <cell r="IQ23">
            <v>164026</v>
          </cell>
        </row>
        <row r="27">
          <cell r="IQ27">
            <v>2370</v>
          </cell>
        </row>
        <row r="28">
          <cell r="IQ28">
            <v>2523</v>
          </cell>
        </row>
        <row r="32">
          <cell r="IF32">
            <v>26499</v>
          </cell>
          <cell r="IG32">
            <v>36136</v>
          </cell>
          <cell r="IH32">
            <v>51594</v>
          </cell>
          <cell r="II32">
            <v>23504</v>
          </cell>
          <cell r="IJ32">
            <v>3047</v>
          </cell>
          <cell r="IK32">
            <v>2427</v>
          </cell>
          <cell r="IL32">
            <v>2321</v>
          </cell>
          <cell r="IM32">
            <v>2704</v>
          </cell>
          <cell r="IN32">
            <v>813</v>
          </cell>
          <cell r="IO32">
            <v>2113</v>
          </cell>
          <cell r="IP32">
            <v>5022</v>
          </cell>
          <cell r="IQ32">
            <v>18600</v>
          </cell>
        </row>
        <row r="33">
          <cell r="IF33">
            <v>27098</v>
          </cell>
          <cell r="IG33">
            <v>38646</v>
          </cell>
          <cell r="IH33">
            <v>50993</v>
          </cell>
          <cell r="II33">
            <v>17009</v>
          </cell>
          <cell r="IJ33">
            <v>2697</v>
          </cell>
          <cell r="IK33">
            <v>2698</v>
          </cell>
          <cell r="IL33">
            <v>2408</v>
          </cell>
          <cell r="IM33">
            <v>2729</v>
          </cell>
          <cell r="IN33">
            <v>736</v>
          </cell>
          <cell r="IO33">
            <v>2282</v>
          </cell>
          <cell r="IP33">
            <v>6128</v>
          </cell>
          <cell r="IQ33">
            <v>26108</v>
          </cell>
        </row>
        <row r="37">
          <cell r="IF37">
            <v>375</v>
          </cell>
          <cell r="IG37">
            <v>441</v>
          </cell>
          <cell r="IH37">
            <v>550</v>
          </cell>
          <cell r="II37">
            <v>382</v>
          </cell>
          <cell r="IJ37">
            <v>77</v>
          </cell>
          <cell r="IK37">
            <v>36</v>
          </cell>
          <cell r="IL37">
            <v>37</v>
          </cell>
          <cell r="IM37">
            <v>36</v>
          </cell>
          <cell r="IN37">
            <v>16</v>
          </cell>
          <cell r="IO37">
            <v>48</v>
          </cell>
          <cell r="IP37">
            <v>127</v>
          </cell>
          <cell r="IQ37">
            <v>569</v>
          </cell>
        </row>
        <row r="38">
          <cell r="IF38">
            <v>389</v>
          </cell>
          <cell r="IG38">
            <v>478</v>
          </cell>
          <cell r="IH38">
            <v>645</v>
          </cell>
          <cell r="II38">
            <v>320</v>
          </cell>
          <cell r="IJ38">
            <v>62</v>
          </cell>
          <cell r="IK38">
            <v>52</v>
          </cell>
          <cell r="IL38">
            <v>29</v>
          </cell>
          <cell r="IM38">
            <v>46</v>
          </cell>
          <cell r="IN38">
            <v>20</v>
          </cell>
          <cell r="IO38">
            <v>61</v>
          </cell>
          <cell r="IP38">
            <v>163</v>
          </cell>
          <cell r="IQ38">
            <v>613</v>
          </cell>
        </row>
        <row r="41"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  <cell r="HY41">
            <v>294218</v>
          </cell>
          <cell r="HZ41">
            <v>182129</v>
          </cell>
          <cell r="IA41">
            <v>244371</v>
          </cell>
          <cell r="IB41">
            <v>264614</v>
          </cell>
          <cell r="IC41">
            <v>322314</v>
          </cell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M41">
            <v>347495</v>
          </cell>
          <cell r="IN41">
            <v>236220</v>
          </cell>
          <cell r="IO41">
            <v>306443</v>
          </cell>
          <cell r="IP41">
            <v>331163</v>
          </cell>
          <cell r="IQ41">
            <v>370964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  <cell r="HY64">
            <v>122849</v>
          </cell>
          <cell r="HZ64">
            <v>86821</v>
          </cell>
          <cell r="IA64">
            <v>104521</v>
          </cell>
          <cell r="IB64">
            <v>90199</v>
          </cell>
          <cell r="IC64">
            <v>121167</v>
          </cell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  <row r="70">
          <cell r="IQ70">
            <v>164026</v>
          </cell>
        </row>
        <row r="71">
          <cell r="IQ71"/>
        </row>
        <row r="73">
          <cell r="IQ73">
            <v>26108</v>
          </cell>
        </row>
        <row r="74">
          <cell r="IQ74"/>
        </row>
      </sheetData>
      <sheetData sheetId="25"/>
      <sheetData sheetId="26"/>
      <sheetData sheetId="27">
        <row r="4">
          <cell r="IQ4">
            <v>372</v>
          </cell>
        </row>
        <row r="5">
          <cell r="IQ5">
            <v>371</v>
          </cell>
        </row>
        <row r="8">
          <cell r="IQ8">
            <v>1</v>
          </cell>
        </row>
        <row r="9">
          <cell r="IQ9">
            <v>0</v>
          </cell>
        </row>
        <row r="19"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  <cell r="HY19">
            <v>720</v>
          </cell>
          <cell r="HZ19">
            <v>746</v>
          </cell>
          <cell r="IA19">
            <v>908</v>
          </cell>
          <cell r="IB19">
            <v>758</v>
          </cell>
          <cell r="IC19">
            <v>744</v>
          </cell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M19">
            <v>1020</v>
          </cell>
          <cell r="IN19">
            <v>1020</v>
          </cell>
          <cell r="IO19">
            <v>1043</v>
          </cell>
          <cell r="IP19">
            <v>738</v>
          </cell>
          <cell r="IQ19">
            <v>744</v>
          </cell>
        </row>
        <row r="22">
          <cell r="IQ22">
            <v>47431</v>
          </cell>
        </row>
        <row r="23">
          <cell r="IQ23">
            <v>46743</v>
          </cell>
        </row>
        <row r="27">
          <cell r="IQ27">
            <v>1782</v>
          </cell>
        </row>
        <row r="28">
          <cell r="IQ28">
            <v>1817</v>
          </cell>
        </row>
        <row r="41"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  <cell r="HY41">
            <v>97696</v>
          </cell>
          <cell r="HZ41">
            <v>102443</v>
          </cell>
          <cell r="IA41">
            <v>124778</v>
          </cell>
          <cell r="IB41">
            <v>101372</v>
          </cell>
          <cell r="IC41">
            <v>98473</v>
          </cell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M41">
            <v>143865</v>
          </cell>
          <cell r="IN41">
            <v>136067</v>
          </cell>
          <cell r="IO41">
            <v>133084</v>
          </cell>
          <cell r="IP41">
            <v>93415</v>
          </cell>
          <cell r="IQ41">
            <v>94174</v>
          </cell>
        </row>
        <row r="47">
          <cell r="IQ47">
            <v>20425</v>
          </cell>
        </row>
        <row r="48">
          <cell r="IQ48">
            <v>3013</v>
          </cell>
        </row>
        <row r="52">
          <cell r="IQ52">
            <v>2691</v>
          </cell>
        </row>
        <row r="53">
          <cell r="IQ53">
            <v>23</v>
          </cell>
        </row>
        <row r="57">
          <cell r="IQ57"/>
        </row>
        <row r="58">
          <cell r="IQ58"/>
        </row>
        <row r="64"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  <cell r="HY64">
            <v>118566</v>
          </cell>
          <cell r="HZ64">
            <v>158227</v>
          </cell>
          <cell r="IA64">
            <v>103938</v>
          </cell>
          <cell r="IB64">
            <v>71641</v>
          </cell>
          <cell r="IC64">
            <v>139023</v>
          </cell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M64">
            <v>85223</v>
          </cell>
          <cell r="IN64">
            <v>53850</v>
          </cell>
          <cell r="IO64">
            <v>161272</v>
          </cell>
          <cell r="IP64">
            <v>45887</v>
          </cell>
          <cell r="IQ64">
            <v>26152</v>
          </cell>
        </row>
      </sheetData>
      <sheetData sheetId="28">
        <row r="4">
          <cell r="IQ4"/>
        </row>
        <row r="5">
          <cell r="IQ5"/>
        </row>
        <row r="8">
          <cell r="IQ8"/>
        </row>
        <row r="9">
          <cell r="IQ9"/>
        </row>
        <row r="15">
          <cell r="IQ15">
            <v>34</v>
          </cell>
        </row>
        <row r="16">
          <cell r="IQ16">
            <v>34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M19">
            <v>72</v>
          </cell>
          <cell r="IN19">
            <v>68</v>
          </cell>
          <cell r="IO19">
            <v>70</v>
          </cell>
          <cell r="IP19">
            <v>70</v>
          </cell>
          <cell r="IQ19">
            <v>68</v>
          </cell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32">
          <cell r="IQ32">
            <v>4072</v>
          </cell>
        </row>
        <row r="33">
          <cell r="IQ33">
            <v>4025</v>
          </cell>
        </row>
        <row r="37">
          <cell r="IQ37"/>
        </row>
        <row r="38">
          <cell r="IQ38">
            <v>1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M41">
            <v>9295</v>
          </cell>
          <cell r="IN41">
            <v>7626</v>
          </cell>
          <cell r="IO41">
            <v>6180</v>
          </cell>
          <cell r="IP41">
            <v>8168</v>
          </cell>
          <cell r="IQ41">
            <v>8097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2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30">
        <row r="4">
          <cell r="IQ4">
            <v>10</v>
          </cell>
        </row>
        <row r="5">
          <cell r="IQ5">
            <v>11</v>
          </cell>
        </row>
        <row r="8">
          <cell r="IQ8"/>
        </row>
        <row r="9">
          <cell r="IQ9"/>
        </row>
        <row r="19"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  <cell r="HY19">
            <v>160</v>
          </cell>
          <cell r="HZ19">
            <v>164</v>
          </cell>
          <cell r="IA19">
            <v>120</v>
          </cell>
          <cell r="IB19">
            <v>113</v>
          </cell>
          <cell r="IC19">
            <v>164</v>
          </cell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M19">
            <v>93</v>
          </cell>
          <cell r="IN19">
            <v>60</v>
          </cell>
          <cell r="IO19">
            <v>54</v>
          </cell>
          <cell r="IP19">
            <v>69</v>
          </cell>
          <cell r="IQ19">
            <v>21</v>
          </cell>
        </row>
        <row r="22">
          <cell r="IQ22">
            <v>585</v>
          </cell>
        </row>
        <row r="23">
          <cell r="IQ23">
            <v>628</v>
          </cell>
        </row>
        <row r="27">
          <cell r="IQ27">
            <v>41</v>
          </cell>
        </row>
        <row r="28">
          <cell r="IQ28">
            <v>41</v>
          </cell>
        </row>
        <row r="41"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  <cell r="HY41">
            <v>8549</v>
          </cell>
          <cell r="HZ41">
            <v>9798</v>
          </cell>
          <cell r="IA41">
            <v>7436</v>
          </cell>
          <cell r="IB41">
            <v>7056</v>
          </cell>
          <cell r="IC41">
            <v>8561</v>
          </cell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M41">
            <v>6217</v>
          </cell>
          <cell r="IN41">
            <v>3966</v>
          </cell>
          <cell r="IO41">
            <v>3819</v>
          </cell>
          <cell r="IP41">
            <v>3873</v>
          </cell>
          <cell r="IQ41">
            <v>1213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  <cell r="HY64">
            <v>2002</v>
          </cell>
          <cell r="HZ64">
            <v>786</v>
          </cell>
          <cell r="IA64">
            <v>957</v>
          </cell>
          <cell r="IB64">
            <v>221</v>
          </cell>
          <cell r="IC64">
            <v>523</v>
          </cell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M64">
            <v>831</v>
          </cell>
          <cell r="IN64">
            <v>0</v>
          </cell>
          <cell r="IO64">
            <v>0</v>
          </cell>
          <cell r="IP64">
            <v>176</v>
          </cell>
          <cell r="IQ64">
            <v>0</v>
          </cell>
        </row>
      </sheetData>
      <sheetData sheetId="31">
        <row r="4">
          <cell r="IQ4">
            <v>57</v>
          </cell>
        </row>
        <row r="5">
          <cell r="IQ5">
            <v>57</v>
          </cell>
        </row>
        <row r="8">
          <cell r="IQ8"/>
        </row>
        <row r="9">
          <cell r="IQ9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  <cell r="HY19">
            <v>2</v>
          </cell>
          <cell r="HZ19">
            <v>0</v>
          </cell>
          <cell r="IA19">
            <v>0</v>
          </cell>
          <cell r="IB19">
            <v>2</v>
          </cell>
          <cell r="IC19">
            <v>0</v>
          </cell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M19">
            <v>172</v>
          </cell>
          <cell r="IN19">
            <v>156</v>
          </cell>
          <cell r="IO19">
            <v>140</v>
          </cell>
          <cell r="IP19">
            <v>98</v>
          </cell>
          <cell r="IQ19">
            <v>114</v>
          </cell>
        </row>
        <row r="22">
          <cell r="IQ22">
            <v>2648</v>
          </cell>
        </row>
        <row r="23">
          <cell r="IQ23">
            <v>2667</v>
          </cell>
        </row>
        <row r="27">
          <cell r="IQ27">
            <v>81</v>
          </cell>
        </row>
        <row r="28">
          <cell r="IQ28">
            <v>72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M41">
            <v>8063</v>
          </cell>
          <cell r="IN41">
            <v>7089</v>
          </cell>
          <cell r="IO41">
            <v>6394</v>
          </cell>
          <cell r="IP41">
            <v>4528</v>
          </cell>
          <cell r="IQ41">
            <v>5315</v>
          </cell>
        </row>
        <row r="47">
          <cell r="IQ47">
            <v>1030</v>
          </cell>
        </row>
        <row r="48">
          <cell r="IQ48"/>
        </row>
        <row r="52">
          <cell r="IQ52">
            <v>350</v>
          </cell>
        </row>
        <row r="53">
          <cell r="IQ53"/>
        </row>
        <row r="57">
          <cell r="IQ57"/>
        </row>
        <row r="58">
          <cell r="BG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50</v>
          </cell>
          <cell r="IN64">
            <v>1344</v>
          </cell>
          <cell r="IO64">
            <v>2063</v>
          </cell>
          <cell r="IP64">
            <v>1163</v>
          </cell>
          <cell r="IQ64">
            <v>1380</v>
          </cell>
        </row>
      </sheetData>
      <sheetData sheetId="32">
        <row r="4">
          <cell r="IQ4"/>
        </row>
        <row r="5">
          <cell r="IQ5"/>
        </row>
        <row r="8">
          <cell r="IQ8"/>
        </row>
        <row r="9">
          <cell r="IQ9"/>
        </row>
        <row r="19"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32">
          <cell r="IQ32"/>
        </row>
        <row r="33">
          <cell r="IQ33"/>
        </row>
        <row r="37">
          <cell r="IQ37"/>
        </row>
        <row r="38">
          <cell r="IQ38"/>
        </row>
        <row r="41"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BF58"/>
        </row>
        <row r="64"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33">
        <row r="4">
          <cell r="IQ4"/>
        </row>
        <row r="5">
          <cell r="IQ5"/>
        </row>
        <row r="8">
          <cell r="IQ8"/>
        </row>
        <row r="9">
          <cell r="IQ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  <cell r="IQ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  <cell r="IQ16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  <cell r="IQ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  <cell r="IQ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BG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  <row r="70">
          <cell r="IQ70"/>
        </row>
        <row r="71">
          <cell r="IQ71"/>
        </row>
        <row r="73">
          <cell r="IQ73"/>
        </row>
        <row r="74">
          <cell r="IQ74"/>
        </row>
      </sheetData>
      <sheetData sheetId="34"/>
      <sheetData sheetId="35"/>
      <sheetData sheetId="36"/>
      <sheetData sheetId="37"/>
      <sheetData sheetId="38"/>
      <sheetData sheetId="39">
        <row r="4">
          <cell r="IQ4"/>
        </row>
        <row r="5">
          <cell r="IQ5"/>
        </row>
        <row r="8">
          <cell r="IQ8"/>
        </row>
        <row r="9">
          <cell r="IQ9"/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BG58"/>
        </row>
      </sheetData>
      <sheetData sheetId="40"/>
      <sheetData sheetId="41">
        <row r="4">
          <cell r="IQ4"/>
        </row>
        <row r="5">
          <cell r="IQ5"/>
        </row>
        <row r="8">
          <cell r="IQ8"/>
        </row>
        <row r="9">
          <cell r="IQ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  <cell r="IQ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  <cell r="IQ16"/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  <cell r="IQ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  <cell r="IQ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BK58"/>
        </row>
        <row r="70">
          <cell r="IQ70"/>
        </row>
        <row r="71">
          <cell r="IQ71"/>
        </row>
        <row r="73">
          <cell r="IQ73"/>
        </row>
        <row r="74">
          <cell r="IQ74"/>
        </row>
      </sheetData>
      <sheetData sheetId="42">
        <row r="4">
          <cell r="IQ4"/>
        </row>
        <row r="5">
          <cell r="IQ5"/>
        </row>
        <row r="8">
          <cell r="IQ8"/>
        </row>
        <row r="9">
          <cell r="IQ9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2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37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AJ57"/>
        </row>
        <row r="58">
          <cell r="AJ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43">
        <row r="4">
          <cell r="IQ4">
            <v>29</v>
          </cell>
        </row>
        <row r="5">
          <cell r="IQ5">
            <v>29</v>
          </cell>
        </row>
        <row r="8">
          <cell r="IQ8"/>
        </row>
        <row r="9">
          <cell r="IQ9"/>
        </row>
        <row r="19"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  <cell r="HY19">
            <v>8</v>
          </cell>
          <cell r="HZ19">
            <v>62</v>
          </cell>
          <cell r="IA19">
            <v>6</v>
          </cell>
          <cell r="IB19">
            <v>8</v>
          </cell>
          <cell r="IC19">
            <v>0</v>
          </cell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M19">
            <v>4</v>
          </cell>
          <cell r="IN19">
            <v>4</v>
          </cell>
          <cell r="IO19">
            <v>6</v>
          </cell>
          <cell r="IP19">
            <v>8</v>
          </cell>
          <cell r="IQ19">
            <v>58</v>
          </cell>
        </row>
        <row r="22">
          <cell r="IQ22">
            <v>1758</v>
          </cell>
        </row>
        <row r="23">
          <cell r="IQ23">
            <v>1577</v>
          </cell>
        </row>
        <row r="27">
          <cell r="IQ27">
            <v>90</v>
          </cell>
        </row>
        <row r="28">
          <cell r="IQ28">
            <v>72</v>
          </cell>
        </row>
        <row r="41"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  <cell r="HY41">
            <v>505</v>
          </cell>
          <cell r="HZ41">
            <v>3916</v>
          </cell>
          <cell r="IA41">
            <v>412</v>
          </cell>
          <cell r="IB41">
            <v>554</v>
          </cell>
          <cell r="IC41">
            <v>0</v>
          </cell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M41">
            <v>0</v>
          </cell>
          <cell r="IN41">
            <v>287</v>
          </cell>
          <cell r="IO41">
            <v>422</v>
          </cell>
          <cell r="IP41">
            <v>564</v>
          </cell>
          <cell r="IQ41">
            <v>3335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44">
        <row r="4">
          <cell r="IQ4"/>
        </row>
        <row r="5">
          <cell r="IQ5"/>
        </row>
        <row r="8">
          <cell r="IQ8"/>
        </row>
        <row r="9">
          <cell r="IQ9"/>
        </row>
        <row r="15">
          <cell r="IF15">
            <v>76</v>
          </cell>
          <cell r="IG15">
            <v>74</v>
          </cell>
          <cell r="IH15">
            <v>82</v>
          </cell>
          <cell r="II15">
            <v>87</v>
          </cell>
          <cell r="IJ15">
            <v>122</v>
          </cell>
          <cell r="IK15">
            <v>108</v>
          </cell>
          <cell r="IL15">
            <v>110</v>
          </cell>
          <cell r="IM15">
            <v>118</v>
          </cell>
          <cell r="IN15">
            <v>118</v>
          </cell>
          <cell r="IO15">
            <v>125</v>
          </cell>
          <cell r="IP15">
            <v>90</v>
          </cell>
          <cell r="IQ15">
            <v>91</v>
          </cell>
        </row>
        <row r="16">
          <cell r="IF16">
            <v>5</v>
          </cell>
          <cell r="IG16">
            <v>76</v>
          </cell>
          <cell r="IH16">
            <v>82</v>
          </cell>
          <cell r="II16">
            <v>87</v>
          </cell>
          <cell r="IJ16">
            <v>123</v>
          </cell>
          <cell r="IK16">
            <v>108</v>
          </cell>
          <cell r="IL16">
            <v>109</v>
          </cell>
          <cell r="IM16">
            <v>118</v>
          </cell>
          <cell r="IN16">
            <v>120</v>
          </cell>
          <cell r="IO16">
            <v>125</v>
          </cell>
          <cell r="IP16">
            <v>93</v>
          </cell>
          <cell r="IQ16">
            <v>91</v>
          </cell>
        </row>
        <row r="19"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  <cell r="HY19">
            <v>228</v>
          </cell>
          <cell r="HZ19">
            <v>230</v>
          </cell>
          <cell r="IA19">
            <v>224</v>
          </cell>
          <cell r="IB19">
            <v>167</v>
          </cell>
          <cell r="IC19">
            <v>175</v>
          </cell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M19">
            <v>236</v>
          </cell>
          <cell r="IN19">
            <v>238</v>
          </cell>
          <cell r="IO19">
            <v>250</v>
          </cell>
          <cell r="IP19">
            <v>183</v>
          </cell>
          <cell r="IQ19">
            <v>182</v>
          </cell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32">
          <cell r="IF32">
            <v>3422</v>
          </cell>
          <cell r="IG32">
            <v>3030</v>
          </cell>
          <cell r="IH32">
            <v>4254</v>
          </cell>
          <cell r="II32">
            <v>4682</v>
          </cell>
          <cell r="IJ32">
            <v>7670</v>
          </cell>
          <cell r="IK32">
            <v>7907</v>
          </cell>
          <cell r="IL32">
            <v>7819</v>
          </cell>
          <cell r="IM32">
            <v>7802</v>
          </cell>
          <cell r="IN32">
            <v>6775</v>
          </cell>
          <cell r="IO32">
            <v>7472</v>
          </cell>
          <cell r="IP32">
            <v>5047</v>
          </cell>
          <cell r="IQ32">
            <v>4745</v>
          </cell>
        </row>
        <row r="33">
          <cell r="IF33">
            <v>3291</v>
          </cell>
          <cell r="IG33">
            <v>2722</v>
          </cell>
          <cell r="IH33">
            <v>4797</v>
          </cell>
          <cell r="II33">
            <v>4344</v>
          </cell>
          <cell r="IJ33">
            <v>8625</v>
          </cell>
          <cell r="IK33">
            <v>9136</v>
          </cell>
          <cell r="IL33">
            <v>6724</v>
          </cell>
          <cell r="IM33">
            <v>7285</v>
          </cell>
          <cell r="IN33">
            <v>7041</v>
          </cell>
          <cell r="IO33">
            <v>6307</v>
          </cell>
          <cell r="IP33">
            <v>4158</v>
          </cell>
          <cell r="IQ33">
            <v>4294</v>
          </cell>
        </row>
        <row r="37">
          <cell r="IF37">
            <v>62</v>
          </cell>
          <cell r="IG37">
            <v>65</v>
          </cell>
          <cell r="IH37">
            <v>46</v>
          </cell>
          <cell r="II37">
            <v>32</v>
          </cell>
          <cell r="IJ37">
            <v>85</v>
          </cell>
          <cell r="IK37">
            <v>80</v>
          </cell>
          <cell r="IL37">
            <v>66</v>
          </cell>
          <cell r="IM37">
            <v>86</v>
          </cell>
          <cell r="IN37">
            <v>90</v>
          </cell>
          <cell r="IO37">
            <v>124</v>
          </cell>
          <cell r="IP37">
            <v>49</v>
          </cell>
          <cell r="IQ37">
            <v>67</v>
          </cell>
        </row>
        <row r="38">
          <cell r="IF38">
            <v>57</v>
          </cell>
          <cell r="IG38">
            <v>64</v>
          </cell>
          <cell r="IH38">
            <v>59</v>
          </cell>
          <cell r="II38">
            <v>59</v>
          </cell>
          <cell r="IJ38">
            <v>105</v>
          </cell>
          <cell r="IK38">
            <v>96</v>
          </cell>
          <cell r="IL38">
            <v>88</v>
          </cell>
          <cell r="IM38">
            <v>105</v>
          </cell>
          <cell r="IN38">
            <v>97</v>
          </cell>
          <cell r="IO38">
            <v>139</v>
          </cell>
          <cell r="IP38">
            <v>59</v>
          </cell>
          <cell r="IQ38">
            <v>71</v>
          </cell>
        </row>
        <row r="41"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  <cell r="HY41">
            <v>13043</v>
          </cell>
          <cell r="HZ41">
            <v>12032</v>
          </cell>
          <cell r="IA41">
            <v>11937</v>
          </cell>
          <cell r="IB41">
            <v>10346</v>
          </cell>
          <cell r="IC41">
            <v>8832</v>
          </cell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M41">
            <v>15087</v>
          </cell>
          <cell r="IN41">
            <v>13816</v>
          </cell>
          <cell r="IO41">
            <v>13779</v>
          </cell>
          <cell r="IP41">
            <v>9205</v>
          </cell>
          <cell r="IQ41">
            <v>9039</v>
          </cell>
        </row>
        <row r="47">
          <cell r="IQ47">
            <v>9529.7999999999993</v>
          </cell>
        </row>
        <row r="48">
          <cell r="IQ48"/>
        </row>
        <row r="52">
          <cell r="IQ52">
            <v>8487.1</v>
          </cell>
        </row>
        <row r="53">
          <cell r="IQ53"/>
        </row>
        <row r="57">
          <cell r="IQ57"/>
        </row>
        <row r="58">
          <cell r="BF58"/>
        </row>
        <row r="64"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  <cell r="HY64">
            <v>3450</v>
          </cell>
          <cell r="HZ64">
            <v>1064</v>
          </cell>
          <cell r="IA64">
            <v>500</v>
          </cell>
          <cell r="IB64">
            <v>0</v>
          </cell>
          <cell r="IC64">
            <v>0</v>
          </cell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M64">
            <v>72208.299999999988</v>
          </cell>
          <cell r="IN64">
            <v>16914.5</v>
          </cell>
          <cell r="IO64">
            <v>28880.5</v>
          </cell>
          <cell r="IP64">
            <v>30448.199999999997</v>
          </cell>
          <cell r="IQ64">
            <v>18016.900000000001</v>
          </cell>
        </row>
      </sheetData>
      <sheetData sheetId="45">
        <row r="4">
          <cell r="IQ4">
            <v>53</v>
          </cell>
        </row>
        <row r="5">
          <cell r="IQ5">
            <v>53</v>
          </cell>
        </row>
        <row r="8">
          <cell r="IQ8">
            <v>1</v>
          </cell>
        </row>
        <row r="9">
          <cell r="IQ9">
            <v>1</v>
          </cell>
        </row>
        <row r="19"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  <cell r="HY19">
            <v>164</v>
          </cell>
          <cell r="HZ19">
            <v>124</v>
          </cell>
          <cell r="IA19">
            <v>126</v>
          </cell>
          <cell r="IB19">
            <v>82</v>
          </cell>
          <cell r="IC19">
            <v>72</v>
          </cell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M19">
            <v>167</v>
          </cell>
          <cell r="IN19">
            <v>141</v>
          </cell>
          <cell r="IO19">
            <v>130</v>
          </cell>
          <cell r="IP19">
            <v>94</v>
          </cell>
          <cell r="IQ19">
            <v>108</v>
          </cell>
        </row>
        <row r="22">
          <cell r="IQ22">
            <v>3353</v>
          </cell>
        </row>
        <row r="23">
          <cell r="IQ23">
            <v>3333</v>
          </cell>
        </row>
        <row r="27">
          <cell r="IQ27">
            <v>155</v>
          </cell>
        </row>
        <row r="28">
          <cell r="IQ28">
            <v>191</v>
          </cell>
        </row>
        <row r="41"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  <cell r="HY41">
            <v>11334</v>
          </cell>
          <cell r="HZ41">
            <v>8714</v>
          </cell>
          <cell r="IA41">
            <v>8591</v>
          </cell>
          <cell r="IB41">
            <v>5332</v>
          </cell>
          <cell r="IC41">
            <v>4792</v>
          </cell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M41">
            <v>10607</v>
          </cell>
          <cell r="IN41">
            <v>9180</v>
          </cell>
          <cell r="IO41">
            <v>8452</v>
          </cell>
          <cell r="IP41">
            <v>6162</v>
          </cell>
          <cell r="IQ41">
            <v>6686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46"/>
      <sheetData sheetId="47"/>
      <sheetData sheetId="48">
        <row r="4">
          <cell r="IQ4">
            <v>654</v>
          </cell>
        </row>
        <row r="5">
          <cell r="IQ5">
            <v>655</v>
          </cell>
        </row>
        <row r="8">
          <cell r="IQ8">
            <v>2</v>
          </cell>
        </row>
        <row r="9">
          <cell r="IQ9"/>
        </row>
        <row r="15">
          <cell r="IF15">
            <v>1</v>
          </cell>
          <cell r="IG15"/>
          <cell r="IH15">
            <v>23</v>
          </cell>
          <cell r="II15">
            <v>9</v>
          </cell>
          <cell r="IJ15"/>
          <cell r="IK15">
            <v>16</v>
          </cell>
          <cell r="IL15">
            <v>3</v>
          </cell>
          <cell r="IM15"/>
          <cell r="IN15">
            <v>76</v>
          </cell>
          <cell r="IO15">
            <v>86</v>
          </cell>
          <cell r="IP15">
            <v>61</v>
          </cell>
          <cell r="IQ15">
            <v>50</v>
          </cell>
        </row>
        <row r="16">
          <cell r="IF16">
            <v>1</v>
          </cell>
          <cell r="IG16"/>
          <cell r="IH16">
            <v>23</v>
          </cell>
          <cell r="II16">
            <v>10</v>
          </cell>
          <cell r="IJ16"/>
          <cell r="IK16">
            <v>15</v>
          </cell>
          <cell r="IL16">
            <v>3</v>
          </cell>
          <cell r="IM16"/>
          <cell r="IN16">
            <v>77</v>
          </cell>
          <cell r="IO16">
            <v>86</v>
          </cell>
          <cell r="IP16">
            <v>62</v>
          </cell>
          <cell r="IQ16">
            <v>50</v>
          </cell>
        </row>
        <row r="19"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  <cell r="HY19">
            <v>1353</v>
          </cell>
          <cell r="HZ19">
            <v>1481</v>
          </cell>
          <cell r="IA19">
            <v>1434</v>
          </cell>
          <cell r="IB19">
            <v>1184</v>
          </cell>
          <cell r="IC19">
            <v>1402</v>
          </cell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M19">
            <v>1483</v>
          </cell>
          <cell r="IN19">
            <v>1183</v>
          </cell>
          <cell r="IO19">
            <v>1350</v>
          </cell>
          <cell r="IP19">
            <v>1267</v>
          </cell>
          <cell r="IQ19">
            <v>1411</v>
          </cell>
        </row>
        <row r="22">
          <cell r="IQ22">
            <v>41148</v>
          </cell>
        </row>
        <row r="23">
          <cell r="IQ23">
            <v>39573</v>
          </cell>
        </row>
        <row r="27">
          <cell r="IQ27">
            <v>1487</v>
          </cell>
        </row>
        <row r="28">
          <cell r="IQ28">
            <v>1356</v>
          </cell>
        </row>
        <row r="32">
          <cell r="IF32"/>
          <cell r="IG32"/>
          <cell r="IH32">
            <v>1240</v>
          </cell>
          <cell r="II32">
            <v>622</v>
          </cell>
          <cell r="IJ32"/>
          <cell r="IK32">
            <v>1081</v>
          </cell>
          <cell r="IL32">
            <v>199</v>
          </cell>
          <cell r="IM32"/>
          <cell r="IN32">
            <v>4231</v>
          </cell>
          <cell r="IO32">
            <v>5350</v>
          </cell>
          <cell r="IP32">
            <v>3327</v>
          </cell>
          <cell r="IQ32">
            <v>3096</v>
          </cell>
        </row>
        <row r="33">
          <cell r="IF33"/>
          <cell r="IG33"/>
          <cell r="IH33">
            <v>1517</v>
          </cell>
          <cell r="II33">
            <v>473</v>
          </cell>
          <cell r="IJ33"/>
          <cell r="IK33">
            <v>1027</v>
          </cell>
          <cell r="IL33">
            <v>178</v>
          </cell>
          <cell r="IM33"/>
          <cell r="IN33">
            <v>5269</v>
          </cell>
          <cell r="IO33">
            <v>5520</v>
          </cell>
          <cell r="IP33">
            <v>3358</v>
          </cell>
          <cell r="IQ33">
            <v>2781</v>
          </cell>
        </row>
        <row r="37">
          <cell r="IF37"/>
          <cell r="IG37"/>
          <cell r="IH37">
            <v>20</v>
          </cell>
          <cell r="II37">
            <v>4</v>
          </cell>
          <cell r="IJ37"/>
          <cell r="IK37">
            <v>11</v>
          </cell>
          <cell r="IL37">
            <v>4</v>
          </cell>
          <cell r="IM37"/>
          <cell r="IN37">
            <v>94</v>
          </cell>
          <cell r="IO37">
            <v>145</v>
          </cell>
          <cell r="IP37">
            <v>74</v>
          </cell>
          <cell r="IQ37">
            <v>82</v>
          </cell>
        </row>
        <row r="38">
          <cell r="IF38"/>
          <cell r="IG38"/>
          <cell r="IH38">
            <v>25</v>
          </cell>
          <cell r="II38">
            <v>5</v>
          </cell>
          <cell r="IJ38"/>
          <cell r="IK38">
            <v>9</v>
          </cell>
          <cell r="IL38">
            <v>0</v>
          </cell>
          <cell r="IM38"/>
          <cell r="IN38">
            <v>121</v>
          </cell>
          <cell r="IO38">
            <v>132</v>
          </cell>
          <cell r="IP38">
            <v>71</v>
          </cell>
          <cell r="IQ38">
            <v>69</v>
          </cell>
        </row>
        <row r="41"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  <cell r="HY41">
            <v>73248</v>
          </cell>
          <cell r="HZ41">
            <v>80190</v>
          </cell>
          <cell r="IA41">
            <v>74427</v>
          </cell>
          <cell r="IB41">
            <v>60456</v>
          </cell>
          <cell r="IC41">
            <v>78789</v>
          </cell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M41">
            <v>99657</v>
          </cell>
          <cell r="IN41">
            <v>75387</v>
          </cell>
          <cell r="IO41">
            <v>56472</v>
          </cell>
          <cell r="IP41">
            <v>79138</v>
          </cell>
          <cell r="IQ41">
            <v>86598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  <row r="70">
          <cell r="IQ70">
            <v>11686</v>
          </cell>
        </row>
        <row r="71">
          <cell r="IQ71">
            <v>27887</v>
          </cell>
        </row>
        <row r="73">
          <cell r="IQ73">
            <v>821</v>
          </cell>
        </row>
        <row r="74">
          <cell r="IQ74">
            <v>1960</v>
          </cell>
        </row>
      </sheetData>
      <sheetData sheetId="49">
        <row r="4">
          <cell r="IQ4">
            <v>44</v>
          </cell>
        </row>
        <row r="5">
          <cell r="IQ5">
            <v>44</v>
          </cell>
        </row>
        <row r="8">
          <cell r="IQ8"/>
        </row>
        <row r="9">
          <cell r="IQ9"/>
        </row>
        <row r="19"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  <cell r="HY19">
            <v>94</v>
          </cell>
          <cell r="HZ19">
            <v>104</v>
          </cell>
          <cell r="IA19">
            <v>80</v>
          </cell>
          <cell r="IB19">
            <v>118</v>
          </cell>
          <cell r="IC19">
            <v>116</v>
          </cell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M19">
            <v>64</v>
          </cell>
          <cell r="IN19">
            <v>104</v>
          </cell>
          <cell r="IO19">
            <v>124</v>
          </cell>
          <cell r="IP19">
            <v>118</v>
          </cell>
          <cell r="IQ19">
            <v>88</v>
          </cell>
        </row>
        <row r="22">
          <cell r="IQ22">
            <v>2979</v>
          </cell>
        </row>
        <row r="23">
          <cell r="IQ23">
            <v>2918</v>
          </cell>
        </row>
        <row r="27">
          <cell r="IQ27">
            <v>75</v>
          </cell>
        </row>
        <row r="28">
          <cell r="IQ28">
            <v>75</v>
          </cell>
        </row>
        <row r="41"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  <cell r="HY41">
            <v>6064</v>
          </cell>
          <cell r="HZ41">
            <v>6810</v>
          </cell>
          <cell r="IA41">
            <v>4972</v>
          </cell>
          <cell r="IB41">
            <v>7104</v>
          </cell>
          <cell r="IC41">
            <v>6152</v>
          </cell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M41">
            <v>4341</v>
          </cell>
          <cell r="IN41">
            <v>6144</v>
          </cell>
          <cell r="IO41">
            <v>8395</v>
          </cell>
          <cell r="IP41">
            <v>8011</v>
          </cell>
          <cell r="IQ41">
            <v>5897</v>
          </cell>
        </row>
        <row r="47">
          <cell r="IQ47">
            <v>113</v>
          </cell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BG58"/>
        </row>
        <row r="64"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  <cell r="HY64">
            <v>34</v>
          </cell>
          <cell r="HZ64">
            <v>0</v>
          </cell>
          <cell r="IA64">
            <v>0</v>
          </cell>
          <cell r="IB64">
            <v>164</v>
          </cell>
          <cell r="IC64">
            <v>206</v>
          </cell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177</v>
          </cell>
          <cell r="IO64">
            <v>254</v>
          </cell>
          <cell r="IP64">
            <v>1079</v>
          </cell>
          <cell r="IQ64">
            <v>113</v>
          </cell>
        </row>
      </sheetData>
      <sheetData sheetId="50">
        <row r="4">
          <cell r="IQ4">
            <v>91</v>
          </cell>
        </row>
        <row r="5">
          <cell r="IQ5">
            <v>91</v>
          </cell>
        </row>
        <row r="8">
          <cell r="IQ8"/>
        </row>
        <row r="9">
          <cell r="IQ9"/>
        </row>
        <row r="19"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  <cell r="HY19">
            <v>170</v>
          </cell>
          <cell r="HZ19">
            <v>170</v>
          </cell>
          <cell r="IA19">
            <v>226</v>
          </cell>
          <cell r="IB19">
            <v>158</v>
          </cell>
          <cell r="IC19">
            <v>150</v>
          </cell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M19">
            <v>117</v>
          </cell>
          <cell r="IN19">
            <v>96</v>
          </cell>
          <cell r="IO19">
            <v>120</v>
          </cell>
          <cell r="IP19">
            <v>150</v>
          </cell>
          <cell r="IQ19">
            <v>182</v>
          </cell>
        </row>
        <row r="22">
          <cell r="IQ22">
            <v>5614</v>
          </cell>
        </row>
        <row r="23">
          <cell r="IQ23">
            <v>5854</v>
          </cell>
        </row>
        <row r="27">
          <cell r="IQ27">
            <v>182</v>
          </cell>
        </row>
        <row r="28">
          <cell r="IQ28">
            <v>190</v>
          </cell>
        </row>
        <row r="41"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  <cell r="HY41">
            <v>11086</v>
          </cell>
          <cell r="HZ41">
            <v>11331</v>
          </cell>
          <cell r="IA41">
            <v>14594</v>
          </cell>
          <cell r="IB41">
            <v>9284</v>
          </cell>
          <cell r="IC41">
            <v>9272</v>
          </cell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M41">
            <v>7713</v>
          </cell>
          <cell r="IN41">
            <v>5898</v>
          </cell>
          <cell r="IO41">
            <v>7532</v>
          </cell>
          <cell r="IP41">
            <v>9315</v>
          </cell>
          <cell r="IQ41">
            <v>11468</v>
          </cell>
        </row>
        <row r="47">
          <cell r="IQ47">
            <v>540</v>
          </cell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  <cell r="HY64">
            <v>776</v>
          </cell>
          <cell r="HZ64">
            <v>984</v>
          </cell>
          <cell r="IA64">
            <v>114</v>
          </cell>
          <cell r="IB64">
            <v>1348</v>
          </cell>
          <cell r="IC64">
            <v>2730</v>
          </cell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M64">
            <v>983</v>
          </cell>
          <cell r="IN64">
            <v>1064</v>
          </cell>
          <cell r="IO64">
            <v>2028</v>
          </cell>
          <cell r="IP64">
            <v>1820</v>
          </cell>
          <cell r="IQ64">
            <v>540</v>
          </cell>
        </row>
      </sheetData>
      <sheetData sheetId="51">
        <row r="4">
          <cell r="IQ4">
            <v>29</v>
          </cell>
        </row>
        <row r="5">
          <cell r="IQ5">
            <v>29</v>
          </cell>
        </row>
        <row r="8">
          <cell r="IQ8"/>
        </row>
        <row r="9">
          <cell r="IQ9"/>
        </row>
        <row r="19"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  <cell r="HY19">
            <v>114</v>
          </cell>
          <cell r="HZ19">
            <v>56</v>
          </cell>
          <cell r="IA19">
            <v>10</v>
          </cell>
          <cell r="IB19">
            <v>28</v>
          </cell>
          <cell r="IC19">
            <v>22</v>
          </cell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M19">
            <v>2</v>
          </cell>
          <cell r="IN19">
            <v>0</v>
          </cell>
          <cell r="IO19">
            <v>21</v>
          </cell>
          <cell r="IP19">
            <v>115</v>
          </cell>
          <cell r="IQ19">
            <v>58</v>
          </cell>
        </row>
        <row r="22">
          <cell r="IQ22">
            <v>1820</v>
          </cell>
        </row>
        <row r="23">
          <cell r="IQ23">
            <v>1796</v>
          </cell>
        </row>
        <row r="27">
          <cell r="IQ27">
            <v>59</v>
          </cell>
        </row>
        <row r="28">
          <cell r="IQ28">
            <v>69</v>
          </cell>
        </row>
        <row r="41"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  <cell r="HY41">
            <v>6968</v>
          </cell>
          <cell r="HZ41">
            <v>3897</v>
          </cell>
          <cell r="IA41">
            <v>626</v>
          </cell>
          <cell r="IB41">
            <v>1837</v>
          </cell>
          <cell r="IC41">
            <v>1461</v>
          </cell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M41">
            <v>139</v>
          </cell>
          <cell r="IN41">
            <v>0</v>
          </cell>
          <cell r="IO41">
            <v>1151</v>
          </cell>
          <cell r="IP41">
            <v>7571</v>
          </cell>
          <cell r="IQ41">
            <v>3616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52">
        <row r="8">
          <cell r="IQ8"/>
        </row>
        <row r="9">
          <cell r="IQ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  <cell r="IQ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  <cell r="IQ16"/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  <cell r="IQ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  <cell r="IQ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  <row r="47">
          <cell r="IQ47"/>
        </row>
        <row r="48">
          <cell r="IQ48"/>
        </row>
        <row r="52">
          <cell r="IQ52"/>
        </row>
        <row r="53">
          <cell r="IQ53"/>
        </row>
      </sheetData>
      <sheetData sheetId="53">
        <row r="4">
          <cell r="IQ4">
            <v>1939</v>
          </cell>
        </row>
        <row r="5">
          <cell r="IQ5">
            <v>1926</v>
          </cell>
        </row>
        <row r="8">
          <cell r="IQ8"/>
        </row>
        <row r="9">
          <cell r="IQ9">
            <v>4</v>
          </cell>
        </row>
        <row r="15">
          <cell r="IF15">
            <v>80</v>
          </cell>
          <cell r="IG15">
            <v>68</v>
          </cell>
          <cell r="IH15">
            <v>65</v>
          </cell>
          <cell r="II15">
            <v>86</v>
          </cell>
          <cell r="IJ15">
            <v>119</v>
          </cell>
          <cell r="IK15">
            <v>90</v>
          </cell>
          <cell r="IL15">
            <v>83</v>
          </cell>
          <cell r="IM15">
            <v>94</v>
          </cell>
          <cell r="IN15">
            <v>10</v>
          </cell>
          <cell r="IO15"/>
          <cell r="IP15">
            <v>25</v>
          </cell>
          <cell r="IQ15">
            <v>52</v>
          </cell>
        </row>
        <row r="16">
          <cell r="IF16">
            <v>81</v>
          </cell>
          <cell r="IG16">
            <v>67</v>
          </cell>
          <cell r="IH16">
            <v>63</v>
          </cell>
          <cell r="II16">
            <v>88</v>
          </cell>
          <cell r="IJ16">
            <v>119</v>
          </cell>
          <cell r="IK16">
            <v>90</v>
          </cell>
          <cell r="IL16">
            <v>83</v>
          </cell>
          <cell r="IM16">
            <v>92</v>
          </cell>
          <cell r="IN16">
            <v>9</v>
          </cell>
          <cell r="IO16"/>
          <cell r="IP16">
            <v>25</v>
          </cell>
          <cell r="IQ16">
            <v>52</v>
          </cell>
        </row>
        <row r="19"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  <cell r="HY19">
            <v>6262</v>
          </cell>
          <cell r="HZ19">
            <v>5615</v>
          </cell>
          <cell r="IA19">
            <v>5280</v>
          </cell>
          <cell r="IB19">
            <v>4795</v>
          </cell>
          <cell r="IC19">
            <v>4257</v>
          </cell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M19">
            <v>4223</v>
          </cell>
          <cell r="IN19">
            <v>4244</v>
          </cell>
          <cell r="IO19">
            <v>4076</v>
          </cell>
          <cell r="IP19">
            <v>3912</v>
          </cell>
          <cell r="IQ19">
            <v>3973</v>
          </cell>
        </row>
        <row r="22">
          <cell r="IQ22">
            <v>88530</v>
          </cell>
        </row>
        <row r="23">
          <cell r="IQ23">
            <v>86842</v>
          </cell>
        </row>
        <row r="27">
          <cell r="IQ27">
            <v>2768</v>
          </cell>
        </row>
        <row r="28">
          <cell r="IQ28">
            <v>2703</v>
          </cell>
        </row>
        <row r="32">
          <cell r="IF32">
            <v>3772</v>
          </cell>
          <cell r="IG32">
            <v>3491</v>
          </cell>
          <cell r="IH32">
            <v>3693</v>
          </cell>
          <cell r="II32">
            <v>5187</v>
          </cell>
          <cell r="IJ32">
            <v>7071</v>
          </cell>
          <cell r="IK32">
            <v>5810</v>
          </cell>
          <cell r="IL32">
            <v>6014</v>
          </cell>
          <cell r="IM32">
            <v>6264</v>
          </cell>
          <cell r="IN32">
            <v>450</v>
          </cell>
          <cell r="IO32"/>
          <cell r="IP32">
            <v>1602</v>
          </cell>
          <cell r="IQ32">
            <v>3335</v>
          </cell>
        </row>
        <row r="33">
          <cell r="IF33">
            <v>3916</v>
          </cell>
          <cell r="IG33">
            <v>3325</v>
          </cell>
          <cell r="IH33">
            <v>4191</v>
          </cell>
          <cell r="II33">
            <v>5562</v>
          </cell>
          <cell r="IJ33">
            <v>7823</v>
          </cell>
          <cell r="IK33">
            <v>6495</v>
          </cell>
          <cell r="IL33">
            <v>5605</v>
          </cell>
          <cell r="IM33">
            <v>6445</v>
          </cell>
          <cell r="IN33">
            <v>590</v>
          </cell>
          <cell r="IO33"/>
          <cell r="IP33">
            <v>1528</v>
          </cell>
          <cell r="IQ33">
            <v>3033</v>
          </cell>
        </row>
        <row r="37">
          <cell r="IF37">
            <v>96</v>
          </cell>
          <cell r="IG37">
            <v>84</v>
          </cell>
          <cell r="IH37">
            <v>69</v>
          </cell>
          <cell r="II37">
            <v>77</v>
          </cell>
          <cell r="IJ37">
            <v>133</v>
          </cell>
          <cell r="IK37">
            <v>98</v>
          </cell>
          <cell r="IL37">
            <v>129</v>
          </cell>
          <cell r="IM37">
            <v>97</v>
          </cell>
          <cell r="IN37">
            <v>21</v>
          </cell>
          <cell r="IO37"/>
          <cell r="IP37">
            <v>36</v>
          </cell>
          <cell r="IQ37">
            <v>78</v>
          </cell>
        </row>
        <row r="38">
          <cell r="IF38">
            <v>73</v>
          </cell>
          <cell r="IG38">
            <v>87</v>
          </cell>
          <cell r="IH38">
            <v>63</v>
          </cell>
          <cell r="II38">
            <v>64</v>
          </cell>
          <cell r="IJ38">
            <v>138</v>
          </cell>
          <cell r="IK38">
            <v>88</v>
          </cell>
          <cell r="IL38">
            <v>135</v>
          </cell>
          <cell r="IM38">
            <v>103</v>
          </cell>
          <cell r="IN38">
            <v>15</v>
          </cell>
          <cell r="IO38"/>
          <cell r="IP38">
            <v>54</v>
          </cell>
          <cell r="IQ38">
            <v>84</v>
          </cell>
        </row>
        <row r="41"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  <cell r="HY41">
            <v>326652</v>
          </cell>
          <cell r="HZ41">
            <v>323142</v>
          </cell>
          <cell r="IA41">
            <v>319317</v>
          </cell>
          <cell r="IB41">
            <v>279168</v>
          </cell>
          <cell r="IC41">
            <v>224048</v>
          </cell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M41">
            <v>212434</v>
          </cell>
          <cell r="IN41">
            <v>211265</v>
          </cell>
          <cell r="IO41">
            <v>192689</v>
          </cell>
          <cell r="IP41">
            <v>212406</v>
          </cell>
          <cell r="IQ41">
            <v>181740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  <row r="70">
          <cell r="IQ70">
            <v>28903</v>
          </cell>
        </row>
        <row r="71">
          <cell r="IQ71">
            <v>57939</v>
          </cell>
        </row>
        <row r="73">
          <cell r="IQ73">
            <v>1009</v>
          </cell>
        </row>
        <row r="74">
          <cell r="IQ74">
            <v>2024</v>
          </cell>
        </row>
      </sheetData>
      <sheetData sheetId="54"/>
      <sheetData sheetId="55">
        <row r="4">
          <cell r="IQ4"/>
        </row>
        <row r="5">
          <cell r="IQ5"/>
        </row>
        <row r="8">
          <cell r="IQ8"/>
        </row>
        <row r="9">
          <cell r="IQ9"/>
        </row>
        <row r="19"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  <cell r="HY19">
            <v>34</v>
          </cell>
          <cell r="HZ19">
            <v>6</v>
          </cell>
          <cell r="IA19">
            <v>6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41"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  <cell r="HY41">
            <v>1882</v>
          </cell>
          <cell r="HZ41">
            <v>312</v>
          </cell>
          <cell r="IA41">
            <v>345</v>
          </cell>
          <cell r="IB41">
            <v>0</v>
          </cell>
          <cell r="IC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  <cell r="HY64">
            <v>38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56">
        <row r="4">
          <cell r="IQ4"/>
        </row>
        <row r="5">
          <cell r="IQ5"/>
        </row>
        <row r="8">
          <cell r="IQ8"/>
        </row>
        <row r="9">
          <cell r="IQ9"/>
        </row>
        <row r="19"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41"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57">
        <row r="4">
          <cell r="IQ4"/>
        </row>
        <row r="5">
          <cell r="IQ5"/>
        </row>
        <row r="8">
          <cell r="IQ8"/>
        </row>
        <row r="9">
          <cell r="IQ9"/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BG58"/>
        </row>
      </sheetData>
      <sheetData sheetId="58">
        <row r="4">
          <cell r="IQ4"/>
        </row>
        <row r="5">
          <cell r="IQ5"/>
        </row>
        <row r="8">
          <cell r="IQ8"/>
        </row>
        <row r="9">
          <cell r="IQ9"/>
        </row>
        <row r="22">
          <cell r="IQ22"/>
        </row>
        <row r="23">
          <cell r="IQ23"/>
        </row>
        <row r="27">
          <cell r="IQ27"/>
        </row>
        <row r="28">
          <cell r="IQ28"/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BH58"/>
        </row>
        <row r="70">
          <cell r="IQ70"/>
        </row>
        <row r="71">
          <cell r="IQ71"/>
        </row>
        <row r="73">
          <cell r="IQ73"/>
        </row>
        <row r="74">
          <cell r="IQ74"/>
        </row>
      </sheetData>
      <sheetData sheetId="59"/>
      <sheetData sheetId="60"/>
      <sheetData sheetId="61"/>
      <sheetData sheetId="62">
        <row r="4">
          <cell r="IQ4"/>
        </row>
        <row r="5">
          <cell r="IQ5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  <cell r="IQ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  <cell r="IQ16"/>
        </row>
        <row r="22">
          <cell r="IQ22"/>
        </row>
        <row r="23">
          <cell r="IQ23"/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  <cell r="IQ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  <cell r="IQ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</sheetData>
      <sheetData sheetId="63">
        <row r="4">
          <cell r="IQ4"/>
        </row>
        <row r="5">
          <cell r="IQ5"/>
        </row>
        <row r="15">
          <cell r="IQ15"/>
        </row>
        <row r="16">
          <cell r="IQ16"/>
        </row>
        <row r="22">
          <cell r="IQ22"/>
        </row>
        <row r="23">
          <cell r="IQ23"/>
        </row>
        <row r="32">
          <cell r="IQ32"/>
        </row>
        <row r="33">
          <cell r="IQ33"/>
        </row>
      </sheetData>
      <sheetData sheetId="64">
        <row r="4">
          <cell r="IQ4"/>
        </row>
        <row r="5">
          <cell r="IQ5"/>
        </row>
        <row r="15">
          <cell r="IQ15"/>
        </row>
        <row r="16">
          <cell r="IQ16"/>
        </row>
        <row r="22">
          <cell r="IQ22"/>
        </row>
        <row r="23">
          <cell r="IQ23"/>
        </row>
        <row r="32">
          <cell r="IQ32"/>
        </row>
        <row r="33">
          <cell r="IQ33"/>
        </row>
      </sheetData>
      <sheetData sheetId="65">
        <row r="4">
          <cell r="IQ4"/>
        </row>
        <row r="5">
          <cell r="IQ5"/>
        </row>
        <row r="15">
          <cell r="IF15"/>
          <cell r="IG15">
            <v>2</v>
          </cell>
          <cell r="IH15"/>
          <cell r="II15"/>
          <cell r="IJ15"/>
          <cell r="IK15">
            <v>1</v>
          </cell>
          <cell r="IL15"/>
          <cell r="IM15"/>
          <cell r="IN15"/>
          <cell r="IO15"/>
          <cell r="IP15"/>
          <cell r="IQ15"/>
        </row>
        <row r="16">
          <cell r="IF16"/>
          <cell r="IG16">
            <v>2</v>
          </cell>
          <cell r="IH16"/>
          <cell r="II16"/>
          <cell r="IJ16"/>
          <cell r="IL16"/>
          <cell r="IM16"/>
          <cell r="IN16"/>
          <cell r="IO16"/>
          <cell r="IP16"/>
          <cell r="IQ16"/>
        </row>
        <row r="22">
          <cell r="IQ22"/>
        </row>
        <row r="23">
          <cell r="IQ23"/>
        </row>
        <row r="32">
          <cell r="IF32"/>
          <cell r="IG32">
            <v>216</v>
          </cell>
          <cell r="IH32"/>
          <cell r="II32"/>
          <cell r="IJ32">
            <v>551</v>
          </cell>
          <cell r="IK32">
            <v>444</v>
          </cell>
          <cell r="IL32"/>
          <cell r="IM32"/>
          <cell r="IN32"/>
          <cell r="IO32"/>
          <cell r="IP32"/>
          <cell r="IQ32"/>
        </row>
        <row r="33">
          <cell r="IF33"/>
          <cell r="IG33">
            <v>332</v>
          </cell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  <cell r="IQ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</sheetData>
      <sheetData sheetId="66">
        <row r="4">
          <cell r="IQ4"/>
        </row>
        <row r="5">
          <cell r="IQ5"/>
        </row>
        <row r="15">
          <cell r="IF15">
            <v>1</v>
          </cell>
          <cell r="IG15">
            <v>1</v>
          </cell>
          <cell r="IH15">
            <v>1</v>
          </cell>
          <cell r="II15"/>
          <cell r="IJ15"/>
          <cell r="IL15">
            <v>2</v>
          </cell>
          <cell r="IM15"/>
          <cell r="IN15"/>
          <cell r="IO15"/>
          <cell r="IP15"/>
          <cell r="IQ15">
            <v>1</v>
          </cell>
        </row>
        <row r="16">
          <cell r="IF16"/>
          <cell r="IG16"/>
          <cell r="IH16"/>
          <cell r="II16"/>
          <cell r="IJ16"/>
          <cell r="IL16">
            <v>1</v>
          </cell>
          <cell r="IM16"/>
          <cell r="IN16"/>
          <cell r="IO16"/>
          <cell r="IP16"/>
          <cell r="IQ16"/>
        </row>
        <row r="22">
          <cell r="IQ22"/>
        </row>
        <row r="23">
          <cell r="IQ23"/>
        </row>
        <row r="32">
          <cell r="IF32">
            <v>65</v>
          </cell>
          <cell r="IG32">
            <v>55</v>
          </cell>
          <cell r="IH32"/>
          <cell r="II32"/>
          <cell r="IJ32"/>
          <cell r="IK32"/>
          <cell r="IL32">
            <v>250</v>
          </cell>
          <cell r="IM32"/>
          <cell r="IN32"/>
          <cell r="IO32"/>
          <cell r="IP32"/>
          <cell r="IQ32">
            <v>60</v>
          </cell>
        </row>
        <row r="33">
          <cell r="IF33"/>
          <cell r="IG33"/>
          <cell r="IH33"/>
          <cell r="II33"/>
          <cell r="IJ33"/>
          <cell r="IK33"/>
          <cell r="IL33">
            <v>160</v>
          </cell>
          <cell r="IM33"/>
          <cell r="IN33"/>
          <cell r="IO33"/>
          <cell r="IP33"/>
          <cell r="IQ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  <cell r="IQ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</sheetData>
      <sheetData sheetId="67">
        <row r="4">
          <cell r="IQ4">
            <v>2</v>
          </cell>
        </row>
        <row r="5">
          <cell r="IQ5">
            <v>2</v>
          </cell>
        </row>
        <row r="19"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  <cell r="HY19">
            <v>64</v>
          </cell>
          <cell r="HZ19">
            <v>60</v>
          </cell>
          <cell r="IA19">
            <v>64</v>
          </cell>
          <cell r="IB19">
            <v>58</v>
          </cell>
          <cell r="IC19">
            <v>62</v>
          </cell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  <cell r="IM19">
            <v>2</v>
          </cell>
          <cell r="IN19">
            <v>2</v>
          </cell>
          <cell r="IO19">
            <v>4</v>
          </cell>
          <cell r="IP19">
            <v>0</v>
          </cell>
          <cell r="IQ19">
            <v>4</v>
          </cell>
        </row>
        <row r="47">
          <cell r="IQ47">
            <v>32365</v>
          </cell>
        </row>
        <row r="48">
          <cell r="IQ48"/>
        </row>
        <row r="52">
          <cell r="IQ52">
            <v>68937</v>
          </cell>
        </row>
        <row r="53">
          <cell r="IQ53"/>
        </row>
        <row r="57">
          <cell r="IQ57"/>
        </row>
        <row r="58">
          <cell r="IQ58"/>
        </row>
        <row r="64"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  <cell r="HY64">
            <v>3987002</v>
          </cell>
          <cell r="HZ64">
            <v>3881354</v>
          </cell>
          <cell r="IA64">
            <v>4203543</v>
          </cell>
          <cell r="IB64">
            <v>3211931</v>
          </cell>
          <cell r="IC64">
            <v>4079278</v>
          </cell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  <cell r="IM64">
            <v>35040</v>
          </cell>
          <cell r="IN64">
            <v>40044</v>
          </cell>
          <cell r="IO64">
            <v>35040</v>
          </cell>
          <cell r="IP64">
            <v>0</v>
          </cell>
          <cell r="IQ64">
            <v>101302</v>
          </cell>
        </row>
      </sheetData>
      <sheetData sheetId="68">
        <row r="4">
          <cell r="IQ4">
            <v>107</v>
          </cell>
        </row>
        <row r="5">
          <cell r="IQ5">
            <v>107</v>
          </cell>
        </row>
        <row r="8">
          <cell r="IQ8"/>
        </row>
        <row r="9">
          <cell r="IQ9"/>
        </row>
        <row r="15">
          <cell r="IQ15"/>
        </row>
        <row r="16">
          <cell r="IQ16"/>
        </row>
        <row r="19"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  <cell r="HY19">
            <v>71</v>
          </cell>
          <cell r="HZ19">
            <v>64</v>
          </cell>
          <cell r="IA19">
            <v>65</v>
          </cell>
          <cell r="IB19">
            <v>114</v>
          </cell>
          <cell r="IC19">
            <v>117</v>
          </cell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  <cell r="IM19">
            <v>184</v>
          </cell>
          <cell r="IN19">
            <v>199</v>
          </cell>
          <cell r="IO19">
            <v>240</v>
          </cell>
          <cell r="IP19">
            <v>216</v>
          </cell>
          <cell r="IQ19">
            <v>214</v>
          </cell>
        </row>
        <row r="47">
          <cell r="IQ47">
            <v>2599450</v>
          </cell>
        </row>
        <row r="48">
          <cell r="IQ48"/>
        </row>
        <row r="52">
          <cell r="IQ52">
            <v>2651919</v>
          </cell>
        </row>
        <row r="53">
          <cell r="IQ53"/>
        </row>
        <row r="57">
          <cell r="IQ57"/>
        </row>
        <row r="58">
          <cell r="IQ58"/>
        </row>
        <row r="64"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  <cell r="HY64">
            <v>2249953</v>
          </cell>
          <cell r="HZ64">
            <v>1946685</v>
          </cell>
          <cell r="IA64">
            <v>1386834</v>
          </cell>
          <cell r="IB64">
            <v>2659123</v>
          </cell>
          <cell r="IC64">
            <v>2641224</v>
          </cell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  <cell r="IM64">
            <v>5008791</v>
          </cell>
          <cell r="IN64">
            <v>5553427</v>
          </cell>
          <cell r="IO64">
            <v>6310272</v>
          </cell>
          <cell r="IP64">
            <v>5075964</v>
          </cell>
          <cell r="IQ64">
            <v>5251369</v>
          </cell>
        </row>
      </sheetData>
      <sheetData sheetId="69">
        <row r="4">
          <cell r="IQ4">
            <v>20</v>
          </cell>
        </row>
        <row r="5">
          <cell r="IQ5">
            <v>20</v>
          </cell>
        </row>
        <row r="15">
          <cell r="IQ15"/>
        </row>
        <row r="19"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  <cell r="IM19">
            <v>2</v>
          </cell>
          <cell r="IN19">
            <v>8</v>
          </cell>
          <cell r="IO19">
            <v>8</v>
          </cell>
          <cell r="IP19">
            <v>30</v>
          </cell>
          <cell r="IQ19">
            <v>40</v>
          </cell>
        </row>
        <row r="47">
          <cell r="IQ47">
            <v>741739</v>
          </cell>
        </row>
        <row r="48">
          <cell r="IQ48"/>
        </row>
        <row r="52">
          <cell r="IQ52">
            <v>1277607</v>
          </cell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  <cell r="IM64">
            <v>73989</v>
          </cell>
          <cell r="IN64">
            <v>252835</v>
          </cell>
          <cell r="IO64">
            <v>374436</v>
          </cell>
          <cell r="IP64">
            <v>1356080</v>
          </cell>
          <cell r="IQ64">
            <v>2019346</v>
          </cell>
        </row>
      </sheetData>
      <sheetData sheetId="70">
        <row r="4">
          <cell r="IQ4"/>
        </row>
        <row r="5">
          <cell r="IQ5"/>
        </row>
        <row r="8">
          <cell r="IQ8"/>
        </row>
        <row r="9">
          <cell r="IQ9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2</v>
          </cell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  <cell r="IM19">
            <v>0</v>
          </cell>
          <cell r="IN19">
            <v>2</v>
          </cell>
          <cell r="IO19">
            <v>2</v>
          </cell>
          <cell r="IP19">
            <v>2</v>
          </cell>
          <cell r="IQ19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35948</v>
          </cell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  <cell r="IM64">
            <v>0</v>
          </cell>
          <cell r="IN64">
            <v>70279</v>
          </cell>
          <cell r="IO64">
            <v>73506</v>
          </cell>
          <cell r="IP64">
            <v>85818</v>
          </cell>
          <cell r="IQ64">
            <v>0</v>
          </cell>
        </row>
      </sheetData>
      <sheetData sheetId="71">
        <row r="4">
          <cell r="IR4">
            <v>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72">
        <row r="4">
          <cell r="IQ4"/>
        </row>
        <row r="5">
          <cell r="IQ5"/>
        </row>
        <row r="15">
          <cell r="IQ15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73">
        <row r="4">
          <cell r="IQ4">
            <v>34</v>
          </cell>
        </row>
        <row r="5">
          <cell r="IQ5">
            <v>34</v>
          </cell>
        </row>
        <row r="19"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  <cell r="HY19">
            <v>88</v>
          </cell>
          <cell r="HZ19">
            <v>84</v>
          </cell>
          <cell r="IA19">
            <v>82</v>
          </cell>
          <cell r="IB19">
            <v>68</v>
          </cell>
          <cell r="IC19">
            <v>54</v>
          </cell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  <cell r="IM19">
            <v>90</v>
          </cell>
          <cell r="IN19">
            <v>74</v>
          </cell>
          <cell r="IO19">
            <v>80</v>
          </cell>
          <cell r="IP19">
            <v>78</v>
          </cell>
          <cell r="IQ19">
            <v>68</v>
          </cell>
        </row>
        <row r="47">
          <cell r="IQ47">
            <v>42571</v>
          </cell>
        </row>
        <row r="48">
          <cell r="IQ48"/>
        </row>
        <row r="52">
          <cell r="IQ52">
            <v>51980</v>
          </cell>
        </row>
        <row r="53">
          <cell r="IQ53"/>
        </row>
        <row r="57">
          <cell r="IQ57"/>
        </row>
        <row r="58">
          <cell r="IQ58"/>
        </row>
        <row r="64"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  <cell r="HY64">
            <v>111544</v>
          </cell>
          <cell r="HZ64">
            <v>97898</v>
          </cell>
          <cell r="IA64">
            <v>100964</v>
          </cell>
          <cell r="IB64">
            <v>84106</v>
          </cell>
          <cell r="IC64">
            <v>67427</v>
          </cell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  <cell r="IM64">
            <v>122475</v>
          </cell>
          <cell r="IN64">
            <v>89053</v>
          </cell>
          <cell r="IO64">
            <v>104633</v>
          </cell>
          <cell r="IP64">
            <v>111185</v>
          </cell>
          <cell r="IQ64">
            <v>94551</v>
          </cell>
        </row>
      </sheetData>
      <sheetData sheetId="74">
        <row r="4">
          <cell r="IQ4"/>
        </row>
        <row r="5">
          <cell r="IQ5"/>
        </row>
        <row r="12">
          <cell r="IQ12">
            <v>0</v>
          </cell>
        </row>
        <row r="15">
          <cell r="IQ15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34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769886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75">
        <row r="4">
          <cell r="IQ4"/>
        </row>
        <row r="5">
          <cell r="IQ5"/>
        </row>
        <row r="15">
          <cell r="IQ15"/>
        </row>
        <row r="19"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2</v>
          </cell>
          <cell r="IO19">
            <v>2</v>
          </cell>
          <cell r="IP19">
            <v>0</v>
          </cell>
          <cell r="IQ19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56330</v>
          </cell>
          <cell r="IO64">
            <v>52956</v>
          </cell>
          <cell r="IP64">
            <v>0</v>
          </cell>
          <cell r="IQ64">
            <v>0</v>
          </cell>
        </row>
      </sheetData>
      <sheetData sheetId="76">
        <row r="4">
          <cell r="IQ4">
            <v>3</v>
          </cell>
        </row>
        <row r="5">
          <cell r="IQ5">
            <v>3</v>
          </cell>
        </row>
        <row r="15">
          <cell r="IQ15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  <cell r="HY19">
            <v>84</v>
          </cell>
          <cell r="HZ19">
            <v>84</v>
          </cell>
          <cell r="IA19">
            <v>76</v>
          </cell>
          <cell r="IB19">
            <v>82</v>
          </cell>
          <cell r="IC19">
            <v>80</v>
          </cell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  <cell r="IM19">
            <v>54</v>
          </cell>
          <cell r="IN19">
            <v>40</v>
          </cell>
          <cell r="IO19">
            <v>30</v>
          </cell>
          <cell r="IP19">
            <v>8</v>
          </cell>
          <cell r="IQ19">
            <v>6</v>
          </cell>
        </row>
        <row r="47">
          <cell r="IQ47">
            <v>80470</v>
          </cell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  <cell r="HY64">
            <v>1399288</v>
          </cell>
          <cell r="HZ64">
            <v>1284426</v>
          </cell>
          <cell r="IA64">
            <v>1189952</v>
          </cell>
          <cell r="IB64">
            <v>1257795</v>
          </cell>
          <cell r="IC64">
            <v>1227781</v>
          </cell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  <cell r="IM64">
            <v>1399516</v>
          </cell>
          <cell r="IN64">
            <v>949113</v>
          </cell>
          <cell r="IO64">
            <v>704691</v>
          </cell>
          <cell r="IP64">
            <v>117684</v>
          </cell>
          <cell r="IQ64">
            <v>80470</v>
          </cell>
        </row>
      </sheetData>
      <sheetData sheetId="77">
        <row r="4">
          <cell r="IR4">
            <v>0</v>
          </cell>
        </row>
      </sheetData>
      <sheetData sheetId="78">
        <row r="4">
          <cell r="IQ4"/>
        </row>
        <row r="5">
          <cell r="IQ5"/>
        </row>
        <row r="15">
          <cell r="IQ15"/>
        </row>
        <row r="19"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  <cell r="HY19">
            <v>8</v>
          </cell>
          <cell r="HZ19">
            <v>8</v>
          </cell>
          <cell r="IA19">
            <v>10</v>
          </cell>
          <cell r="IB19">
            <v>10</v>
          </cell>
          <cell r="IC19">
            <v>14</v>
          </cell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  <cell r="IM19">
            <v>0</v>
          </cell>
          <cell r="IN19">
            <v>2</v>
          </cell>
          <cell r="IO19">
            <v>12</v>
          </cell>
          <cell r="IP19">
            <v>14</v>
          </cell>
          <cell r="IQ19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  <cell r="HY64">
            <v>96712</v>
          </cell>
          <cell r="HZ64">
            <v>115377</v>
          </cell>
          <cell r="IA64">
            <v>133471</v>
          </cell>
          <cell r="IB64">
            <v>117128</v>
          </cell>
          <cell r="IC64">
            <v>165251</v>
          </cell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  <cell r="IM64">
            <v>0</v>
          </cell>
          <cell r="IN64">
            <v>51940</v>
          </cell>
          <cell r="IO64">
            <v>330275</v>
          </cell>
          <cell r="IP64">
            <v>454562</v>
          </cell>
          <cell r="IQ64">
            <v>0</v>
          </cell>
        </row>
      </sheetData>
      <sheetData sheetId="79">
        <row r="4">
          <cell r="IQ4"/>
        </row>
        <row r="5">
          <cell r="IQ5"/>
        </row>
        <row r="15">
          <cell r="IQ15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80"/>
      <sheetData sheetId="81">
        <row r="4">
          <cell r="IQ4">
            <v>122</v>
          </cell>
        </row>
        <row r="5">
          <cell r="IQ5">
            <v>122</v>
          </cell>
        </row>
        <row r="15">
          <cell r="IQ15"/>
        </row>
        <row r="19"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  <cell r="HY19">
            <v>262</v>
          </cell>
          <cell r="HZ19">
            <v>236</v>
          </cell>
          <cell r="IA19">
            <v>234</v>
          </cell>
          <cell r="IB19">
            <v>260</v>
          </cell>
          <cell r="IC19">
            <v>272</v>
          </cell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  <cell r="IM19">
            <v>186</v>
          </cell>
          <cell r="IN19">
            <v>220</v>
          </cell>
          <cell r="IO19">
            <v>216</v>
          </cell>
          <cell r="IP19">
            <v>208</v>
          </cell>
          <cell r="IQ19">
            <v>244</v>
          </cell>
        </row>
        <row r="47">
          <cell r="IQ47">
            <v>8436094</v>
          </cell>
        </row>
        <row r="48">
          <cell r="IQ48"/>
        </row>
        <row r="52">
          <cell r="IQ52">
            <v>7019229</v>
          </cell>
        </row>
        <row r="53">
          <cell r="IQ53"/>
        </row>
        <row r="57">
          <cell r="IQ57"/>
        </row>
        <row r="58">
          <cell r="IQ58"/>
        </row>
        <row r="64"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  <cell r="HY64">
            <v>15287798</v>
          </cell>
          <cell r="HZ64">
            <v>15180035</v>
          </cell>
          <cell r="IA64">
            <v>14743955</v>
          </cell>
          <cell r="IB64">
            <v>15030231</v>
          </cell>
          <cell r="IC64">
            <v>16048063</v>
          </cell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  <cell r="IM64">
            <v>13850809</v>
          </cell>
          <cell r="IN64">
            <v>13492483</v>
          </cell>
          <cell r="IO64">
            <v>13089154</v>
          </cell>
          <cell r="IP64">
            <v>13751204</v>
          </cell>
          <cell r="IQ64">
            <v>15455323</v>
          </cell>
        </row>
      </sheetData>
      <sheetData sheetId="82">
        <row r="4">
          <cell r="IQ4">
            <v>21</v>
          </cell>
        </row>
        <row r="5">
          <cell r="IQ5">
            <v>21</v>
          </cell>
        </row>
        <row r="19"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  <cell r="HY19">
            <v>44</v>
          </cell>
          <cell r="HZ19">
            <v>42</v>
          </cell>
          <cell r="IA19">
            <v>42</v>
          </cell>
          <cell r="IB19">
            <v>40</v>
          </cell>
          <cell r="IC19">
            <v>32</v>
          </cell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  <cell r="IM19">
            <v>46</v>
          </cell>
          <cell r="IN19">
            <v>44</v>
          </cell>
          <cell r="IO19">
            <v>48</v>
          </cell>
          <cell r="IP19">
            <v>42</v>
          </cell>
          <cell r="IQ19">
            <v>42</v>
          </cell>
        </row>
        <row r="47">
          <cell r="IQ47"/>
        </row>
        <row r="48">
          <cell r="IQ48">
            <v>47611</v>
          </cell>
        </row>
        <row r="52">
          <cell r="IQ52"/>
        </row>
        <row r="53">
          <cell r="IQ53">
            <v>102610</v>
          </cell>
        </row>
        <row r="57">
          <cell r="IQ57"/>
        </row>
        <row r="58">
          <cell r="IQ58"/>
        </row>
        <row r="64"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  <cell r="HY64">
            <v>169135</v>
          </cell>
          <cell r="HZ64">
            <v>166312</v>
          </cell>
          <cell r="IA64">
            <v>167301</v>
          </cell>
          <cell r="IB64">
            <v>159749</v>
          </cell>
          <cell r="IC64">
            <v>123850</v>
          </cell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  <cell r="IM64">
            <v>191768</v>
          </cell>
          <cell r="IN64">
            <v>175699</v>
          </cell>
          <cell r="IO64">
            <v>19002</v>
          </cell>
          <cell r="IP64">
            <v>145449</v>
          </cell>
          <cell r="IQ64">
            <v>150221</v>
          </cell>
        </row>
      </sheetData>
      <sheetData sheetId="83">
        <row r="4">
          <cell r="IQ4">
            <v>18</v>
          </cell>
        </row>
        <row r="5">
          <cell r="IQ5">
            <v>18</v>
          </cell>
        </row>
        <row r="15">
          <cell r="IQ15"/>
        </row>
        <row r="19"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  <cell r="HY19">
            <v>34</v>
          </cell>
          <cell r="HZ19">
            <v>34</v>
          </cell>
          <cell r="IA19">
            <v>32</v>
          </cell>
          <cell r="IB19">
            <v>30</v>
          </cell>
          <cell r="IC19">
            <v>28</v>
          </cell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  <cell r="IM19">
            <v>40</v>
          </cell>
          <cell r="IN19">
            <v>32</v>
          </cell>
          <cell r="IO19">
            <v>36</v>
          </cell>
          <cell r="IP19">
            <v>34</v>
          </cell>
          <cell r="IQ19">
            <v>36</v>
          </cell>
        </row>
        <row r="47">
          <cell r="IQ47">
            <v>60782</v>
          </cell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  <cell r="HY64">
            <v>58989</v>
          </cell>
          <cell r="HZ64">
            <v>66447</v>
          </cell>
          <cell r="IA64">
            <v>55160</v>
          </cell>
          <cell r="IB64">
            <v>61563</v>
          </cell>
          <cell r="IC64">
            <v>73189</v>
          </cell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  <cell r="IM64">
            <v>63732</v>
          </cell>
          <cell r="IN64">
            <v>54101</v>
          </cell>
          <cell r="IO64">
            <v>70772</v>
          </cell>
          <cell r="IP64">
            <v>67665</v>
          </cell>
          <cell r="IQ64">
            <v>60782</v>
          </cell>
        </row>
      </sheetData>
      <sheetData sheetId="84">
        <row r="4">
          <cell r="IQ4">
            <v>107</v>
          </cell>
        </row>
        <row r="5">
          <cell r="IQ5">
            <v>88</v>
          </cell>
        </row>
        <row r="15">
          <cell r="IQ15"/>
        </row>
        <row r="16">
          <cell r="IQ16">
            <v>17</v>
          </cell>
        </row>
        <row r="19"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  <cell r="HY19">
            <v>269</v>
          </cell>
          <cell r="HZ19">
            <v>250</v>
          </cell>
          <cell r="IA19">
            <v>244</v>
          </cell>
          <cell r="IB19">
            <v>264</v>
          </cell>
          <cell r="IC19">
            <v>370</v>
          </cell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  <cell r="IM19">
            <v>204</v>
          </cell>
          <cell r="IN19">
            <v>170</v>
          </cell>
          <cell r="IO19">
            <v>180</v>
          </cell>
          <cell r="IP19">
            <v>199</v>
          </cell>
          <cell r="IQ19">
            <v>212</v>
          </cell>
        </row>
        <row r="47">
          <cell r="IQ47">
            <v>4786188</v>
          </cell>
        </row>
        <row r="48">
          <cell r="IQ48"/>
        </row>
        <row r="52">
          <cell r="IQ52">
            <v>4018058</v>
          </cell>
        </row>
        <row r="53">
          <cell r="IQ53"/>
        </row>
        <row r="57">
          <cell r="IQ57"/>
        </row>
        <row r="58">
          <cell r="IQ58"/>
        </row>
        <row r="64"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  <cell r="HY64">
            <v>13181485</v>
          </cell>
          <cell r="HZ64">
            <v>11787241</v>
          </cell>
          <cell r="IA64">
            <v>12069906</v>
          </cell>
          <cell r="IB64">
            <v>12678743</v>
          </cell>
          <cell r="IC64">
            <v>14992973</v>
          </cell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  <cell r="IM64">
            <v>10218229</v>
          </cell>
          <cell r="IN64">
            <v>9423673</v>
          </cell>
          <cell r="IO64">
            <v>9669211</v>
          </cell>
          <cell r="IP64">
            <v>10131955</v>
          </cell>
          <cell r="IQ64">
            <v>8804246</v>
          </cell>
        </row>
      </sheetData>
      <sheetData sheetId="85"/>
      <sheetData sheetId="86"/>
      <sheetData sheetId="87"/>
      <sheetData sheetId="88">
        <row r="4">
          <cell r="IQ4">
            <v>172</v>
          </cell>
        </row>
        <row r="5">
          <cell r="IQ5">
            <v>172</v>
          </cell>
        </row>
        <row r="19"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  <cell r="HY19">
            <v>424</v>
          </cell>
          <cell r="HZ19">
            <v>392</v>
          </cell>
          <cell r="IA19">
            <v>364</v>
          </cell>
          <cell r="IB19">
            <v>428</v>
          </cell>
          <cell r="IC19">
            <v>500</v>
          </cell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  <cell r="IM19">
            <v>372</v>
          </cell>
          <cell r="IN19">
            <v>330</v>
          </cell>
          <cell r="IO19">
            <v>346</v>
          </cell>
          <cell r="IP19">
            <v>368</v>
          </cell>
          <cell r="IQ19">
            <v>344</v>
          </cell>
        </row>
      </sheetData>
      <sheetData sheetId="8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90">
        <row r="4">
          <cell r="IQ4"/>
        </row>
        <row r="5">
          <cell r="IQ5"/>
        </row>
        <row r="8">
          <cell r="IQ8"/>
        </row>
        <row r="9">
          <cell r="IQ9"/>
        </row>
        <row r="19"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10</v>
          </cell>
          <cell r="IB19">
            <v>0</v>
          </cell>
          <cell r="IC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2</v>
          </cell>
          <cell r="IP19">
            <v>0</v>
          </cell>
          <cell r="IQ19">
            <v>0</v>
          </cell>
        </row>
        <row r="47">
          <cell r="IQ47"/>
        </row>
        <row r="48">
          <cell r="IQ48"/>
        </row>
        <row r="52">
          <cell r="IQ52"/>
        </row>
        <row r="53">
          <cell r="IQ53"/>
        </row>
        <row r="57">
          <cell r="IQ57"/>
        </row>
        <row r="58">
          <cell r="IQ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111244</v>
          </cell>
          <cell r="IB64">
            <v>0</v>
          </cell>
          <cell r="IC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150</v>
          </cell>
          <cell r="IP64">
            <v>0</v>
          </cell>
          <cell r="IQ64">
            <v>0</v>
          </cell>
        </row>
      </sheetData>
      <sheetData sheetId="91">
        <row r="4">
          <cell r="IQ4">
            <v>47</v>
          </cell>
        </row>
        <row r="5">
          <cell r="IQ5">
            <v>48</v>
          </cell>
        </row>
      </sheetData>
      <sheetData sheetId="92">
        <row r="4">
          <cell r="IQ4">
            <v>621</v>
          </cell>
        </row>
        <row r="5">
          <cell r="IQ5">
            <v>621</v>
          </cell>
        </row>
      </sheetData>
      <sheetData sheetId="93" refreshError="1"/>
      <sheetData sheetId="94" refreshError="1"/>
      <sheetData sheetId="9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129651</v>
          </cell>
          <cell r="C21">
            <v>126303</v>
          </cell>
          <cell r="G21">
            <v>1051268</v>
          </cell>
          <cell r="H21">
            <v>1085708</v>
          </cell>
          <cell r="L21">
            <v>1180919</v>
          </cell>
          <cell r="M21">
            <v>1212011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154314</v>
          </cell>
          <cell r="I21">
            <v>1842508</v>
          </cell>
          <cell r="N21">
            <v>1996822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124840</v>
          </cell>
          <cell r="C22">
            <v>126281</v>
          </cell>
          <cell r="L22">
            <v>1121168</v>
          </cell>
          <cell r="M22">
            <v>1140465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169898</v>
          </cell>
          <cell r="I22">
            <v>1925453</v>
          </cell>
          <cell r="N22">
            <v>2095351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169369</v>
          </cell>
          <cell r="C23">
            <v>172194</v>
          </cell>
          <cell r="L23">
            <v>1506119</v>
          </cell>
          <cell r="M23">
            <v>1528441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248666</v>
          </cell>
          <cell r="I23">
            <v>2580302</v>
          </cell>
          <cell r="N23">
            <v>2828968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L12" sqref="L12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45261</v>
      </c>
      <c r="B2" s="10"/>
      <c r="C2" s="10"/>
      <c r="D2" s="444" t="s">
        <v>228</v>
      </c>
      <c r="E2" s="444" t="s">
        <v>220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45"/>
      <c r="E3" s="446"/>
      <c r="F3" s="5" t="s">
        <v>2</v>
      </c>
      <c r="G3" s="5" t="s">
        <v>229</v>
      </c>
      <c r="H3" s="5" t="s">
        <v>221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1190810</v>
      </c>
      <c r="C5" s="10">
        <f>'Major Airline Stats'!K5</f>
        <v>1204333</v>
      </c>
      <c r="D5" s="2">
        <f>'Major Airline Stats'!K6</f>
        <v>2395143</v>
      </c>
      <c r="E5" s="2">
        <f>'[1]Monthly Summary'!D5</f>
        <v>2081424</v>
      </c>
      <c r="F5" s="3">
        <f>(D5-E5)/E5</f>
        <v>0.15072325484860366</v>
      </c>
      <c r="G5" s="2">
        <f>+D5+'[2]Monthly Summary'!G5</f>
        <v>29783922</v>
      </c>
      <c r="H5" s="2">
        <f>'[1]Monthly Summary'!G5</f>
        <v>25220562</v>
      </c>
      <c r="I5" s="65">
        <f>(G5-H5)/H5</f>
        <v>0.18093807743062981</v>
      </c>
      <c r="J5" s="2"/>
    </row>
    <row r="6" spans="1:14" x14ac:dyDescent="0.2">
      <c r="A6" s="50" t="s">
        <v>5</v>
      </c>
      <c r="B6" s="217">
        <f>'Regional Major'!M5</f>
        <v>159611</v>
      </c>
      <c r="C6" s="217">
        <f>'Regional Major'!M6</f>
        <v>155296</v>
      </c>
      <c r="D6" s="2">
        <f>B6+C6</f>
        <v>314907</v>
      </c>
      <c r="E6" s="2">
        <f>'[1]Monthly Summary'!D6</f>
        <v>341907</v>
      </c>
      <c r="F6" s="3">
        <f>(D6-E6)/E6</f>
        <v>-7.8968842404513503E-2</v>
      </c>
      <c r="G6" s="2">
        <f>+D6+'[2]Monthly Summary'!G6</f>
        <v>4013246</v>
      </c>
      <c r="H6" s="2">
        <f>'[1]Monthly Summary'!G6</f>
        <v>5126527</v>
      </c>
      <c r="I6" s="65">
        <f>(G6-H6)/H6</f>
        <v>-0.21716085763324761</v>
      </c>
      <c r="K6" s="2"/>
    </row>
    <row r="7" spans="1:14" x14ac:dyDescent="0.2">
      <c r="A7" s="50" t="s">
        <v>6</v>
      </c>
      <c r="B7" s="2">
        <f>Charter!H5</f>
        <v>60</v>
      </c>
      <c r="C7" s="217">
        <f>Charter!H6</f>
        <v>0</v>
      </c>
      <c r="D7" s="2">
        <f>B7+C7</f>
        <v>60</v>
      </c>
      <c r="E7" s="2">
        <f>'[1]Monthly Summary'!D7</f>
        <v>0</v>
      </c>
      <c r="F7" s="3"/>
      <c r="G7" s="2">
        <f>+D7+'[2]Monthly Summary'!G7</f>
        <v>3450</v>
      </c>
      <c r="H7" s="2">
        <f>'[1]Monthly Summary'!G7</f>
        <v>6170</v>
      </c>
      <c r="I7" s="65">
        <f>(G7-H7)/H7</f>
        <v>-0.44084278768233387</v>
      </c>
      <c r="K7" s="2"/>
    </row>
    <row r="8" spans="1:14" x14ac:dyDescent="0.2">
      <c r="A8" s="52" t="s">
        <v>7</v>
      </c>
      <c r="B8" s="119">
        <f>SUM(B5:B7)</f>
        <v>1350481</v>
      </c>
      <c r="C8" s="119">
        <f>SUM(C5:C7)</f>
        <v>1359629</v>
      </c>
      <c r="D8" s="119">
        <f>SUM(D5:D7)</f>
        <v>2710110</v>
      </c>
      <c r="E8" s="119">
        <f>SUM(E5:E7)</f>
        <v>2423331</v>
      </c>
      <c r="F8" s="71">
        <f>(D8-E8)/E8</f>
        <v>0.11834082921400337</v>
      </c>
      <c r="G8" s="119">
        <f>SUM(G5:G7)</f>
        <v>33800618</v>
      </c>
      <c r="H8" s="119">
        <f>SUM(H5:H7)</f>
        <v>30353259</v>
      </c>
      <c r="I8" s="70">
        <f>(G8-H8)/H8</f>
        <v>0.11357459177612526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38791</v>
      </c>
      <c r="C10" s="218">
        <f>'Major Airline Stats'!K10+'Regional Major'!M11</f>
        <v>40109</v>
      </c>
      <c r="D10" s="96">
        <f>SUM(B10:C10)</f>
        <v>78900</v>
      </c>
      <c r="E10" s="402">
        <f>'[1]Monthly Summary'!D10</f>
        <v>69124</v>
      </c>
      <c r="F10" s="72">
        <f>(D10-E10)/E10</f>
        <v>0.14142700075227127</v>
      </c>
      <c r="G10" s="402">
        <f>+D10+'[2]Monthly Summary'!G10</f>
        <v>970182</v>
      </c>
      <c r="H10" s="402">
        <f>'[1]Monthly Summary'!G10</f>
        <v>888563</v>
      </c>
      <c r="I10" s="75">
        <f>(G10-H10)/H10</f>
        <v>9.1855051358204196E-2</v>
      </c>
      <c r="J10" s="169"/>
    </row>
    <row r="11" spans="1:14" ht="15.75" thickBot="1" x14ac:dyDescent="0.3">
      <c r="A11" s="51" t="s">
        <v>13</v>
      </c>
      <c r="B11" s="197">
        <f>B10+B8</f>
        <v>1389272</v>
      </c>
      <c r="C11" s="197">
        <f>C10+C8</f>
        <v>1399738</v>
      </c>
      <c r="D11" s="197">
        <f>D10+D8</f>
        <v>2789010</v>
      </c>
      <c r="E11" s="197">
        <f>E10+E8</f>
        <v>2492455</v>
      </c>
      <c r="F11" s="73">
        <f>(D11-E11)/E11</f>
        <v>0.11898108491427127</v>
      </c>
      <c r="G11" s="197">
        <f>G8+G10</f>
        <v>34770800</v>
      </c>
      <c r="H11" s="197">
        <f>H8+H10</f>
        <v>31241822</v>
      </c>
      <c r="I11" s="76">
        <f>(G11-H11)/H11</f>
        <v>0.11295685635748133</v>
      </c>
      <c r="N11" s="436"/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  <c r="N12" s="391"/>
    </row>
    <row r="13" spans="1:14" ht="16.5" customHeight="1" x14ac:dyDescent="0.2">
      <c r="B13" s="10"/>
      <c r="C13" s="10"/>
      <c r="D13" s="444" t="s">
        <v>228</v>
      </c>
      <c r="E13" s="444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184</v>
      </c>
      <c r="C14" s="5" t="s">
        <v>185</v>
      </c>
      <c r="D14" s="445"/>
      <c r="E14" s="446"/>
      <c r="F14" s="5" t="s">
        <v>2</v>
      </c>
      <c r="G14" s="5" t="s">
        <v>229</v>
      </c>
      <c r="H14" s="5" t="s">
        <v>221</v>
      </c>
      <c r="I14" s="5" t="s">
        <v>2</v>
      </c>
      <c r="N14" s="340"/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  <c r="N15" s="340"/>
    </row>
    <row r="16" spans="1:14" x14ac:dyDescent="0.2">
      <c r="A16" s="50" t="s">
        <v>4</v>
      </c>
      <c r="B16" s="226">
        <f>'Major Airline Stats'!K15+'Major Airline Stats'!K19</f>
        <v>9160</v>
      </c>
      <c r="C16" s="226">
        <f>'Major Airline Stats'!K16+'Major Airline Stats'!K20</f>
        <v>9147</v>
      </c>
      <c r="D16" s="31">
        <f t="shared" ref="D16:D21" si="0">SUM(B16:C16)</f>
        <v>18307</v>
      </c>
      <c r="E16" s="2">
        <f>'[1]Monthly Summary'!D16</f>
        <v>15222</v>
      </c>
      <c r="F16" s="74">
        <f t="shared" ref="F16:F22" si="1">(D16-E16)/E16</f>
        <v>0.20266719222178425</v>
      </c>
      <c r="G16" s="2">
        <f>+D16+'[2]Monthly Summary'!G16</f>
        <v>216809</v>
      </c>
      <c r="H16" s="2">
        <f>'[1]Monthly Summary'!G16</f>
        <v>180739</v>
      </c>
      <c r="I16" s="192">
        <f t="shared" ref="I16:I22" si="2">(G16-H16)/H16</f>
        <v>0.1995695450345526</v>
      </c>
      <c r="N16" s="340"/>
    </row>
    <row r="17" spans="1:14" x14ac:dyDescent="0.2">
      <c r="A17" s="50" t="s">
        <v>5</v>
      </c>
      <c r="B17" s="31">
        <f>'Regional Major'!M15+'Regional Major'!M18</f>
        <v>3102</v>
      </c>
      <c r="C17" s="31">
        <f>'Regional Major'!M16+'Regional Major'!M19</f>
        <v>3093</v>
      </c>
      <c r="D17" s="31">
        <f>SUM(B17:C17)</f>
        <v>6195</v>
      </c>
      <c r="E17" s="2">
        <f>'[1]Monthly Summary'!D17</f>
        <v>6358</v>
      </c>
      <c r="F17" s="74">
        <f t="shared" si="1"/>
        <v>-2.5636992765020447E-2</v>
      </c>
      <c r="G17" s="2">
        <f>+D17+'[2]Monthly Summary'!G17</f>
        <v>74552</v>
      </c>
      <c r="H17" s="2">
        <f>'[1]Monthly Summary'!G17</f>
        <v>95248</v>
      </c>
      <c r="I17" s="192">
        <f t="shared" si="2"/>
        <v>-0.2172854023181589</v>
      </c>
      <c r="L17" s="2"/>
      <c r="N17" s="340"/>
    </row>
    <row r="18" spans="1:14" x14ac:dyDescent="0.2">
      <c r="A18" s="50" t="s">
        <v>10</v>
      </c>
      <c r="B18" s="31">
        <f>Charter!H10</f>
        <v>1</v>
      </c>
      <c r="C18" s="31">
        <f>Charter!H11</f>
        <v>0</v>
      </c>
      <c r="D18" s="31">
        <f t="shared" si="0"/>
        <v>1</v>
      </c>
      <c r="E18" s="2">
        <f>'[1]Monthly Summary'!D18</f>
        <v>0</v>
      </c>
      <c r="F18" s="74"/>
      <c r="G18" s="2">
        <f>+D18+'[2]Monthly Summary'!G18</f>
        <v>59</v>
      </c>
      <c r="H18" s="2">
        <f>'[1]Monthly Summary'!G18</f>
        <v>60</v>
      </c>
      <c r="I18" s="192">
        <f t="shared" si="2"/>
        <v>-1.6666666666666666E-2</v>
      </c>
      <c r="N18" s="340"/>
    </row>
    <row r="19" spans="1:14" x14ac:dyDescent="0.2">
      <c r="A19" s="50" t="s">
        <v>11</v>
      </c>
      <c r="B19" s="31">
        <f>Cargo!S4+Cargo!S8</f>
        <v>606</v>
      </c>
      <c r="C19" s="31">
        <f>Cargo!S5+Cargo!S9</f>
        <v>604</v>
      </c>
      <c r="D19" s="31">
        <f t="shared" si="0"/>
        <v>1210</v>
      </c>
      <c r="E19" s="2">
        <f>'[1]Monthly Summary'!D19</f>
        <v>1531</v>
      </c>
      <c r="F19" s="74">
        <f t="shared" si="1"/>
        <v>-0.20966688438928804</v>
      </c>
      <c r="G19" s="2">
        <f>+D19+'[2]Monthly Summary'!G19</f>
        <v>13988</v>
      </c>
      <c r="H19" s="2">
        <f>'[1]Monthly Summary'!G19</f>
        <v>15776</v>
      </c>
      <c r="I19" s="192">
        <f t="shared" si="2"/>
        <v>-0.11333671399594321</v>
      </c>
      <c r="N19" s="340"/>
    </row>
    <row r="20" spans="1:14" x14ac:dyDescent="0.2">
      <c r="A20" s="50" t="s">
        <v>146</v>
      </c>
      <c r="B20" s="31">
        <f>'[3]General Avation'!$IQ$4</f>
        <v>621</v>
      </c>
      <c r="C20" s="31">
        <f>'[3]General Avation'!$IQ$5</f>
        <v>621</v>
      </c>
      <c r="D20" s="31">
        <f t="shared" si="0"/>
        <v>1242</v>
      </c>
      <c r="E20" s="2">
        <f>'[1]Monthly Summary'!D20</f>
        <v>1273</v>
      </c>
      <c r="F20" s="74">
        <f t="shared" si="1"/>
        <v>-2.4351924587588374E-2</v>
      </c>
      <c r="G20" s="2">
        <f>+D20+'[2]Monthly Summary'!G20</f>
        <v>17772</v>
      </c>
      <c r="H20" s="2">
        <f>'[1]Monthly Summary'!G20</f>
        <v>17543</v>
      </c>
      <c r="I20" s="192">
        <f t="shared" si="2"/>
        <v>1.3053639628341789E-2</v>
      </c>
      <c r="N20" s="340"/>
    </row>
    <row r="21" spans="1:14" ht="12.75" customHeight="1" x14ac:dyDescent="0.2">
      <c r="A21" s="50" t="s">
        <v>12</v>
      </c>
      <c r="B21" s="11">
        <f>'[3]Military '!$IQ$4</f>
        <v>47</v>
      </c>
      <c r="C21" s="11">
        <f>'[3]Military '!$IQ$5</f>
        <v>48</v>
      </c>
      <c r="D21" s="11">
        <f t="shared" si="0"/>
        <v>95</v>
      </c>
      <c r="E21" s="402">
        <f>'[1]Monthly Summary'!D21</f>
        <v>53</v>
      </c>
      <c r="F21" s="190">
        <f t="shared" si="1"/>
        <v>0.79245283018867929</v>
      </c>
      <c r="G21" s="402">
        <f>+D21+'[2]Monthly Summary'!G21</f>
        <v>749</v>
      </c>
      <c r="H21" s="402">
        <f>'[1]Monthly Summary'!G21</f>
        <v>903</v>
      </c>
      <c r="I21" s="193">
        <f t="shared" si="2"/>
        <v>-0.17054263565891473</v>
      </c>
      <c r="K21" s="95"/>
      <c r="N21" s="340"/>
    </row>
    <row r="22" spans="1:14" ht="15.75" thickBot="1" x14ac:dyDescent="0.3">
      <c r="A22" s="51" t="s">
        <v>28</v>
      </c>
      <c r="B22" s="198">
        <f>SUM(B16:B21)</f>
        <v>13537</v>
      </c>
      <c r="C22" s="198">
        <f>SUM(C16:C21)</f>
        <v>13513</v>
      </c>
      <c r="D22" s="198">
        <f>SUM(D16:D21)</f>
        <v>27050</v>
      </c>
      <c r="E22" s="198">
        <f>SUM(E16:E21)</f>
        <v>24437</v>
      </c>
      <c r="F22" s="195">
        <f t="shared" si="1"/>
        <v>0.10692801898760076</v>
      </c>
      <c r="G22" s="198">
        <f>SUM(G16:G21)</f>
        <v>323929</v>
      </c>
      <c r="H22" s="198">
        <f>SUM(H16:H21)</f>
        <v>310269</v>
      </c>
      <c r="I22" s="196">
        <f t="shared" si="2"/>
        <v>4.4026312651280021E-2</v>
      </c>
      <c r="N22" s="340"/>
    </row>
    <row r="23" spans="1:14" x14ac:dyDescent="0.2">
      <c r="B23" s="95"/>
      <c r="C23" s="95"/>
      <c r="L23" s="2"/>
      <c r="N23" s="340"/>
    </row>
    <row r="24" spans="1:14" ht="12.75" customHeight="1" x14ac:dyDescent="0.2">
      <c r="B24" s="10"/>
      <c r="C24" s="10"/>
      <c r="D24" s="444" t="s">
        <v>228</v>
      </c>
      <c r="E24" s="444" t="s">
        <v>220</v>
      </c>
      <c r="F24" s="5"/>
      <c r="G24" s="5"/>
      <c r="H24" s="5"/>
      <c r="I24" s="5"/>
      <c r="N24" s="340"/>
    </row>
    <row r="25" spans="1:14" ht="13.5" thickBot="1" x14ac:dyDescent="0.25">
      <c r="B25" s="5" t="s">
        <v>0</v>
      </c>
      <c r="C25" s="5" t="s">
        <v>1</v>
      </c>
      <c r="D25" s="445"/>
      <c r="E25" s="446"/>
      <c r="F25" s="5" t="s">
        <v>2</v>
      </c>
      <c r="G25" s="5" t="s">
        <v>229</v>
      </c>
      <c r="H25" s="5" t="s">
        <v>221</v>
      </c>
      <c r="I25" s="5" t="s">
        <v>2</v>
      </c>
      <c r="N25" s="340"/>
    </row>
    <row r="26" spans="1:14" ht="15" x14ac:dyDescent="0.25">
      <c r="A26" s="48" t="s">
        <v>125</v>
      </c>
      <c r="B26" s="35"/>
      <c r="C26" s="35"/>
      <c r="D26" s="35"/>
      <c r="E26" s="35"/>
      <c r="F26" s="35"/>
      <c r="G26" s="35"/>
      <c r="H26" s="35"/>
      <c r="I26" s="36"/>
    </row>
    <row r="27" spans="1:14" x14ac:dyDescent="0.2">
      <c r="A27" s="45" t="s">
        <v>15</v>
      </c>
      <c r="B27" s="13">
        <f>(Cargo!S16+'Major Airline Stats'!K28+'Regional Major'!M25)*0.00045359237</f>
        <v>9785.6547357336458</v>
      </c>
      <c r="C27" s="13">
        <f>(Cargo!S21+'Major Airline Stats'!K33+'Regional Major'!M30)*0.00045359237</f>
        <v>7828.8333472357472</v>
      </c>
      <c r="D27" s="13">
        <f>(SUM(B27:C27)+('Cargo Summary'!E17*0.00045359237))</f>
        <v>17614.488082969394</v>
      </c>
      <c r="E27" s="2">
        <f>'[1]Monthly Summary'!D27</f>
        <v>19845.246785733601</v>
      </c>
      <c r="F27" s="77">
        <f>(D27-E27)/E27</f>
        <v>-0.11240770784306198</v>
      </c>
      <c r="G27" s="2">
        <f>+D27+'[2]Monthly Summary'!G27</f>
        <v>192309.49601000774</v>
      </c>
      <c r="H27" s="2">
        <f>'[1]Monthly Summary'!G27</f>
        <v>209317.91456127673</v>
      </c>
      <c r="I27" s="79">
        <f>(G27-H27)/H27</f>
        <v>-8.125639215791948E-2</v>
      </c>
      <c r="N27" s="95"/>
    </row>
    <row r="28" spans="1:14" x14ac:dyDescent="0.2">
      <c r="A28" s="45" t="s">
        <v>16</v>
      </c>
      <c r="B28" s="13">
        <f>(Cargo!S17+'Major Airline Stats'!K29+'Regional Major'!M26)*0.00045359237</f>
        <v>178.16155749622999</v>
      </c>
      <c r="C28" s="13">
        <f>(Cargo!S22+'Major Airline Stats'!K34+'Regional Major'!M31)*0.00045359237</f>
        <v>272.57998445831998</v>
      </c>
      <c r="D28" s="13">
        <f>SUM(B28:C28)</f>
        <v>450.74154195454997</v>
      </c>
      <c r="E28" s="2">
        <f>'[1]Monthly Summary'!D28</f>
        <v>1377.5772642000597</v>
      </c>
      <c r="F28" s="77">
        <f>(D28-E28)/E28</f>
        <v>-0.67280126228252646</v>
      </c>
      <c r="G28" s="2">
        <f>+D28+'[2]Monthly Summary'!G28</f>
        <v>11333.777832256112</v>
      </c>
      <c r="H28" s="2">
        <f>'[1]Monthly Summary'!G28</f>
        <v>28111.950673910484</v>
      </c>
      <c r="I28" s="79">
        <f>(G28-H28)/H28</f>
        <v>-0.59683417334768896</v>
      </c>
    </row>
    <row r="29" spans="1:14" ht="15.75" thickBot="1" x14ac:dyDescent="0.3">
      <c r="A29" s="46" t="s">
        <v>62</v>
      </c>
      <c r="B29" s="38">
        <f>SUM(B27:B28)</f>
        <v>9963.8162932298765</v>
      </c>
      <c r="C29" s="38">
        <f>SUM(C27:C28)</f>
        <v>8101.413331694067</v>
      </c>
      <c r="D29" s="38">
        <f>SUM(D27:D28)</f>
        <v>18065.229624923944</v>
      </c>
      <c r="E29" s="38">
        <f>SUM(E27:E28)</f>
        <v>21222.824049933661</v>
      </c>
      <c r="F29" s="78">
        <f>(D29-E29)/E29</f>
        <v>-0.14878295261650565</v>
      </c>
      <c r="G29" s="38">
        <f>SUM(G27:G28)</f>
        <v>203643.27384226385</v>
      </c>
      <c r="H29" s="38">
        <f>SUM(H27:H28)</f>
        <v>237429.86523518723</v>
      </c>
      <c r="I29" s="80">
        <f>(G29-H29)/H29</f>
        <v>-0.14230135437871691</v>
      </c>
    </row>
    <row r="30" spans="1:14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4" ht="13.5" thickBot="1" x14ac:dyDescent="0.25">
      <c r="B31" s="443" t="s">
        <v>142</v>
      </c>
      <c r="C31" s="442"/>
      <c r="D31" s="443" t="s">
        <v>149</v>
      </c>
      <c r="E31" s="442"/>
      <c r="F31" s="308"/>
      <c r="G31" s="309"/>
    </row>
    <row r="32" spans="1:14" x14ac:dyDescent="0.2">
      <c r="A32" s="290" t="s">
        <v>143</v>
      </c>
      <c r="B32" s="291">
        <f>C8-B33</f>
        <v>931888</v>
      </c>
      <c r="C32" s="292">
        <f>B32/C8</f>
        <v>0.68539873744970137</v>
      </c>
      <c r="D32" s="293">
        <f>+B32+'[2]Monthly Summary'!$D$32</f>
        <v>11491646</v>
      </c>
      <c r="E32" s="294">
        <f>+D32/D34</f>
        <v>0.68049788255720411</v>
      </c>
      <c r="G32" s="2"/>
      <c r="I32" s="307"/>
    </row>
    <row r="33" spans="1:14" ht="13.5" thickBot="1" x14ac:dyDescent="0.25">
      <c r="A33" s="295" t="s">
        <v>144</v>
      </c>
      <c r="B33" s="296">
        <f>'Major Airline Stats'!K51+'Regional Major'!M45</f>
        <v>427741</v>
      </c>
      <c r="C33" s="297">
        <f>+B33/C8</f>
        <v>0.31460126255029863</v>
      </c>
      <c r="D33" s="298">
        <f>+B33+'[2]Monthly Summary'!$D$33</f>
        <v>5395469</v>
      </c>
      <c r="E33" s="299">
        <f>+D33/D34</f>
        <v>0.31950211744279589</v>
      </c>
      <c r="G33" s="230"/>
      <c r="H33" s="436"/>
      <c r="I33" s="307"/>
    </row>
    <row r="34" spans="1:14" ht="13.5" thickBot="1" x14ac:dyDescent="0.25">
      <c r="B34" s="230"/>
      <c r="D34" s="300">
        <f>SUM(D32:D33)</f>
        <v>16887115</v>
      </c>
    </row>
    <row r="35" spans="1:14" ht="13.5" thickBot="1" x14ac:dyDescent="0.25">
      <c r="B35" s="441" t="s">
        <v>251</v>
      </c>
      <c r="C35" s="442"/>
      <c r="D35" s="443" t="s">
        <v>230</v>
      </c>
      <c r="E35" s="442"/>
    </row>
    <row r="36" spans="1:14" x14ac:dyDescent="0.2">
      <c r="A36" s="290" t="s">
        <v>143</v>
      </c>
      <c r="B36" s="291">
        <f>'[1]Monthly Summary'!$B$32</f>
        <v>871681</v>
      </c>
      <c r="C36" s="292">
        <f>+B36/B38</f>
        <v>0.71202504762184826</v>
      </c>
      <c r="D36" s="293">
        <f>'[1]Monthly Summary'!$D$32</f>
        <v>10456318</v>
      </c>
      <c r="E36" s="294">
        <f>+D36/D38</f>
        <v>0.68932860012272523</v>
      </c>
    </row>
    <row r="37" spans="1:14" ht="13.5" thickBot="1" x14ac:dyDescent="0.25">
      <c r="A37" s="295" t="s">
        <v>144</v>
      </c>
      <c r="B37" s="296">
        <f>'[1]Monthly Summary'!$B$33</f>
        <v>352547</v>
      </c>
      <c r="C37" s="299">
        <f>+B37/B38</f>
        <v>0.28797495237815179</v>
      </c>
      <c r="D37" s="298">
        <f>'[1]Monthly Summary'!$D$33</f>
        <v>4712526</v>
      </c>
      <c r="E37" s="299">
        <f>+D37/D38</f>
        <v>0.31067139987727477</v>
      </c>
      <c r="G37" s="230"/>
      <c r="M37" s="1"/>
    </row>
    <row r="38" spans="1:14" x14ac:dyDescent="0.2">
      <c r="B38" s="312">
        <f>+SUM(B36:B37)</f>
        <v>1224228</v>
      </c>
      <c r="D38" s="300">
        <f>SUM(D36:D37)</f>
        <v>15168844</v>
      </c>
      <c r="K38" s="305"/>
    </row>
    <row r="39" spans="1:14" x14ac:dyDescent="0.2">
      <c r="A39" s="304" t="s">
        <v>145</v>
      </c>
    </row>
    <row r="40" spans="1:14" x14ac:dyDescent="0.2">
      <c r="A40" s="170" t="s">
        <v>147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D44" s="95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B15:I22 B26:I30">
    <cfRule type="expression" dxfId="3" priority="26" stopIfTrue="1">
      <formula>"*.*"</formula>
    </cfRule>
  </conditionalFormatting>
  <conditionalFormatting sqref="B24:C24">
    <cfRule type="expression" dxfId="2" priority="20" stopIfTrue="1">
      <formula>"*.*"</formula>
    </cfRule>
  </conditionalFormatting>
  <conditionalFormatting sqref="B4:E13">
    <cfRule type="expression" dxfId="1" priority="21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December 2023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J5" sqref="J5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9.5703125" bestFit="1" customWidth="1"/>
    <col min="17" max="17" width="13.85546875" customWidth="1"/>
  </cols>
  <sheetData>
    <row r="1" spans="1:19" ht="39" thickBot="1" x14ac:dyDescent="0.25">
      <c r="A1" s="396">
        <v>45261</v>
      </c>
      <c r="B1" s="326" t="s">
        <v>18</v>
      </c>
      <c r="C1" s="325" t="s">
        <v>188</v>
      </c>
      <c r="D1" s="364" t="s">
        <v>155</v>
      </c>
      <c r="E1" s="325" t="s">
        <v>161</v>
      </c>
      <c r="F1" s="325" t="s">
        <v>160</v>
      </c>
      <c r="G1" s="325" t="s">
        <v>49</v>
      </c>
      <c r="H1" s="325" t="s">
        <v>113</v>
      </c>
      <c r="I1" s="325" t="s">
        <v>187</v>
      </c>
      <c r="J1" s="325" t="s">
        <v>250</v>
      </c>
      <c r="K1" s="325" t="s">
        <v>189</v>
      </c>
      <c r="L1" s="325" t="s">
        <v>159</v>
      </c>
      <c r="M1" s="325" t="s">
        <v>196</v>
      </c>
      <c r="N1" s="325" t="s">
        <v>154</v>
      </c>
      <c r="O1" s="325" t="s">
        <v>47</v>
      </c>
      <c r="P1" s="325" t="s">
        <v>137</v>
      </c>
      <c r="Q1" s="325" t="s">
        <v>21</v>
      </c>
    </row>
    <row r="2" spans="1:19" ht="15" x14ac:dyDescent="0.25">
      <c r="A2" s="477" t="s">
        <v>138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9"/>
    </row>
    <row r="3" spans="1:19" x14ac:dyDescent="0.2">
      <c r="A3" s="45" t="s">
        <v>29</v>
      </c>
      <c r="Q3" s="39"/>
    </row>
    <row r="4" spans="1:19" x14ac:dyDescent="0.2">
      <c r="A4" s="45" t="s">
        <v>30</v>
      </c>
      <c r="B4" s="12">
        <f>[3]Delta!$IQ$32</f>
        <v>80159</v>
      </c>
      <c r="C4" s="12">
        <f>'[3]Atlantic Southeast'!$IQ$32</f>
        <v>0</v>
      </c>
      <c r="D4" s="12">
        <f>[3]Pinnacle!$IQ$32</f>
        <v>3096</v>
      </c>
      <c r="E4" s="12">
        <f>'[3]Sky West'!$IQ$32</f>
        <v>3335</v>
      </c>
      <c r="F4" s="12">
        <f>'[3]Go Jet'!$IQ$32</f>
        <v>0</v>
      </c>
      <c r="G4" s="12">
        <f>'[3]Sun Country'!$IQ$32</f>
        <v>18600</v>
      </c>
      <c r="H4" s="12">
        <f>[3]Icelandair!$IQ$32</f>
        <v>1283</v>
      </c>
      <c r="I4" s="12">
        <f>[3]KLM!$IQ$32</f>
        <v>3213</v>
      </c>
      <c r="J4" s="12">
        <f>[3]Jazz_AC!$IQ$32</f>
        <v>4745</v>
      </c>
      <c r="K4" s="12">
        <f>'[3]Sky Regional'!$IQ$32</f>
        <v>0</v>
      </c>
      <c r="L4" s="12">
        <f>[3]Condor!$IQ$32</f>
        <v>0</v>
      </c>
      <c r="M4" s="12">
        <f>'[3]Aer Lingus'!$IQ$32</f>
        <v>0</v>
      </c>
      <c r="N4" s="12">
        <f>'[3]Air France'!$IQ$32</f>
        <v>0</v>
      </c>
      <c r="O4" s="12">
        <f>[3]Frontier!$IQ$32</f>
        <v>2219</v>
      </c>
      <c r="P4" s="12">
        <f>'[3]Charter Misc'!$IQ$32+[3]Ryan!$IQ$32+[3]Omni!$IQ$32</f>
        <v>60</v>
      </c>
      <c r="Q4" s="205">
        <f>SUM(B4:P4)</f>
        <v>116710</v>
      </c>
    </row>
    <row r="5" spans="1:19" x14ac:dyDescent="0.2">
      <c r="A5" s="45" t="s">
        <v>31</v>
      </c>
      <c r="B5" s="7">
        <f>[3]Delta!$IQ$33</f>
        <v>92375</v>
      </c>
      <c r="C5" s="7">
        <f>'[3]Atlantic Southeast'!$IQ$33</f>
        <v>0</v>
      </c>
      <c r="D5" s="7">
        <f>[3]Pinnacle!$IQ$33</f>
        <v>2781</v>
      </c>
      <c r="E5" s="7">
        <f>'[3]Sky West'!$IQ$33</f>
        <v>3033</v>
      </c>
      <c r="F5" s="7">
        <f>'[3]Go Jet'!$IQ$33</f>
        <v>0</v>
      </c>
      <c r="G5" s="7">
        <f>'[3]Sun Country'!$IQ$33</f>
        <v>26108</v>
      </c>
      <c r="H5" s="7">
        <f>[3]Icelandair!$IQ$33</f>
        <v>1339</v>
      </c>
      <c r="I5" s="7">
        <f>[3]KLM!$IQ$33</f>
        <v>3019</v>
      </c>
      <c r="J5" s="7">
        <f>[3]Jazz_AC!$IQ$33</f>
        <v>4294</v>
      </c>
      <c r="K5" s="7">
        <f>'[3]Sky Regional'!$IQ$33</f>
        <v>0</v>
      </c>
      <c r="L5" s="7">
        <f>[3]Condor!$IQ$33</f>
        <v>0</v>
      </c>
      <c r="M5" s="7">
        <f>'[3]Aer Lingus'!$IQ$33</f>
        <v>0</v>
      </c>
      <c r="N5" s="7">
        <f>'[3]Air France'!$IQ$33</f>
        <v>0</v>
      </c>
      <c r="O5" s="7">
        <f>[3]Frontier!$IQ$33</f>
        <v>3581</v>
      </c>
      <c r="P5" s="7">
        <f>'[3]Charter Misc'!$IQ$33++[3]Ryan!$IQ$33+[3]Omni!$IQ$33</f>
        <v>0</v>
      </c>
      <c r="Q5" s="206">
        <f>SUM(B5:P5)</f>
        <v>136530</v>
      </c>
    </row>
    <row r="6" spans="1:19" ht="15" x14ac:dyDescent="0.25">
      <c r="A6" s="43" t="s">
        <v>7</v>
      </c>
      <c r="B6" s="24">
        <f t="shared" ref="B6:P6" si="0">SUM(B4:B5)</f>
        <v>172534</v>
      </c>
      <c r="C6" s="24">
        <f t="shared" si="0"/>
        <v>0</v>
      </c>
      <c r="D6" s="24">
        <f t="shared" si="0"/>
        <v>5877</v>
      </c>
      <c r="E6" s="24">
        <f t="shared" si="0"/>
        <v>6368</v>
      </c>
      <c r="F6" s="24">
        <f t="shared" ref="F6" si="1">SUM(F4:F5)</f>
        <v>0</v>
      </c>
      <c r="G6" s="24">
        <f t="shared" si="0"/>
        <v>44708</v>
      </c>
      <c r="H6" s="24">
        <f t="shared" si="0"/>
        <v>2622</v>
      </c>
      <c r="I6" s="24">
        <f t="shared" ref="I6" si="2">SUM(I4:I5)</f>
        <v>6232</v>
      </c>
      <c r="J6" s="24">
        <f t="shared" si="0"/>
        <v>9039</v>
      </c>
      <c r="K6" s="24">
        <f t="shared" ref="K6" si="3">SUM(K4:K5)</f>
        <v>0</v>
      </c>
      <c r="L6" s="24">
        <f t="shared" ref="L6:M6" si="4">SUM(L4:L5)</f>
        <v>0</v>
      </c>
      <c r="M6" s="24">
        <f t="shared" si="4"/>
        <v>0</v>
      </c>
      <c r="N6" s="24">
        <f t="shared" si="0"/>
        <v>0</v>
      </c>
      <c r="O6" s="24">
        <f t="shared" si="0"/>
        <v>5800</v>
      </c>
      <c r="P6" s="24">
        <f t="shared" si="0"/>
        <v>60</v>
      </c>
      <c r="Q6" s="207">
        <f>SUM(B6:P6)</f>
        <v>253240</v>
      </c>
    </row>
    <row r="7" spans="1:19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9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9" x14ac:dyDescent="0.2">
      <c r="A9" s="45" t="s">
        <v>30</v>
      </c>
      <c r="B9" s="12">
        <f>[3]Delta!$IQ$37</f>
        <v>2348</v>
      </c>
      <c r="C9" s="12">
        <f>'[3]Atlantic Southeast'!$IQ$37</f>
        <v>0</v>
      </c>
      <c r="D9" s="12">
        <f>[3]Pinnacle!$IQ$37</f>
        <v>82</v>
      </c>
      <c r="E9" s="12">
        <f>'[3]Sky West'!$IQ$37</f>
        <v>78</v>
      </c>
      <c r="F9" s="12">
        <f>'[3]Go Jet'!$IQ$37</f>
        <v>0</v>
      </c>
      <c r="G9" s="12">
        <f>'[3]Sun Country'!$IQ$37</f>
        <v>569</v>
      </c>
      <c r="H9" s="12">
        <f>[3]Icelandair!$IQ$37</f>
        <v>46</v>
      </c>
      <c r="I9" s="12">
        <f>[3]KLM!$IQ$37</f>
        <v>15</v>
      </c>
      <c r="J9" s="12">
        <f>[3]Jazz_AC!$IQ$37</f>
        <v>67</v>
      </c>
      <c r="K9" s="12">
        <f>'[3]Sky Regional'!$IQ$37</f>
        <v>0</v>
      </c>
      <c r="L9" s="12">
        <f>[3]Condor!$IQ$37</f>
        <v>0</v>
      </c>
      <c r="M9" s="12">
        <f>'[3]Aer Lingus'!$IQ$37</f>
        <v>0</v>
      </c>
      <c r="N9" s="12">
        <f>'[3]Air France'!$IQ$37</f>
        <v>0</v>
      </c>
      <c r="O9" s="12">
        <f>[3]Frontier!$IQ$37</f>
        <v>6</v>
      </c>
      <c r="P9" s="12">
        <f>'[3]Charter Misc'!$IQ$37+[3]Ryan!$IQ$37+[3]Omni!$IQ$37</f>
        <v>0</v>
      </c>
      <c r="Q9" s="205">
        <f>SUM(B9:P9)</f>
        <v>3211</v>
      </c>
    </row>
    <row r="10" spans="1:19" x14ac:dyDescent="0.2">
      <c r="A10" s="45" t="s">
        <v>33</v>
      </c>
      <c r="B10" s="7">
        <f>[3]Delta!$IQ$38</f>
        <v>2567</v>
      </c>
      <c r="C10" s="7">
        <f>'[3]Atlantic Southeast'!$IQ$38</f>
        <v>0</v>
      </c>
      <c r="D10" s="7">
        <f>[3]Pinnacle!$IQ$38</f>
        <v>69</v>
      </c>
      <c r="E10" s="7">
        <f>'[3]Sky West'!$IQ$38</f>
        <v>84</v>
      </c>
      <c r="F10" s="7">
        <f>'[3]Go Jet'!$IQ$38</f>
        <v>0</v>
      </c>
      <c r="G10" s="7">
        <f>'[3]Sun Country'!$IQ$38</f>
        <v>613</v>
      </c>
      <c r="H10" s="7">
        <f>[3]Icelandair!$IQ$38</f>
        <v>56</v>
      </c>
      <c r="I10" s="7">
        <f>[3]KLM!$IQ$38</f>
        <v>0</v>
      </c>
      <c r="J10" s="7">
        <f>[3]Jazz_AC!$IQ$38</f>
        <v>71</v>
      </c>
      <c r="K10" s="7">
        <f>'[3]Sky Regional'!$IQ$38</f>
        <v>0</v>
      </c>
      <c r="L10" s="7">
        <f>[3]Condor!$IQ$38</f>
        <v>0</v>
      </c>
      <c r="M10" s="7">
        <f>'[3]Aer Lingus'!$IQ$38</f>
        <v>0</v>
      </c>
      <c r="N10" s="7">
        <f>'[3]Air France'!$IQ$38</f>
        <v>0</v>
      </c>
      <c r="O10" s="7">
        <f>[3]Frontier!$IQ$38</f>
        <v>7</v>
      </c>
      <c r="P10" s="7">
        <f>'[3]Charter Misc'!$IQ$38+[3]Ryan!$IQ$38+[3]Omni!$IQ$38</f>
        <v>0</v>
      </c>
      <c r="Q10" s="206">
        <f>SUM(B10:P10)</f>
        <v>3467</v>
      </c>
    </row>
    <row r="11" spans="1:19" ht="15.75" thickBot="1" x14ac:dyDescent="0.3">
      <c r="A11" s="46" t="s">
        <v>34</v>
      </c>
      <c r="B11" s="208">
        <f t="shared" ref="B11:G11" si="5">SUM(B9:B10)</f>
        <v>4915</v>
      </c>
      <c r="C11" s="208">
        <f t="shared" si="5"/>
        <v>0</v>
      </c>
      <c r="D11" s="208">
        <f t="shared" si="5"/>
        <v>151</v>
      </c>
      <c r="E11" s="208">
        <f t="shared" si="5"/>
        <v>162</v>
      </c>
      <c r="F11" s="208">
        <f t="shared" ref="F11" si="6">SUM(F9:F10)</f>
        <v>0</v>
      </c>
      <c r="G11" s="208">
        <f t="shared" si="5"/>
        <v>1182</v>
      </c>
      <c r="H11" s="208">
        <f t="shared" ref="H11:P11" si="7">SUM(H9:H10)</f>
        <v>102</v>
      </c>
      <c r="I11" s="208">
        <f t="shared" ref="I11" si="8">SUM(I9:I10)</f>
        <v>15</v>
      </c>
      <c r="J11" s="208">
        <f t="shared" si="7"/>
        <v>138</v>
      </c>
      <c r="K11" s="208">
        <f t="shared" ref="K11" si="9">SUM(K9:K10)</f>
        <v>0</v>
      </c>
      <c r="L11" s="208">
        <f t="shared" si="7"/>
        <v>0</v>
      </c>
      <c r="M11" s="208">
        <f t="shared" ref="M11" si="10">SUM(M9:M10)</f>
        <v>0</v>
      </c>
      <c r="N11" s="208">
        <f t="shared" si="7"/>
        <v>0</v>
      </c>
      <c r="O11" s="208">
        <f t="shared" si="7"/>
        <v>13</v>
      </c>
      <c r="P11" s="208">
        <f t="shared" si="7"/>
        <v>0</v>
      </c>
      <c r="Q11" s="209">
        <f>SUM(B11:P11)</f>
        <v>6678</v>
      </c>
      <c r="S11" s="230"/>
    </row>
    <row r="12" spans="1:19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9" ht="39" thickBot="1" x14ac:dyDescent="0.25">
      <c r="B13" s="326" t="s">
        <v>18</v>
      </c>
      <c r="C13" s="325" t="s">
        <v>188</v>
      </c>
      <c r="D13" s="364" t="s">
        <v>155</v>
      </c>
      <c r="E13" s="325" t="s">
        <v>161</v>
      </c>
      <c r="F13" s="325" t="s">
        <v>160</v>
      </c>
      <c r="G13" s="325" t="s">
        <v>49</v>
      </c>
      <c r="H13" s="325" t="s">
        <v>113</v>
      </c>
      <c r="I13" s="325" t="s">
        <v>187</v>
      </c>
      <c r="J13" s="325" t="s">
        <v>250</v>
      </c>
      <c r="K13" s="325" t="s">
        <v>189</v>
      </c>
      <c r="L13" s="325" t="s">
        <v>159</v>
      </c>
      <c r="M13" s="325" t="s">
        <v>196</v>
      </c>
      <c r="N13" s="325" t="s">
        <v>154</v>
      </c>
      <c r="O13" s="325" t="s">
        <v>47</v>
      </c>
      <c r="P13" s="325" t="s">
        <v>137</v>
      </c>
      <c r="Q13" s="325" t="s">
        <v>21</v>
      </c>
    </row>
    <row r="14" spans="1:19" ht="15" x14ac:dyDescent="0.25">
      <c r="A14" s="480" t="s">
        <v>139</v>
      </c>
      <c r="B14" s="481"/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2"/>
    </row>
    <row r="15" spans="1:19" x14ac:dyDescent="0.2">
      <c r="A15" s="45" t="s">
        <v>29</v>
      </c>
      <c r="Q15" s="39"/>
    </row>
    <row r="16" spans="1:19" x14ac:dyDescent="0.2">
      <c r="A16" s="45"/>
      <c r="Q16" s="39"/>
    </row>
    <row r="17" spans="1:20" x14ac:dyDescent="0.2">
      <c r="A17" s="45" t="s">
        <v>30</v>
      </c>
      <c r="B17" s="12">
        <f>SUM([3]Delta!$IF$32:$IQ$32)</f>
        <v>1056378</v>
      </c>
      <c r="C17" s="12">
        <f>SUM('[3]Atlantic Southeast'!$IF$32:$IQ$32)</f>
        <v>0</v>
      </c>
      <c r="D17" s="12">
        <f>SUM([3]Pinnacle!$IF$32:$IQ$32)</f>
        <v>19146</v>
      </c>
      <c r="E17" s="12">
        <f>SUM('[3]Sky West'!$IF$32:$IQ$32)</f>
        <v>46689</v>
      </c>
      <c r="F17" s="12">
        <f>SUM('[3]Go Jet'!$IF$32:$IQ$32)</f>
        <v>0</v>
      </c>
      <c r="G17" s="12">
        <f>SUM('[3]Sun Country'!$IF$32:$IQ$32)</f>
        <v>174780</v>
      </c>
      <c r="H17" s="12">
        <f>SUM([3]Icelandair!$IF$32:$IQ$32)</f>
        <v>37525</v>
      </c>
      <c r="I17" s="12">
        <f>SUM([3]KLM!$IF$32:$IQ$32)</f>
        <v>46763</v>
      </c>
      <c r="J17" s="12">
        <f>SUM([3]Jazz_AC!$IF$32:$IQ$32)</f>
        <v>70625</v>
      </c>
      <c r="K17" s="12">
        <f>SUM('[3]Sky Regional'!$IF$32:$IQ$32)</f>
        <v>0</v>
      </c>
      <c r="L17" s="12">
        <f>SUM([3]Condor!$IF$32:$IQ$32)</f>
        <v>9430</v>
      </c>
      <c r="M17" s="12">
        <f>SUM('[3]Aer Lingus'!$IF$32:$IQ$32)</f>
        <v>0</v>
      </c>
      <c r="N17" s="12">
        <f>SUM('[3]Air France'!$IF$32:$IQ$32)</f>
        <v>0</v>
      </c>
      <c r="O17" s="12">
        <f>SUM([3]Frontier!$IF$32:$IQ$32)</f>
        <v>3391</v>
      </c>
      <c r="P17" s="12">
        <f>SUM('[3]Charter Misc'!$IF$32:$IQ$32)+SUM([3]Ryan!$IF$32:$IQ$32)+SUM([3]Omni!$IF$32:$IQ$32)</f>
        <v>1641</v>
      </c>
      <c r="Q17" s="205">
        <f>SUM(B17:P17)</f>
        <v>1466368</v>
      </c>
    </row>
    <row r="18" spans="1:20" x14ac:dyDescent="0.2">
      <c r="A18" s="45" t="s">
        <v>31</v>
      </c>
      <c r="B18" s="7">
        <f>SUM([3]Delta!$IF$33:$IQ$33)</f>
        <v>1039523</v>
      </c>
      <c r="C18" s="7">
        <f>SUM('[3]Atlantic Southeast'!$IF$33:$IQ$33)</f>
        <v>0</v>
      </c>
      <c r="D18" s="7">
        <f>SUM([3]Pinnacle!$IF$33:$IQ$33)</f>
        <v>20123</v>
      </c>
      <c r="E18" s="7">
        <f>SUM('[3]Sky West'!$IF$33:$IQ$33)</f>
        <v>48513</v>
      </c>
      <c r="F18" s="7">
        <f>SUM('[3]Go Jet'!$IF$33:$IQ$33)</f>
        <v>0</v>
      </c>
      <c r="G18" s="7">
        <f>SUM('[3]Sun Country'!$IF$33:$IQ$33)</f>
        <v>179532</v>
      </c>
      <c r="H18" s="7">
        <f>SUM([3]Icelandair!$IF$33:$IQ$33)</f>
        <v>36299</v>
      </c>
      <c r="I18" s="7">
        <f>SUM([3]KLM!$IF$33:$IQ$33)</f>
        <v>42138</v>
      </c>
      <c r="J18" s="7">
        <f>SUM([3]Jazz_AC!$IF$33:$IQ$33)</f>
        <v>68724</v>
      </c>
      <c r="K18" s="7">
        <f>SUM('[3]Sky Regional'!$IF$33:$IQ$33)</f>
        <v>0</v>
      </c>
      <c r="L18" s="7">
        <f>SUM([3]Condor!$IF$33:$IQ$33)</f>
        <v>9574</v>
      </c>
      <c r="M18" s="7">
        <f>SUM('[3]Aer Lingus'!$IF$33:$IQ$33)</f>
        <v>0</v>
      </c>
      <c r="N18" s="7">
        <f>SUM('[3]Air France'!$IF$33:$IQ$33)</f>
        <v>0</v>
      </c>
      <c r="O18" s="7">
        <f>SUM([3]Frontier!$IF$33:$IQ$33)</f>
        <v>4994</v>
      </c>
      <c r="P18" s="7">
        <f>SUM('[3]Charter Misc'!$IF$33:$IQ$33)++SUM([3]Ryan!$IF$33:$IQ$33)+SUM([3]Omni!$IF$33:$IQ$33)</f>
        <v>492</v>
      </c>
      <c r="Q18" s="206">
        <f>SUM(B18:P18)</f>
        <v>1449912</v>
      </c>
    </row>
    <row r="19" spans="1:20" ht="15" x14ac:dyDescent="0.25">
      <c r="A19" s="43" t="s">
        <v>7</v>
      </c>
      <c r="B19" s="24">
        <f t="shared" ref="B19:P19" si="11">SUM(B17:B18)</f>
        <v>2095901</v>
      </c>
      <c r="C19" s="24">
        <f t="shared" si="11"/>
        <v>0</v>
      </c>
      <c r="D19" s="24">
        <f t="shared" si="11"/>
        <v>39269</v>
      </c>
      <c r="E19" s="24">
        <f t="shared" si="11"/>
        <v>95202</v>
      </c>
      <c r="F19" s="24">
        <f t="shared" ref="F19" si="12">SUM(F17:F18)</f>
        <v>0</v>
      </c>
      <c r="G19" s="24">
        <f t="shared" si="11"/>
        <v>354312</v>
      </c>
      <c r="H19" s="24">
        <f t="shared" si="11"/>
        <v>73824</v>
      </c>
      <c r="I19" s="24">
        <f t="shared" ref="I19" si="13">SUM(I17:I18)</f>
        <v>88901</v>
      </c>
      <c r="J19" s="24">
        <f t="shared" si="11"/>
        <v>139349</v>
      </c>
      <c r="K19" s="24">
        <f t="shared" ref="K19" si="14">SUM(K17:K18)</f>
        <v>0</v>
      </c>
      <c r="L19" s="24">
        <f t="shared" ref="L19:M19" si="15">SUM(L17:L18)</f>
        <v>19004</v>
      </c>
      <c r="M19" s="24">
        <f t="shared" si="15"/>
        <v>0</v>
      </c>
      <c r="N19" s="24">
        <f t="shared" si="11"/>
        <v>0</v>
      </c>
      <c r="O19" s="24">
        <f t="shared" si="11"/>
        <v>8385</v>
      </c>
      <c r="P19" s="24">
        <f t="shared" si="11"/>
        <v>2133</v>
      </c>
      <c r="Q19" s="207">
        <f>SUM(B19:P19)</f>
        <v>2916280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SUM([3]Delta!$IF$37:$IQ$37)</f>
        <v>27235</v>
      </c>
      <c r="C22" s="12">
        <f>SUM('[3]Atlantic Southeast'!$IF$37:$IQ$37)</f>
        <v>0</v>
      </c>
      <c r="D22" s="12">
        <f>SUM([3]Pinnacle!$IF$37:$IQ$37)</f>
        <v>434</v>
      </c>
      <c r="E22" s="12">
        <f>SUM('[3]Sky West'!$IF$37:$IQ$37)</f>
        <v>918</v>
      </c>
      <c r="F22" s="12">
        <f>SUM('[3]Go Jet'!$IF$37:$IQ$37)</f>
        <v>0</v>
      </c>
      <c r="G22" s="12">
        <f>SUM('[3]Sun Country'!$IF$37:$IQ$37)</f>
        <v>2694</v>
      </c>
      <c r="H22" s="12">
        <f>SUM([3]Icelandair!$IF$37:$IQ$37)</f>
        <v>307</v>
      </c>
      <c r="I22" s="12">
        <f>SUM([3]KLM!$IF$37:$IQ$37)</f>
        <v>143</v>
      </c>
      <c r="J22" s="12">
        <f>SUM([3]Jazz_AC!$IF$37:$IQ$37)</f>
        <v>852</v>
      </c>
      <c r="K22" s="12">
        <f>SUM('[3]Sky Regional'!$IF$37:$IQ$37)</f>
        <v>0</v>
      </c>
      <c r="L22" s="12">
        <f>SUM([3]Condor!$IF$37:$IQ$37)</f>
        <v>35</v>
      </c>
      <c r="M22" s="12">
        <f>SUM('[3]Aer Lingus'!$IF$37:$IQ$37)</f>
        <v>0</v>
      </c>
      <c r="N22" s="12">
        <f>SUM('[3]Air France'!$IF$37:$IQ$37)</f>
        <v>0</v>
      </c>
      <c r="O22" s="12">
        <f>SUM([3]Frontier!$IF$37:$IQ$37)</f>
        <v>9</v>
      </c>
      <c r="P22" s="12">
        <f>SUM('[3]Charter Misc'!$IF$37:$IQ$37)++SUM([3]Ryan!$IF$37:$IQ$37)+SUM([3]Omni!$IF$37:$IQ$37)</f>
        <v>0</v>
      </c>
      <c r="Q22" s="205">
        <f>SUM(B22:P22)</f>
        <v>32627</v>
      </c>
    </row>
    <row r="23" spans="1:20" x14ac:dyDescent="0.2">
      <c r="A23" s="45" t="s">
        <v>33</v>
      </c>
      <c r="B23" s="7">
        <f>SUM([3]Delta!$IF$38:$IQ$38)</f>
        <v>29666</v>
      </c>
      <c r="C23" s="7">
        <f>SUM('[3]Atlantic Southeast'!$IF$38:$IQ$38)</f>
        <v>0</v>
      </c>
      <c r="D23" s="7">
        <f>SUM([3]Pinnacle!$IF$38:$IQ$38)</f>
        <v>432</v>
      </c>
      <c r="E23" s="7">
        <f>SUM('[3]Sky West'!$IF$38:$IQ$38)</f>
        <v>904</v>
      </c>
      <c r="F23" s="7">
        <f>SUM('[3]Go Jet'!$IF$38:$IQ$38)</f>
        <v>0</v>
      </c>
      <c r="G23" s="7">
        <f>SUM('[3]Sun Country'!$IF$38:$IQ$38)</f>
        <v>2878</v>
      </c>
      <c r="H23" s="7">
        <f>SUM([3]Icelandair!$IF$38:$IQ$38)</f>
        <v>344</v>
      </c>
      <c r="I23" s="7">
        <f>SUM([3]KLM!$IF$38:$IQ$38)</f>
        <v>3</v>
      </c>
      <c r="J23" s="7">
        <f>SUM([3]Jazz_AC!$IF$38:$IQ$38)</f>
        <v>999</v>
      </c>
      <c r="K23" s="7">
        <f>SUM('[3]Sky Regional'!$IF$38:$IQ$38)</f>
        <v>0</v>
      </c>
      <c r="L23" s="7">
        <f>SUM([3]Condor!$IF$38:$IQ$38)</f>
        <v>28</v>
      </c>
      <c r="M23" s="7">
        <f>SUM('[3]Aer Lingus'!$IF$38:$IQ$38)</f>
        <v>0</v>
      </c>
      <c r="N23" s="7">
        <f>SUM('[3]Air France'!$IF$38:$IQ$38)</f>
        <v>0</v>
      </c>
      <c r="O23" s="7">
        <f>SUM([3]Frontier!$IF$38:$IQ$38)</f>
        <v>8</v>
      </c>
      <c r="P23" s="7">
        <f>SUM('[3]Charter Misc'!$IF$38:$IQ$38)++SUM([3]Ryan!$IF$38:$IQ$38)+SUM([3]Omni!$IF$38:$IQ$38)</f>
        <v>0</v>
      </c>
      <c r="Q23" s="206">
        <f>SUM(B23:P23)</f>
        <v>35262</v>
      </c>
    </row>
    <row r="24" spans="1:20" ht="15.75" thickBot="1" x14ac:dyDescent="0.3">
      <c r="A24" s="46" t="s">
        <v>34</v>
      </c>
      <c r="B24" s="208">
        <f t="shared" ref="B24:P24" si="16">SUM(B22:B23)</f>
        <v>56901</v>
      </c>
      <c r="C24" s="208">
        <f t="shared" si="16"/>
        <v>0</v>
      </c>
      <c r="D24" s="208">
        <f t="shared" si="16"/>
        <v>866</v>
      </c>
      <c r="E24" s="208">
        <f t="shared" si="16"/>
        <v>1822</v>
      </c>
      <c r="F24" s="208">
        <f t="shared" ref="F24" si="17">SUM(F22:F23)</f>
        <v>0</v>
      </c>
      <c r="G24" s="208">
        <f t="shared" si="16"/>
        <v>5572</v>
      </c>
      <c r="H24" s="208">
        <f t="shared" si="16"/>
        <v>651</v>
      </c>
      <c r="I24" s="208">
        <f t="shared" ref="I24" si="18">SUM(I22:I23)</f>
        <v>146</v>
      </c>
      <c r="J24" s="208">
        <f t="shared" si="16"/>
        <v>1851</v>
      </c>
      <c r="K24" s="208">
        <f t="shared" ref="K24" si="19">SUM(K22:K23)</f>
        <v>0</v>
      </c>
      <c r="L24" s="208">
        <f t="shared" ref="L24:M24" si="20">SUM(L22:L23)</f>
        <v>63</v>
      </c>
      <c r="M24" s="208">
        <f t="shared" si="20"/>
        <v>0</v>
      </c>
      <c r="N24" s="208">
        <f t="shared" si="16"/>
        <v>0</v>
      </c>
      <c r="O24" s="208">
        <f t="shared" si="16"/>
        <v>17</v>
      </c>
      <c r="P24" s="208">
        <f t="shared" si="16"/>
        <v>0</v>
      </c>
      <c r="Q24" s="209">
        <f>SUM(B24:P24)</f>
        <v>67889</v>
      </c>
    </row>
    <row r="26" spans="1:20" ht="39" thickBot="1" x14ac:dyDescent="0.25">
      <c r="B26" s="326" t="s">
        <v>18</v>
      </c>
      <c r="C26" s="325" t="s">
        <v>188</v>
      </c>
      <c r="D26" s="364" t="s">
        <v>155</v>
      </c>
      <c r="E26" s="325" t="s">
        <v>161</v>
      </c>
      <c r="F26" s="325" t="s">
        <v>160</v>
      </c>
      <c r="G26" s="325" t="s">
        <v>49</v>
      </c>
      <c r="H26" s="325" t="s">
        <v>113</v>
      </c>
      <c r="I26" s="325" t="s">
        <v>187</v>
      </c>
      <c r="J26" s="325" t="s">
        <v>250</v>
      </c>
      <c r="K26" s="325" t="s">
        <v>189</v>
      </c>
      <c r="L26" s="325" t="s">
        <v>159</v>
      </c>
      <c r="M26" s="325" t="s">
        <v>196</v>
      </c>
      <c r="N26" s="325" t="s">
        <v>154</v>
      </c>
      <c r="O26" s="325" t="s">
        <v>47</v>
      </c>
      <c r="P26" s="325" t="s">
        <v>137</v>
      </c>
      <c r="Q26" s="325" t="s">
        <v>21</v>
      </c>
    </row>
    <row r="27" spans="1:20" ht="15" x14ac:dyDescent="0.25">
      <c r="A27" s="483" t="s">
        <v>140</v>
      </c>
      <c r="B27" s="484"/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5"/>
    </row>
    <row r="28" spans="1:20" x14ac:dyDescent="0.2">
      <c r="A28" s="45" t="s">
        <v>22</v>
      </c>
      <c r="B28" s="12">
        <f>[3]Delta!$IQ$15</f>
        <v>550</v>
      </c>
      <c r="C28" s="12">
        <f>'[3]Atlantic Southeast'!$IQ$15</f>
        <v>0</v>
      </c>
      <c r="D28" s="12">
        <f>[3]Pinnacle!$IQ$15</f>
        <v>50</v>
      </c>
      <c r="E28" s="12">
        <f>'[3]Sky West'!$IQ$15</f>
        <v>52</v>
      </c>
      <c r="F28" s="12">
        <f>'[3]Go Jet'!$IQ$15</f>
        <v>0</v>
      </c>
      <c r="G28" s="12">
        <f>'[3]Sun Country'!$IQ$15</f>
        <v>167</v>
      </c>
      <c r="H28" s="12">
        <f>[3]Icelandair!$IQ$15</f>
        <v>12</v>
      </c>
      <c r="I28" s="12">
        <f>[3]KLM!$IQ$15</f>
        <v>15</v>
      </c>
      <c r="J28" s="12">
        <f>[3]Jazz_AC!$IQ$15</f>
        <v>91</v>
      </c>
      <c r="K28" s="12">
        <f>'[3]Sky Regional'!$IQ$15</f>
        <v>0</v>
      </c>
      <c r="L28" s="12">
        <f>[3]Condor!$IQ$15</f>
        <v>0</v>
      </c>
      <c r="M28" s="12">
        <f>'[3]Aer Lingus'!$IQ$15</f>
        <v>0</v>
      </c>
      <c r="N28" s="12">
        <f>'[3]Air France'!$IQ$15</f>
        <v>0</v>
      </c>
      <c r="O28" s="12">
        <f>[3]Frontier!$IQ$15</f>
        <v>31</v>
      </c>
      <c r="P28" s="12">
        <f>'[3]Charter Misc'!$IQ$15+[3]Ryan!$IQ$15+[3]Omni!$IQ$15</f>
        <v>1</v>
      </c>
      <c r="Q28" s="205">
        <f>SUM(B28:P28)</f>
        <v>969</v>
      </c>
    </row>
    <row r="29" spans="1:20" x14ac:dyDescent="0.2">
      <c r="A29" s="45" t="s">
        <v>23</v>
      </c>
      <c r="B29" s="12">
        <f>[3]Delta!$IQ$16</f>
        <v>547</v>
      </c>
      <c r="C29" s="12">
        <f>'[3]Atlantic Southeast'!$IQ$16</f>
        <v>0</v>
      </c>
      <c r="D29" s="12">
        <f>[3]Pinnacle!$IQ$16</f>
        <v>50</v>
      </c>
      <c r="E29" s="12">
        <f>'[3]Sky West'!$IQ$16</f>
        <v>52</v>
      </c>
      <c r="F29" s="12">
        <f>'[3]Go Jet'!$IQ$16</f>
        <v>0</v>
      </c>
      <c r="G29" s="12">
        <f>'[3]Sun Country'!$IQ$16</f>
        <v>176</v>
      </c>
      <c r="H29" s="12">
        <f>[3]Icelandair!$IQ$16</f>
        <v>12</v>
      </c>
      <c r="I29" s="12">
        <f>[3]KLM!$IQ$16</f>
        <v>15</v>
      </c>
      <c r="J29" s="12">
        <f>[3]Jazz_AC!$IQ$16</f>
        <v>91</v>
      </c>
      <c r="K29" s="12">
        <f>'[3]Sky Regional'!$IQ$16</f>
        <v>0</v>
      </c>
      <c r="L29" s="12">
        <f>[3]Condor!$IQ$16</f>
        <v>0</v>
      </c>
      <c r="M29" s="12">
        <f>'[3]Aer Lingus'!$IQ$16</f>
        <v>0</v>
      </c>
      <c r="N29" s="12">
        <f>'[3]Air France'!$IQ$16</f>
        <v>0</v>
      </c>
      <c r="O29" s="12">
        <f>[3]Frontier!$IQ$16</f>
        <v>31</v>
      </c>
      <c r="P29" s="12">
        <f>'[3]Charter Misc'!$IQ$16+[3]Ryan!$IQ$16+[3]Omni!$IQ$16</f>
        <v>0</v>
      </c>
      <c r="Q29" s="205">
        <f>SUM(B29:P29)</f>
        <v>974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1097</v>
      </c>
      <c r="C31" s="282">
        <f t="shared" si="21"/>
        <v>0</v>
      </c>
      <c r="D31" s="282">
        <f t="shared" si="21"/>
        <v>100</v>
      </c>
      <c r="E31" s="282">
        <f>SUM(E28:E29)</f>
        <v>104</v>
      </c>
      <c r="F31" s="282">
        <f>SUM(F28:F29)</f>
        <v>0</v>
      </c>
      <c r="G31" s="282">
        <f t="shared" si="21"/>
        <v>343</v>
      </c>
      <c r="H31" s="282">
        <f t="shared" si="21"/>
        <v>24</v>
      </c>
      <c r="I31" s="282">
        <f t="shared" ref="I31" si="22">SUM(I28:I29)</f>
        <v>30</v>
      </c>
      <c r="J31" s="282">
        <f t="shared" si="21"/>
        <v>182</v>
      </c>
      <c r="K31" s="282">
        <f t="shared" ref="K31" si="23">SUM(K28:K29)</f>
        <v>0</v>
      </c>
      <c r="L31" s="282">
        <f>SUM(L28:L29)</f>
        <v>0</v>
      </c>
      <c r="M31" s="282">
        <f>SUM(M28:M29)</f>
        <v>0</v>
      </c>
      <c r="N31" s="282">
        <f>SUM(N28:N29)</f>
        <v>0</v>
      </c>
      <c r="O31" s="282">
        <f t="shared" ref="O31" si="24">SUM(O28:O29)</f>
        <v>62</v>
      </c>
      <c r="P31" s="282">
        <f>SUM(P28:P29)</f>
        <v>1</v>
      </c>
      <c r="Q31" s="283">
        <f>SUM(B31:P31)</f>
        <v>1943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188</v>
      </c>
      <c r="D33" s="364" t="s">
        <v>155</v>
      </c>
      <c r="E33" s="325" t="s">
        <v>161</v>
      </c>
      <c r="F33" s="325" t="s">
        <v>160</v>
      </c>
      <c r="G33" s="325" t="s">
        <v>49</v>
      </c>
      <c r="H33" s="325" t="s">
        <v>113</v>
      </c>
      <c r="I33" s="325" t="s">
        <v>187</v>
      </c>
      <c r="J33" s="325" t="s">
        <v>250</v>
      </c>
      <c r="K33" s="325" t="s">
        <v>189</v>
      </c>
      <c r="L33" s="325" t="s">
        <v>159</v>
      </c>
      <c r="M33" s="325" t="s">
        <v>196</v>
      </c>
      <c r="N33" s="325" t="s">
        <v>154</v>
      </c>
      <c r="O33" s="325" t="s">
        <v>47</v>
      </c>
      <c r="P33" s="325" t="s">
        <v>137</v>
      </c>
      <c r="Q33" s="325" t="s">
        <v>21</v>
      </c>
    </row>
    <row r="34" spans="1:17" ht="15" x14ac:dyDescent="0.25">
      <c r="A34" s="486" t="s">
        <v>141</v>
      </c>
      <c r="B34" s="487"/>
      <c r="C34" s="487"/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  <c r="O34" s="487"/>
      <c r="P34" s="487"/>
      <c r="Q34" s="488"/>
    </row>
    <row r="35" spans="1:17" x14ac:dyDescent="0.2">
      <c r="A35" s="45" t="s">
        <v>22</v>
      </c>
      <c r="B35" s="12">
        <f>SUM([3]Delta!$IF$15:$IQ$15)</f>
        <v>6062</v>
      </c>
      <c r="C35" s="12">
        <f>SUM('[3]Atlantic Southeast'!$IF$15:$IQ$15)</f>
        <v>0</v>
      </c>
      <c r="D35" s="12">
        <f>SUM([3]Pinnacle!$IF$15:$IQ$15)</f>
        <v>325</v>
      </c>
      <c r="E35" s="12">
        <f>SUM('[3]Sky West'!$IF$15:$IQ$15)</f>
        <v>772</v>
      </c>
      <c r="F35" s="12">
        <f>SUM('[3]Go Jet'!$IF$15:$IQ$15)</f>
        <v>0</v>
      </c>
      <c r="G35" s="12">
        <f>SUM('[3]Sun Country'!$IF$15:$IQ$15)</f>
        <v>1207</v>
      </c>
      <c r="H35" s="12">
        <f>SUM([3]Icelandair!$IF$15:$IQ$15)</f>
        <v>224</v>
      </c>
      <c r="I35" s="12">
        <f>SUM([3]KLM!$IF$15:$IQ$15)</f>
        <v>194</v>
      </c>
      <c r="J35" s="12">
        <f>SUM([3]Jazz_AC!$IF$15:$IQ$15)</f>
        <v>1201</v>
      </c>
      <c r="K35" s="12">
        <f>SUM('[3]Sky Regional'!$IF$15:$IQ$15)</f>
        <v>0</v>
      </c>
      <c r="L35" s="12">
        <f>SUM([3]Condor!$IF$15:$IQ$15)</f>
        <v>44</v>
      </c>
      <c r="M35" s="12">
        <f>SUM('[3]Aer Lingus'!$IF$15:$IQ$15)</f>
        <v>0</v>
      </c>
      <c r="N35" s="12">
        <f>SUM('[3]Air France'!$IF$15:$IQ$15)</f>
        <v>0</v>
      </c>
      <c r="O35" s="12">
        <f>SUM([3]Frontier!$IF$15:$IQ$15)</f>
        <v>46</v>
      </c>
      <c r="P35" s="12">
        <f>SUM('[3]Charter Misc'!$IF$15:$IQ$15)+SUM([3]Ryan!$IF$15:$IQ$15)+SUM([3]Omni!$IF$15:$IQ$15)</f>
        <v>9</v>
      </c>
      <c r="Q35" s="205">
        <f>SUM(B35:P35)</f>
        <v>10084</v>
      </c>
    </row>
    <row r="36" spans="1:17" x14ac:dyDescent="0.2">
      <c r="A36" s="45" t="s">
        <v>23</v>
      </c>
      <c r="B36" s="12">
        <f>SUM([3]Delta!$IF$16:$IQ$16)</f>
        <v>6074</v>
      </c>
      <c r="C36" s="12">
        <f>SUM('[3]Atlantic Southeast'!$IF$16:$IQ$16)</f>
        <v>0</v>
      </c>
      <c r="D36" s="12">
        <f>SUM([3]Pinnacle!$IF$16:$IQ$16)</f>
        <v>327</v>
      </c>
      <c r="E36" s="12">
        <f>SUM('[3]Sky West'!$IF$16:$IQ$16)</f>
        <v>769</v>
      </c>
      <c r="F36" s="12">
        <f>SUM('[3]Go Jet'!$IF$16:$IQ$16)</f>
        <v>0</v>
      </c>
      <c r="G36" s="12">
        <f>SUM('[3]Sun Country'!$IF$16:$IQ$16)</f>
        <v>1210</v>
      </c>
      <c r="H36" s="12">
        <f>SUM([3]Icelandair!$IF$16:$IQ$16)</f>
        <v>224</v>
      </c>
      <c r="I36" s="12">
        <f>SUM([3]KLM!$IF$16:$IQ$16)</f>
        <v>194</v>
      </c>
      <c r="J36" s="12">
        <f>SUM([3]Jazz_AC!$IF$16:$IQ$16)</f>
        <v>1137</v>
      </c>
      <c r="K36" s="12">
        <f>SUM('[3]Sky Regional'!$IF$16:$IQ$16)</f>
        <v>0</v>
      </c>
      <c r="L36" s="12">
        <f>SUM([3]Condor!$IF$16:$IQ$16)</f>
        <v>44</v>
      </c>
      <c r="M36" s="12">
        <f>SUM('[3]Aer Lingus'!$IF$16:$IQ$16)</f>
        <v>0</v>
      </c>
      <c r="N36" s="12">
        <f>SUM('[3]Air France'!$IF$16:$IQ$16)</f>
        <v>0</v>
      </c>
      <c r="O36" s="12">
        <f>SUM([3]Frontier!$IF$16:$IQ$16)</f>
        <v>46</v>
      </c>
      <c r="P36" s="12">
        <f>SUM('[3]Charter Misc'!$IF$16:$IQ$16)+SUM([3]Ryan!$IF$16:$IQ$16)+SUM([3]Omni!$IF$16:$IQ$16)</f>
        <v>3</v>
      </c>
      <c r="Q36" s="205">
        <f>SUM(B36:P36)</f>
        <v>10028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12136</v>
      </c>
      <c r="C38" s="282">
        <f t="shared" si="25"/>
        <v>0</v>
      </c>
      <c r="D38" s="282">
        <f t="shared" si="25"/>
        <v>652</v>
      </c>
      <c r="E38" s="282">
        <f>+SUM(E35:E36)</f>
        <v>1541</v>
      </c>
      <c r="F38" s="282">
        <f>+SUM(F35:F36)</f>
        <v>0</v>
      </c>
      <c r="G38" s="282">
        <f t="shared" si="25"/>
        <v>2417</v>
      </c>
      <c r="H38" s="282">
        <f t="shared" si="25"/>
        <v>448</v>
      </c>
      <c r="I38" s="282">
        <f t="shared" ref="I38" si="26">+SUM(I35:I36)</f>
        <v>388</v>
      </c>
      <c r="J38" s="282">
        <f t="shared" si="25"/>
        <v>2338</v>
      </c>
      <c r="K38" s="282">
        <f t="shared" ref="K38" si="27">+SUM(K35:K36)</f>
        <v>0</v>
      </c>
      <c r="L38" s="282">
        <f>+SUM(L35:L36)</f>
        <v>88</v>
      </c>
      <c r="M38" s="282">
        <f>+SUM(M35:M36)</f>
        <v>0</v>
      </c>
      <c r="N38" s="282">
        <f>+SUM(N35:N36)</f>
        <v>0</v>
      </c>
      <c r="O38" s="282">
        <f t="shared" ref="O38" si="28">+SUM(O35:O36)</f>
        <v>92</v>
      </c>
      <c r="P38" s="282">
        <f>+SUM(P35:P36)</f>
        <v>12</v>
      </c>
      <c r="Q38" s="283">
        <f>SUM(B38:P38)</f>
        <v>20112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&amp;"Arial,Bold"December 2023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4701"/>
  <sheetViews>
    <sheetView zoomScaleNormal="100" zoomScaleSheetLayoutView="85" workbookViewId="0">
      <selection activeCell="O7" sqref="O7"/>
    </sheetView>
  </sheetViews>
  <sheetFormatPr defaultRowHeight="12.75" x14ac:dyDescent="0.2"/>
  <cols>
    <col min="1" max="1" width="3.42578125" customWidth="1"/>
    <col min="2" max="2" width="20" bestFit="1" customWidth="1"/>
    <col min="3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</cols>
  <sheetData>
    <row r="1" spans="1:27" s="9" customFormat="1" ht="39" thickBot="1" x14ac:dyDescent="0.25">
      <c r="A1" s="497" t="s">
        <v>130</v>
      </c>
      <c r="B1" s="498"/>
      <c r="C1" s="407" t="s">
        <v>231</v>
      </c>
      <c r="D1" s="407" t="s">
        <v>224</v>
      </c>
      <c r="E1" s="406" t="s">
        <v>95</v>
      </c>
      <c r="F1" s="408" t="s">
        <v>232</v>
      </c>
      <c r="G1" s="407" t="s">
        <v>225</v>
      </c>
      <c r="H1" s="409" t="s">
        <v>96</v>
      </c>
      <c r="I1" s="406" t="s">
        <v>233</v>
      </c>
      <c r="J1" s="501" t="s">
        <v>134</v>
      </c>
      <c r="K1" s="502"/>
      <c r="L1" s="410" t="s">
        <v>234</v>
      </c>
      <c r="M1" s="410" t="s">
        <v>226</v>
      </c>
      <c r="N1" s="411" t="s">
        <v>96</v>
      </c>
      <c r="O1" s="412" t="s">
        <v>235</v>
      </c>
      <c r="P1" s="412" t="s">
        <v>227</v>
      </c>
      <c r="Q1" s="413" t="s">
        <v>96</v>
      </c>
      <c r="R1" s="414" t="s">
        <v>233</v>
      </c>
      <c r="S1" s="489" t="s">
        <v>210</v>
      </c>
      <c r="T1" s="490"/>
      <c r="U1" s="415" t="s">
        <v>234</v>
      </c>
      <c r="V1" s="415" t="s">
        <v>226</v>
      </c>
      <c r="W1" s="416" t="s">
        <v>96</v>
      </c>
      <c r="X1" s="417" t="s">
        <v>235</v>
      </c>
      <c r="Y1" s="417" t="s">
        <v>227</v>
      </c>
      <c r="Z1" s="418" t="s">
        <v>96</v>
      </c>
      <c r="AA1" s="419" t="s">
        <v>233</v>
      </c>
    </row>
    <row r="2" spans="1:27" s="9" customFormat="1" ht="13.5" customHeight="1" thickBot="1" x14ac:dyDescent="0.25">
      <c r="A2" s="472">
        <v>45261</v>
      </c>
      <c r="B2" s="473"/>
      <c r="C2" s="499" t="s">
        <v>9</v>
      </c>
      <c r="D2" s="500"/>
      <c r="E2" s="500"/>
      <c r="F2" s="500"/>
      <c r="G2" s="500"/>
      <c r="H2" s="500"/>
      <c r="I2" s="332"/>
      <c r="J2" s="472">
        <f>+A2</f>
        <v>45261</v>
      </c>
      <c r="K2" s="473"/>
      <c r="L2" s="494" t="s">
        <v>136</v>
      </c>
      <c r="M2" s="495"/>
      <c r="N2" s="495"/>
      <c r="O2" s="495"/>
      <c r="P2" s="495"/>
      <c r="Q2" s="495"/>
      <c r="R2" s="496"/>
      <c r="S2" s="472">
        <f>+J2</f>
        <v>45261</v>
      </c>
      <c r="T2" s="473"/>
      <c r="U2" s="491" t="s">
        <v>211</v>
      </c>
      <c r="V2" s="492"/>
      <c r="W2" s="492"/>
      <c r="X2" s="492"/>
      <c r="Y2" s="492"/>
      <c r="Z2" s="492"/>
      <c r="AA2" s="493"/>
    </row>
    <row r="3" spans="1:27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</row>
    <row r="4" spans="1:27" ht="14.1" customHeight="1" x14ac:dyDescent="0.2">
      <c r="A4" s="258" t="s">
        <v>98</v>
      </c>
      <c r="B4" s="39"/>
      <c r="C4" s="259">
        <f>SUM(C5:C7)</f>
        <v>182</v>
      </c>
      <c r="D4" s="261">
        <f>SUM(D5:D7)</f>
        <v>175</v>
      </c>
      <c r="E4" s="262">
        <f>(C4-D4)/D4</f>
        <v>0.04</v>
      </c>
      <c r="F4" s="259">
        <f>SUM(F5:F7)</f>
        <v>2338</v>
      </c>
      <c r="G4" s="261">
        <f>SUM(G5:G7)</f>
        <v>1880</v>
      </c>
      <c r="H4" s="260">
        <f>(F4-G4)/G4</f>
        <v>0.24361702127659574</v>
      </c>
      <c r="I4" s="262">
        <f>F4/$F$62</f>
        <v>8.02440958124114E-3</v>
      </c>
      <c r="J4" s="258" t="s">
        <v>98</v>
      </c>
      <c r="K4" s="39"/>
      <c r="L4" s="259">
        <f>SUM(L5:L7)</f>
        <v>9039</v>
      </c>
      <c r="M4" s="261">
        <f>SUM(M5:M7)</f>
        <v>8832</v>
      </c>
      <c r="N4" s="262">
        <f>(L4-M4)/M4</f>
        <v>2.34375E-2</v>
      </c>
      <c r="O4" s="259">
        <f>SUM(O5:O7)</f>
        <v>139349</v>
      </c>
      <c r="P4" s="261">
        <f>SUM(P5:P7)</f>
        <v>101119</v>
      </c>
      <c r="Q4" s="260">
        <f>(O4-P4)/P4</f>
        <v>0.37806940337622008</v>
      </c>
      <c r="R4" s="262">
        <f>O4/$O$62</f>
        <v>4.1230969411401568E-3</v>
      </c>
      <c r="S4" s="258" t="s">
        <v>98</v>
      </c>
      <c r="T4" s="39"/>
      <c r="U4" s="259">
        <f>SUM(U5:U7)</f>
        <v>18016.900000000001</v>
      </c>
      <c r="V4" s="261">
        <f>SUM(V5:V7)</f>
        <v>0</v>
      </c>
      <c r="W4" s="262" t="e">
        <f>(U4-V4)/V4</f>
        <v>#DIV/0!</v>
      </c>
      <c r="X4" s="259">
        <f>SUM(X5:X7)</f>
        <v>373624.3</v>
      </c>
      <c r="Y4" s="261">
        <f>SUM(Y5:Y7)</f>
        <v>804730</v>
      </c>
      <c r="Z4" s="260">
        <f>(X4-Y4)/Y4</f>
        <v>-0.53571471176667951</v>
      </c>
      <c r="AA4" s="262">
        <f>X4/$X$62</f>
        <v>4.3452525033606266E-3</v>
      </c>
    </row>
    <row r="5" spans="1:27" ht="14.1" customHeight="1" x14ac:dyDescent="0.2">
      <c r="A5" s="258"/>
      <c r="B5" s="318" t="s">
        <v>98</v>
      </c>
      <c r="C5" s="263">
        <f>+[3]AirCanada!$IQ$19</f>
        <v>0</v>
      </c>
      <c r="D5" s="2">
        <f>+[3]AirCanada!$IC$19</f>
        <v>0</v>
      </c>
      <c r="E5" s="65" t="e">
        <f>(C5-D5)/D5</f>
        <v>#DIV/0!</v>
      </c>
      <c r="F5" s="217">
        <f>SUM([3]AirCanada!$IF$19:$IQ$19)</f>
        <v>0</v>
      </c>
      <c r="G5" s="217">
        <f>SUM([3]AirCanada!$HR$19:$IC$19)</f>
        <v>0</v>
      </c>
      <c r="H5" s="323" t="e">
        <f>(F5-G5)/G5</f>
        <v>#DIV/0!</v>
      </c>
      <c r="I5" s="65">
        <f>F5/$F$62</f>
        <v>0</v>
      </c>
      <c r="J5" s="258"/>
      <c r="K5" s="318" t="s">
        <v>98</v>
      </c>
      <c r="L5" s="322">
        <f>+[3]AirCanada!$IQ$41</f>
        <v>0</v>
      </c>
      <c r="M5" s="217">
        <f>+[3]AirCanada!$IC$41</f>
        <v>0</v>
      </c>
      <c r="N5" s="324" t="e">
        <f>(L5-M5)/M5</f>
        <v>#DIV/0!</v>
      </c>
      <c r="O5" s="322">
        <f>SUM([3]AirCanada!$IF$41:$IQ$41)</f>
        <v>0</v>
      </c>
      <c r="P5" s="217">
        <f>SUM([3]AirCanada!$HR$41:$IC$41)</f>
        <v>0</v>
      </c>
      <c r="Q5" s="323" t="e">
        <f>(O5-P5)/P5</f>
        <v>#DIV/0!</v>
      </c>
      <c r="R5" s="324">
        <f>O5/$O$62</f>
        <v>0</v>
      </c>
      <c r="S5" s="258"/>
      <c r="T5" s="318" t="s">
        <v>98</v>
      </c>
      <c r="U5" s="322">
        <f>+[3]AirCanada!$IQ$64</f>
        <v>0</v>
      </c>
      <c r="V5" s="217">
        <f>+[3]AirCanada!$IC$64</f>
        <v>0</v>
      </c>
      <c r="W5" s="324" t="e">
        <f>(U5-V5)/V5</f>
        <v>#DIV/0!</v>
      </c>
      <c r="X5" s="322">
        <f>SUM([3]AirCanada!$IF$64:$IQ$64)</f>
        <v>0</v>
      </c>
      <c r="Y5" s="217">
        <f>SUM([3]AirCanada!$HR$64:$IC$64)</f>
        <v>0</v>
      </c>
      <c r="Z5" s="323" t="e">
        <f>(X5-Y5)/Y5</f>
        <v>#DIV/0!</v>
      </c>
      <c r="AA5" s="324">
        <f>X5/$X$62</f>
        <v>0</v>
      </c>
    </row>
    <row r="6" spans="1:27" ht="14.1" customHeight="1" x14ac:dyDescent="0.2">
      <c r="A6" s="258"/>
      <c r="B6" s="318" t="s">
        <v>162</v>
      </c>
      <c r="C6" s="263">
        <f>'[3]Air Georgian'!$IQ$19</f>
        <v>0</v>
      </c>
      <c r="D6" s="2">
        <f>'[3]Air Georgian'!$IC$19</f>
        <v>0</v>
      </c>
      <c r="E6" s="65" t="e">
        <f>(C6-D6)/D6</f>
        <v>#DIV/0!</v>
      </c>
      <c r="F6" s="217">
        <f>SUM('[3]Air Georgian'!$IF$19:$IQ$19)</f>
        <v>0</v>
      </c>
      <c r="G6" s="217">
        <f>SUM('[3]Air Georgian'!$HR$19:$IC$19)</f>
        <v>0</v>
      </c>
      <c r="H6" s="323" t="e">
        <f>(F6-G6)/G6</f>
        <v>#DIV/0!</v>
      </c>
      <c r="I6" s="65">
        <f>F6/$F$62</f>
        <v>0</v>
      </c>
      <c r="J6" s="258"/>
      <c r="K6" s="318" t="s">
        <v>162</v>
      </c>
      <c r="L6" s="263">
        <f>'[3]Air Georgian'!$IQ$41</f>
        <v>0</v>
      </c>
      <c r="M6" s="2">
        <f>'[3]Air Georgian'!$IC$41</f>
        <v>0</v>
      </c>
      <c r="N6" s="65" t="e">
        <f>(L6-M6)/M6</f>
        <v>#DIV/0!</v>
      </c>
      <c r="O6" s="263">
        <f>SUM('[3]Air Georgian'!$IF$41:$IQ$41)</f>
        <v>0</v>
      </c>
      <c r="P6" s="2">
        <f>SUM('[3]Air Georgian'!$HR$41:$IC$41)</f>
        <v>0</v>
      </c>
      <c r="Q6" s="3" t="e">
        <f>(O6-P6)/P6</f>
        <v>#DIV/0!</v>
      </c>
      <c r="R6" s="65">
        <f>O6/$O$62</f>
        <v>0</v>
      </c>
      <c r="S6" s="258"/>
      <c r="T6" s="318" t="s">
        <v>162</v>
      </c>
      <c r="U6" s="263">
        <f>'[3]Air Georgian'!$IQ$64</f>
        <v>0</v>
      </c>
      <c r="V6" s="2">
        <f>'[3]Air Georgian'!$IC$64</f>
        <v>0</v>
      </c>
      <c r="W6" s="65" t="e">
        <f>(U6-V6)/V6</f>
        <v>#DIV/0!</v>
      </c>
      <c r="X6" s="263">
        <f>SUM('[3]Air Georgian'!$IF$64:$IQ$64)</f>
        <v>0</v>
      </c>
      <c r="Y6" s="2">
        <f>SUM('[3]Air Georgian'!$HR$64:$IC$64)</f>
        <v>0</v>
      </c>
      <c r="Z6" s="3" t="e">
        <f>(X6-Y6)/Y6</f>
        <v>#DIV/0!</v>
      </c>
      <c r="AA6" s="65">
        <f>X6/$X$62</f>
        <v>0</v>
      </c>
    </row>
    <row r="7" spans="1:27" ht="14.1" customHeight="1" x14ac:dyDescent="0.2">
      <c r="A7" s="258"/>
      <c r="B7" s="318" t="s">
        <v>218</v>
      </c>
      <c r="C7" s="263">
        <f>[3]Jazz_AC!$IQ$19</f>
        <v>182</v>
      </c>
      <c r="D7" s="2">
        <f>[3]Jazz_AC!$IC$19</f>
        <v>175</v>
      </c>
      <c r="E7" s="65">
        <f t="shared" ref="E7" si="0">(C7-D7)/D7</f>
        <v>0.04</v>
      </c>
      <c r="F7" s="2">
        <f>SUM([3]Jazz_AC!$IF$19:$IQ$19)</f>
        <v>2338</v>
      </c>
      <c r="G7" s="2">
        <f>SUM([3]Jazz_AC!$HR$19:$IC$19)</f>
        <v>1880</v>
      </c>
      <c r="H7" s="3">
        <f t="shared" ref="H7" si="1">(F7-G7)/G7</f>
        <v>0.24361702127659574</v>
      </c>
      <c r="I7" s="65">
        <f>F7/$F$62</f>
        <v>8.02440958124114E-3</v>
      </c>
      <c r="J7" s="258"/>
      <c r="K7" s="318" t="s">
        <v>218</v>
      </c>
      <c r="L7" s="263">
        <f>[3]Jazz_AC!$IQ$41</f>
        <v>9039</v>
      </c>
      <c r="M7" s="2">
        <f>[3]Jazz_AC!$IC$41</f>
        <v>8832</v>
      </c>
      <c r="N7" s="65">
        <f t="shared" ref="N7" si="2">(L7-M7)/M7</f>
        <v>2.34375E-2</v>
      </c>
      <c r="O7" s="263">
        <f>SUM([3]Jazz_AC!$IF$41:$IQ$41)</f>
        <v>139349</v>
      </c>
      <c r="P7" s="2">
        <f>SUM([3]Jazz_AC!$HR$41:$IC$41)</f>
        <v>101119</v>
      </c>
      <c r="Q7" s="3">
        <f t="shared" ref="Q7" si="3">(O7-P7)/P7</f>
        <v>0.37806940337622008</v>
      </c>
      <c r="R7" s="65">
        <f>O7/$O$62</f>
        <v>4.1230969411401568E-3</v>
      </c>
      <c r="S7" s="258"/>
      <c r="T7" s="318" t="s">
        <v>218</v>
      </c>
      <c r="U7" s="263">
        <f>[3]Jazz_AC!$IQ$64</f>
        <v>18016.900000000001</v>
      </c>
      <c r="V7" s="2">
        <f>[3]Jazz_AC!$IC$64</f>
        <v>0</v>
      </c>
      <c r="W7" s="65" t="e">
        <f t="shared" ref="W7" si="4">(U7-V7)/V7</f>
        <v>#DIV/0!</v>
      </c>
      <c r="X7" s="263">
        <f>SUM([3]Jazz_AC!$IF$64:$IQ$64)</f>
        <v>373624.3</v>
      </c>
      <c r="Y7" s="2">
        <f>SUM([3]Jazz_AC!$HR$64:$IC$64)</f>
        <v>804730</v>
      </c>
      <c r="Z7" s="3">
        <f t="shared" ref="Z7" si="5">(X7-Y7)/Y7</f>
        <v>-0.53571471176667951</v>
      </c>
      <c r="AA7" s="65">
        <f>X7/$X$62</f>
        <v>4.3452525033606266E-3</v>
      </c>
    </row>
    <row r="8" spans="1:27" ht="14.1" customHeight="1" x14ac:dyDescent="0.2">
      <c r="A8" s="258"/>
      <c r="B8" s="39"/>
      <c r="C8" s="259"/>
      <c r="D8" s="261"/>
      <c r="E8" s="262"/>
      <c r="F8" s="261"/>
      <c r="G8" s="261"/>
      <c r="H8" s="260"/>
      <c r="I8" s="262"/>
      <c r="J8" s="258"/>
      <c r="K8" s="39"/>
      <c r="L8" s="263"/>
      <c r="N8" s="65"/>
      <c r="O8" s="263"/>
      <c r="P8" s="2"/>
      <c r="Q8" s="3"/>
      <c r="R8" s="65"/>
      <c r="S8" s="258"/>
      <c r="T8" s="39"/>
      <c r="U8" s="263"/>
      <c r="V8" s="2"/>
      <c r="W8" s="65"/>
      <c r="X8" s="263"/>
      <c r="Y8" s="2"/>
      <c r="Z8" s="3"/>
      <c r="AA8" s="65"/>
    </row>
    <row r="9" spans="1:27" ht="14.1" customHeight="1" x14ac:dyDescent="0.2">
      <c r="A9" s="258" t="s">
        <v>154</v>
      </c>
      <c r="B9" s="39"/>
      <c r="C9" s="259">
        <f>'[3]Air France'!$IQ$19</f>
        <v>0</v>
      </c>
      <c r="D9" s="261">
        <f>'[3]Air France'!$IC$19</f>
        <v>0</v>
      </c>
      <c r="E9" s="262" t="e">
        <f>(C9-D9)/D9</f>
        <v>#DIV/0!</v>
      </c>
      <c r="F9" s="261">
        <f>SUM('[3]Air France'!$IF$19:$IQ$19)</f>
        <v>0</v>
      </c>
      <c r="G9" s="261">
        <f>SUM('[3]Air France'!$HR$19:$IC$19)</f>
        <v>194</v>
      </c>
      <c r="H9" s="260">
        <f>(F9-G9)/G9</f>
        <v>-1</v>
      </c>
      <c r="I9" s="262">
        <f>F9/$F$62</f>
        <v>0</v>
      </c>
      <c r="J9" s="258" t="s">
        <v>154</v>
      </c>
      <c r="K9" s="39"/>
      <c r="L9" s="259">
        <f>'[3]Air France'!$IQ$41</f>
        <v>0</v>
      </c>
      <c r="M9" s="261">
        <f>'[3]Air France'!$IC$41</f>
        <v>0</v>
      </c>
      <c r="N9" s="262" t="e">
        <f>(L9-M9)/M9</f>
        <v>#DIV/0!</v>
      </c>
      <c r="O9" s="259">
        <f>SUM('[3]Air France'!$IF$41:$IQ$41)</f>
        <v>0</v>
      </c>
      <c r="P9" s="261">
        <f>SUM('[3]Air France'!$HR$41:$IC$41)</f>
        <v>49205</v>
      </c>
      <c r="Q9" s="260">
        <f>(O9-P9)/P9</f>
        <v>-1</v>
      </c>
      <c r="R9" s="262">
        <f>O9/$O$62</f>
        <v>0</v>
      </c>
      <c r="S9" s="258" t="s">
        <v>154</v>
      </c>
      <c r="T9" s="39"/>
      <c r="U9" s="259">
        <f>'[3]Air France'!$IQ$64</f>
        <v>0</v>
      </c>
      <c r="V9" s="261">
        <f>'[3]Air France'!$IC$64</f>
        <v>0</v>
      </c>
      <c r="W9" s="262" t="e">
        <f>(U9-V9)/V9</f>
        <v>#DIV/0!</v>
      </c>
      <c r="X9" s="259">
        <f>SUM('[3]Air France'!$IF$64:$IQ$64)</f>
        <v>0</v>
      </c>
      <c r="Y9" s="261">
        <f>SUM('[3]Air France'!$HR$64:$IC$64)</f>
        <v>2150435</v>
      </c>
      <c r="Z9" s="260">
        <f>(X9-Y9)/Y9</f>
        <v>-1</v>
      </c>
      <c r="AA9" s="262">
        <f>X9/$X$62</f>
        <v>0</v>
      </c>
    </row>
    <row r="10" spans="1:27" ht="14.1" customHeight="1" x14ac:dyDescent="0.2">
      <c r="A10" s="258"/>
      <c r="B10" s="39"/>
      <c r="C10" s="259"/>
      <c r="D10" s="261"/>
      <c r="E10" s="262"/>
      <c r="F10" s="261"/>
      <c r="G10" s="261"/>
      <c r="H10" s="260"/>
      <c r="I10" s="262"/>
      <c r="J10" s="258"/>
      <c r="K10" s="39"/>
      <c r="L10" s="263"/>
      <c r="N10" s="65"/>
      <c r="O10" s="263"/>
      <c r="P10" s="2"/>
      <c r="Q10" s="3"/>
      <c r="R10" s="65"/>
      <c r="S10" s="258"/>
      <c r="T10" s="39"/>
      <c r="U10" s="263"/>
      <c r="V10" s="2"/>
      <c r="W10" s="65"/>
      <c r="X10" s="263"/>
      <c r="Y10" s="2"/>
      <c r="Z10" s="3"/>
      <c r="AA10" s="65"/>
    </row>
    <row r="11" spans="1:27" ht="14.1" customHeight="1" x14ac:dyDescent="0.2">
      <c r="A11" s="258" t="s">
        <v>219</v>
      </c>
      <c r="B11" s="39"/>
      <c r="C11" s="263">
        <f>'[3]Allegiant '!$IQ$19</f>
        <v>76</v>
      </c>
      <c r="D11" s="2">
        <f>'[3]Allegiant '!$IC$19</f>
        <v>100</v>
      </c>
      <c r="E11" s="262">
        <f t="shared" ref="E11" si="6">(C11-D11)/D11</f>
        <v>-0.24</v>
      </c>
      <c r="F11" s="2">
        <f>SUM('[3]Allegiant '!$IF$19:$IQ$19)</f>
        <v>846</v>
      </c>
      <c r="G11" s="2">
        <f>SUM('[3]Allegiant '!$HR$19:$IC$19)</f>
        <v>940</v>
      </c>
      <c r="H11" s="260">
        <f t="shared" ref="H11" si="7">(F11-G11)/G11</f>
        <v>-0.1</v>
      </c>
      <c r="I11" s="262">
        <f>F11/$F$62</f>
        <v>2.9036144164798997E-3</v>
      </c>
      <c r="J11" s="258" t="s">
        <v>219</v>
      </c>
      <c r="K11" s="39"/>
      <c r="L11" s="263">
        <f>'[3]Allegiant '!$IQ$41</f>
        <v>9798</v>
      </c>
      <c r="M11" s="2">
        <f>'[3]Allegiant '!$IC$41</f>
        <v>14021</v>
      </c>
      <c r="N11" s="262">
        <f t="shared" ref="N11" si="8">(L11-M11)/M11</f>
        <v>-0.30119107053705158</v>
      </c>
      <c r="O11" s="263">
        <f>SUM('[3]Allegiant '!$IF$41:$IQ$41)</f>
        <v>120997</v>
      </c>
      <c r="P11" s="2">
        <f>SUM('[3]Allegiant '!$HR$41:$IC$41)</f>
        <v>131231</v>
      </c>
      <c r="Q11" s="260">
        <f t="shared" ref="Q11" si="9">(O11-P11)/P11</f>
        <v>-7.7984622535833756E-2</v>
      </c>
      <c r="R11" s="262">
        <f>O11/$O$62</f>
        <v>3.5800928645855772E-3</v>
      </c>
      <c r="S11" s="258" t="s">
        <v>219</v>
      </c>
      <c r="T11" s="39"/>
      <c r="U11" s="263">
        <f>'[3]Allegiant '!$IQ$64</f>
        <v>0</v>
      </c>
      <c r="V11" s="2">
        <f>'[3]Allegiant '!$IC$64</f>
        <v>0</v>
      </c>
      <c r="W11" s="262" t="e">
        <f t="shared" ref="W11" si="10">(U11-V11)/V11</f>
        <v>#DIV/0!</v>
      </c>
      <c r="X11" s="263">
        <f>SUM('[3]Allegiant '!$IF$64:$IQ$64)</f>
        <v>0</v>
      </c>
      <c r="Y11" s="2">
        <f>SUM('[3]Allegiant '!$HR$64:$IC$64)</f>
        <v>0</v>
      </c>
      <c r="Z11" s="260" t="e">
        <f t="shared" ref="Z11" si="11">(X11-Y11)/Y11</f>
        <v>#DIV/0!</v>
      </c>
      <c r="AA11" s="262">
        <f>X11/$X$62</f>
        <v>0</v>
      </c>
    </row>
    <row r="12" spans="1:27" ht="14.1" customHeight="1" x14ac:dyDescent="0.2">
      <c r="A12" s="258"/>
      <c r="B12" s="39"/>
      <c r="C12" s="259"/>
      <c r="D12" s="261"/>
      <c r="E12" s="262"/>
      <c r="F12" s="261"/>
      <c r="G12" s="261"/>
      <c r="H12" s="260"/>
      <c r="I12" s="262"/>
      <c r="J12" s="258"/>
      <c r="K12" s="39"/>
      <c r="L12" s="263"/>
      <c r="N12" s="65"/>
      <c r="O12" s="263"/>
      <c r="P12" s="2"/>
      <c r="Q12" s="3"/>
      <c r="R12" s="65"/>
      <c r="S12" s="258"/>
      <c r="T12" s="39"/>
      <c r="U12" s="263"/>
      <c r="V12" s="2"/>
      <c r="W12" s="65"/>
      <c r="X12" s="263"/>
      <c r="Y12" s="2"/>
      <c r="Z12" s="3"/>
      <c r="AA12" s="65"/>
    </row>
    <row r="13" spans="1:27" ht="14.1" customHeight="1" x14ac:dyDescent="0.2">
      <c r="A13" s="258" t="s">
        <v>127</v>
      </c>
      <c r="B13" s="39"/>
      <c r="C13" s="259">
        <f>SUM(C14:C16)</f>
        <v>113</v>
      </c>
      <c r="D13" s="261">
        <f>SUM(D14:D16)</f>
        <v>90</v>
      </c>
      <c r="E13" s="262">
        <f>(C13-D13)/D13</f>
        <v>0.25555555555555554</v>
      </c>
      <c r="F13" s="261">
        <f>SUM(F14:F16)</f>
        <v>1946</v>
      </c>
      <c r="G13" s="261">
        <f>SUM(G14:G16)</f>
        <v>1901</v>
      </c>
      <c r="H13" s="260">
        <f>(F13-G13)/G13</f>
        <v>2.3671751709626512E-2</v>
      </c>
      <c r="I13" s="262">
        <f>F13/$F$62</f>
        <v>6.6789995915719673E-3</v>
      </c>
      <c r="J13" s="258" t="s">
        <v>127</v>
      </c>
      <c r="K13" s="39"/>
      <c r="L13" s="259">
        <f>SUM(L14:L16)</f>
        <v>14036</v>
      </c>
      <c r="M13" s="261">
        <f>SUM(M14:M16)</f>
        <v>11391</v>
      </c>
      <c r="N13" s="262">
        <f>(L13-M13)/M13</f>
        <v>0.23220086032832937</v>
      </c>
      <c r="O13" s="259">
        <f>SUM(O14:O16)</f>
        <v>270105</v>
      </c>
      <c r="P13" s="261">
        <f>SUM(P14:P16)</f>
        <v>253813</v>
      </c>
      <c r="Q13" s="260">
        <f>(O13-P13)/P13</f>
        <v>6.4188989531663077E-2</v>
      </c>
      <c r="R13" s="262">
        <f>O13/$O$62</f>
        <v>7.9919418100356816E-3</v>
      </c>
      <c r="S13" s="258" t="s">
        <v>127</v>
      </c>
      <c r="T13" s="39"/>
      <c r="U13" s="259">
        <f>SUM(U14:U16)</f>
        <v>20107</v>
      </c>
      <c r="V13" s="261">
        <f>SUM(V14:V16)</f>
        <v>18873</v>
      </c>
      <c r="W13" s="262">
        <f>(U13-V13)/V13</f>
        <v>6.5384411593281413E-2</v>
      </c>
      <c r="X13" s="259">
        <f>SUM(X14:X16)</f>
        <v>424511</v>
      </c>
      <c r="Y13" s="261">
        <f>SUM(Y14:Y16)</f>
        <v>357868</v>
      </c>
      <c r="Z13" s="260">
        <f>(X13-Y13)/Y13</f>
        <v>0.1862222942537472</v>
      </c>
      <c r="AA13" s="262">
        <f>X13/$X$62</f>
        <v>4.9370650823678305E-3</v>
      </c>
    </row>
    <row r="14" spans="1:27" ht="14.1" customHeight="1" x14ac:dyDescent="0.2">
      <c r="A14" s="258"/>
      <c r="B14" s="318" t="s">
        <v>127</v>
      </c>
      <c r="C14" s="322">
        <f>[3]Alaska!$IQ$19</f>
        <v>113</v>
      </c>
      <c r="D14" s="217">
        <f>[3]Alaska!$IC$19</f>
        <v>90</v>
      </c>
      <c r="E14" s="324">
        <f>(C14-D14)/D14</f>
        <v>0.25555555555555554</v>
      </c>
      <c r="F14" s="217">
        <f>SUM([3]Alaska!$IF$19:$IQ$19)</f>
        <v>1946</v>
      </c>
      <c r="G14" s="217">
        <f>SUM([3]Alaska!$HR$19:$IC$19)</f>
        <v>1809</v>
      </c>
      <c r="H14" s="323">
        <f>(F14-G14)/G14</f>
        <v>7.5732448866777227E-2</v>
      </c>
      <c r="I14" s="324">
        <f>F14/$F$62</f>
        <v>6.6789995915719673E-3</v>
      </c>
      <c r="J14" s="258"/>
      <c r="K14" s="318" t="s">
        <v>127</v>
      </c>
      <c r="L14" s="322">
        <f>[3]Alaska!$IQ$41</f>
        <v>14036</v>
      </c>
      <c r="M14" s="217">
        <f>[3]Alaska!$IC$41</f>
        <v>11391</v>
      </c>
      <c r="N14" s="324">
        <f>(L14-M14)/M14</f>
        <v>0.23220086032832937</v>
      </c>
      <c r="O14" s="322">
        <f>SUM([3]Alaska!$IF$41:$IQ$41)</f>
        <v>270105</v>
      </c>
      <c r="P14" s="217">
        <f>SUM([3]Alaska!$HR$41:$IC$41)</f>
        <v>248442</v>
      </c>
      <c r="Q14" s="323">
        <f>(O14-P14)/P14</f>
        <v>8.7195401743666523E-2</v>
      </c>
      <c r="R14" s="324">
        <f>O14/$O$62</f>
        <v>7.9919418100356816E-3</v>
      </c>
      <c r="S14" s="258"/>
      <c r="T14" s="318" t="s">
        <v>127</v>
      </c>
      <c r="U14" s="322">
        <f>[3]Alaska!$IQ$64</f>
        <v>20107</v>
      </c>
      <c r="V14" s="217">
        <f>[3]Alaska!$IC$64</f>
        <v>18873</v>
      </c>
      <c r="W14" s="324">
        <f>(U14-V14)/V14</f>
        <v>6.5384411593281413E-2</v>
      </c>
      <c r="X14" s="322">
        <f>SUM([3]Alaska!$IF$64:$IQ$64)</f>
        <v>424511</v>
      </c>
      <c r="Y14" s="217">
        <f>SUM([3]Alaska!$HR$64:$IC$64)</f>
        <v>350269</v>
      </c>
      <c r="Z14" s="323">
        <f>(X14-Y14)/Y14</f>
        <v>0.21195709583206052</v>
      </c>
      <c r="AA14" s="324">
        <f>X14/$X$62</f>
        <v>4.9370650823678305E-3</v>
      </c>
    </row>
    <row r="15" spans="1:27" ht="14.1" customHeight="1" x14ac:dyDescent="0.2">
      <c r="A15" s="258"/>
      <c r="B15" s="318" t="s">
        <v>97</v>
      </c>
      <c r="C15" s="263">
        <f>'[3]Sky West_AS'!$IQ$19</f>
        <v>0</v>
      </c>
      <c r="D15" s="2">
        <f>'[3]Sky West_AS'!$IC$19</f>
        <v>0</v>
      </c>
      <c r="E15" s="65" t="e">
        <f>(C15-D15)/D15</f>
        <v>#DIV/0!</v>
      </c>
      <c r="F15" s="2">
        <f>SUM('[3]Sky West_AS'!$IF$19:$IQ$19)</f>
        <v>0</v>
      </c>
      <c r="G15" s="2">
        <f>SUM('[3]Sky West_AS'!$HR$19:$IC$19)</f>
        <v>54</v>
      </c>
      <c r="H15" s="3">
        <f>(F15-G15)/G15</f>
        <v>-1</v>
      </c>
      <c r="I15" s="65">
        <f>F15/$F$62</f>
        <v>0</v>
      </c>
      <c r="J15" s="258"/>
      <c r="K15" s="318" t="s">
        <v>97</v>
      </c>
      <c r="L15" s="263">
        <f>'[3]Sky West_AS'!$IQ$41</f>
        <v>0</v>
      </c>
      <c r="M15" s="2">
        <f>'[3]Sky West_AS'!$IC$41</f>
        <v>0</v>
      </c>
      <c r="N15" s="65" t="e">
        <f>(L15-M15)/M15</f>
        <v>#DIV/0!</v>
      </c>
      <c r="O15" s="263">
        <f>SUM('[3]Sky West_AS'!$IF$41:$IQ$41)</f>
        <v>0</v>
      </c>
      <c r="P15" s="2">
        <f>SUM('[3]Sky West_AS'!$HR$41:$IC$41)</f>
        <v>2767</v>
      </c>
      <c r="Q15" s="3">
        <f>(O15-P15)/P15</f>
        <v>-1</v>
      </c>
      <c r="R15" s="324">
        <f>O15/$O$62</f>
        <v>0</v>
      </c>
      <c r="S15" s="258"/>
      <c r="T15" s="318" t="s">
        <v>97</v>
      </c>
      <c r="U15" s="263">
        <f>'[3]Sky West_AS'!$IQ$64</f>
        <v>0</v>
      </c>
      <c r="V15" s="2">
        <f>'[3]Sky West_AS'!$IC$64</f>
        <v>0</v>
      </c>
      <c r="W15" s="65" t="e">
        <f>(U15-V15)/V15</f>
        <v>#DIV/0!</v>
      </c>
      <c r="X15" s="263">
        <f>SUM('[3]Sky West_AS'!$IF$64:$IQ$64)</f>
        <v>0</v>
      </c>
      <c r="Y15" s="2">
        <f>SUM('[3]Sky West_AS'!$HR$64:$IC$64)</f>
        <v>4924</v>
      </c>
      <c r="Z15" s="3">
        <f>(X15-Y15)/Y15</f>
        <v>-1</v>
      </c>
      <c r="AA15" s="324">
        <f>X15/$X$62</f>
        <v>0</v>
      </c>
    </row>
    <row r="16" spans="1:27" ht="14.1" customHeight="1" x14ac:dyDescent="0.2">
      <c r="A16" s="258"/>
      <c r="B16" s="318" t="s">
        <v>186</v>
      </c>
      <c r="C16" s="263">
        <f>[3]Horizon_AS!$IQ$19</f>
        <v>0</v>
      </c>
      <c r="D16" s="2">
        <f>[3]Horizon_AS!$IC$19</f>
        <v>0</v>
      </c>
      <c r="E16" s="65" t="e">
        <f>(C16-D16)/D16</f>
        <v>#DIV/0!</v>
      </c>
      <c r="F16" s="2">
        <f>SUM([3]Horizon_AS!$IF$19:$IQ$19)</f>
        <v>0</v>
      </c>
      <c r="G16" s="2">
        <f>SUM([3]Horizon_AS!$HR$19:$IC$19)</f>
        <v>38</v>
      </c>
      <c r="H16" s="3">
        <f>(F16-G16)/G16</f>
        <v>-1</v>
      </c>
      <c r="I16" s="65">
        <f>F16/$F$62</f>
        <v>0</v>
      </c>
      <c r="J16" s="258"/>
      <c r="K16" s="318" t="s">
        <v>186</v>
      </c>
      <c r="L16" s="263">
        <f>[3]Horizon_AS!$IQ$41</f>
        <v>0</v>
      </c>
      <c r="M16" s="2">
        <f>[3]Horizon_AS!$IC$41</f>
        <v>0</v>
      </c>
      <c r="N16" s="65" t="e">
        <f>(L16-M16)/M16</f>
        <v>#DIV/0!</v>
      </c>
      <c r="O16" s="263">
        <f>SUM([3]Horizon_AS!$IF$41:$IQ$41)</f>
        <v>0</v>
      </c>
      <c r="P16" s="2">
        <f>SUM([3]Horizon_AS!$HR$41:$IC$41)</f>
        <v>2604</v>
      </c>
      <c r="Q16" s="3">
        <f>(O16-P16)/P16</f>
        <v>-1</v>
      </c>
      <c r="R16" s="324">
        <f>O16/$O$62</f>
        <v>0</v>
      </c>
      <c r="S16" s="258"/>
      <c r="T16" s="318" t="s">
        <v>186</v>
      </c>
      <c r="U16" s="263">
        <f>[3]Horizon_AS!$IQ$64</f>
        <v>0</v>
      </c>
      <c r="V16" s="2">
        <f>[3]Horizon_AS!$IC$64</f>
        <v>0</v>
      </c>
      <c r="W16" s="65" t="e">
        <f>(U16-V16)/V16</f>
        <v>#DIV/0!</v>
      </c>
      <c r="X16" s="263">
        <f>SUM([3]Horizon_AS!$IF$64:$IQ$64)</f>
        <v>0</v>
      </c>
      <c r="Y16" s="2">
        <f>SUM([3]Horizon_AS!$HR$64:$IC$64)</f>
        <v>2675</v>
      </c>
      <c r="Z16" s="3">
        <f>(X16-Y16)/Y16</f>
        <v>-1</v>
      </c>
      <c r="AA16" s="324">
        <f>X16/$X$62</f>
        <v>0</v>
      </c>
    </row>
    <row r="17" spans="1:27" ht="14.1" customHeight="1" x14ac:dyDescent="0.2">
      <c r="A17" s="258"/>
      <c r="B17" s="39"/>
      <c r="C17" s="259"/>
      <c r="D17" s="264"/>
      <c r="E17" s="262"/>
      <c r="F17" s="264"/>
      <c r="G17" s="264"/>
      <c r="H17" s="260"/>
      <c r="I17" s="262"/>
      <c r="J17" s="258"/>
      <c r="K17" s="39"/>
      <c r="L17" s="139"/>
      <c r="M17" s="95"/>
      <c r="N17" s="65"/>
      <c r="O17" s="139"/>
      <c r="P17" s="95"/>
      <c r="Q17" s="3"/>
      <c r="R17" s="65"/>
      <c r="S17" s="258"/>
      <c r="T17" s="39"/>
      <c r="U17" s="139"/>
      <c r="V17" s="95"/>
      <c r="W17" s="65"/>
      <c r="X17" s="139"/>
      <c r="Y17" s="95"/>
      <c r="Z17" s="3"/>
      <c r="AA17" s="65"/>
    </row>
    <row r="18" spans="1:27" ht="14.1" customHeight="1" x14ac:dyDescent="0.2">
      <c r="A18" s="258" t="s">
        <v>17</v>
      </c>
      <c r="B18" s="265"/>
      <c r="C18" s="259">
        <f>SUM(C19:C24)</f>
        <v>991</v>
      </c>
      <c r="D18" s="261">
        <f>SUM(D19:D24)</f>
        <v>1051</v>
      </c>
      <c r="E18" s="262">
        <f t="shared" ref="E18:E24" si="12">(C18-D18)/D18</f>
        <v>-5.7088487155090392E-2</v>
      </c>
      <c r="F18" s="259">
        <f>SUM(F19:F24)</f>
        <v>13134</v>
      </c>
      <c r="G18" s="261">
        <f>SUM(G19:G24)</f>
        <v>12544</v>
      </c>
      <c r="H18" s="260">
        <f t="shared" ref="H18:H24" si="13">(F18-G18)/G18</f>
        <v>4.7034438775510203E-2</v>
      </c>
      <c r="I18" s="262">
        <f t="shared" ref="I18:I24" si="14">F18/$F$62</f>
        <v>4.5078098990599294E-2</v>
      </c>
      <c r="J18" s="258" t="s">
        <v>17</v>
      </c>
      <c r="K18" s="265"/>
      <c r="L18" s="259">
        <f>SUM(L19:L24)</f>
        <v>111652</v>
      </c>
      <c r="M18" s="261">
        <f>SUM(M19:M24)</f>
        <v>110560</v>
      </c>
      <c r="N18" s="262">
        <f t="shared" ref="N18:N24" si="15">(L18-M18)/M18</f>
        <v>9.8769898697539799E-3</v>
      </c>
      <c r="O18" s="259">
        <f>SUM(O19:O24)</f>
        <v>1471988</v>
      </c>
      <c r="P18" s="261">
        <f>SUM(P19:P24)</f>
        <v>1384414</v>
      </c>
      <c r="Q18" s="260">
        <f t="shared" ref="Q18:Q24" si="16">(O18-P18)/P18</f>
        <v>6.3257089281096551E-2</v>
      </c>
      <c r="R18" s="262">
        <f t="shared" ref="R18:R24" si="17">O18/$O$62</f>
        <v>4.3553590052278934E-2</v>
      </c>
      <c r="S18" s="258" t="s">
        <v>17</v>
      </c>
      <c r="T18" s="265"/>
      <c r="U18" s="259">
        <f>SUM(U19:U24)</f>
        <v>43083</v>
      </c>
      <c r="V18" s="261">
        <f>SUM(V19:V24)</f>
        <v>87679</v>
      </c>
      <c r="W18" s="262">
        <f t="shared" ref="W18:W22" si="18">(U18-V18)/V18</f>
        <v>-0.50862806373247871</v>
      </c>
      <c r="X18" s="259">
        <f>SUM(X19:X24)</f>
        <v>587724</v>
      </c>
      <c r="Y18" s="261">
        <f>SUM(Y19:Y24)</f>
        <v>1235353</v>
      </c>
      <c r="Z18" s="260">
        <f t="shared" ref="Z18:Z22" si="19">(X18-Y18)/Y18</f>
        <v>-0.52424610617370093</v>
      </c>
      <c r="AA18" s="262">
        <f t="shared" ref="AA18:AA24" si="20">X18/$X$62</f>
        <v>6.835233099895058E-3</v>
      </c>
    </row>
    <row r="19" spans="1:27" ht="14.1" customHeight="1" x14ac:dyDescent="0.2">
      <c r="A19" s="37"/>
      <c r="B19" s="39" t="s">
        <v>17</v>
      </c>
      <c r="C19" s="263">
        <f>[3]American!$IQ$19</f>
        <v>586</v>
      </c>
      <c r="D19" s="2">
        <f>[3]American!$IC$19</f>
        <v>621</v>
      </c>
      <c r="E19" s="65">
        <f t="shared" si="12"/>
        <v>-5.6360708534621579E-2</v>
      </c>
      <c r="F19" s="2">
        <f>SUM([3]American!$IF$19:$IQ$19)</f>
        <v>8077</v>
      </c>
      <c r="G19" s="2">
        <f>SUM([3]American!$HR$19:$IC$19)</f>
        <v>7071</v>
      </c>
      <c r="H19" s="3">
        <f t="shared" si="13"/>
        <v>0.14227124876255126</v>
      </c>
      <c r="I19" s="65">
        <f t="shared" si="14"/>
        <v>2.7721623690198757E-2</v>
      </c>
      <c r="J19" s="37"/>
      <c r="K19" s="39" t="s">
        <v>17</v>
      </c>
      <c r="L19" s="263">
        <f>[3]American!$IQ$41</f>
        <v>87759</v>
      </c>
      <c r="M19" s="2">
        <f>[3]American!$IC$41</f>
        <v>86575</v>
      </c>
      <c r="N19" s="65">
        <f t="shared" si="15"/>
        <v>1.3676003465203581E-2</v>
      </c>
      <c r="O19" s="263">
        <f>SUM([3]American!$IF$41:$IQ$41)</f>
        <v>1179082</v>
      </c>
      <c r="P19" s="2">
        <f>SUM([3]American!$HR$41:$IC$41)</f>
        <v>1063030</v>
      </c>
      <c r="Q19" s="3">
        <f t="shared" si="16"/>
        <v>0.10917095472376133</v>
      </c>
      <c r="R19" s="65">
        <f t="shared" si="17"/>
        <v>3.4887005917182176E-2</v>
      </c>
      <c r="S19" s="37"/>
      <c r="T19" s="39" t="s">
        <v>17</v>
      </c>
      <c r="U19" s="263">
        <f>[3]American!$IQ$64</f>
        <v>41050</v>
      </c>
      <c r="V19" s="2">
        <f>[3]American!$IC$64</f>
        <v>84220</v>
      </c>
      <c r="W19" s="65">
        <f t="shared" si="18"/>
        <v>-0.51258608406554262</v>
      </c>
      <c r="X19" s="263">
        <f>SUM([3]American!$IF$64:$IQ$64)</f>
        <v>553402</v>
      </c>
      <c r="Y19" s="2">
        <f>SUM([3]American!$HR$64:$IC$64)</f>
        <v>1194635</v>
      </c>
      <c r="Z19" s="3">
        <f t="shared" si="19"/>
        <v>-0.53676060051814989</v>
      </c>
      <c r="AA19" s="65">
        <f t="shared" si="20"/>
        <v>6.43606806587467E-3</v>
      </c>
    </row>
    <row r="20" spans="1:27" ht="14.1" customHeight="1" x14ac:dyDescent="0.2">
      <c r="A20" s="37"/>
      <c r="B20" s="318" t="s">
        <v>163</v>
      </c>
      <c r="C20" s="263">
        <f>'[3]American Eagle'!$IQ$19</f>
        <v>21</v>
      </c>
      <c r="D20" s="2">
        <f>'[3]American Eagle'!$IC$19</f>
        <v>164</v>
      </c>
      <c r="E20" s="65">
        <f t="shared" si="12"/>
        <v>-0.87195121951219512</v>
      </c>
      <c r="F20" s="2">
        <f>SUM('[3]American Eagle'!$IF$19:$IQ$19)</f>
        <v>971</v>
      </c>
      <c r="G20" s="2">
        <f>SUM('[3]American Eagle'!$HR$19:$IC$19)</f>
        <v>1419</v>
      </c>
      <c r="H20" s="3">
        <f t="shared" si="13"/>
        <v>-0.31571529245947849</v>
      </c>
      <c r="I20" s="65">
        <f t="shared" si="14"/>
        <v>3.3326354591039983E-3</v>
      </c>
      <c r="J20" s="37"/>
      <c r="K20" s="318" t="s">
        <v>163</v>
      </c>
      <c r="L20" s="263">
        <f>'[3]American Eagle'!$IQ$41</f>
        <v>1213</v>
      </c>
      <c r="M20" s="2">
        <f>'[3]American Eagle'!$IC$41</f>
        <v>8561</v>
      </c>
      <c r="N20" s="65">
        <f t="shared" si="15"/>
        <v>-0.85831094498306271</v>
      </c>
      <c r="O20" s="263">
        <f>SUM('[3]American Eagle'!$IF$41:$IQ$41)</f>
        <v>59899</v>
      </c>
      <c r="P20" s="2">
        <f>SUM('[3]American Eagle'!$HR$41:$IC$41)</f>
        <v>77360</v>
      </c>
      <c r="Q20" s="3">
        <f t="shared" si="16"/>
        <v>-0.22571096173733196</v>
      </c>
      <c r="R20" s="65">
        <f t="shared" si="17"/>
        <v>1.7723082596743018E-3</v>
      </c>
      <c r="S20" s="37"/>
      <c r="T20" s="318" t="s">
        <v>163</v>
      </c>
      <c r="U20" s="263">
        <f>'[3]American Eagle'!$IQ$64</f>
        <v>0</v>
      </c>
      <c r="V20" s="2">
        <f>'[3]American Eagle'!$IC$64</f>
        <v>523</v>
      </c>
      <c r="W20" s="65">
        <f t="shared" si="18"/>
        <v>-1</v>
      </c>
      <c r="X20" s="263">
        <f>SUM('[3]American Eagle'!$IF$64:$IQ$64)</f>
        <v>6646</v>
      </c>
      <c r="Y20" s="2">
        <f>SUM('[3]American Eagle'!$HR$64:$IC$64)</f>
        <v>25627</v>
      </c>
      <c r="Z20" s="3">
        <f t="shared" si="19"/>
        <v>-0.74066414328637764</v>
      </c>
      <c r="AA20" s="65">
        <f t="shared" si="20"/>
        <v>7.729301369673955E-5</v>
      </c>
    </row>
    <row r="21" spans="1:27" ht="14.1" customHeight="1" x14ac:dyDescent="0.2">
      <c r="A21" s="37"/>
      <c r="B21" s="318" t="s">
        <v>52</v>
      </c>
      <c r="C21" s="263">
        <f>[3]Republic!$IQ$19</f>
        <v>182</v>
      </c>
      <c r="D21" s="2">
        <f>[3]Republic!$IC$19</f>
        <v>150</v>
      </c>
      <c r="E21" s="65">
        <f t="shared" si="12"/>
        <v>0.21333333333333335</v>
      </c>
      <c r="F21" s="2">
        <f>SUM([3]Republic!$IF$19:$IQ$19)</f>
        <v>2044</v>
      </c>
      <c r="G21" s="2">
        <f>SUM([3]Republic!$HR$19:$IC$19)</f>
        <v>2164</v>
      </c>
      <c r="H21" s="3">
        <f t="shared" si="13"/>
        <v>-5.545286506469501E-2</v>
      </c>
      <c r="I21" s="65">
        <f t="shared" si="14"/>
        <v>7.0153520889892611E-3</v>
      </c>
      <c r="J21" s="37"/>
      <c r="K21" s="266" t="s">
        <v>52</v>
      </c>
      <c r="L21" s="263">
        <f>[3]Republic!$IQ$41</f>
        <v>11468</v>
      </c>
      <c r="M21" s="2">
        <f>[3]Republic!$IC$41</f>
        <v>9272</v>
      </c>
      <c r="N21" s="65">
        <f t="shared" si="15"/>
        <v>0.23684210526315788</v>
      </c>
      <c r="O21" s="263">
        <f>SUM([3]Republic!$IF$41:$IQ$41)</f>
        <v>125867</v>
      </c>
      <c r="P21" s="2">
        <f>SUM([3]Republic!$HR$41:$IC$41)</f>
        <v>130092</v>
      </c>
      <c r="Q21" s="3">
        <f t="shared" si="16"/>
        <v>-3.2477016265412169E-2</v>
      </c>
      <c r="R21" s="65">
        <f t="shared" si="17"/>
        <v>3.7241877781002243E-3</v>
      </c>
      <c r="S21" s="37"/>
      <c r="T21" s="266" t="s">
        <v>52</v>
      </c>
      <c r="U21" s="263">
        <f>[3]Republic!$IQ$64</f>
        <v>540</v>
      </c>
      <c r="V21" s="2">
        <f>[3]Republic!$IC$64</f>
        <v>2730</v>
      </c>
      <c r="W21" s="65">
        <f t="shared" si="18"/>
        <v>-0.80219780219780223</v>
      </c>
      <c r="X21" s="263">
        <f>SUM([3]Republic!$IF$64:$IQ$64)</f>
        <v>20013</v>
      </c>
      <c r="Y21" s="2">
        <f>SUM([3]Republic!$HR$64:$IC$64)</f>
        <v>10523</v>
      </c>
      <c r="Z21" s="3">
        <f t="shared" si="19"/>
        <v>0.90183407773448632</v>
      </c>
      <c r="AA21" s="65">
        <f t="shared" si="20"/>
        <v>2.3275129147048578E-4</v>
      </c>
    </row>
    <row r="22" spans="1:27" ht="14.1" customHeight="1" x14ac:dyDescent="0.2">
      <c r="A22" s="37"/>
      <c r="B22" s="318" t="s">
        <v>177</v>
      </c>
      <c r="C22" s="263">
        <f>[3]PSA!$IQ$19</f>
        <v>88</v>
      </c>
      <c r="D22" s="2">
        <f>[3]PSA!$IC$19</f>
        <v>116</v>
      </c>
      <c r="E22" s="65">
        <f t="shared" si="12"/>
        <v>-0.2413793103448276</v>
      </c>
      <c r="F22" s="2">
        <f>SUM([3]PSA!$IF$19:$IQ$19)</f>
        <v>996</v>
      </c>
      <c r="G22" s="2">
        <f>SUM([3]PSA!$HR$19:$IC$19)</f>
        <v>1388</v>
      </c>
      <c r="H22" s="3">
        <f t="shared" si="13"/>
        <v>-0.28242074927953892</v>
      </c>
      <c r="I22" s="65">
        <f t="shared" si="14"/>
        <v>3.4184396676288178E-3</v>
      </c>
      <c r="J22" s="37"/>
      <c r="K22" s="318" t="s">
        <v>177</v>
      </c>
      <c r="L22" s="263">
        <f>[3]PSA!$IQ$41</f>
        <v>5897</v>
      </c>
      <c r="M22" s="2">
        <f>[3]PSA!$IC$41</f>
        <v>6152</v>
      </c>
      <c r="N22" s="65">
        <f t="shared" si="15"/>
        <v>-4.1449934980494145E-2</v>
      </c>
      <c r="O22" s="263">
        <f>SUM([3]PSA!$IF$41:$IQ$41)</f>
        <v>59417</v>
      </c>
      <c r="P22" s="2">
        <f>SUM([3]PSA!$HR$41:$IC$41)</f>
        <v>86050</v>
      </c>
      <c r="Q22" s="3">
        <f t="shared" si="16"/>
        <v>-0.30950610110400928</v>
      </c>
      <c r="R22" s="65">
        <f t="shared" si="17"/>
        <v>1.7580467097124824E-3</v>
      </c>
      <c r="S22" s="37"/>
      <c r="T22" s="318" t="s">
        <v>177</v>
      </c>
      <c r="U22" s="263">
        <f>[3]PSA!$IQ$64</f>
        <v>113</v>
      </c>
      <c r="V22" s="2">
        <f>[3]PSA!$IC$64</f>
        <v>206</v>
      </c>
      <c r="W22" s="65">
        <f t="shared" si="18"/>
        <v>-0.45145631067961167</v>
      </c>
      <c r="X22" s="263">
        <f>SUM([3]PSA!$IF$64:$IQ$64)</f>
        <v>1663</v>
      </c>
      <c r="Y22" s="2">
        <f>SUM([3]PSA!$HR$64:$IC$64)</f>
        <v>1830</v>
      </c>
      <c r="Z22" s="3">
        <f t="shared" si="19"/>
        <v>-9.1256830601092895E-2</v>
      </c>
      <c r="AA22" s="65">
        <f t="shared" si="20"/>
        <v>1.9340698431790231E-5</v>
      </c>
    </row>
    <row r="23" spans="1:27" ht="14.1" customHeight="1" x14ac:dyDescent="0.2">
      <c r="A23" s="37"/>
      <c r="B23" s="318" t="s">
        <v>97</v>
      </c>
      <c r="C23" s="263">
        <f>'[3]Sky West_AA'!$IQ$19</f>
        <v>0</v>
      </c>
      <c r="D23" s="2">
        <f>'[3]Sky West_AA'!$IC$19</f>
        <v>0</v>
      </c>
      <c r="E23" s="65" t="e">
        <f>(C23-D23)/D23</f>
        <v>#DIV/0!</v>
      </c>
      <c r="F23" s="2">
        <f>SUM('[3]Sky West_AA'!$IF$19:$IQ$19)</f>
        <v>0</v>
      </c>
      <c r="G23" s="2">
        <f>SUM('[3]Sky West_AA'!$HR$19:$IC$19)</f>
        <v>494</v>
      </c>
      <c r="H23" s="3">
        <f>(F23-G23)/G23</f>
        <v>-1</v>
      </c>
      <c r="I23" s="65">
        <f t="shared" si="14"/>
        <v>0</v>
      </c>
      <c r="J23" s="37"/>
      <c r="K23" s="318" t="s">
        <v>97</v>
      </c>
      <c r="L23" s="263">
        <f>'[3]Sky West_AA'!$IQ$41</f>
        <v>0</v>
      </c>
      <c r="M23" s="2">
        <f>'[3]Sky West_AA'!$IC$41</f>
        <v>0</v>
      </c>
      <c r="N23" s="65" t="e">
        <f>(L23-M23)/M23</f>
        <v>#DIV/0!</v>
      </c>
      <c r="O23" s="263">
        <f>SUM('[3]Sky West_AA'!$IF$41:$IQ$41)</f>
        <v>0</v>
      </c>
      <c r="P23" s="2">
        <f>SUM('[3]Sky West_AA'!$HR$41:$IC$41)</f>
        <v>27790</v>
      </c>
      <c r="Q23" s="3">
        <f>(O23-P23)/P23</f>
        <v>-1</v>
      </c>
      <c r="R23" s="324">
        <f t="shared" si="17"/>
        <v>0</v>
      </c>
      <c r="S23" s="37"/>
      <c r="T23" s="318" t="s">
        <v>97</v>
      </c>
      <c r="U23" s="263">
        <f>'[3]Sky West_AA'!$IQ$64</f>
        <v>0</v>
      </c>
      <c r="V23" s="2">
        <f>'[3]Sky West_AA'!$IC$64</f>
        <v>0</v>
      </c>
      <c r="W23" s="65" t="e">
        <f>(U23-V23)/V23</f>
        <v>#DIV/0!</v>
      </c>
      <c r="X23" s="263">
        <f>SUM('[3]Sky West_AA'!$IF$64:$IQ$64)</f>
        <v>0</v>
      </c>
      <c r="Y23" s="2">
        <f>SUM('[3]Sky West_AA'!$HR$64:$IC$64)</f>
        <v>2738</v>
      </c>
      <c r="Z23" s="3">
        <f>(X23-Y23)/Y23</f>
        <v>-1</v>
      </c>
      <c r="AA23" s="324">
        <f t="shared" si="20"/>
        <v>0</v>
      </c>
    </row>
    <row r="24" spans="1:27" ht="14.1" customHeight="1" x14ac:dyDescent="0.2">
      <c r="A24" s="37"/>
      <c r="B24" s="318" t="s">
        <v>50</v>
      </c>
      <c r="C24" s="263">
        <f>'[3]Air Wisconsin'!$IQ$19</f>
        <v>114</v>
      </c>
      <c r="D24" s="2">
        <f>'[3]Air Wisconsin'!$IC$19</f>
        <v>0</v>
      </c>
      <c r="E24" s="65" t="e">
        <f t="shared" si="12"/>
        <v>#DIV/0!</v>
      </c>
      <c r="F24" s="2">
        <f>SUM('[3]Air Wisconsin'!$IF$19:$IQ$19)</f>
        <v>1046</v>
      </c>
      <c r="G24" s="2">
        <f>SUM('[3]Air Wisconsin'!$HR$19:$IC$19)</f>
        <v>8</v>
      </c>
      <c r="H24" s="349">
        <f t="shared" si="13"/>
        <v>129.75</v>
      </c>
      <c r="I24" s="65">
        <f t="shared" si="14"/>
        <v>3.5900480846784572E-3</v>
      </c>
      <c r="J24" s="37"/>
      <c r="K24" s="266" t="s">
        <v>50</v>
      </c>
      <c r="L24" s="263">
        <f>'[3]Air Wisconsin'!$IQ$41</f>
        <v>5315</v>
      </c>
      <c r="M24" s="2">
        <f>'[3]Air Wisconsin'!$IC$41</f>
        <v>0</v>
      </c>
      <c r="N24" s="65" t="e">
        <f t="shared" si="15"/>
        <v>#DIV/0!</v>
      </c>
      <c r="O24" s="263">
        <f>SUM('[3]Air Wisconsin'!$IF$41:$IQ$41)</f>
        <v>47723</v>
      </c>
      <c r="P24" s="2">
        <f>SUM('[3]Air Wisconsin'!$HR$41:$IC$41)</f>
        <v>92</v>
      </c>
      <c r="Q24" s="3">
        <f t="shared" si="16"/>
        <v>517.72826086956525</v>
      </c>
      <c r="R24" s="65">
        <f t="shared" si="17"/>
        <v>1.4120413876097548E-3</v>
      </c>
      <c r="S24" s="37"/>
      <c r="T24" s="266" t="s">
        <v>50</v>
      </c>
      <c r="U24" s="263">
        <f>'[3]Air Wisconsin'!$IQ$64</f>
        <v>1380</v>
      </c>
      <c r="V24" s="2">
        <f>'[3]Air Wisconsin'!$IC$64</f>
        <v>0</v>
      </c>
      <c r="W24" s="65" t="e">
        <f t="shared" ref="W24" si="21">(U24-V24)/V24</f>
        <v>#DIV/0!</v>
      </c>
      <c r="X24" s="263">
        <f>SUM('[3]Air Wisconsin'!$IF$64:$IQ$64)</f>
        <v>6000</v>
      </c>
      <c r="Y24" s="2">
        <f>SUM('[3]Air Wisconsin'!$HR$64:$IC$64)</f>
        <v>0</v>
      </c>
      <c r="Z24" s="3" t="e">
        <f t="shared" ref="Z24" si="22">(X24-Y24)/Y24</f>
        <v>#DIV/0!</v>
      </c>
      <c r="AA24" s="65">
        <f t="shared" si="20"/>
        <v>6.9780030421371842E-5</v>
      </c>
    </row>
    <row r="25" spans="1:27" ht="14.1" customHeight="1" x14ac:dyDescent="0.2">
      <c r="A25" s="37"/>
      <c r="B25" s="39"/>
      <c r="C25" s="263"/>
      <c r="E25" s="65"/>
      <c r="F25" s="2"/>
      <c r="I25" s="65"/>
      <c r="J25" s="37"/>
      <c r="K25" s="39"/>
      <c r="L25" s="263"/>
      <c r="N25" s="65"/>
      <c r="O25" s="263"/>
      <c r="P25" s="2"/>
      <c r="Q25" s="3"/>
      <c r="R25" s="65"/>
      <c r="S25" s="37"/>
      <c r="T25" s="39"/>
      <c r="U25" s="263"/>
      <c r="V25" s="2"/>
      <c r="W25" s="65"/>
      <c r="X25" s="263"/>
      <c r="Y25" s="2"/>
      <c r="Z25" s="3"/>
      <c r="AA25" s="65"/>
    </row>
    <row r="26" spans="1:27" ht="14.1" customHeight="1" x14ac:dyDescent="0.2">
      <c r="A26" s="258" t="s">
        <v>159</v>
      </c>
      <c r="B26" s="39"/>
      <c r="C26" s="259">
        <f>[3]Condor!$IQ$19</f>
        <v>0</v>
      </c>
      <c r="D26" s="261">
        <f>[3]Condor!$IC$19</f>
        <v>0</v>
      </c>
      <c r="E26" s="262" t="e">
        <f>(C26-D26)/D26</f>
        <v>#DIV/0!</v>
      </c>
      <c r="F26" s="261">
        <f>SUM([3]Condor!$IF$19:$IQ$19)</f>
        <v>88</v>
      </c>
      <c r="G26" s="261">
        <f>SUM([3]Condor!$HR$19:$IC$19)</f>
        <v>98</v>
      </c>
      <c r="H26" s="260">
        <f>(F26-G26)/G26</f>
        <v>-0.10204081632653061</v>
      </c>
      <c r="I26" s="262">
        <f>F26/$F$62</f>
        <v>3.0203081400736543E-4</v>
      </c>
      <c r="J26" s="258" t="s">
        <v>159</v>
      </c>
      <c r="K26" s="39"/>
      <c r="L26" s="259">
        <f>[3]Condor!$IQ$41</f>
        <v>0</v>
      </c>
      <c r="M26" s="261">
        <f>[3]Condor!$IC$41</f>
        <v>0</v>
      </c>
      <c r="N26" s="262" t="e">
        <f>(L26-M26)/M26</f>
        <v>#DIV/0!</v>
      </c>
      <c r="O26" s="259">
        <f>SUM([3]Condor!$IF$41:$IQ$41)</f>
        <v>19004</v>
      </c>
      <c r="P26" s="261">
        <f>SUM([3]Condor!$HR$41:$IC$41)</f>
        <v>19394</v>
      </c>
      <c r="Q26" s="260">
        <f>(O26-P26)/P26</f>
        <v>-2.0109312158399506E-2</v>
      </c>
      <c r="R26" s="262">
        <f>O26/$O$62</f>
        <v>5.6229563376434383E-4</v>
      </c>
      <c r="S26" s="258" t="s">
        <v>159</v>
      </c>
      <c r="T26" s="39"/>
      <c r="U26" s="259">
        <f>[3]Condor!$IQ$64</f>
        <v>0</v>
      </c>
      <c r="V26" s="261">
        <f>[3]Condor!$IC$64</f>
        <v>0</v>
      </c>
      <c r="W26" s="262" t="e">
        <f>(U26-V26)/V26</f>
        <v>#DIV/0!</v>
      </c>
      <c r="X26" s="259">
        <f>SUM([3]Condor!$IF$64:$IQ$64)</f>
        <v>262271</v>
      </c>
      <c r="Y26" s="261">
        <f>SUM([3]Condor!$HR$64:$IC$64)</f>
        <v>606468</v>
      </c>
      <c r="Z26" s="260">
        <f>(X26-Y26)/Y26</f>
        <v>-0.56754354722755362</v>
      </c>
      <c r="AA26" s="262">
        <f>X26/$X$62</f>
        <v>3.0502130597739358E-3</v>
      </c>
    </row>
    <row r="27" spans="1:27" ht="14.1" customHeight="1" x14ac:dyDescent="0.2">
      <c r="A27" s="37"/>
      <c r="B27" s="39"/>
      <c r="C27" s="263"/>
      <c r="E27" s="65"/>
      <c r="F27" s="2"/>
      <c r="I27" s="65"/>
      <c r="J27" s="37"/>
      <c r="K27" s="39"/>
      <c r="L27" s="263"/>
      <c r="N27" s="65"/>
      <c r="O27" s="263"/>
      <c r="P27" s="2"/>
      <c r="Q27" s="3"/>
      <c r="R27" s="65"/>
      <c r="S27" s="37"/>
      <c r="T27" s="39"/>
      <c r="U27" s="263"/>
      <c r="V27" s="2"/>
      <c r="W27" s="65"/>
      <c r="X27" s="263"/>
      <c r="Y27" s="2"/>
      <c r="Z27" s="3"/>
      <c r="AA27" s="65"/>
    </row>
    <row r="28" spans="1:27" ht="14.1" customHeight="1" x14ac:dyDescent="0.2">
      <c r="A28" s="258" t="s">
        <v>212</v>
      </c>
      <c r="B28" s="39"/>
      <c r="C28" s="259">
        <f>'[3]Denver Air'!$IQ$19</f>
        <v>176</v>
      </c>
      <c r="D28" s="261">
        <f>'[3]Denver Air'!$IC$19</f>
        <v>162</v>
      </c>
      <c r="E28" s="262">
        <f>(C28-D28)/D28</f>
        <v>8.6419753086419748E-2</v>
      </c>
      <c r="F28" s="261">
        <f>SUM('[3]Denver Air'!$IF$19:$IQ$19)</f>
        <v>1862</v>
      </c>
      <c r="G28" s="261">
        <f>SUM('[3]Denver Air'!$HR$19:$IC$19)</f>
        <v>1888</v>
      </c>
      <c r="H28" s="260">
        <f>(F28-G28)/G28</f>
        <v>-1.3771186440677966E-2</v>
      </c>
      <c r="I28" s="262">
        <f>F28/$F$62</f>
        <v>6.390697450928573E-3</v>
      </c>
      <c r="J28" s="258" t="s">
        <v>212</v>
      </c>
      <c r="K28" s="39"/>
      <c r="L28" s="259">
        <f>'[3]Denver Air'!$IQ$41</f>
        <v>2096</v>
      </c>
      <c r="M28" s="261">
        <f>'[3]Denver Air'!$IC$41</f>
        <v>1935</v>
      </c>
      <c r="N28" s="262">
        <f>(L28-M28)/M28</f>
        <v>8.3204134366925059E-2</v>
      </c>
      <c r="O28" s="259">
        <f>SUM('[3]Denver Air'!$IF$41:$IQ$41)</f>
        <v>19896</v>
      </c>
      <c r="P28" s="261">
        <f>SUM('[3]Denver Air'!$HR$41:$IC$41)</f>
        <v>19182</v>
      </c>
      <c r="Q28" s="260">
        <f>(O28-P28)/P28</f>
        <v>3.722239599624648E-2</v>
      </c>
      <c r="R28" s="262">
        <f>O28/$O$62</f>
        <v>5.8868837767708825E-4</v>
      </c>
      <c r="S28" s="258" t="s">
        <v>212</v>
      </c>
      <c r="T28" s="39"/>
      <c r="U28" s="259">
        <f>'[3]Denver Air'!$IQ$64</f>
        <v>0</v>
      </c>
      <c r="V28" s="261">
        <f>'[3]Denver Air'!$IC$64</f>
        <v>0</v>
      </c>
      <c r="W28" s="262" t="e">
        <f>(U28-V28)/V28</f>
        <v>#DIV/0!</v>
      </c>
      <c r="X28" s="259">
        <f>SUM('[3]Denver Air'!$IF$64:$IQ$64)</f>
        <v>0</v>
      </c>
      <c r="Y28" s="261">
        <f>SUM('[3]Denver Air'!$HR$64:$IC$64)</f>
        <v>0</v>
      </c>
      <c r="Z28" s="260" t="e">
        <f>(X28-Y28)/Y28</f>
        <v>#DIV/0!</v>
      </c>
      <c r="AA28" s="262">
        <f>X28/$X$60</f>
        <v>0</v>
      </c>
    </row>
    <row r="29" spans="1:27" ht="14.1" customHeight="1" x14ac:dyDescent="0.2">
      <c r="A29" s="37"/>
      <c r="B29" s="39"/>
      <c r="C29" s="263"/>
      <c r="E29" s="65"/>
      <c r="F29" s="2"/>
      <c r="I29" s="65"/>
      <c r="J29" s="37"/>
      <c r="K29" s="39"/>
      <c r="L29" s="263"/>
      <c r="N29" s="65"/>
      <c r="O29" s="263"/>
      <c r="P29" s="2"/>
      <c r="Q29" s="3"/>
      <c r="R29" s="65"/>
      <c r="S29" s="37"/>
      <c r="T29" s="39"/>
      <c r="U29" s="263"/>
      <c r="V29" s="2"/>
      <c r="W29" s="65"/>
      <c r="X29" s="263"/>
      <c r="Y29" s="2"/>
      <c r="Z29" s="3"/>
      <c r="AA29" s="65"/>
    </row>
    <row r="30" spans="1:27" ht="14.1" customHeight="1" x14ac:dyDescent="0.2">
      <c r="A30" s="258" t="s">
        <v>18</v>
      </c>
      <c r="B30" s="265"/>
      <c r="C30" s="259">
        <f>SUM(C31:C34)</f>
        <v>17422</v>
      </c>
      <c r="D30" s="261">
        <f>SUM(D31:D34)</f>
        <v>15590</v>
      </c>
      <c r="E30" s="262">
        <f t="shared" ref="E30:E34" si="23">(C30-D30)/D30</f>
        <v>0.11751122514432329</v>
      </c>
      <c r="F30" s="264">
        <f>SUM(F31:F34)</f>
        <v>211084</v>
      </c>
      <c r="G30" s="264">
        <f>SUM(G31:G34)</f>
        <v>205498</v>
      </c>
      <c r="H30" s="260">
        <f>(F30-G30)/G30</f>
        <v>2.7182746304100284E-2</v>
      </c>
      <c r="I30" s="262">
        <f>F30/$F$62</f>
        <v>0.72447582209012185</v>
      </c>
      <c r="J30" s="258" t="s">
        <v>18</v>
      </c>
      <c r="K30" s="265"/>
      <c r="L30" s="259">
        <f>SUM(L31:L34)</f>
        <v>1860096</v>
      </c>
      <c r="M30" s="261">
        <f>SUM(M31:M34)</f>
        <v>1689444</v>
      </c>
      <c r="N30" s="262">
        <f t="shared" ref="N30:N34" si="24">(L30-M30)/M30</f>
        <v>0.10101074673087714</v>
      </c>
      <c r="O30" s="259">
        <f>SUM(O31:O34)</f>
        <v>23715003</v>
      </c>
      <c r="P30" s="261">
        <f>SUM(P31:P34)</f>
        <v>21568680</v>
      </c>
      <c r="Q30" s="260">
        <f t="shared" ref="Q30:Q34" si="25">(O30-P30)/P30</f>
        <v>9.9511096645691813E-2</v>
      </c>
      <c r="R30" s="262">
        <f>O30/$O$62</f>
        <v>0.70168609985310015</v>
      </c>
      <c r="S30" s="258" t="s">
        <v>18</v>
      </c>
      <c r="T30" s="265"/>
      <c r="U30" s="259">
        <f>SUM(U31:U34)</f>
        <v>7202986</v>
      </c>
      <c r="V30" s="261">
        <f>SUM(V31:V34)</f>
        <v>6260246</v>
      </c>
      <c r="W30" s="262">
        <f t="shared" ref="W30:W34" si="26">(U30-V30)/V30</f>
        <v>0.15059152627548503</v>
      </c>
      <c r="X30" s="259">
        <f>SUM(X31:X34)</f>
        <v>75905611</v>
      </c>
      <c r="Y30" s="261">
        <f>SUM(Y31:Y34)</f>
        <v>80695370</v>
      </c>
      <c r="Z30" s="260">
        <f t="shared" ref="Z30:Z32" si="27">(X30-Y30)/Y30</f>
        <v>-5.9356057231040642E-2</v>
      </c>
      <c r="AA30" s="262">
        <f>X30/$X$62</f>
        <v>0.88278264078880286</v>
      </c>
    </row>
    <row r="31" spans="1:27" ht="14.1" customHeight="1" x14ac:dyDescent="0.2">
      <c r="A31" s="37"/>
      <c r="B31" s="39" t="s">
        <v>18</v>
      </c>
      <c r="C31" s="263">
        <f>[3]Delta!$IQ$19</f>
        <v>12038</v>
      </c>
      <c r="D31" s="2">
        <f>[3]Delta!$IC$19</f>
        <v>9931</v>
      </c>
      <c r="E31" s="65">
        <f t="shared" si="23"/>
        <v>0.21216393112476084</v>
      </c>
      <c r="F31" s="2">
        <f>SUM([3]Delta!$IF$19:$IQ$19)</f>
        <v>145811</v>
      </c>
      <c r="G31" s="2">
        <f>SUM([3]Delta!$HR$19:$IC$19)</f>
        <v>120469</v>
      </c>
      <c r="H31" s="3">
        <f t="shared" ref="H31:H34" si="28">(F31-G31)/G31</f>
        <v>0.21036117175372918</v>
      </c>
      <c r="I31" s="65">
        <f>F31/$F$62</f>
        <v>0.50044789796849953</v>
      </c>
      <c r="J31" s="37"/>
      <c r="K31" s="39" t="s">
        <v>18</v>
      </c>
      <c r="L31" s="263">
        <f>[3]Delta!$IQ$41</f>
        <v>1591758</v>
      </c>
      <c r="M31" s="2">
        <f>[3]Delta!$IC$41</f>
        <v>1386607</v>
      </c>
      <c r="N31" s="65">
        <f t="shared" si="24"/>
        <v>0.14795179888750021</v>
      </c>
      <c r="O31" s="263">
        <f>SUM([3]Delta!$IF$41:$IQ$41)</f>
        <v>20254475</v>
      </c>
      <c r="P31" s="2">
        <f>SUM([3]Delta!$HR$41:$IC$41)</f>
        <v>17048891</v>
      </c>
      <c r="Q31" s="3">
        <f t="shared" si="25"/>
        <v>0.18802302155606485</v>
      </c>
      <c r="R31" s="65">
        <f>O31/$O$62</f>
        <v>0.59929503560771724</v>
      </c>
      <c r="S31" s="37"/>
      <c r="T31" s="39" t="s">
        <v>18</v>
      </c>
      <c r="U31" s="263">
        <f>[3]Delta!$IQ$64</f>
        <v>7202986</v>
      </c>
      <c r="V31" s="2">
        <f>[3]Delta!$IC$64</f>
        <v>6260246</v>
      </c>
      <c r="W31" s="65">
        <f t="shared" si="26"/>
        <v>0.15059152627548503</v>
      </c>
      <c r="X31" s="263">
        <f>SUM([3]Delta!$IF$64:$IQ$64)</f>
        <v>75905611</v>
      </c>
      <c r="Y31" s="2">
        <f>SUM([3]Delta!$HR$64:$IC$64)</f>
        <v>80695370</v>
      </c>
      <c r="Z31" s="3">
        <f t="shared" si="27"/>
        <v>-5.9356057231040642E-2</v>
      </c>
      <c r="AA31" s="65">
        <f>X31/$X$62</f>
        <v>0.88278264078880286</v>
      </c>
    </row>
    <row r="32" spans="1:27" ht="14.1" customHeight="1" x14ac:dyDescent="0.2">
      <c r="A32" s="37"/>
      <c r="B32" s="39" t="s">
        <v>156</v>
      </c>
      <c r="C32" s="263">
        <f>[3]Pinnacle!$IQ$19</f>
        <v>1411</v>
      </c>
      <c r="D32" s="2">
        <f>[3]Pinnacle!$IC$19</f>
        <v>1402</v>
      </c>
      <c r="E32" s="65">
        <f t="shared" si="23"/>
        <v>6.4194008559201139E-3</v>
      </c>
      <c r="F32" s="2">
        <f>SUM([3]Pinnacle!$IF$19:$IQ$19)</f>
        <v>16441</v>
      </c>
      <c r="G32" s="2">
        <f>SUM([3]Pinnacle!$HR$19:$IC$19)</f>
        <v>17668</v>
      </c>
      <c r="H32" s="3">
        <f t="shared" si="28"/>
        <v>-6.9447588861218018E-2</v>
      </c>
      <c r="I32" s="65">
        <f>F32/$F$62</f>
        <v>5.6428279694262444E-2</v>
      </c>
      <c r="J32" s="37"/>
      <c r="K32" s="39" t="s">
        <v>156</v>
      </c>
      <c r="L32" s="263">
        <f>[3]Pinnacle!$IQ$41</f>
        <v>86598</v>
      </c>
      <c r="M32" s="2">
        <f>[3]Pinnacle!$IC$41</f>
        <v>78789</v>
      </c>
      <c r="N32" s="65">
        <f t="shared" si="24"/>
        <v>9.9112820317557013E-2</v>
      </c>
      <c r="O32" s="263">
        <f>SUM([3]Pinnacle!$IF$41:$IQ$41)</f>
        <v>996279</v>
      </c>
      <c r="P32" s="2">
        <f>SUM([3]Pinnacle!$HR$41:$IC$41)</f>
        <v>898887</v>
      </c>
      <c r="Q32" s="3">
        <f t="shared" si="25"/>
        <v>0.10834732285593184</v>
      </c>
      <c r="R32" s="65">
        <f>O32/$O$62</f>
        <v>2.9478179946911529E-2</v>
      </c>
      <c r="S32" s="37"/>
      <c r="T32" s="39" t="s">
        <v>156</v>
      </c>
      <c r="U32" s="263">
        <f>[3]Pinnacle!$IQ$64</f>
        <v>0</v>
      </c>
      <c r="V32" s="2">
        <f>[3]Pinnacle!$IC$64</f>
        <v>0</v>
      </c>
      <c r="W32" s="65" t="e">
        <f t="shared" si="26"/>
        <v>#DIV/0!</v>
      </c>
      <c r="X32" s="263">
        <f>SUM([3]Pinnacle!$IF$64:$IQ$64)</f>
        <v>0</v>
      </c>
      <c r="Y32" s="2">
        <f>SUM([3]Pinnacle!$HR$64:$IC$64)</f>
        <v>0</v>
      </c>
      <c r="Z32" s="3" t="e">
        <f t="shared" si="27"/>
        <v>#DIV/0!</v>
      </c>
      <c r="AA32" s="65">
        <f>X32/$X$62</f>
        <v>0</v>
      </c>
    </row>
    <row r="33" spans="1:27" ht="14.1" customHeight="1" x14ac:dyDescent="0.2">
      <c r="A33" s="37"/>
      <c r="B33" s="39" t="s">
        <v>97</v>
      </c>
      <c r="C33" s="263">
        <f>'[3]Sky West'!$IQ$19</f>
        <v>3973</v>
      </c>
      <c r="D33" s="2">
        <f>'[3]Sky West'!$IC$19</f>
        <v>4257</v>
      </c>
      <c r="E33" s="65">
        <f t="shared" si="23"/>
        <v>-6.6713648108996951E-2</v>
      </c>
      <c r="F33" s="2">
        <f>SUM('[3]Sky West'!$IF$19:$IQ$19)</f>
        <v>48832</v>
      </c>
      <c r="G33" s="2">
        <f>SUM('[3]Sky West'!$HR$19:$IC$19)</f>
        <v>67361</v>
      </c>
      <c r="H33" s="3">
        <f t="shared" si="28"/>
        <v>-0.27507014444559907</v>
      </c>
      <c r="I33" s="65">
        <f>F33/$F$62</f>
        <v>0.16759964442735986</v>
      </c>
      <c r="J33" s="37"/>
      <c r="K33" s="39" t="s">
        <v>97</v>
      </c>
      <c r="L33" s="263">
        <f>'[3]Sky West'!$IQ$41</f>
        <v>181740</v>
      </c>
      <c r="M33" s="2">
        <f>'[3]Sky West'!$IC$41</f>
        <v>224048</v>
      </c>
      <c r="N33" s="65">
        <f t="shared" si="24"/>
        <v>-0.18883453545668785</v>
      </c>
      <c r="O33" s="263">
        <f>SUM('[3]Sky West'!$IF$41:$IQ$41)</f>
        <v>2464249</v>
      </c>
      <c r="P33" s="2">
        <f>SUM('[3]Sky West'!$HR$41:$IC$41)</f>
        <v>3620902</v>
      </c>
      <c r="Q33" s="3">
        <f t="shared" si="25"/>
        <v>-0.31943780859023524</v>
      </c>
      <c r="R33" s="65">
        <f>O33/$O$62</f>
        <v>7.2912884298471398E-2</v>
      </c>
      <c r="S33" s="37"/>
      <c r="T33" s="39" t="s">
        <v>97</v>
      </c>
      <c r="U33" s="263">
        <f>'[3]Sky West'!$IQ$64</f>
        <v>0</v>
      </c>
      <c r="V33" s="2">
        <f>'[3]Sky West'!$IC$64</f>
        <v>0</v>
      </c>
      <c r="W33" s="65" t="e">
        <f t="shared" si="26"/>
        <v>#DIV/0!</v>
      </c>
      <c r="X33" s="263">
        <f>SUM('[3]Sky West'!$IF$64:$IQ$64)</f>
        <v>0</v>
      </c>
      <c r="Y33" s="2">
        <f>SUM('[3]Sky West'!$HR$64:$IC$64)</f>
        <v>0</v>
      </c>
      <c r="Z33" s="3" t="e">
        <f t="shared" ref="Z33:Z34" si="29">(X33-Y33)/Y33</f>
        <v>#DIV/0!</v>
      </c>
      <c r="AA33" s="65">
        <f>X33/$X$62</f>
        <v>0</v>
      </c>
    </row>
    <row r="34" spans="1:27" ht="14.1" customHeight="1" x14ac:dyDescent="0.2">
      <c r="A34" s="37"/>
      <c r="B34" s="318" t="s">
        <v>164</v>
      </c>
      <c r="C34" s="263">
        <f>'[3]Atlantic Southeast'!$IQ$19</f>
        <v>0</v>
      </c>
      <c r="D34" s="2">
        <f>'[3]Atlantic Southeast'!$IC$19</f>
        <v>0</v>
      </c>
      <c r="E34" s="65" t="e">
        <f t="shared" si="23"/>
        <v>#DIV/0!</v>
      </c>
      <c r="F34" s="2">
        <f>SUM('[3]Atlantic Southeast'!$IF$19:$IQ$19)</f>
        <v>0</v>
      </c>
      <c r="G34" s="2">
        <f>SUM('[3]Atlantic Southeast'!$HR$19:$IC$19)</f>
        <v>0</v>
      </c>
      <c r="H34" s="3" t="e">
        <f t="shared" si="28"/>
        <v>#DIV/0!</v>
      </c>
      <c r="I34" s="65">
        <f>F34/$F$62</f>
        <v>0</v>
      </c>
      <c r="J34" s="37"/>
      <c r="K34" s="318" t="s">
        <v>164</v>
      </c>
      <c r="L34" s="263">
        <f>'[3]Atlantic Southeast'!$IQ$41</f>
        <v>0</v>
      </c>
      <c r="M34" s="2">
        <f>'[3]Atlantic Southeast'!$IC$41</f>
        <v>0</v>
      </c>
      <c r="N34" s="65" t="e">
        <f t="shared" si="24"/>
        <v>#DIV/0!</v>
      </c>
      <c r="O34" s="263">
        <f>SUM('[3]Atlantic Southeast'!$IF$41:$IQ$41)</f>
        <v>0</v>
      </c>
      <c r="P34" s="2">
        <f>SUM('[3]Atlantic Southeast'!$HR$41:$IC$41)</f>
        <v>0</v>
      </c>
      <c r="Q34" s="3" t="e">
        <f t="shared" si="25"/>
        <v>#DIV/0!</v>
      </c>
      <c r="R34" s="65">
        <f>O34/$O$62</f>
        <v>0</v>
      </c>
      <c r="S34" s="37"/>
      <c r="T34" s="318" t="s">
        <v>164</v>
      </c>
      <c r="U34" s="263">
        <f>'[3]Atlantic Southeast'!$IQ$64</f>
        <v>0</v>
      </c>
      <c r="V34" s="2">
        <f>'[3]Atlantic Southeast'!$IC$64</f>
        <v>0</v>
      </c>
      <c r="W34" s="65" t="e">
        <f t="shared" si="26"/>
        <v>#DIV/0!</v>
      </c>
      <c r="X34" s="263">
        <f>SUM('[3]Atlantic Southeast'!$IF$64:$IQ$64)</f>
        <v>0</v>
      </c>
      <c r="Y34" s="2">
        <f>SUM('[3]Atlantic Southeast'!$HR$64:$IC$64)</f>
        <v>0</v>
      </c>
      <c r="Z34" s="3" t="e">
        <f t="shared" si="29"/>
        <v>#DIV/0!</v>
      </c>
      <c r="AA34" s="65">
        <f>X34/$X$62</f>
        <v>0</v>
      </c>
    </row>
    <row r="35" spans="1:27" ht="14.1" customHeight="1" x14ac:dyDescent="0.2">
      <c r="A35" s="37"/>
      <c r="B35" s="318"/>
      <c r="C35" s="263"/>
      <c r="E35" s="65"/>
      <c r="F35" s="2"/>
      <c r="I35" s="65"/>
      <c r="J35" s="37"/>
      <c r="K35" s="318"/>
      <c r="L35" s="263"/>
      <c r="N35" s="65"/>
      <c r="O35" s="263"/>
      <c r="P35" s="2"/>
      <c r="Q35" s="3"/>
      <c r="R35" s="65"/>
      <c r="S35" s="37"/>
      <c r="T35" s="318"/>
      <c r="U35" s="263"/>
      <c r="V35" s="2"/>
      <c r="W35" s="65"/>
      <c r="X35" s="263"/>
      <c r="Y35" s="2"/>
      <c r="Z35" s="3"/>
      <c r="AA35" s="65"/>
    </row>
    <row r="36" spans="1:27" ht="14.1" customHeight="1" x14ac:dyDescent="0.2">
      <c r="A36" s="258" t="s">
        <v>47</v>
      </c>
      <c r="B36" s="39"/>
      <c r="C36" s="259">
        <f>[3]Frontier!$IQ$19</f>
        <v>272</v>
      </c>
      <c r="D36" s="261">
        <f>[3]Frontier!$IC$19</f>
        <v>60</v>
      </c>
      <c r="E36" s="262">
        <f>(C36-D36)/D36</f>
        <v>3.5333333333333332</v>
      </c>
      <c r="F36" s="261">
        <f>SUM([3]Frontier!$IF$19:$IQ$19)</f>
        <v>1643</v>
      </c>
      <c r="G36" s="261">
        <f>SUM([3]Frontier!$HR$19:$IC$19)</f>
        <v>1238</v>
      </c>
      <c r="H36" s="260">
        <f>(F36-G36)/G36</f>
        <v>0.327140549273021</v>
      </c>
      <c r="I36" s="262">
        <f>F36/$F$62</f>
        <v>5.6390525842511521E-3</v>
      </c>
      <c r="J36" s="258" t="s">
        <v>47</v>
      </c>
      <c r="K36" s="39"/>
      <c r="L36" s="259">
        <f>[3]Frontier!$IQ$41</f>
        <v>38229</v>
      </c>
      <c r="M36" s="261">
        <f>[3]Frontier!$IC$41</f>
        <v>9502</v>
      </c>
      <c r="N36" s="262">
        <f>(L36-M36)/M36</f>
        <v>3.0232582614186487</v>
      </c>
      <c r="O36" s="259">
        <f>SUM([3]Frontier!$IF$41:$IQ$41)</f>
        <v>264489</v>
      </c>
      <c r="P36" s="261">
        <f>SUM([3]Frontier!$HR$41:$IC$41)</f>
        <v>184115</v>
      </c>
      <c r="Q36" s="260">
        <f>(O36-P36)/P36</f>
        <v>0.43654237840480137</v>
      </c>
      <c r="R36" s="262">
        <f>O36/$O$62</f>
        <v>7.8257740411859355E-3</v>
      </c>
      <c r="S36" s="258" t="s">
        <v>47</v>
      </c>
      <c r="T36" s="39"/>
      <c r="U36" s="259">
        <f>[3]Frontier!$IQ$64</f>
        <v>0</v>
      </c>
      <c r="V36" s="261">
        <f>[3]Frontier!$IC$64</f>
        <v>0</v>
      </c>
      <c r="W36" s="262" t="e">
        <f>(U36-V36)/V36</f>
        <v>#DIV/0!</v>
      </c>
      <c r="X36" s="259">
        <f>SUM([3]Frontier!$IF$64:$IQ$64)</f>
        <v>0</v>
      </c>
      <c r="Y36" s="261">
        <f>SUM([3]Frontier!$HR$64:$IC$64)</f>
        <v>0</v>
      </c>
      <c r="Z36" s="260" t="e">
        <f>(X36-Y36)/Y36</f>
        <v>#DIV/0!</v>
      </c>
      <c r="AA36" s="262">
        <f>X36/$X$62</f>
        <v>0</v>
      </c>
    </row>
    <row r="37" spans="1:27" ht="14.1" customHeight="1" x14ac:dyDescent="0.2">
      <c r="A37" s="258"/>
      <c r="B37" s="39"/>
      <c r="C37" s="259"/>
      <c r="D37" s="261"/>
      <c r="E37" s="262"/>
      <c r="F37" s="261"/>
      <c r="G37" s="261"/>
      <c r="H37" s="260"/>
      <c r="I37" s="262"/>
      <c r="J37" s="258"/>
      <c r="K37" s="39"/>
      <c r="L37" s="263"/>
      <c r="N37" s="65"/>
      <c r="O37" s="263"/>
      <c r="P37" s="2"/>
      <c r="Q37" s="3"/>
      <c r="R37" s="65"/>
      <c r="S37" s="258"/>
      <c r="T37" s="39"/>
      <c r="U37" s="263"/>
      <c r="V37" s="2"/>
      <c r="W37" s="65"/>
      <c r="X37" s="263"/>
      <c r="Y37" s="2"/>
      <c r="Z37" s="3"/>
      <c r="AA37" s="65"/>
    </row>
    <row r="38" spans="1:27" ht="14.1" customHeight="1" x14ac:dyDescent="0.2">
      <c r="A38" s="258" t="s">
        <v>48</v>
      </c>
      <c r="B38" s="39"/>
      <c r="C38" s="259">
        <f>[3]Icelandair!$IQ$19</f>
        <v>24</v>
      </c>
      <c r="D38" s="261">
        <f>[3]Icelandair!$IC$19</f>
        <v>20</v>
      </c>
      <c r="E38" s="262">
        <f>(C38-D38)/D38</f>
        <v>0.2</v>
      </c>
      <c r="F38" s="261">
        <f>SUM([3]Icelandair!$IF$19:$IQ$19)</f>
        <v>448</v>
      </c>
      <c r="G38" s="261">
        <f>SUM([3]Icelandair!$HR$19:$IC$19)</f>
        <v>396</v>
      </c>
      <c r="H38" s="260">
        <f>(F38-G38)/G38</f>
        <v>0.13131313131313133</v>
      </c>
      <c r="I38" s="262">
        <f>F38/$F$62</f>
        <v>1.5376114167647695E-3</v>
      </c>
      <c r="J38" s="258" t="s">
        <v>48</v>
      </c>
      <c r="K38" s="39"/>
      <c r="L38" s="259">
        <f>[3]Icelandair!$IQ$41</f>
        <v>2622</v>
      </c>
      <c r="M38" s="261">
        <f>[3]Icelandair!$IC$41</f>
        <v>1949</v>
      </c>
      <c r="N38" s="262">
        <f>(L38-M38)/M38</f>
        <v>0.34530528476141609</v>
      </c>
      <c r="O38" s="259">
        <f>SUM([3]Icelandair!$IF$41:$IQ$41)</f>
        <v>73824</v>
      </c>
      <c r="P38" s="261">
        <f>SUM([3]Icelandair!$HR$41:$IC$41)</f>
        <v>56070</v>
      </c>
      <c r="Q38" s="260">
        <f>(O38-P38)/P38</f>
        <v>0.31663991439272338</v>
      </c>
      <c r="R38" s="262">
        <f>O38/$O$62</f>
        <v>2.1843250298368196E-3</v>
      </c>
      <c r="S38" s="258" t="s">
        <v>48</v>
      </c>
      <c r="T38" s="39"/>
      <c r="U38" s="259">
        <f>[3]Icelandair!$IQ$64</f>
        <v>1235</v>
      </c>
      <c r="V38" s="261">
        <f>[3]Icelandair!$IC$64</f>
        <v>1240</v>
      </c>
      <c r="W38" s="262">
        <f>(U38-V38)/V38</f>
        <v>-4.0322580645161289E-3</v>
      </c>
      <c r="X38" s="259">
        <f>SUM([3]Icelandair!$IF$64:$IQ$64)</f>
        <v>20272</v>
      </c>
      <c r="Y38" s="261">
        <f>SUM([3]Icelandair!$HR$64:$IC$64)</f>
        <v>62559</v>
      </c>
      <c r="Z38" s="260">
        <f>(X38-Y38)/Y38</f>
        <v>-0.67595389951885421</v>
      </c>
      <c r="AA38" s="262">
        <f>X38/$X$62</f>
        <v>2.3576346278367501E-4</v>
      </c>
    </row>
    <row r="39" spans="1:27" ht="14.1" customHeight="1" x14ac:dyDescent="0.2">
      <c r="A39" s="258"/>
      <c r="B39" s="39"/>
      <c r="C39" s="259"/>
      <c r="D39" s="261"/>
      <c r="E39" s="262"/>
      <c r="F39" s="261"/>
      <c r="G39" s="261"/>
      <c r="H39" s="260"/>
      <c r="I39" s="262"/>
      <c r="J39" s="258"/>
      <c r="K39" s="39"/>
      <c r="L39" s="263"/>
      <c r="N39" s="65"/>
      <c r="O39" s="263"/>
      <c r="P39" s="2"/>
      <c r="Q39" s="3"/>
      <c r="R39" s="65"/>
      <c r="S39" s="258"/>
      <c r="T39" s="39"/>
      <c r="U39" s="263"/>
      <c r="V39" s="2"/>
      <c r="W39" s="65"/>
      <c r="X39" s="263"/>
      <c r="Y39" s="2"/>
      <c r="Z39" s="3"/>
      <c r="AA39" s="65"/>
    </row>
    <row r="40" spans="1:27" ht="14.1" customHeight="1" x14ac:dyDescent="0.2">
      <c r="A40" s="258" t="s">
        <v>192</v>
      </c>
      <c r="B40" s="39"/>
      <c r="C40" s="259">
        <f>'[3]Jet Blue'!$IQ$19</f>
        <v>62</v>
      </c>
      <c r="D40" s="261">
        <f>'[3]Jet Blue'!$IC$19</f>
        <v>169</v>
      </c>
      <c r="E40" s="262">
        <f>(C40-D40)/D40</f>
        <v>-0.63313609467455623</v>
      </c>
      <c r="F40" s="261">
        <f>SUM('[3]Jet Blue'!$IF$19:$IQ$19)</f>
        <v>1083</v>
      </c>
      <c r="G40" s="261">
        <f>SUM('[3]Jet Blue'!$HR$19:$IC$19)</f>
        <v>1927</v>
      </c>
      <c r="H40" s="260">
        <f>(F40-G40)/G40</f>
        <v>-0.43798650752464974</v>
      </c>
      <c r="I40" s="262">
        <f>F40/$F$62</f>
        <v>3.7170383132951903E-3</v>
      </c>
      <c r="J40" s="258" t="s">
        <v>192</v>
      </c>
      <c r="K40" s="39"/>
      <c r="L40" s="259">
        <f>'[3]Jet Blue'!$IQ$41</f>
        <v>5778</v>
      </c>
      <c r="M40" s="261">
        <f>'[3]Jet Blue'!$IC$41</f>
        <v>13479</v>
      </c>
      <c r="N40" s="262">
        <f>(L40-M40)/M40</f>
        <v>-0.57133318495437346</v>
      </c>
      <c r="O40" s="259">
        <f>SUM('[3]Jet Blue'!$IF$41:$IQ$41)</f>
        <v>105691</v>
      </c>
      <c r="P40" s="261">
        <f>SUM('[3]Jet Blue'!$HR$41:$IC$41)</f>
        <v>175806</v>
      </c>
      <c r="Q40" s="260">
        <f>(O40-P40)/P40</f>
        <v>-0.39882029054753537</v>
      </c>
      <c r="R40" s="262">
        <f>O40/$O$62</f>
        <v>3.127214682602992E-3</v>
      </c>
      <c r="S40" s="258" t="s">
        <v>192</v>
      </c>
      <c r="T40" s="39"/>
      <c r="U40" s="259">
        <f>'[3]Jet Blue'!$IQ$64</f>
        <v>0</v>
      </c>
      <c r="V40" s="261">
        <f>'[3]Jet Blue'!$IC$64</f>
        <v>0</v>
      </c>
      <c r="W40" s="262" t="e">
        <f>(U40-V40)/V40</f>
        <v>#DIV/0!</v>
      </c>
      <c r="X40" s="259">
        <f>SUM('[3]Jet Blue'!$IF$64:$IQ$64)</f>
        <v>0</v>
      </c>
      <c r="Y40" s="261">
        <f>SUM('[3]Jet Blue'!$HR$64:$IC$64)</f>
        <v>0</v>
      </c>
      <c r="Z40" s="260" t="e">
        <f>(X40-Y40)/Y40</f>
        <v>#DIV/0!</v>
      </c>
      <c r="AA40" s="262">
        <f>X40/$X$62</f>
        <v>0</v>
      </c>
    </row>
    <row r="41" spans="1:27" ht="14.1" customHeight="1" x14ac:dyDescent="0.2">
      <c r="A41" s="258"/>
      <c r="B41" s="39"/>
      <c r="C41" s="259"/>
      <c r="D41" s="261"/>
      <c r="E41" s="262"/>
      <c r="F41" s="261"/>
      <c r="G41" s="261"/>
      <c r="H41" s="260"/>
      <c r="I41" s="262"/>
      <c r="J41" s="258"/>
      <c r="K41" s="39"/>
      <c r="L41" s="263"/>
      <c r="N41" s="65"/>
      <c r="O41" s="263"/>
      <c r="P41" s="2"/>
      <c r="Q41" s="3"/>
      <c r="R41" s="65"/>
      <c r="S41" s="258"/>
      <c r="T41" s="39"/>
      <c r="U41" s="263"/>
      <c r="V41" s="2"/>
      <c r="W41" s="65"/>
      <c r="X41" s="263"/>
      <c r="Y41" s="2"/>
      <c r="Z41" s="3"/>
      <c r="AA41" s="65"/>
    </row>
    <row r="42" spans="1:27" ht="14.1" customHeight="1" x14ac:dyDescent="0.2">
      <c r="A42" s="258" t="s">
        <v>187</v>
      </c>
      <c r="B42" s="39"/>
      <c r="C42" s="259">
        <f>[3]KLM!$IQ$19</f>
        <v>30</v>
      </c>
      <c r="D42" s="261">
        <f>[3]KLM!$IC$19</f>
        <v>34</v>
      </c>
      <c r="E42" s="262">
        <f>(C42-D42)/D42</f>
        <v>-0.11764705882352941</v>
      </c>
      <c r="F42" s="261">
        <f>SUM([3]KLM!$IF$19:$IQ$19)</f>
        <v>388</v>
      </c>
      <c r="G42" s="261">
        <f>SUM([3]KLM!$HR$19:$IC$19)</f>
        <v>400</v>
      </c>
      <c r="H42" s="260">
        <f>(F42-G42)/G42</f>
        <v>-0.03</v>
      </c>
      <c r="I42" s="262">
        <f>F42/$F$62</f>
        <v>1.3316813163052022E-3</v>
      </c>
      <c r="J42" s="258" t="s">
        <v>187</v>
      </c>
      <c r="K42" s="39"/>
      <c r="L42" s="259">
        <f>[3]KLM!$IQ$41</f>
        <v>6232</v>
      </c>
      <c r="M42" s="261">
        <f>[3]KLM!$IC$41</f>
        <v>8082</v>
      </c>
      <c r="N42" s="262">
        <f>(L42-M42)/M42</f>
        <v>-0.22890373669883693</v>
      </c>
      <c r="O42" s="259">
        <f>SUM([3]KLM!$IF$41:$IQ$41)</f>
        <v>88901</v>
      </c>
      <c r="P42" s="261">
        <f>SUM([3]KLM!$HR$41:$IC$41)</f>
        <v>86689</v>
      </c>
      <c r="Q42" s="260">
        <f>(O42-P42)/P42</f>
        <v>2.5516501516916795E-2</v>
      </c>
      <c r="R42" s="262">
        <f>O42/$O$62</f>
        <v>2.6304274961736437E-3</v>
      </c>
      <c r="S42" s="258" t="s">
        <v>187</v>
      </c>
      <c r="T42" s="39"/>
      <c r="U42" s="259">
        <f>[3]KLM!$IQ$64</f>
        <v>303618</v>
      </c>
      <c r="V42" s="261">
        <f>[3]KLM!$IC$64</f>
        <v>549257</v>
      </c>
      <c r="W42" s="262">
        <f>(U42-V42)/V42</f>
        <v>-0.44722051789963535</v>
      </c>
      <c r="X42" s="259">
        <f>SUM([3]KLM!$IF$64:$IQ$64)</f>
        <v>4580773</v>
      </c>
      <c r="Y42" s="261">
        <f>SUM([3]KLM!$HR$64:$IC$64)</f>
        <v>6423377</v>
      </c>
      <c r="Z42" s="260">
        <f>(X42-Y42)/Y42</f>
        <v>-0.2868590773980727</v>
      </c>
      <c r="AA42" s="262">
        <f>X42/$X$62</f>
        <v>5.327441321556646E-2</v>
      </c>
    </row>
    <row r="43" spans="1:27" ht="14.1" customHeight="1" x14ac:dyDescent="0.2">
      <c r="A43" s="258"/>
      <c r="B43" s="39"/>
      <c r="C43" s="259"/>
      <c r="D43" s="261"/>
      <c r="E43" s="262"/>
      <c r="F43" s="261"/>
      <c r="G43" s="261"/>
      <c r="H43" s="260"/>
      <c r="I43" s="262"/>
      <c r="J43" s="258"/>
      <c r="K43" s="39"/>
      <c r="L43" s="263"/>
      <c r="N43" s="65"/>
      <c r="O43" s="263"/>
      <c r="P43" s="2"/>
      <c r="Q43" s="3"/>
      <c r="R43" s="65"/>
      <c r="S43" s="258"/>
      <c r="T43" s="39"/>
      <c r="U43" s="263"/>
      <c r="V43" s="2"/>
      <c r="W43" s="65"/>
      <c r="X43" s="263"/>
      <c r="Y43" s="2"/>
      <c r="Z43" s="3"/>
      <c r="AA43" s="65"/>
    </row>
    <row r="44" spans="1:27" ht="14.1" customHeight="1" x14ac:dyDescent="0.2">
      <c r="A44" s="258" t="s">
        <v>128</v>
      </c>
      <c r="B44" s="39"/>
      <c r="C44" s="259">
        <f>[3]Southwest!$IQ$19</f>
        <v>1357</v>
      </c>
      <c r="D44" s="261">
        <f>[3]Southwest!$IC$19</f>
        <v>797</v>
      </c>
      <c r="E44" s="262">
        <f>(C44-D44)/D44</f>
        <v>0.70263488080301129</v>
      </c>
      <c r="F44" s="261">
        <f>SUM([3]Southwest!$IF$19:$IQ$19)</f>
        <v>14649</v>
      </c>
      <c r="G44" s="261">
        <f>SUM([3]Southwest!$HR$19:$IC$19)</f>
        <v>10569</v>
      </c>
      <c r="H44" s="260">
        <f>(F44-G44)/G44</f>
        <v>0.38603462957706502</v>
      </c>
      <c r="I44" s="262">
        <f>F44/$F$62</f>
        <v>5.0277834027203365E-2</v>
      </c>
      <c r="J44" s="258" t="s">
        <v>128</v>
      </c>
      <c r="K44" s="39"/>
      <c r="L44" s="259">
        <f>[3]Southwest!$IQ$41</f>
        <v>132117</v>
      </c>
      <c r="M44" s="261">
        <f>[3]Southwest!$IC$41</f>
        <v>90084</v>
      </c>
      <c r="N44" s="262">
        <f>(L44-M44)/M44</f>
        <v>0.46659784201412013</v>
      </c>
      <c r="O44" s="259">
        <f>SUM([3]Southwest!$IF$41:$IQ$41)</f>
        <v>1656549</v>
      </c>
      <c r="P44" s="261">
        <f>SUM([3]Southwest!$HR$41:$IC$41)</f>
        <v>1341040</v>
      </c>
      <c r="Q44" s="260">
        <f>(O44-P44)/P44</f>
        <v>0.23527187854202708</v>
      </c>
      <c r="R44" s="262">
        <f>O44/$O$62</f>
        <v>4.9014432215148916E-2</v>
      </c>
      <c r="S44" s="258" t="s">
        <v>128</v>
      </c>
      <c r="T44" s="39"/>
      <c r="U44" s="259">
        <f>[3]Southwest!$IQ$64</f>
        <v>194206</v>
      </c>
      <c r="V44" s="261">
        <f>[3]Southwest!$IC$64</f>
        <v>155849</v>
      </c>
      <c r="W44" s="262">
        <f>(U44-V44)/V44</f>
        <v>0.24611643321420093</v>
      </c>
      <c r="X44" s="259">
        <f>SUM([3]Southwest!$IF$64:$IQ$64)</f>
        <v>2649563</v>
      </c>
      <c r="Y44" s="261">
        <f>SUM([3]Southwest!$HR$64:$IC$64)</f>
        <v>2528424</v>
      </c>
      <c r="Z44" s="260">
        <f>(X44-Y44)/Y44</f>
        <v>4.791087254352909E-2</v>
      </c>
      <c r="AA44" s="262">
        <f>X44/$X$62</f>
        <v>3.0814431123890207E-2</v>
      </c>
    </row>
    <row r="45" spans="1:27" ht="14.1" customHeight="1" x14ac:dyDescent="0.2">
      <c r="A45" s="258"/>
      <c r="B45" s="39"/>
      <c r="C45" s="259"/>
      <c r="D45" s="261"/>
      <c r="E45" s="262"/>
      <c r="F45" s="261"/>
      <c r="G45" s="261"/>
      <c r="H45" s="260"/>
      <c r="I45" s="262"/>
      <c r="J45" s="258"/>
      <c r="K45" s="39"/>
      <c r="L45" s="263"/>
      <c r="N45" s="65"/>
      <c r="O45" s="263"/>
      <c r="P45" s="2"/>
      <c r="Q45" s="3"/>
      <c r="R45" s="65"/>
      <c r="S45" s="258"/>
      <c r="T45" s="39"/>
      <c r="U45" s="263"/>
      <c r="V45" s="2"/>
      <c r="W45" s="65"/>
      <c r="X45" s="263"/>
      <c r="Y45" s="2"/>
      <c r="Z45" s="3"/>
      <c r="AA45" s="65"/>
    </row>
    <row r="46" spans="1:27" ht="14.1" customHeight="1" x14ac:dyDescent="0.2">
      <c r="A46" s="258" t="s">
        <v>153</v>
      </c>
      <c r="B46" s="39"/>
      <c r="C46" s="259">
        <f>[3]Spirit!$IQ$19</f>
        <v>234</v>
      </c>
      <c r="D46" s="261">
        <f>[3]Spirit!$IC$19</f>
        <v>275</v>
      </c>
      <c r="E46" s="262">
        <f>(C46-D46)/D46</f>
        <v>-0.14909090909090908</v>
      </c>
      <c r="F46" s="261">
        <f>SUM([3]Spirit!$IF$19:$IQ$19)</f>
        <v>3148</v>
      </c>
      <c r="G46" s="261">
        <f>SUM([3]Spirit!$HR$19:$IC$19)</f>
        <v>2915</v>
      </c>
      <c r="H46" s="260">
        <f>(F46-G46)/G46</f>
        <v>7.9931389365351629E-2</v>
      </c>
      <c r="I46" s="262">
        <f>F46/$F$62</f>
        <v>1.0804465937445299E-2</v>
      </c>
      <c r="J46" s="258" t="s">
        <v>153</v>
      </c>
      <c r="K46" s="39"/>
      <c r="L46" s="259">
        <f>[3]Spirit!$IQ$41</f>
        <v>31483</v>
      </c>
      <c r="M46" s="261">
        <f>[3]Spirit!$IC$41</f>
        <v>37012</v>
      </c>
      <c r="N46" s="262">
        <f>(L46-M46)/M46</f>
        <v>-0.14938398357289528</v>
      </c>
      <c r="O46" s="259">
        <f>SUM([3]Spirit!$IF$41:$IQ$41)</f>
        <v>445272</v>
      </c>
      <c r="P46" s="261">
        <f>SUM([3]Spirit!$HR$41:$IC$41)</f>
        <v>432257</v>
      </c>
      <c r="Q46" s="260">
        <f>(O46-P46)/P46</f>
        <v>3.0109402508230059E-2</v>
      </c>
      <c r="R46" s="262">
        <f>O46/$O$62</f>
        <v>1.3174831690039829E-2</v>
      </c>
      <c r="S46" s="258" t="s">
        <v>153</v>
      </c>
      <c r="T46" s="39"/>
      <c r="U46" s="259">
        <f>[3]Spirit!$IQ$64</f>
        <v>0</v>
      </c>
      <c r="V46" s="261">
        <f>[3]Spirit!$IC$64</f>
        <v>0</v>
      </c>
      <c r="W46" s="262" t="e">
        <f>(U46-V46)/V46</f>
        <v>#DIV/0!</v>
      </c>
      <c r="X46" s="259">
        <f>SUM([3]Spirit!$IF$64:$IQ$64)</f>
        <v>0</v>
      </c>
      <c r="Y46" s="261">
        <f>SUM([3]Spirit!$HR$64:$IC$64)</f>
        <v>0</v>
      </c>
      <c r="Z46" s="260" t="e">
        <f>(X46-Y46)/Y46</f>
        <v>#DIV/0!</v>
      </c>
      <c r="AA46" s="262">
        <f>X46/$X$62</f>
        <v>0</v>
      </c>
    </row>
    <row r="47" spans="1:27" ht="14.1" customHeight="1" x14ac:dyDescent="0.2">
      <c r="A47" s="258"/>
      <c r="B47" s="39"/>
      <c r="C47" s="259"/>
      <c r="D47" s="261"/>
      <c r="E47" s="262"/>
      <c r="F47" s="261"/>
      <c r="G47" s="261"/>
      <c r="H47" s="260"/>
      <c r="I47" s="262"/>
      <c r="J47" s="258"/>
      <c r="K47" s="39"/>
      <c r="L47" s="263"/>
      <c r="N47" s="65"/>
      <c r="O47" s="263"/>
      <c r="P47" s="2"/>
      <c r="Q47" s="3"/>
      <c r="R47" s="65">
        <f>O47/$O$62</f>
        <v>0</v>
      </c>
      <c r="S47" s="258"/>
      <c r="T47" s="39"/>
      <c r="U47" s="263"/>
      <c r="V47" s="2"/>
      <c r="W47" s="65"/>
      <c r="X47" s="263"/>
      <c r="Y47" s="2"/>
      <c r="Z47" s="3"/>
      <c r="AA47" s="65">
        <f>X47/$X$62</f>
        <v>0</v>
      </c>
    </row>
    <row r="48" spans="1:27" ht="14.1" customHeight="1" x14ac:dyDescent="0.2">
      <c r="A48" s="258" t="s">
        <v>49</v>
      </c>
      <c r="B48" s="39"/>
      <c r="C48" s="259">
        <f>'[3]Sun Country'!$IQ$19</f>
        <v>2527</v>
      </c>
      <c r="D48" s="261">
        <f>'[3]Sun Country'!$IC$19</f>
        <v>2219</v>
      </c>
      <c r="E48" s="262">
        <f>(C48-D48)/D48</f>
        <v>0.13880126182965299</v>
      </c>
      <c r="F48" s="261">
        <f>SUM('[3]Sun Country'!$IF$19:$IQ$19)</f>
        <v>25787</v>
      </c>
      <c r="G48" s="261">
        <f>SUM('[3]Sun Country'!$HR$19:$IC$19)</f>
        <v>22519</v>
      </c>
      <c r="H48" s="260">
        <f>(F48-G48)/G48</f>
        <v>0.14512189706470091</v>
      </c>
      <c r="I48" s="262">
        <f>F48/$F$62</f>
        <v>8.8505325009181054E-2</v>
      </c>
      <c r="J48" s="258" t="s">
        <v>49</v>
      </c>
      <c r="K48" s="39"/>
      <c r="L48" s="259">
        <f>'[3]Sun Country'!$IQ$41</f>
        <v>370964</v>
      </c>
      <c r="M48" s="261">
        <f>'[3]Sun Country'!$IC$41</f>
        <v>322314</v>
      </c>
      <c r="N48" s="262">
        <f>(L48-M48)/M48</f>
        <v>0.15093976681124618</v>
      </c>
      <c r="O48" s="259">
        <f>SUM('[3]Sun Country'!$IF$41:$IQ$41)</f>
        <v>3812350</v>
      </c>
      <c r="P48" s="261">
        <f>SUM('[3]Sun Country'!$HR$41:$IC$41)</f>
        <v>3268081</v>
      </c>
      <c r="Q48" s="260">
        <f>(O48-P48)/P48</f>
        <v>0.16654085379156758</v>
      </c>
      <c r="R48" s="262">
        <f>O48/$O$62</f>
        <v>0.1128008713629497</v>
      </c>
      <c r="S48" s="258" t="s">
        <v>49</v>
      </c>
      <c r="T48" s="39"/>
      <c r="U48" s="259">
        <f>'[3]Sun Country'!$IQ$64</f>
        <v>0</v>
      </c>
      <c r="V48" s="261">
        <f>'[3]Sun Country'!$IC$64</f>
        <v>121167</v>
      </c>
      <c r="W48" s="262">
        <f>(U48-V48)/V48</f>
        <v>-1</v>
      </c>
      <c r="X48" s="259">
        <f>SUM('[3]Sun Country'!$IF$64:$IQ$64)</f>
        <v>61776</v>
      </c>
      <c r="Y48" s="261">
        <f>SUM('[3]Sun Country'!$HR$64:$IC$64)</f>
        <v>3589888</v>
      </c>
      <c r="Z48" s="260">
        <f>(X48-Y48)/Y48</f>
        <v>-0.98279166369535764</v>
      </c>
      <c r="AA48" s="262">
        <f>X48/$X$62</f>
        <v>7.184551932184445E-4</v>
      </c>
    </row>
    <row r="49" spans="1:27" ht="14.1" customHeight="1" x14ac:dyDescent="0.2">
      <c r="A49" s="258"/>
      <c r="B49" s="39"/>
      <c r="C49" s="259"/>
      <c r="D49" s="261"/>
      <c r="E49" s="262"/>
      <c r="F49" s="261"/>
      <c r="G49" s="261"/>
      <c r="H49" s="260"/>
      <c r="I49" s="262"/>
      <c r="J49" s="258"/>
      <c r="K49" s="39"/>
      <c r="L49" s="263"/>
      <c r="N49" s="65"/>
      <c r="O49" s="263"/>
      <c r="P49" s="2"/>
      <c r="Q49" s="3"/>
      <c r="R49" s="65"/>
      <c r="S49" s="258"/>
      <c r="T49" s="39"/>
      <c r="U49" s="263"/>
      <c r="V49" s="2"/>
      <c r="W49" s="65"/>
      <c r="X49" s="263"/>
      <c r="Y49" s="2"/>
      <c r="Z49" s="3"/>
      <c r="AA49" s="65"/>
    </row>
    <row r="50" spans="1:27" ht="14.1" customHeight="1" x14ac:dyDescent="0.2">
      <c r="A50" s="258" t="s">
        <v>19</v>
      </c>
      <c r="B50" s="265"/>
      <c r="C50" s="259">
        <f>SUM(C51:C55)</f>
        <v>968</v>
      </c>
      <c r="D50" s="261">
        <f>SUM(D51:D55)</f>
        <v>838</v>
      </c>
      <c r="E50" s="262">
        <f t="shared" ref="E50:E55" si="30">(C50-D50)/D50</f>
        <v>0.15513126491646778</v>
      </c>
      <c r="F50" s="261">
        <f>SUM(F51:F55)</f>
        <v>12451</v>
      </c>
      <c r="G50" s="261">
        <f>SUM(G51:G55)</f>
        <v>11080</v>
      </c>
      <c r="H50" s="260">
        <f t="shared" ref="H50:H55" si="31">(F50-G50)/G50</f>
        <v>0.12373646209386281</v>
      </c>
      <c r="I50" s="262">
        <f t="shared" ref="I50:I55" si="32">F50/$F$62</f>
        <v>4.2733928013701218E-2</v>
      </c>
      <c r="J50" s="258" t="s">
        <v>19</v>
      </c>
      <c r="K50" s="265"/>
      <c r="L50" s="259">
        <f>SUM(L51:L55)</f>
        <v>107811</v>
      </c>
      <c r="M50" s="261">
        <f>SUM(M51:M55)</f>
        <v>104726</v>
      </c>
      <c r="N50" s="262">
        <f t="shared" ref="N50:N55" si="33">(L50-M50)/M50</f>
        <v>2.9457823272157822E-2</v>
      </c>
      <c r="O50" s="259">
        <f>SUM(O51:O55)</f>
        <v>1539166</v>
      </c>
      <c r="P50" s="261">
        <f>SUM(P51:P55)</f>
        <v>1275993</v>
      </c>
      <c r="Q50" s="260">
        <f t="shared" ref="Q50:Q55" si="34">(O50-P50)/P50</f>
        <v>0.20624956406500664</v>
      </c>
      <c r="R50" s="262">
        <f t="shared" ref="R50:R55" si="35">O50/$O$62</f>
        <v>4.5541271386999052E-2</v>
      </c>
      <c r="S50" s="258" t="s">
        <v>19</v>
      </c>
      <c r="T50" s="265"/>
      <c r="U50" s="259">
        <f>SUM(U51:U55)</f>
        <v>26152</v>
      </c>
      <c r="V50" s="261">
        <f>SUM(V51:V55)</f>
        <v>139023</v>
      </c>
      <c r="W50" s="262">
        <f t="shared" ref="W50:W55" si="36">(U50-V50)/V50</f>
        <v>-0.81188724167943438</v>
      </c>
      <c r="X50" s="259">
        <f>SUM(X51:X55)</f>
        <v>1118360</v>
      </c>
      <c r="Y50" s="261">
        <f>SUM(Y51:Y55)</f>
        <v>1371238</v>
      </c>
      <c r="Z50" s="260">
        <f t="shared" ref="Z50:Z55" si="37">(X50-Y50)/Y50</f>
        <v>-0.18441583445032883</v>
      </c>
      <c r="AA50" s="262">
        <f t="shared" ref="AA50:AA55" si="38">X50/$X$62</f>
        <v>1.3006532470340903E-2</v>
      </c>
    </row>
    <row r="51" spans="1:27" ht="14.1" customHeight="1" x14ac:dyDescent="0.2">
      <c r="A51" s="37"/>
      <c r="B51" s="318" t="s">
        <v>19</v>
      </c>
      <c r="C51" s="263">
        <f>[3]United!$IQ$19</f>
        <v>744</v>
      </c>
      <c r="D51" s="2">
        <f>[3]United!$IC$19+[3]Continental!$IC$19</f>
        <v>744</v>
      </c>
      <c r="E51" s="65">
        <f t="shared" si="30"/>
        <v>0</v>
      </c>
      <c r="F51" s="2">
        <f>SUM([3]United!$IF$19:$IQ$19)</f>
        <v>10567</v>
      </c>
      <c r="G51" s="2">
        <f>SUM([3]United!$HR$19:$IC$19)+SUM([3]Continental!$HR$19:$IC$19)</f>
        <v>8306</v>
      </c>
      <c r="H51" s="3">
        <f t="shared" si="31"/>
        <v>0.27221285817481339</v>
      </c>
      <c r="I51" s="65">
        <f t="shared" si="32"/>
        <v>3.6267722859270803E-2</v>
      </c>
      <c r="J51" s="37"/>
      <c r="K51" s="318" t="s">
        <v>19</v>
      </c>
      <c r="L51" s="263">
        <f>[3]United!$IQ$41</f>
        <v>94174</v>
      </c>
      <c r="M51" s="2">
        <f>[3]United!$IC$41+[3]Continental!$IC$41</f>
        <v>98473</v>
      </c>
      <c r="N51" s="65">
        <f t="shared" si="33"/>
        <v>-4.3656636844617305E-2</v>
      </c>
      <c r="O51" s="263">
        <f>SUM([3]United!$IF$41:$IQ$41)</f>
        <v>1418703</v>
      </c>
      <c r="P51" s="2">
        <f>SUM([3]United!$HR$41:$IC$41)+SUM([3]Continental!$HR$41:$IC$41)</f>
        <v>1097129</v>
      </c>
      <c r="Q51" s="3">
        <f t="shared" si="34"/>
        <v>0.29310500406059814</v>
      </c>
      <c r="R51" s="65">
        <f t="shared" si="35"/>
        <v>4.197697866282761E-2</v>
      </c>
      <c r="S51" s="37"/>
      <c r="T51" s="318" t="s">
        <v>19</v>
      </c>
      <c r="U51" s="263">
        <f>[3]United!$IQ$64</f>
        <v>26152</v>
      </c>
      <c r="V51" s="2">
        <f>[3]United!$IC$64+[3]Continental!$IC$64</f>
        <v>139023</v>
      </c>
      <c r="W51" s="65">
        <f t="shared" si="36"/>
        <v>-0.81188724167943438</v>
      </c>
      <c r="X51" s="263">
        <f>SUM([3]United!$IF$64:$IQ$64)</f>
        <v>1118360</v>
      </c>
      <c r="Y51" s="2">
        <f>SUM([3]United!$HR$64:$IC$64)+SUM([3]Continental!$HR$64:$IC$64)</f>
        <v>1371238</v>
      </c>
      <c r="Z51" s="3">
        <f t="shared" si="37"/>
        <v>-0.18441583445032883</v>
      </c>
      <c r="AA51" s="65">
        <f t="shared" si="38"/>
        <v>1.3006532470340903E-2</v>
      </c>
    </row>
    <row r="52" spans="1:27" ht="14.1" customHeight="1" x14ac:dyDescent="0.2">
      <c r="A52" s="37"/>
      <c r="B52" s="39" t="s">
        <v>152</v>
      </c>
      <c r="C52" s="263">
        <f>'[3]Go Jet_UA'!$IQ$19</f>
        <v>0</v>
      </c>
      <c r="D52" s="2">
        <f>'[3]Go Jet_UA'!$IC$19</f>
        <v>0</v>
      </c>
      <c r="E52" s="65" t="e">
        <f t="shared" si="30"/>
        <v>#DIV/0!</v>
      </c>
      <c r="F52" s="2">
        <f>SUM('[3]Go Jet_UA'!$IF$19:$IQ$19)</f>
        <v>2</v>
      </c>
      <c r="G52" s="2">
        <f>SUM('[3]Go Jet_UA'!$HR$19:$IC$19)</f>
        <v>2</v>
      </c>
      <c r="H52" s="3">
        <f t="shared" si="31"/>
        <v>0</v>
      </c>
      <c r="I52" s="65">
        <f t="shared" si="32"/>
        <v>6.8643366819855779E-6</v>
      </c>
      <c r="J52" s="37"/>
      <c r="K52" s="39" t="s">
        <v>152</v>
      </c>
      <c r="L52" s="263">
        <f>'[3]Go Jet_UA'!$IQ$41</f>
        <v>0</v>
      </c>
      <c r="M52" s="2">
        <f>'[3]Go Jet_UA'!$IC$41</f>
        <v>0</v>
      </c>
      <c r="N52" s="65" t="e">
        <f t="shared" si="33"/>
        <v>#DIV/0!</v>
      </c>
      <c r="O52" s="263">
        <f>SUM('[3]Go Jet_UA'!$IF$41:$IQ$41)</f>
        <v>96</v>
      </c>
      <c r="P52" s="2">
        <f>SUM('[3]Go Jet_UA'!$HR$41:$IC$41)</f>
        <v>37</v>
      </c>
      <c r="Q52" s="3">
        <f t="shared" si="34"/>
        <v>1.5945945945945945</v>
      </c>
      <c r="R52" s="65">
        <f t="shared" si="35"/>
        <v>2.8404746811922228E-6</v>
      </c>
      <c r="S52" s="37"/>
      <c r="T52" s="39" t="s">
        <v>152</v>
      </c>
      <c r="U52" s="263">
        <f>'[3]Go Jet_UA'!$IQ$64</f>
        <v>0</v>
      </c>
      <c r="V52" s="2">
        <f>'[3]Go Jet_UA'!$IC$64</f>
        <v>0</v>
      </c>
      <c r="W52" s="65" t="e">
        <f t="shared" si="36"/>
        <v>#DIV/0!</v>
      </c>
      <c r="X52" s="263">
        <f>SUM('[3]Go Jet_UA'!$IF$64:$IQ$64)</f>
        <v>0</v>
      </c>
      <c r="Y52" s="2">
        <f>SUM('[3]Go Jet_UA'!$HR$64:$IC$64)</f>
        <v>0</v>
      </c>
      <c r="Z52" s="3" t="e">
        <f t="shared" si="37"/>
        <v>#DIV/0!</v>
      </c>
      <c r="AA52" s="65">
        <f t="shared" si="38"/>
        <v>0</v>
      </c>
    </row>
    <row r="53" spans="1:27" ht="14.1" customHeight="1" x14ac:dyDescent="0.2">
      <c r="A53" s="37"/>
      <c r="B53" s="39" t="s">
        <v>51</v>
      </c>
      <c r="C53" s="263">
        <f>[3]MESA_UA!$IQ$19</f>
        <v>108</v>
      </c>
      <c r="D53" s="2">
        <f>[3]MESA_UA!$IC$19</f>
        <v>72</v>
      </c>
      <c r="E53" s="65">
        <f t="shared" si="30"/>
        <v>0.5</v>
      </c>
      <c r="F53" s="2">
        <f>SUM([3]MESA_UA!$IF$19:$IQ$19)</f>
        <v>1212</v>
      </c>
      <c r="G53" s="2">
        <f>SUM([3]MESA_UA!$HR$19:$IC$19)</f>
        <v>1306</v>
      </c>
      <c r="H53" s="3">
        <f>(F53-G53)/G53</f>
        <v>-7.1975497702909647E-2</v>
      </c>
      <c r="I53" s="65">
        <f t="shared" si="32"/>
        <v>4.15978802928326E-3</v>
      </c>
      <c r="J53" s="37"/>
      <c r="K53" s="39" t="s">
        <v>51</v>
      </c>
      <c r="L53" s="263">
        <f>[3]MESA_UA!$IQ$41</f>
        <v>6686</v>
      </c>
      <c r="M53" s="2">
        <f>[3]MESA_UA!$IC$41</f>
        <v>4792</v>
      </c>
      <c r="N53" s="65">
        <f t="shared" si="33"/>
        <v>0.39524207011686141</v>
      </c>
      <c r="O53" s="263">
        <f>SUM([3]MESA_UA!$IF$41:$IQ$41)</f>
        <v>78782</v>
      </c>
      <c r="P53" s="2">
        <f>SUM([3]MESA_UA!$HR$41:$IC$41)</f>
        <v>87779</v>
      </c>
      <c r="Q53" s="3">
        <f t="shared" si="34"/>
        <v>-0.10249604119436312</v>
      </c>
      <c r="R53" s="65">
        <f t="shared" si="35"/>
        <v>2.3310237118092264E-3</v>
      </c>
      <c r="S53" s="37"/>
      <c r="T53" s="39" t="s">
        <v>51</v>
      </c>
      <c r="U53" s="263">
        <f>[3]MESA_UA!$IQ$64</f>
        <v>0</v>
      </c>
      <c r="V53" s="2">
        <f>[3]MESA_UA!$IC$64</f>
        <v>0</v>
      </c>
      <c r="W53" s="65" t="e">
        <f t="shared" si="36"/>
        <v>#DIV/0!</v>
      </c>
      <c r="X53" s="263">
        <f>SUM([3]MESA_UA!$IF$64:$IQ$64)</f>
        <v>0</v>
      </c>
      <c r="Y53" s="2">
        <f>SUM([3]MESA_UA!$HR$64:$IC$64)</f>
        <v>0</v>
      </c>
      <c r="Z53" s="3" t="e">
        <f t="shared" si="37"/>
        <v>#DIV/0!</v>
      </c>
      <c r="AA53" s="65">
        <f t="shared" si="38"/>
        <v>0</v>
      </c>
    </row>
    <row r="54" spans="1:27" ht="14.1" customHeight="1" x14ac:dyDescent="0.2">
      <c r="A54" s="37"/>
      <c r="B54" s="318" t="s">
        <v>52</v>
      </c>
      <c r="C54" s="263">
        <f>[3]Republic_UA!$IQ$19</f>
        <v>58</v>
      </c>
      <c r="D54" s="2">
        <f>[3]Republic_UA!$IC$19</f>
        <v>22</v>
      </c>
      <c r="E54" s="65">
        <f t="shared" si="30"/>
        <v>1.6363636363636365</v>
      </c>
      <c r="F54" s="2">
        <f>SUM([3]Republic_UA!$IF$19:$IQ$19)</f>
        <v>530</v>
      </c>
      <c r="G54" s="2">
        <f>SUM([3]Republic_UA!$HR$19:$IC$19)</f>
        <v>1070</v>
      </c>
      <c r="H54" s="3">
        <f t="shared" ref="H54" si="39">(F54-G54)/G54</f>
        <v>-0.50467289719626163</v>
      </c>
      <c r="I54" s="65">
        <f t="shared" si="32"/>
        <v>1.8190492207261781E-3</v>
      </c>
      <c r="J54" s="37"/>
      <c r="K54" s="318" t="s">
        <v>52</v>
      </c>
      <c r="L54" s="263">
        <f>[3]Republic_UA!$IQ$41</f>
        <v>3616</v>
      </c>
      <c r="M54" s="2">
        <f>[3]Republic_UA!$IC$41</f>
        <v>1461</v>
      </c>
      <c r="N54" s="65">
        <f t="shared" si="33"/>
        <v>1.4750171115674195</v>
      </c>
      <c r="O54" s="263">
        <f>SUM([3]Republic_UA!$IF$41:$IQ$41)</f>
        <v>33595</v>
      </c>
      <c r="P54" s="2">
        <f>SUM([3]Republic_UA!$HR$41:$IC$41)</f>
        <v>65867</v>
      </c>
      <c r="Q54" s="3">
        <f t="shared" si="34"/>
        <v>-0.48995703463039153</v>
      </c>
      <c r="R54" s="65">
        <f t="shared" si="35"/>
        <v>9.9401819702763265E-4</v>
      </c>
      <c r="S54" s="37"/>
      <c r="T54" s="318" t="s">
        <v>52</v>
      </c>
      <c r="U54" s="263">
        <f>[3]Republic_UA!$IQ$64</f>
        <v>0</v>
      </c>
      <c r="V54" s="2">
        <f>[3]Republic_UA!$IC$64</f>
        <v>0</v>
      </c>
      <c r="W54" s="65" t="e">
        <f t="shared" si="36"/>
        <v>#DIV/0!</v>
      </c>
      <c r="X54" s="263">
        <f>SUM([3]Republic_UA!$IF$64:$IQ$64)</f>
        <v>0</v>
      </c>
      <c r="Y54" s="2">
        <f>SUM([3]Republic_UA!$HR$64:$IC$64)</f>
        <v>0</v>
      </c>
      <c r="Z54" s="3" t="e">
        <f t="shared" si="37"/>
        <v>#DIV/0!</v>
      </c>
      <c r="AA54" s="65">
        <f t="shared" si="38"/>
        <v>0</v>
      </c>
    </row>
    <row r="55" spans="1:27" ht="14.1" customHeight="1" x14ac:dyDescent="0.2">
      <c r="A55" s="37"/>
      <c r="B55" s="39" t="s">
        <v>97</v>
      </c>
      <c r="C55" s="263">
        <f>'[3]Sky West_UA'!$IQ$19</f>
        <v>58</v>
      </c>
      <c r="D55" s="2">
        <f>'[3]Sky West_UA'!$IC$19+'[3]Sky West_CO'!$IC$19</f>
        <v>0</v>
      </c>
      <c r="E55" s="65" t="e">
        <f t="shared" si="30"/>
        <v>#DIV/0!</v>
      </c>
      <c r="F55" s="2">
        <f>SUM('[3]Sky West_UA'!$IF$19:$IQ$19)</f>
        <v>140</v>
      </c>
      <c r="G55" s="2">
        <f>SUM('[3]Sky West_UA'!$HR$19:$IC$19)+SUM('[3]Sky West_CO'!$HR$19:$IC$19)</f>
        <v>396</v>
      </c>
      <c r="H55" s="3">
        <f t="shared" si="31"/>
        <v>-0.64646464646464652</v>
      </c>
      <c r="I55" s="65">
        <f t="shared" si="32"/>
        <v>4.8050356773899044E-4</v>
      </c>
      <c r="J55" s="37"/>
      <c r="K55" s="39" t="s">
        <v>97</v>
      </c>
      <c r="L55" s="263">
        <f>'[3]Sky West_UA'!$IQ$41</f>
        <v>3335</v>
      </c>
      <c r="M55" s="2">
        <f>'[3]Sky West_UA'!$IC$41+'[3]Sky West_CO'!$IC$41</f>
        <v>0</v>
      </c>
      <c r="N55" s="65" t="e">
        <f t="shared" si="33"/>
        <v>#DIV/0!</v>
      </c>
      <c r="O55" s="263">
        <f>SUM('[3]Sky West_UA'!$IF$41:$IQ$41)</f>
        <v>7990</v>
      </c>
      <c r="P55" s="2">
        <f>SUM('[3]Sky West_UA'!$HR$41:$IC$41)+SUM('[3]Sky West_CO'!$HR$41:$IC$41)</f>
        <v>25181</v>
      </c>
      <c r="Q55" s="3">
        <f t="shared" si="34"/>
        <v>-0.68269727175251183</v>
      </c>
      <c r="R55" s="65">
        <f t="shared" si="35"/>
        <v>2.364103406533944E-4</v>
      </c>
      <c r="S55" s="37"/>
      <c r="T55" s="39" t="s">
        <v>97</v>
      </c>
      <c r="U55" s="263">
        <f>'[3]Sky West_UA'!$IQ$64</f>
        <v>0</v>
      </c>
      <c r="V55" s="2">
        <f>'[3]Sky West_UA'!$IC$64+'[3]Sky West_CO'!$IC$64</f>
        <v>0</v>
      </c>
      <c r="W55" s="65" t="e">
        <f t="shared" si="36"/>
        <v>#DIV/0!</v>
      </c>
      <c r="X55" s="263">
        <f>SUM('[3]Sky West_UA'!$IF$64:$IQ$64)</f>
        <v>0</v>
      </c>
      <c r="Y55" s="2">
        <f>SUM('[3]Sky West_UA'!$HR$64:$IC$64)+SUM('[3]Sky West_CO'!$HR$64:$IC$64)</f>
        <v>0</v>
      </c>
      <c r="Z55" s="3" t="e">
        <f t="shared" si="37"/>
        <v>#DIV/0!</v>
      </c>
      <c r="AA55" s="65">
        <f t="shared" si="38"/>
        <v>0</v>
      </c>
    </row>
    <row r="56" spans="1:27" ht="14.1" customHeight="1" x14ac:dyDescent="0.2">
      <c r="A56" s="37"/>
      <c r="B56" s="266"/>
      <c r="C56" s="263"/>
      <c r="E56" s="65"/>
      <c r="F56" s="2"/>
      <c r="I56" s="65"/>
      <c r="J56" s="37"/>
      <c r="K56" s="266"/>
      <c r="L56" s="263"/>
      <c r="N56" s="65"/>
      <c r="O56" s="263"/>
      <c r="P56" s="2"/>
      <c r="Q56" s="3"/>
      <c r="R56" s="65"/>
      <c r="S56" s="37"/>
      <c r="T56" s="266"/>
      <c r="U56" s="263"/>
      <c r="V56" s="2"/>
      <c r="W56" s="65"/>
      <c r="X56" s="263"/>
      <c r="Y56" s="2"/>
      <c r="Z56" s="3"/>
      <c r="AA56" s="65"/>
    </row>
    <row r="57" spans="1:27" ht="14.1" customHeight="1" x14ac:dyDescent="0.2">
      <c r="A57" s="258" t="s">
        <v>246</v>
      </c>
      <c r="B57" s="266"/>
      <c r="C57" s="259">
        <f>[3]WestJet!$IQ$19</f>
        <v>68</v>
      </c>
      <c r="D57" s="261">
        <f>[3]WestJet!$IC$19</f>
        <v>0</v>
      </c>
      <c r="E57" s="262" t="e">
        <f>(C57-D57)/D57</f>
        <v>#DIV/0!</v>
      </c>
      <c r="F57" s="261">
        <f>SUM([3]WestJet!$IF$19:$IQ$19)</f>
        <v>466</v>
      </c>
      <c r="G57" s="261">
        <f>SUM([3]WestJet!$HR$19:$IC$19)</f>
        <v>0</v>
      </c>
      <c r="H57" s="260" t="e">
        <f>(F57-G57)/G57</f>
        <v>#DIV/0!</v>
      </c>
      <c r="I57" s="262">
        <f>F57/$F$62</f>
        <v>1.5993904469026397E-3</v>
      </c>
      <c r="J57" s="258" t="s">
        <v>246</v>
      </c>
      <c r="K57" s="39"/>
      <c r="L57" s="259">
        <f>[3]WestJet!$IQ$41</f>
        <v>8097</v>
      </c>
      <c r="M57" s="261">
        <f>[3]WestJet!$IC$41</f>
        <v>0</v>
      </c>
      <c r="N57" s="262" t="e">
        <f>(L57-M57)/M57</f>
        <v>#DIV/0!</v>
      </c>
      <c r="O57" s="259">
        <f>SUM([3]WestJet!$IF$41:$IQ$41)</f>
        <v>54584</v>
      </c>
      <c r="P57" s="261">
        <f>SUM([3]WestJet!$HR$41:$IC$41)</f>
        <v>0</v>
      </c>
      <c r="Q57" s="260" t="e">
        <f>(O57-P57)/P57</f>
        <v>#DIV/0!</v>
      </c>
      <c r="R57" s="262">
        <f>O57/$O$62</f>
        <v>1.6150465624812115E-3</v>
      </c>
      <c r="S57" s="258" t="s">
        <v>246</v>
      </c>
      <c r="T57" s="39"/>
      <c r="U57" s="259">
        <f>[3]WestJet!$IQ$64</f>
        <v>0</v>
      </c>
      <c r="V57" s="261">
        <f>[3]WestJet!$IC$64</f>
        <v>0</v>
      </c>
      <c r="W57" s="262" t="e">
        <f>(U57-V57)/V57</f>
        <v>#DIV/0!</v>
      </c>
      <c r="X57" s="259">
        <f>SUM([3]WestJet!$IF$64:$IQ$64)</f>
        <v>0</v>
      </c>
      <c r="Y57" s="261">
        <f>SUM([3]WestJet!$HR$64:$IC$64)</f>
        <v>0</v>
      </c>
      <c r="Z57" s="260" t="e">
        <f>(X57-Y57)/Y57</f>
        <v>#DIV/0!</v>
      </c>
      <c r="AA57" s="262">
        <f>X57/$X$62</f>
        <v>0</v>
      </c>
    </row>
    <row r="58" spans="1:27" ht="14.1" customHeight="1" thickBot="1" x14ac:dyDescent="0.25">
      <c r="A58" s="320"/>
      <c r="B58" s="321"/>
      <c r="C58" s="267"/>
      <c r="D58" s="269"/>
      <c r="E58" s="270"/>
      <c r="F58" s="269"/>
      <c r="G58" s="269"/>
      <c r="H58" s="268"/>
      <c r="I58" s="270"/>
      <c r="J58" s="320"/>
      <c r="K58" s="321"/>
      <c r="L58" s="267"/>
      <c r="M58" s="269"/>
      <c r="N58" s="270"/>
      <c r="O58" s="267"/>
      <c r="P58" s="269"/>
      <c r="Q58" s="268"/>
      <c r="R58" s="342"/>
      <c r="S58" s="320"/>
      <c r="T58" s="321"/>
      <c r="U58" s="267"/>
      <c r="V58" s="269"/>
      <c r="W58" s="270"/>
      <c r="X58" s="267"/>
      <c r="Y58" s="269"/>
      <c r="Z58" s="268"/>
      <c r="AA58" s="342"/>
    </row>
    <row r="59" spans="1:27" s="170" customFormat="1" ht="14.1" customHeight="1" thickBot="1" x14ac:dyDescent="0.25">
      <c r="B59" s="169"/>
      <c r="C59" s="261"/>
      <c r="D59" s="261"/>
      <c r="E59" s="260"/>
      <c r="F59" s="319"/>
      <c r="G59" s="261"/>
      <c r="H59" s="260"/>
      <c r="I59" s="260"/>
      <c r="J59" s="271"/>
      <c r="K59" s="169"/>
      <c r="L59" s="272"/>
      <c r="M59" s="273"/>
      <c r="N59" s="271"/>
      <c r="S59" s="271"/>
      <c r="T59" s="169"/>
      <c r="U59" s="272"/>
      <c r="V59" s="273"/>
      <c r="W59" s="271"/>
    </row>
    <row r="60" spans="1:27" ht="14.1" customHeight="1" x14ac:dyDescent="0.2">
      <c r="B60" s="274" t="s">
        <v>131</v>
      </c>
      <c r="C60" s="327">
        <f>+C62-C61</f>
        <v>18307</v>
      </c>
      <c r="D60" s="438">
        <f>+D62-D61</f>
        <v>15222</v>
      </c>
      <c r="E60" s="328">
        <f>(C60-D60)/D60</f>
        <v>0.20266719222178425</v>
      </c>
      <c r="F60" s="327">
        <f>+F62-F61</f>
        <v>216809</v>
      </c>
      <c r="G60" s="438">
        <f>+G62-G61</f>
        <v>180739</v>
      </c>
      <c r="H60" s="328">
        <f>(F60-G60)/G60</f>
        <v>0.1995695450345526</v>
      </c>
      <c r="I60" s="353">
        <f>F60/$F$62</f>
        <v>0.74412498584230558</v>
      </c>
      <c r="K60" s="274" t="s">
        <v>131</v>
      </c>
      <c r="L60" s="327">
        <f>+L62-L61</f>
        <v>2395143</v>
      </c>
      <c r="M60" s="438">
        <f>+M62-M61</f>
        <v>2081424</v>
      </c>
      <c r="N60" s="328">
        <f>(L60-M60)/M60</f>
        <v>0.15072325484860366</v>
      </c>
      <c r="O60" s="327">
        <f>+O62-O61</f>
        <v>29783922</v>
      </c>
      <c r="P60" s="438">
        <f>+P62-P61</f>
        <v>25220562</v>
      </c>
      <c r="Q60" s="351">
        <f>(O60-P60)/P60</f>
        <v>0.18093807743062981</v>
      </c>
      <c r="R60" s="398">
        <f>+O60/O62</f>
        <v>0.88125496195420872</v>
      </c>
      <c r="S60" s="3"/>
      <c r="T60" s="274" t="s">
        <v>131</v>
      </c>
      <c r="U60" s="327">
        <f>+U62-U61</f>
        <v>7789354</v>
      </c>
      <c r="V60" s="438">
        <f>+V62-V61</f>
        <v>7329875</v>
      </c>
      <c r="W60" s="328">
        <f>(U60-V60)/V60</f>
        <v>6.2685789321100291E-2</v>
      </c>
      <c r="X60" s="327">
        <f>+X62-X61</f>
        <v>85576539</v>
      </c>
      <c r="Y60" s="438">
        <f>+Y62-Y61</f>
        <v>98972663</v>
      </c>
      <c r="Z60" s="351">
        <f>(X60-Y60)/Y60</f>
        <v>-0.13535175869724755</v>
      </c>
      <c r="AA60" s="398">
        <f>+X60/X62</f>
        <v>0.99525558246261903</v>
      </c>
    </row>
    <row r="61" spans="1:27" ht="14.1" customHeight="1" x14ac:dyDescent="0.2">
      <c r="B61" s="169" t="s">
        <v>132</v>
      </c>
      <c r="C61" s="329">
        <f>+C34+C33+C32+C20+C55+C52+C53+C24+C21+C15+C6+C54+C22+C23+C16+C7</f>
        <v>6195</v>
      </c>
      <c r="D61" s="439">
        <f>+D34+D33+D32+D20+D55+D52+D53+D24+D21+D15+D6+D54+D22+D23+D16+D7</f>
        <v>6358</v>
      </c>
      <c r="E61" s="275">
        <f>(C61-D61)/D61</f>
        <v>-2.5636992765020447E-2</v>
      </c>
      <c r="F61" s="329">
        <f>+F34+F33+F32+F20+F55+F52+F53+F24+F21+F15+F6+F54+F22+F23+F16+F7</f>
        <v>74552</v>
      </c>
      <c r="G61" s="439">
        <f>+G34+G33+G32+G20+G55+G52+G53+G24+G21+G15+G6+G54+G22+G23+G16+G7</f>
        <v>95248</v>
      </c>
      <c r="H61" s="275">
        <f>(F61-G61)/G61</f>
        <v>-0.2172854023181589</v>
      </c>
      <c r="I61" s="354">
        <f>F61/$F$62</f>
        <v>0.25587501415769442</v>
      </c>
      <c r="K61" s="169" t="s">
        <v>132</v>
      </c>
      <c r="L61" s="329">
        <f>+L34+L33+L32+L20+L55+L52+L53+L24+L21+L15+L6+L54+L22+L23+L16+L7</f>
        <v>314907</v>
      </c>
      <c r="M61" s="439">
        <f>+M34+M33+M32+M20+M55+M52+M53+M24+M21+M15+M6+M54+M22+M23+M16+M7</f>
        <v>341907</v>
      </c>
      <c r="N61" s="275">
        <f>(L61-M61)/M61</f>
        <v>-7.8968842404513503E-2</v>
      </c>
      <c r="O61" s="329">
        <f>+O34+O33+O32+O20+O55+O52+O53+O24+O21+O15+O6+O54+O22+O23+O16+O7</f>
        <v>4013246</v>
      </c>
      <c r="P61" s="439">
        <f>+P34+P33+P32+P20+P55+P52+P53+P24+P21+P15+P6+P54+P22+P23+P16+P7</f>
        <v>5126527</v>
      </c>
      <c r="Q61" s="350">
        <f>(O61-P61)/P61</f>
        <v>-0.21716085763324761</v>
      </c>
      <c r="R61" s="399">
        <f>+O61/O62</f>
        <v>0.1187450380457913</v>
      </c>
      <c r="S61" s="3"/>
      <c r="T61" s="169" t="s">
        <v>132</v>
      </c>
      <c r="U61" s="329">
        <f>+U34+U33+U32+U20+U55+U52+U53+U24+U21+U15+U6+U54+U22+U23+U16+U7</f>
        <v>20049.900000000001</v>
      </c>
      <c r="V61" s="439">
        <f>+V34+V33+V32+V20+V55+V52+V53+V24+V21+V15+V6+V54+V22+V23+V16+V7</f>
        <v>3459</v>
      </c>
      <c r="W61" s="275">
        <f>(U61-V61)/V61</f>
        <v>4.7964440589765829</v>
      </c>
      <c r="X61" s="329">
        <f>+X34+X33+X32+X20+X55+X52+X53+X24+X21+X15+X6+X54+X22+X23+X16+X7</f>
        <v>407946.3</v>
      </c>
      <c r="Y61" s="439">
        <f>+Y34+Y33+Y32+Y20+Y55+Y52+Y53+Y24+Y21+Y15+Y6+Y54+Y22+Y23+Y16+Y7</f>
        <v>853047</v>
      </c>
      <c r="Z61" s="350">
        <f>(X61-Y61)/Y61</f>
        <v>-0.52177746360985977</v>
      </c>
      <c r="AA61" s="399">
        <f>+X61/X62</f>
        <v>4.7444175373810137E-3</v>
      </c>
    </row>
    <row r="62" spans="1:27" ht="14.1" customHeight="1" thickBot="1" x14ac:dyDescent="0.25">
      <c r="B62" s="169" t="s">
        <v>133</v>
      </c>
      <c r="C62" s="330">
        <f>C50+C48+C44+C38+C36+C30+C18+C13+C4+C46+C26+C42+C9+C40+C28+C11+C57</f>
        <v>24502</v>
      </c>
      <c r="D62" s="440">
        <f>D50+D48+D44+D38+D36+D30+D18+D13+D4+D46+D26+D42+D9+D40+D28+D11+D57</f>
        <v>21580</v>
      </c>
      <c r="E62" s="331">
        <f>(C62-D62)/D62</f>
        <v>0.13540315106580167</v>
      </c>
      <c r="F62" s="330">
        <f>F50+F48+F44+F38+F36+F30+F18+F13+F4+F46+F26+F42+F9+F40+F28+F11+F57</f>
        <v>291361</v>
      </c>
      <c r="G62" s="440">
        <f>G50+G48+G44+G38+G36+G30+G18+G13+G4+G46+G26+G42+G9+G40+G28+G11+G57</f>
        <v>275987</v>
      </c>
      <c r="H62" s="331">
        <f>(F62-G62)/G62</f>
        <v>5.5705522361560511E-2</v>
      </c>
      <c r="I62" s="355">
        <f>+H62/H62</f>
        <v>1</v>
      </c>
      <c r="K62" s="169" t="s">
        <v>133</v>
      </c>
      <c r="L62" s="330">
        <f>L50+L48+L44+L38+L36+L30+L18+L13+L4+L46+L26+L42+L9+L40+L28+L11+L57</f>
        <v>2710050</v>
      </c>
      <c r="M62" s="440">
        <f>M50+M48+M44+M38+M36+M30+M18+M13+M4+M46+M26+M42+M9+M40+M28+M11+M57</f>
        <v>2423331</v>
      </c>
      <c r="N62" s="331">
        <f>(L62-M62)/M62</f>
        <v>0.11831606990543182</v>
      </c>
      <c r="O62" s="330">
        <f>O50+O48+O44+O38+O36+O30+O18+O13+O4+O46+O26+O42+O9+O40+O28+O11+O57</f>
        <v>33797168</v>
      </c>
      <c r="P62" s="440">
        <f>P50+P48+P44+P38+P36+P30+P18+P13+P4+P46+P26+P42+P9+P40+P28+P11+P57</f>
        <v>30347089</v>
      </c>
      <c r="Q62" s="397">
        <f>(O62-P62)/P62</f>
        <v>0.11368731280947574</v>
      </c>
      <c r="R62" s="355">
        <f>+Q62/Q62</f>
        <v>1</v>
      </c>
      <c r="S62" s="3"/>
      <c r="T62" s="169" t="s">
        <v>133</v>
      </c>
      <c r="U62" s="330">
        <f>U50+U48+U44+U38+U36+U30+U18+U13+U4+U46+U26+U42+U9+U40+U28+U11+U57</f>
        <v>7809403.9000000004</v>
      </c>
      <c r="V62" s="440">
        <f>V50+V48+V44+V38+V36+V30+V18+V13+V4+V46+V26+V42+V9+V40+V28+V11+V57</f>
        <v>7333334</v>
      </c>
      <c r="W62" s="331">
        <f>(U62-V62)/V62</f>
        <v>6.4918616825580339E-2</v>
      </c>
      <c r="X62" s="330">
        <f>X50+X48+X44+X38+X36+X30+X18+X13+X4+X46+X26+X42+X9+X40+X28+X11+X57</f>
        <v>85984485.299999997</v>
      </c>
      <c r="Y62" s="440">
        <f>Y50+Y48+Y44+Y38+Y36+Y30+Y18+Y13+Y4+Y46+Y26+Y42+Y9+Y40+Y28+Y11+Y57</f>
        <v>99825710</v>
      </c>
      <c r="Z62" s="397">
        <f>(X62-Y62)/Y62</f>
        <v>-0.13865390689432616</v>
      </c>
      <c r="AA62" s="355">
        <f>+Z62/Z62</f>
        <v>1</v>
      </c>
    </row>
    <row r="63" spans="1:27" x14ac:dyDescent="0.2">
      <c r="D63" s="3"/>
      <c r="F63" s="2"/>
      <c r="G63"/>
      <c r="H63"/>
      <c r="I63"/>
      <c r="J63"/>
      <c r="K63"/>
      <c r="M63"/>
      <c r="N63"/>
    </row>
    <row r="64" spans="1:27" x14ac:dyDescent="0.2">
      <c r="B64" s="169"/>
      <c r="E64"/>
      <c r="F64" s="2"/>
      <c r="H64"/>
      <c r="I64"/>
      <c r="J64"/>
      <c r="K64"/>
      <c r="N64"/>
      <c r="O64" s="2"/>
      <c r="P64" s="2"/>
      <c r="U64" s="95"/>
      <c r="V64" s="95"/>
      <c r="W64" s="95"/>
    </row>
    <row r="65" spans="3:23" x14ac:dyDescent="0.2">
      <c r="E65"/>
      <c r="F65" s="2"/>
      <c r="H65"/>
      <c r="I65"/>
      <c r="J65"/>
      <c r="K65"/>
      <c r="N65"/>
      <c r="O65" s="2"/>
      <c r="P65" s="2"/>
      <c r="U65" s="95"/>
      <c r="V65" s="95"/>
      <c r="W65" s="95"/>
    </row>
    <row r="66" spans="3:23" x14ac:dyDescent="0.2">
      <c r="E66"/>
      <c r="F66" s="2"/>
      <c r="H66"/>
      <c r="I66"/>
      <c r="J66"/>
      <c r="K66"/>
      <c r="N66"/>
      <c r="O66" s="2"/>
      <c r="P66" s="2"/>
      <c r="U66" s="95"/>
    </row>
    <row r="67" spans="3:23" x14ac:dyDescent="0.2">
      <c r="E67"/>
      <c r="F67" s="2"/>
      <c r="H67"/>
      <c r="I67"/>
      <c r="J67"/>
      <c r="K67"/>
      <c r="N67"/>
      <c r="O67" s="2"/>
      <c r="P67" s="2"/>
    </row>
    <row r="68" spans="3:23" x14ac:dyDescent="0.2">
      <c r="C68"/>
      <c r="D68"/>
      <c r="E68"/>
      <c r="F68"/>
      <c r="G68"/>
      <c r="H68"/>
      <c r="I68"/>
      <c r="J68"/>
      <c r="K68"/>
      <c r="L68"/>
      <c r="M68"/>
      <c r="N68"/>
    </row>
    <row r="69" spans="3:23" x14ac:dyDescent="0.2">
      <c r="C69"/>
      <c r="D69"/>
      <c r="E69"/>
      <c r="F69"/>
      <c r="G69"/>
      <c r="H69"/>
      <c r="I69"/>
      <c r="J69"/>
      <c r="K69"/>
      <c r="L69"/>
      <c r="M69"/>
      <c r="N69"/>
    </row>
    <row r="70" spans="3:23" x14ac:dyDescent="0.2">
      <c r="D70" s="3"/>
      <c r="F70"/>
      <c r="G70"/>
      <c r="H70"/>
      <c r="I70"/>
      <c r="J70"/>
      <c r="K70"/>
      <c r="L70"/>
      <c r="M70"/>
      <c r="N70"/>
    </row>
    <row r="71" spans="3:23" x14ac:dyDescent="0.2">
      <c r="D71" s="3"/>
      <c r="F71"/>
      <c r="G71"/>
      <c r="H71"/>
      <c r="I71"/>
      <c r="J71"/>
      <c r="K71"/>
      <c r="L71"/>
      <c r="M71"/>
      <c r="N71"/>
    </row>
    <row r="72" spans="3:23" x14ac:dyDescent="0.2">
      <c r="D72" s="3"/>
      <c r="F72"/>
      <c r="G72"/>
      <c r="H72"/>
      <c r="I72"/>
      <c r="J72"/>
      <c r="K72"/>
      <c r="L72"/>
      <c r="M72"/>
      <c r="N72"/>
    </row>
    <row r="73" spans="3:23" x14ac:dyDescent="0.2">
      <c r="D73" s="3"/>
      <c r="F73"/>
      <c r="G73"/>
      <c r="H73"/>
      <c r="I73"/>
      <c r="J73"/>
      <c r="K73"/>
      <c r="L73"/>
      <c r="M73"/>
      <c r="N73"/>
    </row>
    <row r="74" spans="3:23" x14ac:dyDescent="0.2">
      <c r="D74" s="3"/>
      <c r="F74"/>
      <c r="G74"/>
      <c r="H74"/>
      <c r="I74"/>
      <c r="J74"/>
      <c r="K74"/>
      <c r="L74"/>
      <c r="M74"/>
      <c r="N74"/>
    </row>
    <row r="75" spans="3:23" x14ac:dyDescent="0.2">
      <c r="D75" s="3"/>
      <c r="F75"/>
      <c r="G75"/>
      <c r="H75"/>
      <c r="I75"/>
      <c r="J75"/>
      <c r="K75"/>
      <c r="L75"/>
      <c r="M75"/>
      <c r="N75"/>
    </row>
    <row r="76" spans="3:23" x14ac:dyDescent="0.2">
      <c r="D76" s="3"/>
      <c r="F76"/>
      <c r="G76"/>
      <c r="H76"/>
      <c r="I76"/>
      <c r="J76"/>
      <c r="K76"/>
      <c r="L76"/>
      <c r="M76"/>
      <c r="N76"/>
    </row>
    <row r="77" spans="3:23" x14ac:dyDescent="0.2">
      <c r="D77" s="3"/>
      <c r="F77"/>
      <c r="G77"/>
      <c r="H77"/>
      <c r="I77"/>
      <c r="J77"/>
      <c r="K77"/>
      <c r="L77"/>
      <c r="M77"/>
      <c r="N77"/>
    </row>
    <row r="78" spans="3:23" x14ac:dyDescent="0.2">
      <c r="D78" s="3"/>
      <c r="F78"/>
      <c r="G78"/>
      <c r="H78"/>
      <c r="I78"/>
      <c r="J78"/>
      <c r="K78"/>
      <c r="L78"/>
      <c r="M78"/>
      <c r="N78"/>
    </row>
    <row r="79" spans="3:23" x14ac:dyDescent="0.2">
      <c r="D79" s="3"/>
      <c r="F79"/>
      <c r="G79"/>
      <c r="H79"/>
      <c r="I79"/>
      <c r="J79"/>
      <c r="K79"/>
      <c r="L79"/>
      <c r="M79"/>
      <c r="N79"/>
    </row>
    <row r="80" spans="3:23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F134" s="171"/>
      <c r="K134"/>
    </row>
    <row r="135" spans="4:14" x14ac:dyDescent="0.2">
      <c r="F135" s="171"/>
      <c r="K135"/>
    </row>
    <row r="136" spans="4:14" x14ac:dyDescent="0.2">
      <c r="F136" s="171"/>
      <c r="K136"/>
    </row>
    <row r="137" spans="4:14" x14ac:dyDescent="0.2">
      <c r="F137" s="171"/>
      <c r="K137"/>
    </row>
    <row r="138" spans="4:14" x14ac:dyDescent="0.2">
      <c r="F138" s="171"/>
      <c r="K138"/>
    </row>
    <row r="139" spans="4:14" x14ac:dyDescent="0.2">
      <c r="F139" s="171"/>
      <c r="K139"/>
    </row>
    <row r="140" spans="4:14" x14ac:dyDescent="0.2">
      <c r="F140" s="171"/>
      <c r="K140"/>
    </row>
    <row r="141" spans="4:14" x14ac:dyDescent="0.2">
      <c r="F141" s="171"/>
      <c r="K141"/>
    </row>
    <row r="142" spans="4:14" x14ac:dyDescent="0.2">
      <c r="F142" s="171"/>
      <c r="K142"/>
    </row>
    <row r="143" spans="4:14" x14ac:dyDescent="0.2">
      <c r="F143" s="171"/>
      <c r="K143"/>
    </row>
    <row r="144" spans="4:14" x14ac:dyDescent="0.2">
      <c r="F144" s="171"/>
      <c r="K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December 2023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C10" activeCellId="1" sqref="C5 C10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96">
        <v>45261</v>
      </c>
      <c r="B1" s="326" t="s">
        <v>17</v>
      </c>
      <c r="C1" s="326" t="s">
        <v>18</v>
      </c>
      <c r="D1" s="326" t="s">
        <v>19</v>
      </c>
      <c r="E1" s="326" t="s">
        <v>153</v>
      </c>
      <c r="F1" s="326" t="s">
        <v>159</v>
      </c>
      <c r="G1" s="326" t="s">
        <v>154</v>
      </c>
      <c r="H1" s="403" t="s">
        <v>192</v>
      </c>
      <c r="I1" s="403" t="s">
        <v>187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[3]American!$IQ$22</f>
        <v>44583</v>
      </c>
      <c r="C4" s="12">
        <f>[3]Delta!$IQ$22+[3]Delta!$IQ$32</f>
        <v>792368</v>
      </c>
      <c r="D4" s="12">
        <f>[3]United!$IQ$22</f>
        <v>47431</v>
      </c>
      <c r="E4" s="12">
        <f>[3]Spirit!$IQ$22</f>
        <v>15681</v>
      </c>
      <c r="F4" s="12">
        <f>[3]Condor!$IQ$22+[3]Condor!$IQ$32</f>
        <v>0</v>
      </c>
      <c r="G4" s="12">
        <f>'[3]Air France'!$IQ$32</f>
        <v>0</v>
      </c>
      <c r="H4" s="12">
        <f>'[3]Jet Blue'!$IQ$22</f>
        <v>3519</v>
      </c>
      <c r="I4" s="12">
        <f>[3]KLM!$IQ$22+[3]KLM!$IQ$32</f>
        <v>3213</v>
      </c>
      <c r="J4" s="12">
        <f>'Other Major Airline Stats'!K5</f>
        <v>284015</v>
      </c>
      <c r="K4" s="205">
        <f>SUM(B4:J4)</f>
        <v>1190810</v>
      </c>
    </row>
    <row r="5" spans="1:20" x14ac:dyDescent="0.2">
      <c r="A5" s="45" t="s">
        <v>31</v>
      </c>
      <c r="B5" s="7">
        <f>[3]American!$IQ$23</f>
        <v>43176</v>
      </c>
      <c r="C5" s="7">
        <f>[3]Delta!$IQ$23+[3]Delta!$IQ$33</f>
        <v>799390</v>
      </c>
      <c r="D5" s="7">
        <f>[3]United!$IQ$23</f>
        <v>46743</v>
      </c>
      <c r="E5" s="7">
        <f>[3]Spirit!$IQ$23</f>
        <v>15802</v>
      </c>
      <c r="F5" s="7">
        <f>[3]Condor!$IQ$23+[3]Condor!$IQ$33</f>
        <v>0</v>
      </c>
      <c r="G5" s="7">
        <f>'[3]Air France'!$IQ$33</f>
        <v>0</v>
      </c>
      <c r="H5" s="7">
        <f>'[3]Jet Blue'!$IQ$23</f>
        <v>2259</v>
      </c>
      <c r="I5" s="7">
        <f>[3]KLM!$IQ$23+[3]KLM!$IQ$33</f>
        <v>3019</v>
      </c>
      <c r="J5" s="7">
        <f>'Other Major Airline Stats'!K6</f>
        <v>293944</v>
      </c>
      <c r="K5" s="206">
        <f>SUM(B5:J5)</f>
        <v>1204333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87759</v>
      </c>
      <c r="C6" s="24">
        <f t="shared" si="0"/>
        <v>1591758</v>
      </c>
      <c r="D6" s="24">
        <f t="shared" si="0"/>
        <v>94174</v>
      </c>
      <c r="E6" s="24">
        <f t="shared" si="0"/>
        <v>31483</v>
      </c>
      <c r="F6" s="24">
        <f t="shared" ref="F6:I6" si="1">SUM(F4:F5)</f>
        <v>0</v>
      </c>
      <c r="G6" s="24">
        <f t="shared" si="1"/>
        <v>0</v>
      </c>
      <c r="H6" s="24">
        <f t="shared" ref="H6" si="2">SUM(H4:H5)</f>
        <v>5778</v>
      </c>
      <c r="I6" s="24">
        <f t="shared" si="1"/>
        <v>6232</v>
      </c>
      <c r="J6" s="24">
        <f>SUM(J4:J5)</f>
        <v>577959</v>
      </c>
      <c r="K6" s="207">
        <f>SUM(B6:J6)</f>
        <v>2395143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[3]American!$IQ$27</f>
        <v>1323</v>
      </c>
      <c r="C9" s="12">
        <f>[3]Delta!$IQ$27+[3]Delta!$IQ$37</f>
        <v>25056</v>
      </c>
      <c r="D9" s="12">
        <f>[3]United!$IQ$27</f>
        <v>1782</v>
      </c>
      <c r="E9" s="12">
        <f>[3]Spirit!$IQ$27</f>
        <v>129</v>
      </c>
      <c r="F9" s="12">
        <f>[3]Condor!$IQ$27+[3]Condor!$IQ$37</f>
        <v>0</v>
      </c>
      <c r="G9" s="12">
        <f>'[3]Air France'!$IQ$37</f>
        <v>0</v>
      </c>
      <c r="H9" s="12">
        <f>'[3]Jet Blue'!$IQ$27</f>
        <v>88</v>
      </c>
      <c r="I9" s="12">
        <f>[3]KLM!$IQ$27+[3]KLM!$IQ$37</f>
        <v>15</v>
      </c>
      <c r="J9" s="12">
        <f>'Other Major Airline Stats'!K10</f>
        <v>5233</v>
      </c>
      <c r="K9" s="205">
        <f>SUM(B9:J9)</f>
        <v>33626</v>
      </c>
      <c r="N9" s="230"/>
    </row>
    <row r="10" spans="1:20" x14ac:dyDescent="0.2">
      <c r="A10" s="45" t="s">
        <v>33</v>
      </c>
      <c r="B10" s="7">
        <f>[3]American!$IQ$28</f>
        <v>1687</v>
      </c>
      <c r="C10" s="7">
        <f>[3]Delta!$IQ$28+[3]Delta!$IQ$38</f>
        <v>26052</v>
      </c>
      <c r="D10" s="7">
        <f>[3]United!$IQ$28</f>
        <v>1817</v>
      </c>
      <c r="E10" s="7">
        <f>[3]Spirit!$IQ$28</f>
        <v>117</v>
      </c>
      <c r="F10" s="7">
        <f>[3]Condor!$IQ$28+[3]Condor!$IQ$38</f>
        <v>0</v>
      </c>
      <c r="G10" s="7">
        <f>'[3]Air France'!$IQ$38</f>
        <v>0</v>
      </c>
      <c r="H10" s="7">
        <f>'[3]Jet Blue'!$IQ$28</f>
        <v>61</v>
      </c>
      <c r="I10" s="7">
        <f>[3]KLM!$IQ$28+[3]KLM!$IQ$38</f>
        <v>0</v>
      </c>
      <c r="J10" s="7">
        <f>'Other Major Airline Stats'!K11</f>
        <v>5382</v>
      </c>
      <c r="K10" s="206">
        <f>SUM(B10:J10)</f>
        <v>35116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3010</v>
      </c>
      <c r="C11" s="208">
        <f t="shared" si="3"/>
        <v>51108</v>
      </c>
      <c r="D11" s="208">
        <f t="shared" si="3"/>
        <v>3599</v>
      </c>
      <c r="E11" s="208">
        <f t="shared" si="3"/>
        <v>246</v>
      </c>
      <c r="F11" s="208">
        <f t="shared" ref="F11:I11" si="4">SUM(F9:F10)</f>
        <v>0</v>
      </c>
      <c r="G11" s="208">
        <f t="shared" si="4"/>
        <v>0</v>
      </c>
      <c r="H11" s="208">
        <f t="shared" ref="H11" si="5">SUM(H9:H10)</f>
        <v>149</v>
      </c>
      <c r="I11" s="208">
        <f t="shared" si="4"/>
        <v>15</v>
      </c>
      <c r="J11" s="208">
        <f t="shared" si="3"/>
        <v>10615</v>
      </c>
      <c r="K11" s="209">
        <f>SUM(B11:J11)</f>
        <v>68742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[3]American!$IQ$4</f>
        <v>294</v>
      </c>
      <c r="C15" s="12">
        <f>[3]Delta!$IQ$4+[3]Delta!$IQ$15</f>
        <v>6018</v>
      </c>
      <c r="D15" s="12">
        <f>[3]United!$IQ$4</f>
        <v>372</v>
      </c>
      <c r="E15" s="12">
        <f>[3]Spirit!$IQ$4</f>
        <v>117</v>
      </c>
      <c r="F15" s="12">
        <f>[3]Condor!$IQ$15</f>
        <v>0</v>
      </c>
      <c r="G15" s="12">
        <f>'[3]Air France'!$IQ$15</f>
        <v>0</v>
      </c>
      <c r="H15" s="12">
        <f>'[3]Jet Blue'!$IQ$4</f>
        <v>31</v>
      </c>
      <c r="I15" s="12">
        <f>[3]KLM!$IQ$4+[3]KLM!$IQ$15</f>
        <v>15</v>
      </c>
      <c r="J15" s="12">
        <f>'Other Major Airline Stats'!K16</f>
        <v>2219</v>
      </c>
      <c r="K15" s="17">
        <f>SUM(B15:J15)</f>
        <v>9066</v>
      </c>
    </row>
    <row r="16" spans="1:20" x14ac:dyDescent="0.2">
      <c r="A16" s="45" t="s">
        <v>23</v>
      </c>
      <c r="B16" s="7">
        <f>[3]American!$IQ$5</f>
        <v>292</v>
      </c>
      <c r="C16" s="7">
        <f>[3]Delta!$IQ$5+[3]Delta!$IQ$16</f>
        <v>6008</v>
      </c>
      <c r="D16" s="7">
        <f>[3]United!$IQ$5</f>
        <v>371</v>
      </c>
      <c r="E16" s="7">
        <f>[3]Spirit!$IQ$5</f>
        <v>117</v>
      </c>
      <c r="F16" s="7">
        <f>[3]Condor!$IQ$5+[3]Condor!$IQ$16</f>
        <v>0</v>
      </c>
      <c r="G16" s="7">
        <f>'[3]Air France'!$IQ$16</f>
        <v>0</v>
      </c>
      <c r="H16" s="7">
        <f>'[3]Jet Blue'!$IQ$5</f>
        <v>31</v>
      </c>
      <c r="I16" s="7">
        <f>[3]KLM!$IQ$5+[3]KLM!$IQ$16</f>
        <v>15</v>
      </c>
      <c r="J16" s="7">
        <f>'Other Major Airline Stats'!K17</f>
        <v>2217</v>
      </c>
      <c r="K16" s="23">
        <f>SUM(B16:J16)</f>
        <v>9051</v>
      </c>
    </row>
    <row r="17" spans="1:11" x14ac:dyDescent="0.2">
      <c r="A17" s="45" t="s">
        <v>24</v>
      </c>
      <c r="B17" s="212">
        <f t="shared" ref="B17:J17" si="6">SUM(B15:B16)</f>
        <v>586</v>
      </c>
      <c r="C17" s="210">
        <f t="shared" si="6"/>
        <v>12026</v>
      </c>
      <c r="D17" s="210">
        <f t="shared" si="6"/>
        <v>743</v>
      </c>
      <c r="E17" s="210">
        <f t="shared" si="6"/>
        <v>234</v>
      </c>
      <c r="F17" s="210">
        <f t="shared" ref="F17:I17" si="7">SUM(F15:F16)</f>
        <v>0</v>
      </c>
      <c r="G17" s="210">
        <f t="shared" si="7"/>
        <v>0</v>
      </c>
      <c r="H17" s="210">
        <f t="shared" ref="H17" si="8">SUM(H15:H16)</f>
        <v>62</v>
      </c>
      <c r="I17" s="210">
        <f t="shared" si="7"/>
        <v>30</v>
      </c>
      <c r="J17" s="210">
        <f t="shared" si="6"/>
        <v>4436</v>
      </c>
      <c r="K17" s="211">
        <f>SUM(B17:J17)</f>
        <v>18117</v>
      </c>
    </row>
    <row r="18" spans="1:11" x14ac:dyDescent="0.2">
      <c r="A18" s="45"/>
      <c r="B18" s="435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[3]American!$IQ$8</f>
        <v>0</v>
      </c>
      <c r="C19" s="12">
        <f>[3]Delta!$IQ$8</f>
        <v>3</v>
      </c>
      <c r="D19" s="12">
        <f>[3]United!$IQ$8</f>
        <v>1</v>
      </c>
      <c r="E19" s="12">
        <f>[3]Spirit!$IQ$8</f>
        <v>0</v>
      </c>
      <c r="F19" s="12">
        <f>[3]Condor!$IQ$8</f>
        <v>0</v>
      </c>
      <c r="G19" s="12">
        <f>'[3]Air France'!$IQ$8</f>
        <v>0</v>
      </c>
      <c r="H19" s="12">
        <f>'[3]Jet Blue'!$IQ$8</f>
        <v>0</v>
      </c>
      <c r="I19" s="12">
        <f>[3]KLM!$IQ$8</f>
        <v>0</v>
      </c>
      <c r="J19" s="12">
        <f>'Other Major Airline Stats'!K20</f>
        <v>90</v>
      </c>
      <c r="K19" s="17">
        <f>SUM(B19:J19)</f>
        <v>94</v>
      </c>
    </row>
    <row r="20" spans="1:11" x14ac:dyDescent="0.2">
      <c r="A20" s="45" t="s">
        <v>26</v>
      </c>
      <c r="B20" s="7">
        <f>[3]American!$IQ$9</f>
        <v>0</v>
      </c>
      <c r="C20" s="7">
        <f>[3]Delta!$IQ$9</f>
        <v>9</v>
      </c>
      <c r="D20" s="7">
        <f>[3]United!$IQ$9</f>
        <v>0</v>
      </c>
      <c r="E20" s="7">
        <f>[3]Spirit!$IQ$9</f>
        <v>0</v>
      </c>
      <c r="F20" s="7">
        <f>[3]Condor!$IQ$9</f>
        <v>0</v>
      </c>
      <c r="G20" s="7">
        <f>'[3]Air France'!$IQ$9</f>
        <v>0</v>
      </c>
      <c r="H20" s="7">
        <f>'[3]Jet Blue'!$IQ$9</f>
        <v>0</v>
      </c>
      <c r="I20" s="7">
        <f>[3]KLM!$IQ$9</f>
        <v>0</v>
      </c>
      <c r="J20" s="7">
        <f>'Other Major Airline Stats'!K21</f>
        <v>87</v>
      </c>
      <c r="K20" s="23">
        <f>SUM(B20:J20)</f>
        <v>96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12</v>
      </c>
      <c r="D21" s="210">
        <f t="shared" si="9"/>
        <v>1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177</v>
      </c>
      <c r="K21" s="145">
        <f>SUM(B21:J21)</f>
        <v>190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586</v>
      </c>
      <c r="C23" s="18">
        <f t="shared" si="12"/>
        <v>12038</v>
      </c>
      <c r="D23" s="18">
        <f t="shared" si="12"/>
        <v>744</v>
      </c>
      <c r="E23" s="18">
        <f>E17+E21</f>
        <v>234</v>
      </c>
      <c r="F23" s="18">
        <f t="shared" ref="F23:I23" si="13">F17+F21</f>
        <v>0</v>
      </c>
      <c r="G23" s="18">
        <f t="shared" si="13"/>
        <v>0</v>
      </c>
      <c r="H23" s="18">
        <f t="shared" ref="H23" si="14">H17+H21</f>
        <v>62</v>
      </c>
      <c r="I23" s="18">
        <f t="shared" si="13"/>
        <v>30</v>
      </c>
      <c r="J23" s="18">
        <f t="shared" si="12"/>
        <v>4613</v>
      </c>
      <c r="K23" s="19">
        <f>SUM(B23:J23)</f>
        <v>18307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[3]American!$IQ$47</f>
        <v>33889</v>
      </c>
      <c r="C28" s="12">
        <f>[3]Delta!$IQ$47</f>
        <v>4311733</v>
      </c>
      <c r="D28" s="12">
        <f>[3]United!$IQ$47</f>
        <v>20425</v>
      </c>
      <c r="E28" s="12">
        <f>[3]Spirit!$IQ$47</f>
        <v>0</v>
      </c>
      <c r="F28" s="12">
        <f>[3]Condor!$IQ$47</f>
        <v>0</v>
      </c>
      <c r="G28" s="12">
        <f>'[3]Air France'!$IQ$47</f>
        <v>0</v>
      </c>
      <c r="H28" s="12">
        <f>'[3]Jet Blue'!$IQ$47</f>
        <v>0</v>
      </c>
      <c r="I28" s="12">
        <f>[3]KLM!$IQ$47</f>
        <v>247409</v>
      </c>
      <c r="J28" s="12">
        <f>'Other Major Airline Stats'!K28</f>
        <v>169348</v>
      </c>
      <c r="K28" s="17">
        <f>SUM(B28:J28)</f>
        <v>4782804</v>
      </c>
    </row>
    <row r="29" spans="1:11" x14ac:dyDescent="0.2">
      <c r="A29" s="45" t="s">
        <v>38</v>
      </c>
      <c r="B29" s="7">
        <f>[3]American!$IQ$48</f>
        <v>2767</v>
      </c>
      <c r="C29" s="7">
        <f>[3]Delta!$IQ$48</f>
        <v>339388</v>
      </c>
      <c r="D29" s="7">
        <f>[3]United!$IQ$48</f>
        <v>3013</v>
      </c>
      <c r="E29" s="7">
        <f>[3]Spirit!$IQ$48</f>
        <v>0</v>
      </c>
      <c r="F29" s="7">
        <f>[3]Condor!$IQ$48</f>
        <v>0</v>
      </c>
      <c r="G29" s="7">
        <f>'[3]Air France'!$IQ$48</f>
        <v>0</v>
      </c>
      <c r="H29" s="7">
        <f>'[3]Jet Blue'!$IQ$48</f>
        <v>0</v>
      </c>
      <c r="I29" s="7">
        <f>[3]KLM!$IQ$48</f>
        <v>0</v>
      </c>
      <c r="J29" s="7">
        <f>'Other Major Airline Stats'!K29</f>
        <v>0</v>
      </c>
      <c r="K29" s="23">
        <f>SUM(B29:J29)</f>
        <v>345168</v>
      </c>
    </row>
    <row r="30" spans="1:11" x14ac:dyDescent="0.2">
      <c r="A30" s="49" t="s">
        <v>39</v>
      </c>
      <c r="B30" s="212">
        <f t="shared" ref="B30:J30" si="15">SUM(B28:B29)</f>
        <v>36656</v>
      </c>
      <c r="C30" s="212">
        <f t="shared" si="15"/>
        <v>4651121</v>
      </c>
      <c r="D30" s="212">
        <f t="shared" si="15"/>
        <v>23438</v>
      </c>
      <c r="E30" s="212">
        <f t="shared" si="15"/>
        <v>0</v>
      </c>
      <c r="F30" s="212">
        <f t="shared" ref="F30:I30" si="16">SUM(F28:F29)</f>
        <v>0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247409</v>
      </c>
      <c r="J30" s="212">
        <f t="shared" si="15"/>
        <v>169348</v>
      </c>
      <c r="K30" s="17">
        <f>SUM(B30:J30)</f>
        <v>5127972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[3]American!$IQ$52</f>
        <v>2218</v>
      </c>
      <c r="C33" s="12">
        <f>[3]Delta!$IQ$52</f>
        <v>2055738</v>
      </c>
      <c r="D33" s="12">
        <f>[3]United!$IQ$52</f>
        <v>2691</v>
      </c>
      <c r="E33" s="12">
        <f>[3]Spirit!$IQ$52</f>
        <v>0</v>
      </c>
      <c r="F33" s="12">
        <f>[3]Condor!$IQ$52</f>
        <v>0</v>
      </c>
      <c r="G33" s="12">
        <f>'[3]Air France'!$IQ$52</f>
        <v>0</v>
      </c>
      <c r="H33" s="12">
        <f>'[3]Jet Blue'!$IQ$52</f>
        <v>0</v>
      </c>
      <c r="I33" s="12">
        <f>[3]KLM!$IQ$52</f>
        <v>56209</v>
      </c>
      <c r="J33" s="12">
        <f>'Other Major Airline Stats'!K33</f>
        <v>46200</v>
      </c>
      <c r="K33" s="17">
        <f t="shared" si="18"/>
        <v>2163056</v>
      </c>
    </row>
    <row r="34" spans="1:11" x14ac:dyDescent="0.2">
      <c r="A34" s="45" t="s">
        <v>38</v>
      </c>
      <c r="B34" s="7">
        <f>[3]American!$IQ$53</f>
        <v>2176</v>
      </c>
      <c r="C34" s="7">
        <f>[3]Delta!$IQ$53</f>
        <v>496127</v>
      </c>
      <c r="D34" s="7">
        <f>[3]United!$IQ$53</f>
        <v>23</v>
      </c>
      <c r="E34" s="7">
        <f>[3]Spirit!$IQ$53</f>
        <v>0</v>
      </c>
      <c r="F34" s="7">
        <f>[3]Condor!$IQ$53</f>
        <v>0</v>
      </c>
      <c r="G34" s="7">
        <f>'[3]Air France'!$IQ$53</f>
        <v>0</v>
      </c>
      <c r="H34" s="7">
        <f>'[3]Jet Blue'!$IQ$53</f>
        <v>0</v>
      </c>
      <c r="I34" s="7">
        <f>[3]KLM!$IQ$53</f>
        <v>0</v>
      </c>
      <c r="J34" s="7">
        <f>'Other Major Airline Stats'!K34</f>
        <v>0</v>
      </c>
      <c r="K34" s="23">
        <f t="shared" si="18"/>
        <v>498326</v>
      </c>
    </row>
    <row r="35" spans="1:11" x14ac:dyDescent="0.2">
      <c r="A35" s="49" t="s">
        <v>41</v>
      </c>
      <c r="B35" s="212">
        <f t="shared" ref="B35:J35" si="19">SUM(B33:B34)</f>
        <v>4394</v>
      </c>
      <c r="C35" s="212">
        <f t="shared" si="19"/>
        <v>2551865</v>
      </c>
      <c r="D35" s="212">
        <f t="shared" si="19"/>
        <v>2714</v>
      </c>
      <c r="E35" s="212">
        <f t="shared" si="19"/>
        <v>0</v>
      </c>
      <c r="F35" s="212">
        <f t="shared" ref="F35:I35" si="20">SUM(F33:F34)</f>
        <v>0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56209</v>
      </c>
      <c r="J35" s="212">
        <f t="shared" si="19"/>
        <v>46200</v>
      </c>
      <c r="K35" s="17">
        <f t="shared" si="18"/>
        <v>2661382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[3]American!$IQ$57</f>
        <v>0</v>
      </c>
      <c r="C38" s="12">
        <f>[3]Delta!$IQ$57</f>
        <v>0</v>
      </c>
      <c r="D38" s="12">
        <f>[3]United!$IQ$57</f>
        <v>0</v>
      </c>
      <c r="E38" s="12">
        <f>[3]Spirit!$IQ$57</f>
        <v>0</v>
      </c>
      <c r="F38" s="12">
        <f>[3]Condor!$IQ$57</f>
        <v>0</v>
      </c>
      <c r="G38" s="12">
        <f>'[3]Air France'!$IQ$57</f>
        <v>0</v>
      </c>
      <c r="H38" s="12">
        <f>'[3]Jet Blue'!$IQ$57</f>
        <v>0</v>
      </c>
      <c r="I38" s="12">
        <f>[3]KLM!$IQ$57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[3]American!$IQ$58</f>
        <v>0</v>
      </c>
      <c r="C39" s="7">
        <f>[3]Delta!$IQ$58</f>
        <v>0</v>
      </c>
      <c r="D39" s="7">
        <f>[3]United!$IQ$58</f>
        <v>0</v>
      </c>
      <c r="E39" s="7">
        <f>[3]Spirit!$IQ$58</f>
        <v>0</v>
      </c>
      <c r="F39" s="7">
        <f>[3]Condor!$IQ$58</f>
        <v>0</v>
      </c>
      <c r="G39" s="7">
        <f>'[3]Air France'!$IQ$58</f>
        <v>0</v>
      </c>
      <c r="H39" s="7">
        <f>'[3]Jet Blue'!$IQ$58</f>
        <v>0</v>
      </c>
      <c r="I39" s="7">
        <f>[3]KLM!$IQ$58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36107</v>
      </c>
      <c r="C43" s="12">
        <f t="shared" si="25"/>
        <v>6367471</v>
      </c>
      <c r="D43" s="12">
        <f t="shared" si="25"/>
        <v>23116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303618</v>
      </c>
      <c r="J43" s="12">
        <f t="shared" si="25"/>
        <v>215548</v>
      </c>
      <c r="K43" s="17">
        <f>SUM(B43:J43)</f>
        <v>6945860</v>
      </c>
    </row>
    <row r="44" spans="1:11" x14ac:dyDescent="0.2">
      <c r="A44" s="45" t="s">
        <v>38</v>
      </c>
      <c r="B44" s="7">
        <f t="shared" si="25"/>
        <v>4943</v>
      </c>
      <c r="C44" s="7">
        <f t="shared" si="25"/>
        <v>835515</v>
      </c>
      <c r="D44" s="7">
        <f t="shared" si="25"/>
        <v>3036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0</v>
      </c>
      <c r="K44" s="17">
        <f>SUM(B44:J44)</f>
        <v>843494</v>
      </c>
    </row>
    <row r="45" spans="1:11" ht="15.75" thickBot="1" x14ac:dyDescent="0.3">
      <c r="A45" s="46" t="s">
        <v>46</v>
      </c>
      <c r="B45" s="213">
        <f t="shared" ref="B45:J45" si="30">SUM(B43:B44)</f>
        <v>41050</v>
      </c>
      <c r="C45" s="213">
        <f t="shared" si="30"/>
        <v>7202986</v>
      </c>
      <c r="D45" s="213">
        <f t="shared" si="30"/>
        <v>26152</v>
      </c>
      <c r="E45" s="213">
        <f t="shared" si="30"/>
        <v>0</v>
      </c>
      <c r="F45" s="213">
        <f t="shared" ref="F45:I45" si="31">SUM(F43:F44)</f>
        <v>0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303618</v>
      </c>
      <c r="J45" s="213">
        <f t="shared" si="30"/>
        <v>215548</v>
      </c>
      <c r="K45" s="214">
        <f>SUM(B45:J45)</f>
        <v>7789354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120</v>
      </c>
      <c r="C47" s="239">
        <f>[3]Delta!$IQ$70+[3]Delta!$IQ$73</f>
        <v>461914</v>
      </c>
      <c r="D47" s="227"/>
      <c r="E47" s="227"/>
      <c r="F47" s="227"/>
      <c r="G47" s="227"/>
      <c r="H47" s="227"/>
      <c r="I47" s="227"/>
      <c r="J47" s="227"/>
      <c r="K47" s="228">
        <f>SUM(B47:J47)</f>
        <v>461914</v>
      </c>
    </row>
    <row r="48" spans="1:11" hidden="1" x14ac:dyDescent="0.2">
      <c r="A48" s="277" t="s">
        <v>121</v>
      </c>
      <c r="C48" s="239">
        <f>[3]Delta!$IQ$71+[3]Delta!$IQ$74</f>
        <v>337476</v>
      </c>
      <c r="D48" s="227"/>
      <c r="E48" s="227"/>
      <c r="F48" s="227"/>
      <c r="G48" s="227"/>
      <c r="H48" s="227"/>
      <c r="I48" s="227"/>
      <c r="J48" s="227"/>
      <c r="K48" s="228">
        <f>SUM(B48:J48)</f>
        <v>337476</v>
      </c>
    </row>
    <row r="49" spans="1:11" hidden="1" x14ac:dyDescent="0.2">
      <c r="A49" s="278" t="s">
        <v>122</v>
      </c>
      <c r="C49" s="240">
        <f>SUM(C47:C48)</f>
        <v>799390</v>
      </c>
      <c r="K49" s="228">
        <f>SUM(B49:J49)</f>
        <v>799390</v>
      </c>
    </row>
    <row r="50" spans="1:11" x14ac:dyDescent="0.2">
      <c r="A50" s="276" t="s">
        <v>120</v>
      </c>
      <c r="B50" s="287"/>
      <c r="C50" s="242">
        <f>[3]Delta!$IQ$70+[3]Delta!$IQ$73</f>
        <v>461914</v>
      </c>
      <c r="D50" s="287"/>
      <c r="E50" s="242">
        <f>[3]Spirit!$IQ$70+[3]Spirit!$IQ$73</f>
        <v>0</v>
      </c>
      <c r="F50" s="287"/>
      <c r="G50" s="287"/>
      <c r="H50" s="287"/>
      <c r="I50" s="287"/>
      <c r="J50" s="241">
        <f>'Other Major Airline Stats'!K48</f>
        <v>254644</v>
      </c>
      <c r="K50" s="231">
        <f>SUM(B50:J50)</f>
        <v>716558</v>
      </c>
    </row>
    <row r="51" spans="1:11" x14ac:dyDescent="0.2">
      <c r="A51" s="289" t="s">
        <v>121</v>
      </c>
      <c r="B51" s="287"/>
      <c r="C51" s="242">
        <f>[3]Delta!$IQ$71+[3]Delta!$IQ$74</f>
        <v>337476</v>
      </c>
      <c r="D51" s="287"/>
      <c r="E51" s="242">
        <f>[3]Spirit!$IQ$71+[3]Spirit!$IQ$74</f>
        <v>0</v>
      </c>
      <c r="F51" s="287"/>
      <c r="G51" s="287"/>
      <c r="H51" s="287"/>
      <c r="I51" s="287"/>
      <c r="J51" s="241">
        <f>+'Other Major Airline Stats'!K49</f>
        <v>455</v>
      </c>
      <c r="K51" s="231">
        <f>SUM(B51:J51)</f>
        <v>337931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December 2023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F6" sqref="F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45261</v>
      </c>
      <c r="B2" s="326" t="s">
        <v>47</v>
      </c>
      <c r="C2" s="325" t="s">
        <v>219</v>
      </c>
      <c r="D2" s="325" t="s">
        <v>196</v>
      </c>
      <c r="E2" s="325" t="s">
        <v>212</v>
      </c>
      <c r="F2" s="325" t="s">
        <v>246</v>
      </c>
      <c r="G2" s="326" t="s">
        <v>48</v>
      </c>
      <c r="H2" s="325" t="s">
        <v>128</v>
      </c>
      <c r="I2" s="325" t="s">
        <v>49</v>
      </c>
      <c r="J2" s="325" t="s">
        <v>127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[3]Frontier!$IQ$22+[3]Frontier!$IQ$32</f>
        <v>17615</v>
      </c>
      <c r="C5" s="95">
        <f>'[3]Allegiant '!$IQ$22</f>
        <v>4964</v>
      </c>
      <c r="D5" s="95">
        <f>'[3]Aer Lingus'!$IQ$22+'[3]Aer Lingus'!$IQ$32</f>
        <v>0</v>
      </c>
      <c r="E5" s="95">
        <f>'[3]Denver Air'!$IQ$22+'[3]Denver Air'!$IQ$32</f>
        <v>1081</v>
      </c>
      <c r="F5" s="95">
        <f>[3]WestJet!$IQ$22+[3]WestJet!$IQ$32</f>
        <v>4072</v>
      </c>
      <c r="G5" s="95">
        <f>[3]Icelandair!$IQ$32</f>
        <v>1283</v>
      </c>
      <c r="H5" s="95">
        <f>[3]Southwest!$IQ$22</f>
        <v>67152</v>
      </c>
      <c r="I5" s="95">
        <f>'[3]Sun Country'!$IQ$22+'[3]Sun Country'!$IQ$32</f>
        <v>180830</v>
      </c>
      <c r="J5" s="95">
        <f>[3]Alaska!$IQ$22</f>
        <v>7018</v>
      </c>
      <c r="K5" s="118">
        <f>SUM(B5:J5)</f>
        <v>284015</v>
      </c>
      <c r="N5" s="95"/>
    </row>
    <row r="6" spans="1:14" x14ac:dyDescent="0.2">
      <c r="A6" s="45" t="s">
        <v>31</v>
      </c>
      <c r="B6" s="95">
        <f>[3]Frontier!$IQ$23+[3]Frontier!$IQ$33</f>
        <v>20614</v>
      </c>
      <c r="C6" s="95">
        <f>'[3]Allegiant '!$IQ$23</f>
        <v>4834</v>
      </c>
      <c r="D6" s="95">
        <f>'[3]Aer Lingus'!$IQ$23+'[3]Aer Lingus'!$IQ$33</f>
        <v>0</v>
      </c>
      <c r="E6" s="95">
        <f>'[3]Denver Air'!$IQ$23+'[3]Denver Air'!$IQ$33</f>
        <v>1015</v>
      </c>
      <c r="F6" s="95">
        <f>[3]WestJet!$IQ$23+[3]WestJet!$IQ$33</f>
        <v>4025</v>
      </c>
      <c r="G6" s="95">
        <f>[3]Icelandair!$IQ$33</f>
        <v>1339</v>
      </c>
      <c r="H6" s="95">
        <f>[3]Southwest!$IQ$23</f>
        <v>64965</v>
      </c>
      <c r="I6" s="95">
        <f>'[3]Sun Country'!$IQ$23+'[3]Sun Country'!$IQ$33</f>
        <v>190134</v>
      </c>
      <c r="J6" s="95">
        <f>[3]Alaska!$IQ$23</f>
        <v>7018</v>
      </c>
      <c r="K6" s="118">
        <f>SUM(B6:J6)</f>
        <v>293944</v>
      </c>
    </row>
    <row r="7" spans="1:14" ht="15" x14ac:dyDescent="0.25">
      <c r="A7" s="43" t="s">
        <v>7</v>
      </c>
      <c r="B7" s="126">
        <f>SUM(B5:B6)</f>
        <v>38229</v>
      </c>
      <c r="C7" s="126">
        <f t="shared" ref="C7:F7" si="0">SUM(C5:C6)</f>
        <v>9798</v>
      </c>
      <c r="D7" s="126">
        <f>SUM(D5:D6)</f>
        <v>0</v>
      </c>
      <c r="E7" s="126">
        <f>SUM(E5:E6)</f>
        <v>2096</v>
      </c>
      <c r="F7" s="126">
        <f t="shared" si="0"/>
        <v>8097</v>
      </c>
      <c r="G7" s="126">
        <f t="shared" ref="G7:J7" si="1">SUM(G5:G6)</f>
        <v>2622</v>
      </c>
      <c r="H7" s="126">
        <f t="shared" si="1"/>
        <v>132117</v>
      </c>
      <c r="I7" s="126">
        <f>SUM(I5:I6)</f>
        <v>370964</v>
      </c>
      <c r="J7" s="126">
        <f t="shared" si="1"/>
        <v>14036</v>
      </c>
      <c r="K7" s="127">
        <f>SUM(B7:J7)</f>
        <v>577959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[3]Frontier!$IQ$27+[3]Frontier!$IQ$37</f>
        <v>82</v>
      </c>
      <c r="C10" s="125">
        <f>'[3]Allegiant '!$IQ$27</f>
        <v>0</v>
      </c>
      <c r="D10" s="359">
        <f>'[3]Aer Lingus'!$IQ$27+'[3]Aer Lingus'!$IQ$37</f>
        <v>0</v>
      </c>
      <c r="E10" s="125">
        <f>'[3]Denver Air'!$IQ$27+'[3]Denver Air'!$IQ$37</f>
        <v>36</v>
      </c>
      <c r="F10" s="125">
        <f>[3]WestJet!$IQ$27+[3]WestJet!$IQ$37</f>
        <v>0</v>
      </c>
      <c r="G10" s="125">
        <f>[3]Icelandair!$IQ$37</f>
        <v>46</v>
      </c>
      <c r="H10" s="125">
        <f>[3]Southwest!$IQ$27</f>
        <v>1830</v>
      </c>
      <c r="I10" s="125">
        <f>'[3]Sun Country'!$IQ$27+'[3]Sun Country'!$IQ$37</f>
        <v>2939</v>
      </c>
      <c r="J10" s="125">
        <f>[3]Alaska!$IQ$27</f>
        <v>300</v>
      </c>
      <c r="K10" s="118">
        <f>SUM(B10:J10)</f>
        <v>5233</v>
      </c>
    </row>
    <row r="11" spans="1:14" x14ac:dyDescent="0.2">
      <c r="A11" s="45" t="s">
        <v>33</v>
      </c>
      <c r="B11" s="128">
        <f>[3]Frontier!$IQ$28+[3]Frontier!$IQ$38</f>
        <v>93</v>
      </c>
      <c r="C11" s="128">
        <f>'[3]Allegiant '!$IQ$28</f>
        <v>0</v>
      </c>
      <c r="D11" s="128">
        <f>'[3]Aer Lingus'!$IQ$28+'[3]Aer Lingus'!$IQ$38</f>
        <v>0</v>
      </c>
      <c r="E11" s="128">
        <f>'[3]Denver Air'!$IQ$28+'[3]Denver Air'!$IQ$38</f>
        <v>45</v>
      </c>
      <c r="F11" s="128">
        <f>[3]WestJet!$IQ$28+[3]WestJet!$IQ$38</f>
        <v>1</v>
      </c>
      <c r="G11" s="128">
        <f>[3]Icelandair!$IQ$38</f>
        <v>56</v>
      </c>
      <c r="H11" s="128">
        <f>[3]Southwest!$IQ$28</f>
        <v>1716</v>
      </c>
      <c r="I11" s="128">
        <f>'[3]Sun Country'!$IQ$28+'[3]Sun Country'!$IQ$38</f>
        <v>3136</v>
      </c>
      <c r="J11" s="128">
        <f>[3]Alaska!$IQ$28</f>
        <v>335</v>
      </c>
      <c r="K11" s="118">
        <f>SUM(B11:J11)</f>
        <v>5382</v>
      </c>
    </row>
    <row r="12" spans="1:14" ht="15.75" thickBot="1" x14ac:dyDescent="0.3">
      <c r="A12" s="46" t="s">
        <v>34</v>
      </c>
      <c r="B12" s="121">
        <f>SUM(B10:B11)</f>
        <v>175</v>
      </c>
      <c r="C12" s="121">
        <f t="shared" ref="C12:F12" si="2">SUM(C10:C11)</f>
        <v>0</v>
      </c>
      <c r="D12" s="121">
        <f>SUM(D10:D11)</f>
        <v>0</v>
      </c>
      <c r="E12" s="121">
        <f>SUM(E10:E11)</f>
        <v>81</v>
      </c>
      <c r="F12" s="121">
        <f t="shared" si="2"/>
        <v>1</v>
      </c>
      <c r="G12" s="121">
        <f t="shared" ref="G12:J12" si="3">SUM(G10:G11)</f>
        <v>102</v>
      </c>
      <c r="H12" s="121">
        <f t="shared" si="3"/>
        <v>3546</v>
      </c>
      <c r="I12" s="121">
        <f>SUM(I10:I11)</f>
        <v>6075</v>
      </c>
      <c r="J12" s="121">
        <f t="shared" si="3"/>
        <v>635</v>
      </c>
      <c r="K12" s="129">
        <f>SUM(B12:J12)</f>
        <v>10615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[3]Frontier!$IQ$4+[3]Frontier!$IQ$15</f>
        <v>136</v>
      </c>
      <c r="C16" s="85">
        <f>'[3]Allegiant '!$IQ$4</f>
        <v>38</v>
      </c>
      <c r="D16" s="95">
        <f>'[3]Aer Lingus'!$IQ$4+'[3]Aer Lingus'!$IQ$15</f>
        <v>0</v>
      </c>
      <c r="E16" s="95">
        <f>'[3]Denver Air'!$IQ$4+'[3]Denver Air'!$IQ$15</f>
        <v>86</v>
      </c>
      <c r="F16" s="85">
        <f>[3]WestJet!$IQ$4+[3]WestJet!$IQ$15</f>
        <v>34</v>
      </c>
      <c r="G16" s="95">
        <f>[3]Icelandair!$IQ$15</f>
        <v>12</v>
      </c>
      <c r="H16" s="85">
        <f>[3]Southwest!$IQ$4</f>
        <v>680</v>
      </c>
      <c r="I16" s="95">
        <f>'[3]Sun Country'!$IQ$4+'[3]Sun Country'!$IQ$15</f>
        <v>1177</v>
      </c>
      <c r="J16" s="95">
        <f>[3]Alaska!$IQ$4</f>
        <v>56</v>
      </c>
      <c r="K16" s="118">
        <f>SUM(B16:J16)</f>
        <v>2219</v>
      </c>
    </row>
    <row r="17" spans="1:258" x14ac:dyDescent="0.2">
      <c r="A17" s="45" t="s">
        <v>23</v>
      </c>
      <c r="B17" s="95">
        <f>[3]Frontier!$IQ$5+[3]Frontier!$IQ$16</f>
        <v>136</v>
      </c>
      <c r="C17" s="85">
        <f>'[3]Allegiant '!$IQ$5</f>
        <v>38</v>
      </c>
      <c r="D17" s="95">
        <f>'[3]Aer Lingus'!$IQ$5+'[3]Aer Lingus'!$IQ$16</f>
        <v>0</v>
      </c>
      <c r="E17" s="95">
        <f>'[3]Denver Air'!$IQ$5+'[3]Denver Air'!$IQ$16</f>
        <v>86</v>
      </c>
      <c r="F17" s="85">
        <f>[3]WestJet!$IQ$5+[3]WestJet!$IQ$16</f>
        <v>34</v>
      </c>
      <c r="G17" s="95">
        <f>[3]Icelandair!$IQ$16</f>
        <v>12</v>
      </c>
      <c r="H17" s="85">
        <f>[3]Southwest!$IQ$5</f>
        <v>677</v>
      </c>
      <c r="I17" s="95">
        <f>'[3]Sun Country'!$IQ$5+'[3]Sun Country'!$IQ$16</f>
        <v>1177</v>
      </c>
      <c r="J17" s="95">
        <f>[3]Alaska!$IQ$5</f>
        <v>57</v>
      </c>
      <c r="K17" s="118">
        <f>SUM(B17:J17)</f>
        <v>2217</v>
      </c>
    </row>
    <row r="18" spans="1:258" x14ac:dyDescent="0.2">
      <c r="A18" s="49" t="s">
        <v>24</v>
      </c>
      <c r="B18" s="119">
        <f t="shared" ref="B18" si="4">SUM(B16:B17)</f>
        <v>272</v>
      </c>
      <c r="C18" s="119">
        <f t="shared" ref="C18:F18" si="5">SUM(C16:C17)</f>
        <v>76</v>
      </c>
      <c r="D18" s="119">
        <f t="shared" si="5"/>
        <v>0</v>
      </c>
      <c r="E18" s="119">
        <f t="shared" si="5"/>
        <v>172</v>
      </c>
      <c r="F18" s="119">
        <f t="shared" si="5"/>
        <v>68</v>
      </c>
      <c r="G18" s="119">
        <f t="shared" ref="G18:J18" si="6">SUM(G16:G17)</f>
        <v>24</v>
      </c>
      <c r="H18" s="119">
        <f t="shared" si="6"/>
        <v>1357</v>
      </c>
      <c r="I18" s="119">
        <f t="shared" si="6"/>
        <v>2354</v>
      </c>
      <c r="J18" s="119">
        <f t="shared" si="6"/>
        <v>113</v>
      </c>
      <c r="K18" s="120">
        <f>SUM(B18:J18)</f>
        <v>4436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[3]Frontier!$IQ$8</f>
        <v>0</v>
      </c>
      <c r="C20" s="95">
        <f>'[3]Allegiant '!$IQ$8</f>
        <v>0</v>
      </c>
      <c r="D20" s="95">
        <f>'[3]Aer Lingus'!$IQ$8</f>
        <v>0</v>
      </c>
      <c r="E20" s="95">
        <f>'[3]Denver Air'!$IQ$8</f>
        <v>2</v>
      </c>
      <c r="F20" s="95">
        <f>[3]WestJet!$IQ$8</f>
        <v>0</v>
      </c>
      <c r="G20" s="95">
        <f>[3]Icelandair!$IQ$8</f>
        <v>0</v>
      </c>
      <c r="H20" s="95">
        <f>[3]Southwest!$IQ$8</f>
        <v>0</v>
      </c>
      <c r="I20" s="95">
        <f>'[3]Sun Country'!$IQ$8</f>
        <v>88</v>
      </c>
      <c r="J20" s="95">
        <f>[3]Alaska!$IQ$8</f>
        <v>0</v>
      </c>
      <c r="K20" s="118">
        <f>SUM(B20:J20)</f>
        <v>90</v>
      </c>
    </row>
    <row r="21" spans="1:258" x14ac:dyDescent="0.2">
      <c r="A21" s="45" t="s">
        <v>26</v>
      </c>
      <c r="B21" s="95">
        <f>[3]Frontier!$IQ$9</f>
        <v>0</v>
      </c>
      <c r="C21" s="95">
        <f>'[3]Allegiant '!$IQ$9</f>
        <v>0</v>
      </c>
      <c r="D21" s="95">
        <f>'[3]Aer Lingus'!$IQ$9</f>
        <v>0</v>
      </c>
      <c r="E21" s="95">
        <f>'[3]Denver Air'!$IQ$9</f>
        <v>2</v>
      </c>
      <c r="F21" s="95">
        <f>[3]WestJet!$IQ$9</f>
        <v>0</v>
      </c>
      <c r="G21" s="95">
        <f>[3]Icelandair!$IQ$9</f>
        <v>0</v>
      </c>
      <c r="H21" s="95">
        <f>[3]Southwest!$IQ$9</f>
        <v>0</v>
      </c>
      <c r="I21" s="95">
        <f>'[3]Sun Country'!$IQ$9</f>
        <v>85</v>
      </c>
      <c r="J21" s="95">
        <f>[3]Alaska!$IQ$9</f>
        <v>0</v>
      </c>
      <c r="K21" s="118">
        <f>SUM(B21:J21)</f>
        <v>87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4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173</v>
      </c>
      <c r="J22" s="119">
        <f t="shared" si="9"/>
        <v>0</v>
      </c>
      <c r="K22" s="120">
        <f>SUM(B22:J22)</f>
        <v>177</v>
      </c>
    </row>
    <row r="23" spans="1:258" ht="15.75" thickBot="1" x14ac:dyDescent="0.3">
      <c r="A23" s="46" t="s">
        <v>28</v>
      </c>
      <c r="B23" s="121">
        <f t="shared" ref="B23" si="10">B22+B18</f>
        <v>272</v>
      </c>
      <c r="C23" s="121">
        <f t="shared" ref="C23:F23" si="11">C22+C18</f>
        <v>76</v>
      </c>
      <c r="D23" s="121">
        <f t="shared" si="11"/>
        <v>0</v>
      </c>
      <c r="E23" s="121">
        <f t="shared" si="11"/>
        <v>176</v>
      </c>
      <c r="F23" s="121">
        <f t="shared" si="11"/>
        <v>68</v>
      </c>
      <c r="G23" s="121">
        <f t="shared" ref="G23:J23" si="12">G22+G18</f>
        <v>24</v>
      </c>
      <c r="H23" s="121">
        <f t="shared" si="12"/>
        <v>1357</v>
      </c>
      <c r="I23" s="121">
        <f>I22+I18</f>
        <v>2527</v>
      </c>
      <c r="J23" s="121">
        <f t="shared" si="12"/>
        <v>113</v>
      </c>
      <c r="K23" s="122">
        <f>SUM(B23:J23)</f>
        <v>4613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[3]Frontier!$IQ$47</f>
        <v>0</v>
      </c>
      <c r="C28" s="95">
        <f>'[3]Allegiant '!$IQ$47</f>
        <v>0</v>
      </c>
      <c r="D28" s="95">
        <f>'[3]Aer Lingus'!$IQ$47</f>
        <v>0</v>
      </c>
      <c r="E28" s="95">
        <f>'[3]Denver Air'!$IQ$47</f>
        <v>0</v>
      </c>
      <c r="F28" s="95">
        <f>[3]WestJet!$IQ$47</f>
        <v>0</v>
      </c>
      <c r="G28" s="95">
        <f>[3]Icelandair!$IQ$47</f>
        <v>1235</v>
      </c>
      <c r="H28" s="95">
        <f>[3]Southwest!$IQ$47</f>
        <v>155812</v>
      </c>
      <c r="I28" s="95">
        <f>'[3]Sun Country'!$IQ$47</f>
        <v>0</v>
      </c>
      <c r="J28" s="95">
        <f>[3]Alaska!$IQ$47</f>
        <v>12301</v>
      </c>
      <c r="K28" s="118">
        <f>SUM(B28:J28)</f>
        <v>169348</v>
      </c>
    </row>
    <row r="29" spans="1:258" x14ac:dyDescent="0.2">
      <c r="A29" s="45" t="s">
        <v>38</v>
      </c>
      <c r="B29" s="95">
        <f>[3]Frontier!$IQ$48</f>
        <v>0</v>
      </c>
      <c r="C29" s="95">
        <f>'[3]Allegiant '!$IQ$48</f>
        <v>0</v>
      </c>
      <c r="D29" s="95">
        <f>'[3]Aer Lingus'!$IQ$48</f>
        <v>0</v>
      </c>
      <c r="E29" s="95">
        <f>'[3]Denver Air'!$IQ$48</f>
        <v>0</v>
      </c>
      <c r="F29" s="95">
        <f>[3]WestJet!$IQ$48</f>
        <v>0</v>
      </c>
      <c r="G29" s="95">
        <f>[3]Icelandair!$IQ$48</f>
        <v>0</v>
      </c>
      <c r="H29" s="95">
        <f>[3]Southwest!$IQ$48</f>
        <v>0</v>
      </c>
      <c r="I29" s="95">
        <f>'[3]Sun Country'!$IQ$48</f>
        <v>0</v>
      </c>
      <c r="J29" s="95">
        <f>[3]Alaska!$IQ$48</f>
        <v>0</v>
      </c>
      <c r="K29" s="118">
        <f>SUM(B29:J29)</f>
        <v>0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1235</v>
      </c>
      <c r="H30" s="133">
        <f t="shared" si="15"/>
        <v>155812</v>
      </c>
      <c r="I30" s="133">
        <f t="shared" si="15"/>
        <v>0</v>
      </c>
      <c r="J30" s="133">
        <f t="shared" si="15"/>
        <v>12301</v>
      </c>
      <c r="K30" s="135">
        <f>SUM(B30:J30)</f>
        <v>169348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[3]Frontier!$IQ$52</f>
        <v>0</v>
      </c>
      <c r="C33" s="95">
        <f>'[3]Allegiant '!$IQ$52</f>
        <v>0</v>
      </c>
      <c r="D33" s="95">
        <f>'[3]Aer Lingus'!$IQ$52</f>
        <v>0</v>
      </c>
      <c r="E33" s="95">
        <f>'[3]Denver Air'!$IQ$52</f>
        <v>0</v>
      </c>
      <c r="F33" s="95">
        <f>[3]WestJet!$IQ$52</f>
        <v>0</v>
      </c>
      <c r="G33" s="95">
        <f>[3]Icelandair!$IQ$52</f>
        <v>0</v>
      </c>
      <c r="H33" s="95">
        <f>[3]Southwest!$IQ$52</f>
        <v>38394</v>
      </c>
      <c r="I33" s="95">
        <f>'[3]Sun Country'!$IQ$52</f>
        <v>0</v>
      </c>
      <c r="J33" s="95">
        <f>[3]Alaska!$IQ$52</f>
        <v>7806</v>
      </c>
      <c r="K33" s="118">
        <f>SUM(B33:J33)</f>
        <v>46200</v>
      </c>
    </row>
    <row r="34" spans="1:11" x14ac:dyDescent="0.2">
      <c r="A34" s="45" t="s">
        <v>38</v>
      </c>
      <c r="B34" s="95">
        <f>[3]Frontier!$IQ$53</f>
        <v>0</v>
      </c>
      <c r="C34" s="95">
        <f>'[3]Allegiant '!$IQ$53</f>
        <v>0</v>
      </c>
      <c r="D34" s="95">
        <f>'[3]Aer Lingus'!$IQ$53</f>
        <v>0</v>
      </c>
      <c r="E34" s="95">
        <f>'[3]Denver Air'!$IQ$53</f>
        <v>0</v>
      </c>
      <c r="F34" s="95">
        <f>[3]WestJet!$IQ$53</f>
        <v>0</v>
      </c>
      <c r="G34" s="95">
        <f>[3]Icelandair!$IQ$53</f>
        <v>0</v>
      </c>
      <c r="H34" s="95">
        <f>[3]Southwest!$IQ$53</f>
        <v>0</v>
      </c>
      <c r="I34" s="95">
        <f>'[3]Sun Country'!$IQ$53</f>
        <v>0</v>
      </c>
      <c r="J34" s="95">
        <f>[3]Alaska!$IQ$53</f>
        <v>0</v>
      </c>
      <c r="K34" s="134">
        <f>SUM(B34:J34)</f>
        <v>0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0</v>
      </c>
      <c r="H35" s="119">
        <f t="shared" si="18"/>
        <v>38394</v>
      </c>
      <c r="I35" s="119">
        <f t="shared" si="18"/>
        <v>0</v>
      </c>
      <c r="J35" s="119">
        <f t="shared" si="18"/>
        <v>7806</v>
      </c>
      <c r="K35" s="135">
        <f>SUM(B35:J35)</f>
        <v>46200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[3]Frontier!$IQ$57</f>
        <v>0</v>
      </c>
      <c r="C38" s="125">
        <f>'[3]Allegiant '!$IQ$57</f>
        <v>0</v>
      </c>
      <c r="D38" s="359">
        <f>'[3]Aer Lingus'!$IQ$57</f>
        <v>0</v>
      </c>
      <c r="E38" s="125">
        <f>'[3]Denver Air'!$IQ$57</f>
        <v>0</v>
      </c>
      <c r="F38" s="125">
        <f>[3]WestJet!$IQ$57</f>
        <v>0</v>
      </c>
      <c r="G38" s="125">
        <f>[3]Icelandair!$IQ$57</f>
        <v>0</v>
      </c>
      <c r="H38" s="125">
        <f>[3]Southwest!$IQ$57</f>
        <v>0</v>
      </c>
      <c r="I38" s="125">
        <f>'[3]Sun Country'!$IQ$57</f>
        <v>0</v>
      </c>
      <c r="J38" s="125">
        <f>[3]Alaska!$IQ$57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[3]Frontier!$IQ$58</f>
        <v>0</v>
      </c>
      <c r="C39" s="128">
        <f>'[3]Allegiant '!$IQ$58</f>
        <v>0</v>
      </c>
      <c r="D39" s="128">
        <f>'[3]Aer Lingus'!$IQ$58</f>
        <v>0</v>
      </c>
      <c r="E39" s="128">
        <f>'[3]Denver Air'!$IQ$58</f>
        <v>0</v>
      </c>
      <c r="F39" s="128">
        <f>[3]WestJet!$IQ$58</f>
        <v>0</v>
      </c>
      <c r="G39" s="128">
        <f>[3]Icelandair!$IQ$58</f>
        <v>0</v>
      </c>
      <c r="H39" s="128">
        <f>[3]Southwest!$IQ$58</f>
        <v>0</v>
      </c>
      <c r="I39" s="128">
        <f>'[3]Sun Country'!$IQ$58</f>
        <v>0</v>
      </c>
      <c r="J39" s="128">
        <f>[3]Alaska!$IQ$58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1235</v>
      </c>
      <c r="H43" s="125">
        <f t="shared" si="24"/>
        <v>194206</v>
      </c>
      <c r="I43" s="125">
        <f t="shared" si="24"/>
        <v>0</v>
      </c>
      <c r="J43" s="125">
        <f t="shared" si="24"/>
        <v>20107</v>
      </c>
      <c r="K43" s="118">
        <f>SUM(B43:J43)</f>
        <v>215548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0</v>
      </c>
      <c r="H44" s="128">
        <f t="shared" si="27"/>
        <v>0</v>
      </c>
      <c r="I44" s="128">
        <f t="shared" si="27"/>
        <v>0</v>
      </c>
      <c r="J44" s="128">
        <f t="shared" si="27"/>
        <v>0</v>
      </c>
      <c r="K44" s="118">
        <f>SUM(B44:J44)</f>
        <v>0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1235</v>
      </c>
      <c r="H45" s="137">
        <f t="shared" si="30"/>
        <v>194206</v>
      </c>
      <c r="I45" s="137">
        <f t="shared" si="30"/>
        <v>0</v>
      </c>
      <c r="J45" s="137">
        <f t="shared" si="30"/>
        <v>20107</v>
      </c>
      <c r="K45" s="138">
        <f>SUM(B45:J45)</f>
        <v>215548</v>
      </c>
    </row>
    <row r="48" spans="1:11" x14ac:dyDescent="0.2">
      <c r="A48" s="276" t="s">
        <v>120</v>
      </c>
      <c r="B48" s="287"/>
      <c r="C48" s="287"/>
      <c r="D48" s="287"/>
      <c r="E48" s="287"/>
      <c r="F48" s="287"/>
      <c r="H48" s="242">
        <f>[3]Southwest!$IQ$70+[3]Southwest!$IQ$73</f>
        <v>64510</v>
      </c>
      <c r="I48" s="242">
        <f>'[3]Sun Country'!$IQ$70+'[3]Sun Country'!$IQ$73</f>
        <v>190134</v>
      </c>
      <c r="J48" s="287"/>
      <c r="K48" s="231">
        <f>SUM(B48:J48)</f>
        <v>254644</v>
      </c>
    </row>
    <row r="49" spans="1:11" x14ac:dyDescent="0.2">
      <c r="A49" s="289" t="s">
        <v>121</v>
      </c>
      <c r="B49" s="287"/>
      <c r="C49" s="287"/>
      <c r="D49" s="287"/>
      <c r="E49" s="287"/>
      <c r="F49" s="287"/>
      <c r="H49" s="242">
        <f>[3]Southwest!$IQ$71+[3]Southwest!$IQ$74</f>
        <v>455</v>
      </c>
      <c r="I49" s="242">
        <f>'[3]Sun Country'!$IQ$71+'[3]Sun Country'!$IQ$74</f>
        <v>0</v>
      </c>
      <c r="J49" s="287"/>
      <c r="K49" s="231">
        <f>SUM(B49:J49)</f>
        <v>455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December 2023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L5" sqref="L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285"/>
    </row>
    <row r="2" spans="1:16" ht="51.75" thickBot="1" x14ac:dyDescent="0.25">
      <c r="A2" s="396">
        <v>45261</v>
      </c>
      <c r="B2" s="404" t="s">
        <v>155</v>
      </c>
      <c r="C2" s="404" t="s">
        <v>158</v>
      </c>
      <c r="D2" s="404" t="s">
        <v>166</v>
      </c>
      <c r="E2" s="404" t="s">
        <v>165</v>
      </c>
      <c r="F2" s="404" t="s">
        <v>167</v>
      </c>
      <c r="G2" s="404" t="s">
        <v>191</v>
      </c>
      <c r="H2" s="404" t="s">
        <v>171</v>
      </c>
      <c r="I2" s="404" t="s">
        <v>175</v>
      </c>
      <c r="J2" s="404" t="s">
        <v>189</v>
      </c>
      <c r="K2" s="404" t="s">
        <v>170</v>
      </c>
      <c r="L2" s="404" t="s">
        <v>115</v>
      </c>
      <c r="M2" s="404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[3]Pinnacle!$IQ$22+[3]Pinnacle!$IQ$32</f>
        <v>44244</v>
      </c>
      <c r="C5" s="87">
        <f>[3]MESA_UA!$IQ$22</f>
        <v>3353</v>
      </c>
      <c r="D5" s="95">
        <f>'[3]Sky West'!$IQ$22+'[3]Sky West'!$IQ$32</f>
        <v>91865</v>
      </c>
      <c r="E5" s="95">
        <f>'[3]Sky West_UA'!$IQ$22</f>
        <v>1758</v>
      </c>
      <c r="F5" s="95">
        <f>'[3]Sky West_AS'!$IQ$22</f>
        <v>0</v>
      </c>
      <c r="G5" s="95">
        <f>'[3]Sky West_AA'!$IQ$22</f>
        <v>0</v>
      </c>
      <c r="H5" s="95">
        <f>[3]Republic!$IQ$22</f>
        <v>5614</v>
      </c>
      <c r="I5" s="95">
        <f>[3]Republic_UA!$IQ$22</f>
        <v>1820</v>
      </c>
      <c r="J5" s="95">
        <f>'[3]Sky Regional'!$IQ$32</f>
        <v>0</v>
      </c>
      <c r="K5" s="95">
        <f>'[3]American Eagle'!$IQ$22</f>
        <v>585</v>
      </c>
      <c r="L5" s="95">
        <f>'Other Regional'!L5</f>
        <v>10372</v>
      </c>
      <c r="M5" s="88">
        <f>SUM(B5:L5)</f>
        <v>159611</v>
      </c>
    </row>
    <row r="6" spans="1:16" s="6" customFormat="1" x14ac:dyDescent="0.2">
      <c r="A6" s="45" t="s">
        <v>31</v>
      </c>
      <c r="B6" s="87">
        <f>[3]Pinnacle!$IQ$23+[3]Pinnacle!$IQ$33</f>
        <v>42354</v>
      </c>
      <c r="C6" s="87">
        <f>[3]MESA_UA!$IQ$23</f>
        <v>3333</v>
      </c>
      <c r="D6" s="95">
        <f>'[3]Sky West'!$IQ$23+'[3]Sky West'!$IQ$33</f>
        <v>89875</v>
      </c>
      <c r="E6" s="95">
        <f>'[3]Sky West_UA'!$IQ$23</f>
        <v>1577</v>
      </c>
      <c r="F6" s="95">
        <f>'[3]Sky West_AS'!$IQ$23</f>
        <v>0</v>
      </c>
      <c r="G6" s="95">
        <f>'[3]Sky West_AA'!$IQ$23</f>
        <v>0</v>
      </c>
      <c r="H6" s="95">
        <f>[3]Republic!$IQ$23</f>
        <v>5854</v>
      </c>
      <c r="I6" s="95">
        <f>[3]Republic_UA!$IQ$23</f>
        <v>1796</v>
      </c>
      <c r="J6" s="95">
        <f>'[3]Sky Regional'!$IQ$33</f>
        <v>0</v>
      </c>
      <c r="K6" s="95">
        <f>'[3]American Eagle'!$IQ$23</f>
        <v>628</v>
      </c>
      <c r="L6" s="95">
        <f>'Other Regional'!L6</f>
        <v>9879</v>
      </c>
      <c r="M6" s="92">
        <f>SUM(B6:L6)</f>
        <v>155296</v>
      </c>
    </row>
    <row r="7" spans="1:16" ht="15" thickBot="1" x14ac:dyDescent="0.25">
      <c r="A7" s="54" t="s">
        <v>7</v>
      </c>
      <c r="B7" s="105">
        <f>SUM(B5:B6)</f>
        <v>86598</v>
      </c>
      <c r="C7" s="105">
        <f t="shared" ref="C7:L7" si="0">SUM(C5:C6)</f>
        <v>6686</v>
      </c>
      <c r="D7" s="105">
        <f t="shared" si="0"/>
        <v>181740</v>
      </c>
      <c r="E7" s="105">
        <f t="shared" si="0"/>
        <v>3335</v>
      </c>
      <c r="F7" s="105">
        <f t="shared" ref="F7:G7" si="1">SUM(F5:F6)</f>
        <v>0</v>
      </c>
      <c r="G7" s="105">
        <f t="shared" si="1"/>
        <v>0</v>
      </c>
      <c r="H7" s="105">
        <f t="shared" si="0"/>
        <v>11468</v>
      </c>
      <c r="I7" s="105">
        <f t="shared" si="0"/>
        <v>3616</v>
      </c>
      <c r="J7" s="105">
        <f t="shared" si="0"/>
        <v>0</v>
      </c>
      <c r="K7" s="105">
        <f t="shared" si="0"/>
        <v>1213</v>
      </c>
      <c r="L7" s="105">
        <f t="shared" si="0"/>
        <v>20251</v>
      </c>
      <c r="M7" s="106">
        <f>SUM(B7:L7)</f>
        <v>314907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[3]Pinnacle!$IQ$27+[3]Pinnacle!$IQ$37</f>
        <v>1569</v>
      </c>
      <c r="C10" s="87">
        <f>[3]MESA_UA!$IQ$27</f>
        <v>155</v>
      </c>
      <c r="D10" s="95">
        <f>'[3]Sky West'!$IQ$27+'[3]Sky West'!$IQ$37</f>
        <v>2846</v>
      </c>
      <c r="E10" s="95">
        <f>'[3]Sky West_UA'!$IQ$27</f>
        <v>90</v>
      </c>
      <c r="F10" s="95">
        <f>'[3]Sky West_AS'!$IQ$27</f>
        <v>0</v>
      </c>
      <c r="G10" s="95">
        <f>'[3]Sky West_AA'!$IQ$27</f>
        <v>0</v>
      </c>
      <c r="H10" s="95">
        <f>[3]Republic!$IQ$27</f>
        <v>182</v>
      </c>
      <c r="I10" s="95">
        <f>[3]Republic_UA!$IQ$27</f>
        <v>59</v>
      </c>
      <c r="J10" s="95">
        <f>'[3]Sky Regional'!$IQ$37</f>
        <v>0</v>
      </c>
      <c r="K10" s="95">
        <f>'[3]American Eagle'!$IQ$27</f>
        <v>41</v>
      </c>
      <c r="L10" s="95">
        <f>'Other Regional'!L10</f>
        <v>223</v>
      </c>
      <c r="M10" s="88">
        <f>SUM(B10:L10)</f>
        <v>5165</v>
      </c>
    </row>
    <row r="11" spans="1:16" x14ac:dyDescent="0.2">
      <c r="A11" s="45" t="s">
        <v>33</v>
      </c>
      <c r="B11" s="87">
        <f>[3]Pinnacle!$IQ$28+[3]Pinnacle!$IQ$38</f>
        <v>1425</v>
      </c>
      <c r="C11" s="87">
        <f>[3]MESA_UA!$IQ$28</f>
        <v>191</v>
      </c>
      <c r="D11" s="95">
        <f>'[3]Sky West'!$IQ$28+'[3]Sky West'!$IQ$38</f>
        <v>2787</v>
      </c>
      <c r="E11" s="95">
        <f>'[3]Sky West_UA'!$IQ$28</f>
        <v>72</v>
      </c>
      <c r="F11" s="95">
        <f>'[3]Sky West_AS'!$IQ$28</f>
        <v>0</v>
      </c>
      <c r="G11" s="95">
        <f>'[3]Sky West_AA'!$IQ$28</f>
        <v>0</v>
      </c>
      <c r="H11" s="95">
        <f>[3]Republic!$IQ$28</f>
        <v>190</v>
      </c>
      <c r="I11" s="95">
        <f>[3]Republic_UA!$IQ$28</f>
        <v>69</v>
      </c>
      <c r="J11" s="95">
        <f>'[3]Sky Regional'!$IQ$38</f>
        <v>0</v>
      </c>
      <c r="K11" s="95">
        <f>'[3]American Eagle'!$IQ$28</f>
        <v>41</v>
      </c>
      <c r="L11" s="95">
        <f>'Other Regional'!L11</f>
        <v>218</v>
      </c>
      <c r="M11" s="92">
        <f>SUM(B11:L11)</f>
        <v>4993</v>
      </c>
    </row>
    <row r="12" spans="1:16" ht="15" thickBot="1" x14ac:dyDescent="0.25">
      <c r="A12" s="55" t="s">
        <v>34</v>
      </c>
      <c r="B12" s="108">
        <f t="shared" ref="B12:L12" si="2">SUM(B10:B11)</f>
        <v>2994</v>
      </c>
      <c r="C12" s="108">
        <f t="shared" si="2"/>
        <v>346</v>
      </c>
      <c r="D12" s="108">
        <f t="shared" si="2"/>
        <v>5633</v>
      </c>
      <c r="E12" s="108">
        <f t="shared" si="2"/>
        <v>162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372</v>
      </c>
      <c r="I12" s="108">
        <f t="shared" si="2"/>
        <v>128</v>
      </c>
      <c r="J12" s="108">
        <f t="shared" si="2"/>
        <v>0</v>
      </c>
      <c r="K12" s="108">
        <f t="shared" si="2"/>
        <v>82</v>
      </c>
      <c r="L12" s="108">
        <f t="shared" si="2"/>
        <v>441</v>
      </c>
      <c r="M12" s="109">
        <f>SUM(B12:L12)</f>
        <v>10158</v>
      </c>
    </row>
    <row r="13" spans="1:16" ht="13.5" thickBot="1" x14ac:dyDescent="0.25">
      <c r="B13" s="95"/>
    </row>
    <row r="14" spans="1:16" ht="15.75" thickTop="1" x14ac:dyDescent="0.25">
      <c r="A14" s="44" t="s">
        <v>9</v>
      </c>
      <c r="B14" s="437" t="s">
        <v>248</v>
      </c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[3]Pinnacle!$IQ$4+[3]Pinnacle!$IQ$15</f>
        <v>704</v>
      </c>
      <c r="C15" s="86">
        <f>[3]MESA_UA!$IQ$4</f>
        <v>53</v>
      </c>
      <c r="D15" s="85">
        <f>'[3]Sky West'!$IQ$4+'[3]Sky West'!$IQ$15</f>
        <v>1991</v>
      </c>
      <c r="E15" s="85">
        <f>'[3]Sky West_UA'!$IQ$4</f>
        <v>29</v>
      </c>
      <c r="F15" s="85">
        <f>'[3]Sky West_AS'!$IQ$4</f>
        <v>0</v>
      </c>
      <c r="G15" s="85">
        <f>'[3]Sky West_AA'!$IQ$4</f>
        <v>0</v>
      </c>
      <c r="H15" s="87">
        <f>[3]Republic!$IQ$4</f>
        <v>91</v>
      </c>
      <c r="I15" s="333">
        <f>[3]Republic_UA!$IQ$4</f>
        <v>29</v>
      </c>
      <c r="J15" s="333">
        <f>'[3]Sky Regional'!$IQ$15</f>
        <v>0</v>
      </c>
      <c r="K15" s="87">
        <f>'[3]American Eagle'!$IQ$4</f>
        <v>10</v>
      </c>
      <c r="L15" s="86">
        <f>'Other Regional'!L15</f>
        <v>192</v>
      </c>
      <c r="M15" s="88">
        <f t="shared" ref="M15:M20" si="5">SUM(B15:L15)</f>
        <v>3099</v>
      </c>
    </row>
    <row r="16" spans="1:16" x14ac:dyDescent="0.2">
      <c r="A16" s="45" t="s">
        <v>54</v>
      </c>
      <c r="B16" s="7">
        <f>[3]Pinnacle!$IQ$5+[3]Pinnacle!$IQ$16</f>
        <v>705</v>
      </c>
      <c r="C16" s="90">
        <f>[3]MESA_UA!$IQ$5</f>
        <v>53</v>
      </c>
      <c r="D16" s="89">
        <f>'[3]Sky West'!$IQ$5+'[3]Sky West'!$IQ$16</f>
        <v>1978</v>
      </c>
      <c r="E16" s="89">
        <f>'[3]Sky West_UA'!$IQ$5</f>
        <v>29</v>
      </c>
      <c r="F16" s="89">
        <f>'[3]Sky West_AS'!$IQ$5</f>
        <v>0</v>
      </c>
      <c r="G16" s="89">
        <f>'[3]Sky West_AA'!$IQ$5</f>
        <v>0</v>
      </c>
      <c r="H16" s="91">
        <f>[3]Republic!$IQ$5</f>
        <v>91</v>
      </c>
      <c r="I16" s="218">
        <f>[3]Republic_UA!$IQ$5</f>
        <v>29</v>
      </c>
      <c r="J16" s="218">
        <f>'[3]Sky Regional'!$IQ$16</f>
        <v>0</v>
      </c>
      <c r="K16" s="91">
        <f>'[3]American Eagle'!$IQ$5</f>
        <v>11</v>
      </c>
      <c r="L16" s="90">
        <f>'Other Regional'!L16</f>
        <v>192</v>
      </c>
      <c r="M16" s="92">
        <f t="shared" si="5"/>
        <v>3088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1409</v>
      </c>
      <c r="C17" s="93">
        <f t="shared" si="6"/>
        <v>106</v>
      </c>
      <c r="D17" s="93">
        <f t="shared" si="6"/>
        <v>3969</v>
      </c>
      <c r="E17" s="93">
        <f t="shared" si="6"/>
        <v>58</v>
      </c>
      <c r="F17" s="93">
        <f t="shared" ref="F17:G17" si="7">SUM(F15:F16)</f>
        <v>0</v>
      </c>
      <c r="G17" s="93">
        <f t="shared" si="7"/>
        <v>0</v>
      </c>
      <c r="H17" s="93">
        <f>SUM(H15:H16)</f>
        <v>182</v>
      </c>
      <c r="I17" s="93">
        <f t="shared" ref="I17:J17" si="8">SUM(I15:I16)</f>
        <v>58</v>
      </c>
      <c r="J17" s="93">
        <f t="shared" si="8"/>
        <v>0</v>
      </c>
      <c r="K17" s="93">
        <f>SUM(K15:K16)</f>
        <v>21</v>
      </c>
      <c r="L17" s="93">
        <f>SUM(L15:L16)</f>
        <v>384</v>
      </c>
      <c r="M17" s="94">
        <f t="shared" si="5"/>
        <v>6187</v>
      </c>
    </row>
    <row r="18" spans="1:13" x14ac:dyDescent="0.2">
      <c r="A18" s="45" t="s">
        <v>56</v>
      </c>
      <c r="B18" s="95">
        <f>[3]Pinnacle!$IQ$8</f>
        <v>2</v>
      </c>
      <c r="C18" s="87">
        <f>[3]MESA_UA!$IQ$8</f>
        <v>1</v>
      </c>
      <c r="D18" s="95">
        <f>'[3]Sky West'!$IQ$8</f>
        <v>0</v>
      </c>
      <c r="E18" s="95">
        <f>'[3]Sky West_UA'!$IQ$8</f>
        <v>0</v>
      </c>
      <c r="F18" s="95">
        <f>'[3]Sky West_AS'!$IQ$8</f>
        <v>0</v>
      </c>
      <c r="G18" s="95">
        <f>'[3]Sky West_AA'!$IQ$8</f>
        <v>0</v>
      </c>
      <c r="H18" s="95">
        <f>[3]Republic!$IQ$8</f>
        <v>0</v>
      </c>
      <c r="I18" s="95">
        <f>[3]Republic_UA!$IQ$8</f>
        <v>0</v>
      </c>
      <c r="J18" s="95">
        <f>'[3]Sky Regional'!$IQ$8</f>
        <v>0</v>
      </c>
      <c r="K18" s="95">
        <f>'[3]American Eagle'!$IQ$8</f>
        <v>0</v>
      </c>
      <c r="L18" s="95">
        <f>'Other Regional'!L18</f>
        <v>0</v>
      </c>
      <c r="M18" s="88">
        <f t="shared" si="5"/>
        <v>3</v>
      </c>
    </row>
    <row r="19" spans="1:13" x14ac:dyDescent="0.2">
      <c r="A19" s="45" t="s">
        <v>57</v>
      </c>
      <c r="B19" s="96">
        <f>[3]Pinnacle!$IQ$9</f>
        <v>0</v>
      </c>
      <c r="C19" s="91">
        <f>[3]MESA_UA!$IQ$9</f>
        <v>1</v>
      </c>
      <c r="D19" s="96">
        <f>'[3]Sky West'!$IQ$9</f>
        <v>4</v>
      </c>
      <c r="E19" s="96">
        <f>'[3]Sky West_UA'!$IQ$9</f>
        <v>0</v>
      </c>
      <c r="F19" s="96">
        <f>'[3]Sky West_AS'!$IQ$9</f>
        <v>0</v>
      </c>
      <c r="G19" s="96">
        <f>'[3]Sky West_AA'!$IQ$9</f>
        <v>0</v>
      </c>
      <c r="H19" s="96">
        <f>[3]Republic!$IQ$9</f>
        <v>0</v>
      </c>
      <c r="I19" s="96">
        <f>[3]Republic_UA!$IQ$9</f>
        <v>0</v>
      </c>
      <c r="J19" s="96">
        <f>'[3]Sky Regional'!$IQ$9</f>
        <v>0</v>
      </c>
      <c r="K19" s="96">
        <f>'[3]American Eagle'!$IQ$9</f>
        <v>0</v>
      </c>
      <c r="L19" s="96">
        <f>'Other Regional'!L19</f>
        <v>0</v>
      </c>
      <c r="M19" s="92">
        <f t="shared" si="5"/>
        <v>5</v>
      </c>
    </row>
    <row r="20" spans="1:13" x14ac:dyDescent="0.2">
      <c r="A20" s="49" t="s">
        <v>58</v>
      </c>
      <c r="B20" s="93">
        <f t="shared" ref="B20:L20" si="9">SUM(B18:B19)</f>
        <v>2</v>
      </c>
      <c r="C20" s="93">
        <f t="shared" si="9"/>
        <v>2</v>
      </c>
      <c r="D20" s="93">
        <f t="shared" si="9"/>
        <v>4</v>
      </c>
      <c r="E20" s="93">
        <f t="shared" si="9"/>
        <v>0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0</v>
      </c>
      <c r="J20" s="93">
        <f t="shared" si="9"/>
        <v>0</v>
      </c>
      <c r="K20" s="93">
        <f t="shared" si="9"/>
        <v>0</v>
      </c>
      <c r="L20" s="93">
        <f t="shared" si="9"/>
        <v>0</v>
      </c>
      <c r="M20" s="94">
        <f t="shared" si="5"/>
        <v>8</v>
      </c>
    </row>
    <row r="21" spans="1:13" ht="15.75" thickBot="1" x14ac:dyDescent="0.3">
      <c r="A21" s="53" t="s">
        <v>28</v>
      </c>
      <c r="B21" s="97">
        <f>SUM(B20,B17)</f>
        <v>1411</v>
      </c>
      <c r="C21" s="97">
        <f t="shared" ref="C21:K21" si="11">SUM(C20,C17)</f>
        <v>108</v>
      </c>
      <c r="D21" s="97">
        <f t="shared" si="11"/>
        <v>3973</v>
      </c>
      <c r="E21" s="97">
        <f t="shared" si="11"/>
        <v>58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182</v>
      </c>
      <c r="I21" s="97">
        <f t="shared" si="11"/>
        <v>58</v>
      </c>
      <c r="J21" s="97">
        <f t="shared" si="11"/>
        <v>0</v>
      </c>
      <c r="K21" s="97">
        <f t="shared" si="11"/>
        <v>21</v>
      </c>
      <c r="L21" s="97">
        <f>SUM(L20,L17)</f>
        <v>384</v>
      </c>
      <c r="M21" s="98">
        <f>SUM(B21:L21)</f>
        <v>6195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[3]Pinnacle!$IQ$47</f>
        <v>0</v>
      </c>
      <c r="C25" s="87">
        <f>[3]MESA_UA!$IQ$47</f>
        <v>0</v>
      </c>
      <c r="D25" s="95">
        <f>'[3]Sky West'!$IQ$47</f>
        <v>0</v>
      </c>
      <c r="E25" s="95">
        <f>'[3]Sky West_UA'!$IQ$47</f>
        <v>0</v>
      </c>
      <c r="F25" s="95">
        <f>'[3]Sky West_AS'!$IQ$47</f>
        <v>0</v>
      </c>
      <c r="G25" s="95">
        <f>'[3]Sky West_AA'!$IQ$47</f>
        <v>0</v>
      </c>
      <c r="H25" s="95">
        <f>[3]Republic!$IQ$47</f>
        <v>540</v>
      </c>
      <c r="I25" s="95">
        <f>[3]Republic_UA!$IQ$47</f>
        <v>0</v>
      </c>
      <c r="J25" s="95">
        <f>'[3]Sky Regional'!$IQ$47</f>
        <v>0</v>
      </c>
      <c r="K25" s="95">
        <f>'[3]American Eagle'!$IQ$47</f>
        <v>0</v>
      </c>
      <c r="L25" s="95">
        <f>'Other Regional'!L25</f>
        <v>10672.8</v>
      </c>
      <c r="M25" s="88">
        <f>SUM(B25:L25)</f>
        <v>11212.8</v>
      </c>
    </row>
    <row r="26" spans="1:13" x14ac:dyDescent="0.2">
      <c r="A26" s="45" t="s">
        <v>38</v>
      </c>
      <c r="B26" s="95">
        <f>[3]Pinnacle!$IQ$48</f>
        <v>0</v>
      </c>
      <c r="C26" s="87">
        <f>[3]MESA_UA!$IQ$48</f>
        <v>0</v>
      </c>
      <c r="D26" s="95">
        <f>'[3]Sky West'!$IQ$48</f>
        <v>0</v>
      </c>
      <c r="E26" s="95">
        <f>'[3]Sky West_UA'!$IQ$48</f>
        <v>0</v>
      </c>
      <c r="F26" s="95">
        <f>'[3]Sky West_AS'!$IQ$48</f>
        <v>0</v>
      </c>
      <c r="G26" s="95">
        <f>'[3]Sky West_AA'!$IQ$48</f>
        <v>0</v>
      </c>
      <c r="H26" s="95">
        <f>[3]Republic!$IQ$48</f>
        <v>0</v>
      </c>
      <c r="I26" s="95">
        <f>[3]Republic_UA!$IQ$48</f>
        <v>0</v>
      </c>
      <c r="J26" s="95">
        <f>'[3]Sky Regional'!$IQ$48</f>
        <v>0</v>
      </c>
      <c r="K26" s="95">
        <f>'[3]American Eagle'!$IQ$48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540</v>
      </c>
      <c r="I27" s="105">
        <f t="shared" si="13"/>
        <v>0</v>
      </c>
      <c r="J27" s="105">
        <f t="shared" si="13"/>
        <v>0</v>
      </c>
      <c r="K27" s="105">
        <f t="shared" si="13"/>
        <v>0</v>
      </c>
      <c r="L27" s="105">
        <f t="shared" si="13"/>
        <v>10672.8</v>
      </c>
      <c r="M27" s="106">
        <f>SUM(B27:L27)</f>
        <v>11212.8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[3]Pinnacle!$IQ$52</f>
        <v>0</v>
      </c>
      <c r="C30" s="87">
        <f>[3]MESA_UA!$IQ$52</f>
        <v>0</v>
      </c>
      <c r="D30" s="95">
        <f>'[3]Sky West'!$IQ$52</f>
        <v>0</v>
      </c>
      <c r="E30" s="95">
        <f>'[3]Sky West_UA'!$IQ$52</f>
        <v>0</v>
      </c>
      <c r="F30" s="95">
        <f>'[3]Sky West_AS'!$IQ$52</f>
        <v>0</v>
      </c>
      <c r="G30" s="95">
        <f>'[3]Sky West_AA'!$IQ$52</f>
        <v>0</v>
      </c>
      <c r="H30" s="95">
        <f>[3]Republic!$IQ$52</f>
        <v>0</v>
      </c>
      <c r="I30" s="95">
        <f>[3]Republic_UA!$IQ$52</f>
        <v>0</v>
      </c>
      <c r="J30" s="95">
        <f>'[3]Sky Regional'!$IQ$52</f>
        <v>0</v>
      </c>
      <c r="K30" s="95">
        <f>'[3]American Eagle'!$IQ$52</f>
        <v>0</v>
      </c>
      <c r="L30" s="95">
        <f>'Other Regional'!L30</f>
        <v>8837.1</v>
      </c>
      <c r="M30" s="88">
        <f t="shared" ref="M30:M37" si="15">SUM(B30:L30)</f>
        <v>8837.1</v>
      </c>
    </row>
    <row r="31" spans="1:13" x14ac:dyDescent="0.2">
      <c r="A31" s="45" t="s">
        <v>60</v>
      </c>
      <c r="B31" s="95">
        <f>[3]Pinnacle!$IQ$53</f>
        <v>0</v>
      </c>
      <c r="C31" s="87">
        <f>[3]MESA_UA!$IQ$53</f>
        <v>0</v>
      </c>
      <c r="D31" s="95">
        <f>'[3]Sky West'!$IQ$53</f>
        <v>0</v>
      </c>
      <c r="E31" s="95">
        <f>'[3]Sky West_UA'!$IQ$53</f>
        <v>0</v>
      </c>
      <c r="F31" s="95">
        <f>'[3]Sky West_AS'!$IQ$53</f>
        <v>0</v>
      </c>
      <c r="G31" s="95">
        <f>'[3]Sky West_AA'!$IQ$53</f>
        <v>0</v>
      </c>
      <c r="H31" s="95">
        <f>[3]Republic!$IQ$53</f>
        <v>0</v>
      </c>
      <c r="I31" s="95">
        <f>[3]Republic_UA!$IQ$53</f>
        <v>0</v>
      </c>
      <c r="J31" s="95">
        <f>'[3]Sky Regional'!$IQ$53</f>
        <v>0</v>
      </c>
      <c r="K31" s="95">
        <f>'[3]American Eagle'!$IQ$53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0</v>
      </c>
      <c r="I32" s="105">
        <f t="shared" si="16"/>
        <v>0</v>
      </c>
      <c r="J32" s="105">
        <f t="shared" si="16"/>
        <v>0</v>
      </c>
      <c r="K32" s="105">
        <f t="shared" si="16"/>
        <v>0</v>
      </c>
      <c r="L32" s="105">
        <f>SUM(L30:L31)</f>
        <v>8837.1</v>
      </c>
      <c r="M32" s="106">
        <f t="shared" si="15"/>
        <v>8837.1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[3]Pinnacle!$IQ$57</f>
        <v>0</v>
      </c>
      <c r="C35" s="87">
        <f>[3]MESA_UA!$IQ$57</f>
        <v>0</v>
      </c>
      <c r="D35" s="95">
        <f>'[3]Sky West'!$IQ$57</f>
        <v>0</v>
      </c>
      <c r="E35" s="95">
        <f>'[3]Sky West_UA'!$IQ$57</f>
        <v>0</v>
      </c>
      <c r="F35" s="95">
        <f>'[3]Sky West_AS'!$IQ$57</f>
        <v>0</v>
      </c>
      <c r="G35" s="95">
        <f>'[3]Sky West_AA'!$IQ$57</f>
        <v>0</v>
      </c>
      <c r="H35" s="95">
        <f>[3]Republic!$IQ$57</f>
        <v>0</v>
      </c>
      <c r="I35" s="95">
        <f>[3]Republic!$IQ$57</f>
        <v>0</v>
      </c>
      <c r="J35" s="95">
        <f>[3]Republic!$IQ$57</f>
        <v>0</v>
      </c>
      <c r="K35" s="95">
        <f>'[3]American Eagle'!$IQ$57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[3]Pinnacle!$IQ$58</f>
        <v>0</v>
      </c>
      <c r="C36" s="87">
        <f>[3]MESA_UA!$IQ$58</f>
        <v>0</v>
      </c>
      <c r="D36" s="95">
        <f>'[3]Sky West'!$IQ$58</f>
        <v>0</v>
      </c>
      <c r="E36" s="95">
        <f>'[3]Sky West_UA'!$IQ$58</f>
        <v>0</v>
      </c>
      <c r="F36" s="95">
        <f>'[3]Sky West_AS'!$IQ$58</f>
        <v>0</v>
      </c>
      <c r="G36" s="95">
        <f>'[3]Sky West_AA'!$IQ$58</f>
        <v>0</v>
      </c>
      <c r="H36" s="95">
        <f>[3]Republic!$IQ$58</f>
        <v>0</v>
      </c>
      <c r="I36" s="95">
        <f>[3]Republic!$IQ$58</f>
        <v>0</v>
      </c>
      <c r="J36" s="95">
        <f>[3]Republic!$IQ$58</f>
        <v>0</v>
      </c>
      <c r="K36" s="95">
        <f>'[3]American Eagle'!$IQ$58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540</v>
      </c>
      <c r="I40" s="95">
        <f t="shared" si="20"/>
        <v>0</v>
      </c>
      <c r="J40" s="95">
        <f t="shared" si="20"/>
        <v>0</v>
      </c>
      <c r="K40" s="95">
        <f>SUM(K35,K30,K25)</f>
        <v>0</v>
      </c>
      <c r="L40" s="95">
        <f>L35+L30+L25</f>
        <v>19509.900000000001</v>
      </c>
      <c r="M40" s="88">
        <f>SUM(B40:L40)</f>
        <v>20049.900000000001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540</v>
      </c>
      <c r="I42" s="108">
        <f t="shared" si="20"/>
        <v>0</v>
      </c>
      <c r="J42" s="108">
        <f t="shared" si="20"/>
        <v>0</v>
      </c>
      <c r="K42" s="108">
        <f>SUM(K37,K32,K27)</f>
        <v>0</v>
      </c>
      <c r="L42" s="108">
        <f>SUM(L37,L32,L27)</f>
        <v>19509.900000000001</v>
      </c>
      <c r="M42" s="109">
        <f>SUM(B42:L42)</f>
        <v>20049.900000000001</v>
      </c>
    </row>
    <row r="44" spans="1:13" x14ac:dyDescent="0.2">
      <c r="A44" s="276" t="s">
        <v>120</v>
      </c>
      <c r="B44" s="241">
        <f>[3]Pinnacle!$IQ$70+[3]Pinnacle!$IQ$73</f>
        <v>12507</v>
      </c>
      <c r="D44" s="242">
        <f>'[3]Sky West'!$IQ$70+'[3]Sky West'!$IQ$73</f>
        <v>29912</v>
      </c>
      <c r="E44" s="2"/>
      <c r="F44" s="2"/>
      <c r="G44" s="2"/>
      <c r="L44" s="242">
        <f>+'Other Regional'!L46</f>
        <v>0</v>
      </c>
      <c r="M44" s="231">
        <f>SUM(B44:L44)</f>
        <v>42419</v>
      </c>
    </row>
    <row r="45" spans="1:13" x14ac:dyDescent="0.2">
      <c r="A45" s="289" t="s">
        <v>121</v>
      </c>
      <c r="B45" s="241">
        <f>[3]Pinnacle!$IQ$71+[3]Pinnacle!$IQ$74</f>
        <v>29847</v>
      </c>
      <c r="D45" s="242">
        <f>'[3]Sky West'!$IQ$71+'[3]Sky West'!$IQ$74</f>
        <v>59963</v>
      </c>
      <c r="E45" s="2"/>
      <c r="F45" s="2"/>
      <c r="G45" s="2"/>
      <c r="L45" s="242">
        <f>+'Other Regional'!L47</f>
        <v>0</v>
      </c>
      <c r="M45" s="231">
        <f>SUM(B45:L45)</f>
        <v>89810</v>
      </c>
    </row>
    <row r="46" spans="1:13" x14ac:dyDescent="0.2">
      <c r="A46" s="232" t="s">
        <v>122</v>
      </c>
      <c r="B46" s="233">
        <f>SUM(B44:B45)</f>
        <v>42354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December 2023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K4" sqref="K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45261</v>
      </c>
      <c r="B2" s="405" t="s">
        <v>169</v>
      </c>
      <c r="C2" s="405" t="s">
        <v>168</v>
      </c>
      <c r="D2" s="405" t="s">
        <v>190</v>
      </c>
      <c r="E2" s="405" t="s">
        <v>249</v>
      </c>
      <c r="F2" s="405" t="s">
        <v>217</v>
      </c>
      <c r="G2" s="405" t="s">
        <v>176</v>
      </c>
      <c r="H2" s="405" t="s">
        <v>173</v>
      </c>
      <c r="I2" s="405" t="s">
        <v>172</v>
      </c>
      <c r="J2" s="405" t="s">
        <v>157</v>
      </c>
      <c r="K2" s="405" t="s">
        <v>160</v>
      </c>
      <c r="L2" s="405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'[3]Shuttle America'!$IQ$22</f>
        <v>0</v>
      </c>
      <c r="C5" s="87">
        <f>'[3]Shuttle America_Delta'!$IQ$22</f>
        <v>0</v>
      </c>
      <c r="D5" s="333">
        <f>[3]Horizon_AS!$IQ$22+[3]Horizon_AS!$IQ$32</f>
        <v>0</v>
      </c>
      <c r="E5" s="333">
        <f>'[3]Air Wisconsin'!$IQ$22</f>
        <v>2648</v>
      </c>
      <c r="F5" s="333">
        <f>[3]Jazz_AC!$IQ$22+[3]Jazz_AC!$IQ$32</f>
        <v>4745</v>
      </c>
      <c r="G5" s="333">
        <f>[3]PSA!$IQ$22</f>
        <v>2979</v>
      </c>
      <c r="H5" s="87">
        <f>'[3]Atlantic Southeast'!$IQ$22+'[3]Atlantic Southeast'!$IQ$32</f>
        <v>0</v>
      </c>
      <c r="I5" s="87">
        <f>'[3]Continental Express'!$IQ$22</f>
        <v>0</v>
      </c>
      <c r="J5" s="95">
        <f>'[3]Go Jet_UA'!$IQ$22</f>
        <v>0</v>
      </c>
      <c r="K5" s="12">
        <f>'[3]Go Jet'!$IQ$22+'[3]Go Jet'!$IQ$32</f>
        <v>0</v>
      </c>
      <c r="L5" s="88">
        <f>SUM(B5:K5)</f>
        <v>10372</v>
      </c>
    </row>
    <row r="6" spans="1:12" s="6" customFormat="1" x14ac:dyDescent="0.2">
      <c r="A6" s="45" t="s">
        <v>31</v>
      </c>
      <c r="B6" s="87">
        <f>'[3]Shuttle America'!$IQ$23</f>
        <v>0</v>
      </c>
      <c r="C6" s="87">
        <f>'[3]Shuttle America_Delta'!$IQ$23</f>
        <v>0</v>
      </c>
      <c r="D6" s="333">
        <f>[3]Horizon_AS!$IQ$23+[3]Horizon_AS!$IQ$33</f>
        <v>0</v>
      </c>
      <c r="E6" s="333">
        <f>'[3]Air Wisconsin'!$IQ$23</f>
        <v>2667</v>
      </c>
      <c r="F6" s="333">
        <f>[3]Jazz_AC!$IQ$23+[3]Jazz_AC!$IQ$33</f>
        <v>4294</v>
      </c>
      <c r="G6" s="333">
        <f>[3]PSA!$IQ$23</f>
        <v>2918</v>
      </c>
      <c r="H6" s="87">
        <f>'[3]Atlantic Southeast'!$IQ$23+'[3]Atlantic Southeast'!$IQ$33</f>
        <v>0</v>
      </c>
      <c r="I6" s="87">
        <f>'[3]Continental Express'!$IQ$23</f>
        <v>0</v>
      </c>
      <c r="J6" s="95">
        <f>'[3]Go Jet_UA'!$IQ$23</f>
        <v>0</v>
      </c>
      <c r="K6" s="7">
        <f>'[3]Go Jet'!$IQ$23+'[3]Go Jet'!$IQ$33</f>
        <v>0</v>
      </c>
      <c r="L6" s="92">
        <f>SUM(B6:K6)</f>
        <v>9879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5315</v>
      </c>
      <c r="F7" s="105">
        <f t="shared" si="1"/>
        <v>9039</v>
      </c>
      <c r="G7" s="105">
        <f t="shared" si="0"/>
        <v>5897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>SUM(K5:K6)</f>
        <v>0</v>
      </c>
      <c r="L7" s="106">
        <f>SUM(B7:K7)</f>
        <v>20251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'[3]Shuttle America'!$IQ$27</f>
        <v>0</v>
      </c>
      <c r="C10" s="87">
        <f>'[3]Shuttle America_Delta'!$IQ$27</f>
        <v>0</v>
      </c>
      <c r="D10" s="333">
        <f>[3]Horizon_AS!$IQ$27+[3]Horizon_AS!$IQ$37</f>
        <v>0</v>
      </c>
      <c r="E10" s="333">
        <f>'[3]Air Wisconsin'!$IQ$27</f>
        <v>81</v>
      </c>
      <c r="F10" s="333">
        <f>[3]Jazz_AC!$IQ$27+[3]Jazz_AC!$IQ$37</f>
        <v>67</v>
      </c>
      <c r="G10" s="333">
        <f>[3]PSA!$IQ$27</f>
        <v>75</v>
      </c>
      <c r="H10" s="12">
        <f>'[3]Atlantic Southeast'!$IQ$27+'[3]Atlantic Southeast'!$IQ$37</f>
        <v>0</v>
      </c>
      <c r="I10" s="87">
        <f>'[3]Continental Express'!$IQ$27</f>
        <v>0</v>
      </c>
      <c r="J10" s="95">
        <f>'[3]Go Jet_UA'!$IQ$27</f>
        <v>0</v>
      </c>
      <c r="K10" s="12">
        <f>'[3]Go Jet'!$IQ$27+'[3]Go Jet'!$IQ$37</f>
        <v>0</v>
      </c>
      <c r="L10" s="88">
        <f>SUM(B10:K10)</f>
        <v>223</v>
      </c>
    </row>
    <row r="11" spans="1:12" x14ac:dyDescent="0.2">
      <c r="A11" s="45" t="s">
        <v>33</v>
      </c>
      <c r="B11" s="87">
        <f>'[3]Shuttle America'!$IQ$28</f>
        <v>0</v>
      </c>
      <c r="C11" s="87">
        <f>'[3]Shuttle America_Delta'!$IQ$28</f>
        <v>0</v>
      </c>
      <c r="D11" s="333">
        <f>[3]Horizon_AS!$IQ$28+[3]Horizon_AS!$IQ$38</f>
        <v>0</v>
      </c>
      <c r="E11" s="333">
        <f>'[3]Air Wisconsin'!$IQ$28</f>
        <v>72</v>
      </c>
      <c r="F11" s="333">
        <f>[3]Jazz_AC!$IQ$28+[3]Jazz_AC!$IQ$38</f>
        <v>71</v>
      </c>
      <c r="G11" s="333">
        <f>[3]PSA!$IQ$28</f>
        <v>75</v>
      </c>
      <c r="H11" s="7">
        <f>'[3]Atlantic Southeast'!$IQ$28+'[3]Atlantic Southeast'!$IQ$38</f>
        <v>0</v>
      </c>
      <c r="I11" s="87">
        <f>'[3]Continental Express'!$IQ$28</f>
        <v>0</v>
      </c>
      <c r="J11" s="95">
        <f>'[3]Go Jet_UA'!$IQ$28</f>
        <v>0</v>
      </c>
      <c r="K11" s="7">
        <f>'[3]Go Jet'!$IQ$28+'[3]Go Jet'!$IQ$38</f>
        <v>0</v>
      </c>
      <c r="L11" s="92">
        <f>SUM(B11:K11)</f>
        <v>218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153</v>
      </c>
      <c r="F12" s="108">
        <f t="shared" si="3"/>
        <v>138</v>
      </c>
      <c r="G12" s="108">
        <f t="shared" si="2"/>
        <v>150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441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'[3]Shuttle America'!$IQ$4</f>
        <v>0</v>
      </c>
      <c r="C15" s="85">
        <f>'[3]Shuttle America_Delta'!$IQ$4</f>
        <v>0</v>
      </c>
      <c r="D15" s="334">
        <f>[3]Horizon_AS!$IQ$4</f>
        <v>0</v>
      </c>
      <c r="E15" s="334">
        <f>'[3]Air Wisconsin'!$IQ$4</f>
        <v>57</v>
      </c>
      <c r="F15" s="334">
        <f>[3]Jazz_AC!$IQ$4+[3]Jazz_AC!$IQ$15</f>
        <v>91</v>
      </c>
      <c r="G15" s="334">
        <f>[3]PSA!$IQ$4</f>
        <v>44</v>
      </c>
      <c r="H15" s="86">
        <f>'[3]Atlantic Southeast'!$IQ$4+'[3]Atlantic Southeast'!$IQ$15</f>
        <v>0</v>
      </c>
      <c r="I15" s="86">
        <f>'[3]Continental Express'!$IQ$4</f>
        <v>0</v>
      </c>
      <c r="J15" s="85">
        <f>'[3]Go Jet_UA'!$IQ$4</f>
        <v>0</v>
      </c>
      <c r="K15" s="12">
        <f>'[3]Go Jet'!$IQ$4+'[3]Go Jet'!$IQ$15</f>
        <v>0</v>
      </c>
      <c r="L15" s="88">
        <f t="shared" ref="L15:L20" si="6">SUM(B15:K15)</f>
        <v>192</v>
      </c>
    </row>
    <row r="16" spans="1:12" x14ac:dyDescent="0.2">
      <c r="A16" s="45" t="s">
        <v>54</v>
      </c>
      <c r="B16" s="89">
        <f>'[3]Shuttle America'!$IQ$5</f>
        <v>0</v>
      </c>
      <c r="C16" s="89">
        <f>'[3]Shuttle America_Delta'!$IQ$5</f>
        <v>0</v>
      </c>
      <c r="D16" s="335">
        <f>[3]Horizon_AS!$IQ$5</f>
        <v>0</v>
      </c>
      <c r="E16" s="335">
        <f>'[3]Air Wisconsin'!$IQ$5</f>
        <v>57</v>
      </c>
      <c r="F16" s="335">
        <f>[3]Jazz_AC!$IQ$5+[3]Jazz_AC!$IQ$16</f>
        <v>91</v>
      </c>
      <c r="G16" s="335">
        <f>[3]PSA!$IQ$5</f>
        <v>44</v>
      </c>
      <c r="H16" s="90">
        <f>'[3]Atlantic Southeast'!$IQ$5+'[3]Atlantic Southeast'!$IQ$16</f>
        <v>0</v>
      </c>
      <c r="I16" s="90">
        <f>'[3]Continental Express'!$IQ$5</f>
        <v>0</v>
      </c>
      <c r="J16" s="89">
        <f>'[3]Go Jet_UA'!$IQ$5</f>
        <v>0</v>
      </c>
      <c r="K16" s="7">
        <f>'[3]Go Jet'!$IQ$5+'[3]Go Jet'!$IQ$16</f>
        <v>0</v>
      </c>
      <c r="L16" s="92">
        <f t="shared" si="6"/>
        <v>192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114</v>
      </c>
      <c r="F17" s="93">
        <f t="shared" si="8"/>
        <v>182</v>
      </c>
      <c r="G17" s="93">
        <f t="shared" si="7"/>
        <v>88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0</v>
      </c>
      <c r="K17" s="210">
        <f>SUM(K15:K16)</f>
        <v>0</v>
      </c>
      <c r="L17" s="94">
        <f t="shared" si="6"/>
        <v>384</v>
      </c>
    </row>
    <row r="18" spans="1:15" x14ac:dyDescent="0.2">
      <c r="A18" s="45" t="s">
        <v>56</v>
      </c>
      <c r="B18" s="95">
        <f>'[3]Shuttle America'!$IQ$8</f>
        <v>0</v>
      </c>
      <c r="C18" s="95">
        <f>'[3]Shuttle America_Delta'!$IQ$8</f>
        <v>0</v>
      </c>
      <c r="D18" s="95">
        <f>[3]Horizon_AS!$IQ$8</f>
        <v>0</v>
      </c>
      <c r="E18" s="95">
        <f>'[3]Air Wisconsin'!$IQ$8</f>
        <v>0</v>
      </c>
      <c r="F18" s="95">
        <f>[3]Jazz_AC!$IQ$8</f>
        <v>0</v>
      </c>
      <c r="G18" s="95">
        <f>[3]PSA!$IQ$8</f>
        <v>0</v>
      </c>
      <c r="H18" s="87">
        <f>'[3]Atlantic Southeast'!$IQ$8</f>
        <v>0</v>
      </c>
      <c r="I18" s="87">
        <f>'[3]Continental Express'!$IQ$8</f>
        <v>0</v>
      </c>
      <c r="J18" s="95">
        <f>'[3]Go Jet_UA'!$IQ$8</f>
        <v>0</v>
      </c>
      <c r="K18" s="12">
        <f>'[3]Go Jet'!$IQ$8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'[3]Shuttle America'!$IQ$9</f>
        <v>0</v>
      </c>
      <c r="C19" s="96">
        <f>'[3]Shuttle America_Delta'!$IQ$9</f>
        <v>0</v>
      </c>
      <c r="D19" s="96">
        <f>[3]Horizon_AS!$IQ$9</f>
        <v>0</v>
      </c>
      <c r="E19" s="96">
        <f>'[3]Air Wisconsin'!$IQ$9</f>
        <v>0</v>
      </c>
      <c r="F19" s="96">
        <f>[3]Jazz_AC!$IQ$9</f>
        <v>0</v>
      </c>
      <c r="G19" s="96">
        <f>[3]PSA!$IQ$9</f>
        <v>0</v>
      </c>
      <c r="H19" s="91">
        <f>'[3]Atlantic Southeast'!$IQ$9</f>
        <v>0</v>
      </c>
      <c r="I19" s="91">
        <f>'[3]Continental Express'!$IQ$9</f>
        <v>0</v>
      </c>
      <c r="J19" s="96">
        <f>'[3]Go Jet_UA'!$IQ$9</f>
        <v>0</v>
      </c>
      <c r="K19" s="7">
        <f>'[3]Go Jet'!$IQ$9</f>
        <v>0</v>
      </c>
      <c r="L19" s="92">
        <f t="shared" si="6"/>
        <v>0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0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0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114</v>
      </c>
      <c r="F21" s="97">
        <f t="shared" si="14"/>
        <v>182</v>
      </c>
      <c r="G21" s="97">
        <f t="shared" si="13"/>
        <v>88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0</v>
      </c>
      <c r="K21" s="97">
        <f t="shared" ref="K21" si="16">SUM(K20,K17)</f>
        <v>0</v>
      </c>
      <c r="L21" s="98">
        <f>SUM(B21:K21)</f>
        <v>384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'[3]Shuttle America'!$IQ$47</f>
        <v>0</v>
      </c>
      <c r="C25" s="95">
        <f>'[3]Shuttle America_Delta'!$IQ$47</f>
        <v>0</v>
      </c>
      <c r="D25" s="95">
        <f>[3]Horizon_AS!$IQ$47</f>
        <v>0</v>
      </c>
      <c r="E25" s="95">
        <f>'[3]Air Wisconsin'!$IQ$47</f>
        <v>1030</v>
      </c>
      <c r="F25" s="95">
        <f>[3]Jazz_AC!$IQ$47</f>
        <v>9529.7999999999993</v>
      </c>
      <c r="G25" s="95">
        <f>[3]PSA!$IQ$47</f>
        <v>113</v>
      </c>
      <c r="H25" s="87">
        <f>'[3]Atlantic Southeast'!$IQ$47</f>
        <v>0</v>
      </c>
      <c r="I25" s="87">
        <f>'[3]Continental Express'!$IQ$47</f>
        <v>0</v>
      </c>
      <c r="J25" s="95">
        <f>'[3]Go Jet_UA'!$IQ$47</f>
        <v>0</v>
      </c>
      <c r="K25" s="95">
        <f>'[3]Go Jet'!$IQ$47</f>
        <v>0</v>
      </c>
      <c r="L25" s="88">
        <f>SUM(B25:K25)</f>
        <v>10672.8</v>
      </c>
    </row>
    <row r="26" spans="1:15" x14ac:dyDescent="0.2">
      <c r="A26" s="45" t="s">
        <v>38</v>
      </c>
      <c r="B26" s="95">
        <f>'[3]Shuttle America'!$IQ$48</f>
        <v>0</v>
      </c>
      <c r="C26" s="95">
        <f>'[3]Shuttle America_Delta'!$IQ$48</f>
        <v>0</v>
      </c>
      <c r="D26" s="95">
        <f>[3]Horizon_AS!$IQ$48</f>
        <v>0</v>
      </c>
      <c r="E26" s="95">
        <f>'[3]Air Wisconsin'!$IQ$48</f>
        <v>0</v>
      </c>
      <c r="F26" s="95">
        <f>[3]Jazz_AC!$IQ$48</f>
        <v>0</v>
      </c>
      <c r="G26" s="95">
        <f>[3]PSA!$IQ$48</f>
        <v>0</v>
      </c>
      <c r="H26" s="87">
        <f>'[3]Atlantic Southeast'!$IQ$48</f>
        <v>0</v>
      </c>
      <c r="I26" s="87">
        <f>'[3]Continental Express'!$IQ$48</f>
        <v>0</v>
      </c>
      <c r="J26" s="95">
        <f>'[3]Go Jet_UA'!$IQ$48</f>
        <v>0</v>
      </c>
      <c r="K26" s="95">
        <f>'[3]Go Jet'!$IQ$48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1030</v>
      </c>
      <c r="F27" s="105">
        <f t="shared" si="18"/>
        <v>9529.7999999999993</v>
      </c>
      <c r="G27" s="105">
        <f t="shared" si="17"/>
        <v>113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10672.8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'[3]Shuttle America'!$IQ$52</f>
        <v>0</v>
      </c>
      <c r="C30" s="95">
        <f>'[3]Shuttle America_Delta'!$IQ$52</f>
        <v>0</v>
      </c>
      <c r="D30" s="95">
        <f>[3]Horizon_AS!$IQ$52</f>
        <v>0</v>
      </c>
      <c r="E30" s="95">
        <f>'[3]Air Wisconsin'!$IQ$52</f>
        <v>350</v>
      </c>
      <c r="F30" s="95">
        <f>[3]Jazz_AC!$IQ$52</f>
        <v>8487.1</v>
      </c>
      <c r="G30" s="95">
        <f>[3]PSA!$IQ$52</f>
        <v>0</v>
      </c>
      <c r="H30" s="87">
        <f>'[3]Atlantic Southeast'!$IQ$52</f>
        <v>0</v>
      </c>
      <c r="I30" s="87">
        <f>'[3]Continental Express'!$IQ$52</f>
        <v>0</v>
      </c>
      <c r="J30" s="95">
        <f>'[3]Go Jet_UA'!$IQ$52</f>
        <v>0</v>
      </c>
      <c r="K30" s="95">
        <f>'[3]Go Jet'!$IQ$52</f>
        <v>0</v>
      </c>
      <c r="L30" s="88">
        <f>SUM(B30:K30)</f>
        <v>8837.1</v>
      </c>
    </row>
    <row r="31" spans="1:15" x14ac:dyDescent="0.2">
      <c r="A31" s="45" t="s">
        <v>60</v>
      </c>
      <c r="B31" s="95">
        <f>'[3]Shuttle America'!$IQ$53</f>
        <v>0</v>
      </c>
      <c r="C31" s="95">
        <f>'[3]Shuttle America_Delta'!$IQ$53</f>
        <v>0</v>
      </c>
      <c r="D31" s="95">
        <f>[3]Horizon_AS!$IQ$53</f>
        <v>0</v>
      </c>
      <c r="E31" s="95">
        <f>'[3]Air Wisconsin'!$IQ$53</f>
        <v>0</v>
      </c>
      <c r="F31" s="95">
        <f>[3]Jazz_AC!$IQ$53</f>
        <v>0</v>
      </c>
      <c r="G31" s="95">
        <f>[3]PSA!$IQ$53</f>
        <v>0</v>
      </c>
      <c r="H31" s="87">
        <f>'[3]Atlantic Southeast'!$IQ$53</f>
        <v>0</v>
      </c>
      <c r="I31" s="87">
        <f>'[3]Continental Express'!$IQ$53</f>
        <v>0</v>
      </c>
      <c r="J31" s="95">
        <f>'[3]Go Jet_UA'!$IQ$53</f>
        <v>0</v>
      </c>
      <c r="K31" s="95">
        <f>'[3]Go Jet'!$IQ$53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350</v>
      </c>
      <c r="F32" s="105">
        <f t="shared" si="21"/>
        <v>8487.1</v>
      </c>
      <c r="G32" s="105">
        <f t="shared" si="20"/>
        <v>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8837.1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'[3]Shuttle America'!$IQ$57</f>
        <v>0</v>
      </c>
      <c r="C35" s="95">
        <f>'[3]Shuttle America_Delta'!$IQ$57</f>
        <v>0</v>
      </c>
      <c r="D35" s="95">
        <f>[3]Horizon_AS!$IQ$57</f>
        <v>0</v>
      </c>
      <c r="E35" s="95">
        <f>'[3]Air Wisconsin'!$IQ$57</f>
        <v>0</v>
      </c>
      <c r="F35" s="95">
        <f>[3]Jazz_AC!$IQ$57</f>
        <v>0</v>
      </c>
      <c r="G35" s="95">
        <f>[3]PSA!$IQ$57</f>
        <v>0</v>
      </c>
      <c r="H35" s="87">
        <f>'[3]Atlantic Southeast'!$IQ$57</f>
        <v>0</v>
      </c>
      <c r="I35" s="87">
        <f>'[3]Continental Express'!$IQ$57</f>
        <v>0</v>
      </c>
      <c r="J35" s="95">
        <f>'[3]Go Jet_UA'!$AJ$57</f>
        <v>0</v>
      </c>
      <c r="K35" s="95">
        <f>'[3]Go Jet'!$IQ$57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'[3]Shuttle America'!BG$58</f>
        <v>0</v>
      </c>
      <c r="C36" s="95">
        <f>'[3]Shuttle America_Delta'!BH$58</f>
        <v>0</v>
      </c>
      <c r="D36" s="95">
        <f>[3]Horizon_AS!BF$58</f>
        <v>0</v>
      </c>
      <c r="E36" s="95">
        <f>'[3]Air Wisconsin'!BG$58</f>
        <v>0</v>
      </c>
      <c r="F36" s="95">
        <f>[3]Jazz_AC!BF$58</f>
        <v>0</v>
      </c>
      <c r="G36" s="95">
        <f>[3]PSA!BG$58</f>
        <v>0</v>
      </c>
      <c r="H36" s="87">
        <f>'[3]Atlantic Southeast'!BG$58</f>
        <v>0</v>
      </c>
      <c r="I36" s="87">
        <f>'[3]Continental Express'!BG$58</f>
        <v>0</v>
      </c>
      <c r="J36" s="95">
        <f>'[3]Go Jet_UA'!$AJ$58</f>
        <v>0</v>
      </c>
      <c r="K36" s="95">
        <f>'[3]Go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1380</v>
      </c>
      <c r="F40" s="95">
        <f t="shared" si="28"/>
        <v>18016.900000000001</v>
      </c>
      <c r="G40" s="95">
        <f t="shared" si="27"/>
        <v>113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19509.900000000001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1380</v>
      </c>
      <c r="F42" s="108">
        <f t="shared" si="34"/>
        <v>18016.900000000001</v>
      </c>
      <c r="G42" s="108">
        <f t="shared" si="33"/>
        <v>113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19509.900000000001</v>
      </c>
    </row>
    <row r="43" spans="1:12" ht="4.5" customHeight="1" x14ac:dyDescent="0.2"/>
    <row r="44" spans="1:12" hidden="1" x14ac:dyDescent="0.2">
      <c r="A44" s="243" t="s">
        <v>123</v>
      </c>
      <c r="H44" s="229"/>
      <c r="K44" s="242">
        <f>'[3]Go Jet'!BK$70+'[3]Go Jet'!BK$73</f>
        <v>0</v>
      </c>
      <c r="L44" s="231" t="e">
        <f>SUM(#REF!)</f>
        <v>#REF!</v>
      </c>
    </row>
    <row r="45" spans="1:12" hidden="1" x14ac:dyDescent="0.2">
      <c r="A45" s="243" t="s">
        <v>124</v>
      </c>
      <c r="H45" s="246"/>
      <c r="K45" s="242">
        <f>'[3]Go Jet'!BK$71+'[3]Go Jet'!BK$74</f>
        <v>0</v>
      </c>
      <c r="L45" s="231" t="e">
        <f>SUM(#REF!)</f>
        <v>#REF!</v>
      </c>
    </row>
    <row r="46" spans="1:12" x14ac:dyDescent="0.2">
      <c r="A46" s="276" t="s">
        <v>120</v>
      </c>
      <c r="C46" s="242">
        <f>'[3]Shuttle America_Delta'!$IQ$70+'[3]Shuttle America_Delta'!$IQ$73</f>
        <v>0</v>
      </c>
      <c r="D46" s="2"/>
      <c r="E46" s="2"/>
      <c r="H46" s="242">
        <f>'[3]Atlantic Southeast'!$IQ$70+'[3]Atlantic Southeast'!$IQ$73</f>
        <v>0</v>
      </c>
      <c r="K46" s="242">
        <f>'[3]Go Jet'!$IQ$70+'[3]Go Jet'!$IQ$73</f>
        <v>0</v>
      </c>
      <c r="L46" s="288">
        <f>SUM(B46:K46)</f>
        <v>0</v>
      </c>
    </row>
    <row r="47" spans="1:12" x14ac:dyDescent="0.2">
      <c r="A47" s="289" t="s">
        <v>121</v>
      </c>
      <c r="C47" s="242">
        <f>'[3]Shuttle America_Delta'!$IQ$71+'[3]Shuttle America_Delta'!$IQ$74</f>
        <v>0</v>
      </c>
      <c r="D47" s="2"/>
      <c r="E47" s="2"/>
      <c r="H47" s="242">
        <f>'[3]Atlantic Southeast'!$IQ$71+'[3]Atlantic Southeast'!$IQ$74</f>
        <v>0</v>
      </c>
      <c r="K47" s="242">
        <f>'[3]Go Jet'!$IQ$71+'[3]Go Jet'!$IQ$74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December 2023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topLeftCell="A3" zoomScale="115" zoomScaleNormal="115" workbookViewId="0">
      <selection activeCell="Q14" sqref="Q1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  <col min="19" max="19" width="16" bestFit="1" customWidth="1"/>
  </cols>
  <sheetData>
    <row r="2" spans="1:18" ht="26.25" thickBot="1" x14ac:dyDescent="0.25">
      <c r="A2" s="396">
        <v>45261</v>
      </c>
      <c r="B2" s="147" t="s">
        <v>116</v>
      </c>
      <c r="C2" s="147" t="s">
        <v>150</v>
      </c>
      <c r="D2" s="81" t="s">
        <v>77</v>
      </c>
      <c r="E2" s="81" t="s">
        <v>151</v>
      </c>
      <c r="F2" s="81" t="s">
        <v>247</v>
      </c>
      <c r="G2" s="147" t="s">
        <v>129</v>
      </c>
      <c r="H2" s="144" t="s">
        <v>78</v>
      </c>
    </row>
    <row r="3" spans="1:18" x14ac:dyDescent="0.2">
      <c r="A3" s="202" t="s">
        <v>3</v>
      </c>
      <c r="B3" s="153"/>
      <c r="C3" s="152"/>
      <c r="D3" s="152"/>
      <c r="E3" s="152"/>
      <c r="F3" s="152"/>
      <c r="G3" s="152"/>
      <c r="H3" s="194"/>
    </row>
    <row r="4" spans="1:18" x14ac:dyDescent="0.2">
      <c r="A4" s="45" t="s">
        <v>29</v>
      </c>
      <c r="B4" s="313"/>
      <c r="C4" s="151"/>
      <c r="D4" s="151"/>
      <c r="E4" s="151"/>
      <c r="F4" s="151"/>
      <c r="G4" s="151"/>
      <c r="H4" s="184"/>
    </row>
    <row r="5" spans="1:18" x14ac:dyDescent="0.2">
      <c r="A5" s="45" t="s">
        <v>30</v>
      </c>
      <c r="B5" s="313">
        <f>'[3]Charter Misc'!$IQ$22</f>
        <v>0</v>
      </c>
      <c r="C5" s="151">
        <f>[3]Ryan!$IQ$22</f>
        <v>0</v>
      </c>
      <c r="D5" s="151">
        <f>'[3]Charter Misc'!$IQ$32</f>
        <v>60</v>
      </c>
      <c r="E5" s="151">
        <f>[3]Omni!$IQ$32+[3]Omni!$IQ$22</f>
        <v>0</v>
      </c>
      <c r="F5" s="151">
        <f>'[3]Red Way'!$IQ$32+'[3]Red Way'!$IQ$22</f>
        <v>0</v>
      </c>
      <c r="G5" s="151">
        <f>[3]Xtra!$IQ$32+[3]Xtra!$IQ$22</f>
        <v>0</v>
      </c>
      <c r="H5" s="249">
        <f>SUM(B5:G5)</f>
        <v>60</v>
      </c>
    </row>
    <row r="6" spans="1:18" x14ac:dyDescent="0.2">
      <c r="A6" s="45" t="s">
        <v>31</v>
      </c>
      <c r="B6" s="314">
        <f>'[3]Charter Misc'!$IQ$23</f>
        <v>0</v>
      </c>
      <c r="C6" s="154">
        <f>[3]Ryan!$IQ$23</f>
        <v>0</v>
      </c>
      <c r="D6" s="154">
        <f>'[3]Charter Misc'!$IQ$33</f>
        <v>0</v>
      </c>
      <c r="E6" s="154">
        <f>[3]Omni!$IQ$33+[3]Omni!$IQ$23</f>
        <v>0</v>
      </c>
      <c r="F6" s="154">
        <f>'[3]Red Way'!$IQ$33+'[3]Red Way'!$IQ$23</f>
        <v>0</v>
      </c>
      <c r="G6" s="154">
        <f>[3]Xtra!$IQ$33+[3]Xtra!$IQ$23</f>
        <v>0</v>
      </c>
      <c r="H6" s="249">
        <f>SUM(B6:G6)</f>
        <v>0</v>
      </c>
    </row>
    <row r="7" spans="1:18" ht="15.75" thickBot="1" x14ac:dyDescent="0.3">
      <c r="A7" s="150" t="s">
        <v>7</v>
      </c>
      <c r="B7" s="315">
        <f t="shared" ref="B7:G7" si="0">SUM(B5:B6)</f>
        <v>0</v>
      </c>
      <c r="C7" s="219">
        <f t="shared" si="0"/>
        <v>0</v>
      </c>
      <c r="D7" s="219">
        <f t="shared" si="0"/>
        <v>60</v>
      </c>
      <c r="E7" s="219">
        <f t="shared" si="0"/>
        <v>0</v>
      </c>
      <c r="F7" s="219">
        <f t="shared" si="0"/>
        <v>0</v>
      </c>
      <c r="G7" s="219">
        <f t="shared" si="0"/>
        <v>0</v>
      </c>
      <c r="H7" s="220">
        <f>SUM(B7:G7)</f>
        <v>60</v>
      </c>
    </row>
    <row r="8" spans="1:18" ht="13.5" thickBot="1" x14ac:dyDescent="0.25"/>
    <row r="9" spans="1:18" x14ac:dyDescent="0.2">
      <c r="A9" s="148" t="s">
        <v>9</v>
      </c>
      <c r="B9" s="316"/>
      <c r="C9" s="29"/>
      <c r="D9" s="29"/>
      <c r="E9" s="29"/>
      <c r="F9" s="29"/>
      <c r="G9" s="29"/>
      <c r="H9" s="40"/>
    </row>
    <row r="10" spans="1:18" x14ac:dyDescent="0.2">
      <c r="A10" s="149" t="s">
        <v>79</v>
      </c>
      <c r="B10" s="313">
        <f>'[3]Charter Misc'!$IQ$4</f>
        <v>0</v>
      </c>
      <c r="C10" s="151">
        <f>[3]Ryan!$IQ$4</f>
        <v>0</v>
      </c>
      <c r="D10" s="151">
        <f>'[3]Charter Misc'!$IQ$15</f>
        <v>1</v>
      </c>
      <c r="E10" s="151">
        <f>[3]Omni!$IQ$15+[3]Omni!$IQ$4</f>
        <v>0</v>
      </c>
      <c r="F10" s="151">
        <f>'[3]Red Way'!$IQ$15+'[3]Red Way'!$IQ$4</f>
        <v>0</v>
      </c>
      <c r="G10" s="151">
        <f>[3]Xtra!$IQ$15+[3]Xtra!$IQ$4</f>
        <v>0</v>
      </c>
      <c r="H10" s="248">
        <f>SUM(B10:G10)</f>
        <v>1</v>
      </c>
    </row>
    <row r="11" spans="1:18" x14ac:dyDescent="0.2">
      <c r="A11" s="149" t="s">
        <v>80</v>
      </c>
      <c r="B11" s="313">
        <f>'[3]Charter Misc'!$IQ$5</f>
        <v>0</v>
      </c>
      <c r="C11" s="151">
        <f>[3]Ryan!$IQ$5</f>
        <v>0</v>
      </c>
      <c r="D11" s="151">
        <f>'[3]Charter Misc'!$IQ$16</f>
        <v>0</v>
      </c>
      <c r="E11" s="151">
        <f>[3]Omni!$IQ$16+[3]Omni!$IQ$5</f>
        <v>0</v>
      </c>
      <c r="F11" s="151">
        <f>'[3]Red Way'!$IQ$16+'[3]Red Way'!$IQ$5</f>
        <v>0</v>
      </c>
      <c r="G11" s="151">
        <f>[3]Xtra!$IQ$16+[3]Xtra!$IQ$5</f>
        <v>0</v>
      </c>
      <c r="H11" s="248">
        <f>SUM(B11:G11)</f>
        <v>0</v>
      </c>
    </row>
    <row r="12" spans="1:18" ht="15.75" thickBot="1" x14ac:dyDescent="0.3">
      <c r="A12" s="201" t="s">
        <v>28</v>
      </c>
      <c r="B12" s="317">
        <f t="shared" ref="B12:G12" si="1">SUM(B10:B11)</f>
        <v>0</v>
      </c>
      <c r="C12" s="221">
        <f t="shared" si="1"/>
        <v>0</v>
      </c>
      <c r="D12" s="221">
        <f t="shared" si="1"/>
        <v>1</v>
      </c>
      <c r="E12" s="221">
        <f t="shared" si="1"/>
        <v>0</v>
      </c>
      <c r="F12" s="221">
        <f t="shared" si="1"/>
        <v>0</v>
      </c>
      <c r="G12" s="221">
        <f t="shared" si="1"/>
        <v>0</v>
      </c>
      <c r="H12" s="222">
        <f>SUM(B12:G12)</f>
        <v>1</v>
      </c>
      <c r="R12" s="95"/>
    </row>
    <row r="17" spans="1:19" x14ac:dyDescent="0.2">
      <c r="B17" s="447" t="s">
        <v>148</v>
      </c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8"/>
      <c r="P17" s="449"/>
    </row>
    <row r="18" spans="1:19" ht="13.5" thickBot="1" x14ac:dyDescent="0.25">
      <c r="A18" s="237"/>
      <c r="E18" s="169"/>
      <c r="G18" s="169"/>
      <c r="H18" s="169"/>
      <c r="L18" s="173"/>
      <c r="N18" s="4"/>
    </row>
    <row r="19" spans="1:19" ht="13.5" customHeight="1" thickBot="1" x14ac:dyDescent="0.25">
      <c r="A19" s="303"/>
      <c r="B19" s="450" t="s">
        <v>117</v>
      </c>
      <c r="C19" s="451"/>
      <c r="D19" s="451"/>
      <c r="E19" s="452"/>
      <c r="G19" s="450" t="s">
        <v>118</v>
      </c>
      <c r="H19" s="453"/>
      <c r="I19" s="453"/>
      <c r="J19" s="454"/>
      <c r="L19" s="455" t="s">
        <v>119</v>
      </c>
      <c r="M19" s="456"/>
      <c r="N19" s="456"/>
      <c r="O19" s="457"/>
      <c r="S19" s="391"/>
    </row>
    <row r="20" spans="1:19" ht="13.5" thickBot="1" x14ac:dyDescent="0.25">
      <c r="A20" s="175" t="s">
        <v>99</v>
      </c>
      <c r="B20" s="434" t="s">
        <v>100</v>
      </c>
      <c r="C20" s="434" t="s">
        <v>101</v>
      </c>
      <c r="D20" s="434" t="s">
        <v>236</v>
      </c>
      <c r="E20" s="434" t="s">
        <v>222</v>
      </c>
      <c r="F20" s="434" t="s">
        <v>96</v>
      </c>
      <c r="G20" s="434" t="s">
        <v>100</v>
      </c>
      <c r="H20" s="434" t="s">
        <v>101</v>
      </c>
      <c r="I20" s="434" t="s">
        <v>236</v>
      </c>
      <c r="J20" s="434" t="s">
        <v>222</v>
      </c>
      <c r="K20" s="434" t="s">
        <v>96</v>
      </c>
      <c r="L20" s="434" t="s">
        <v>100</v>
      </c>
      <c r="M20" s="434" t="s">
        <v>101</v>
      </c>
      <c r="N20" s="434" t="s">
        <v>236</v>
      </c>
      <c r="O20" s="434" t="s">
        <v>222</v>
      </c>
      <c r="P20" s="434" t="s">
        <v>96</v>
      </c>
      <c r="S20" s="391"/>
    </row>
    <row r="21" spans="1:19" ht="14.1" customHeight="1" x14ac:dyDescent="0.2">
      <c r="A21" s="180" t="s">
        <v>102</v>
      </c>
      <c r="B21" s="433">
        <f>+[4]Charter!B21</f>
        <v>129651</v>
      </c>
      <c r="C21" s="433">
        <f>+[4]Charter!C21</f>
        <v>126303</v>
      </c>
      <c r="D21" s="433">
        <f t="shared" ref="D21" si="2">SUM(B21:C21)</f>
        <v>255954</v>
      </c>
      <c r="E21" s="433">
        <f>[5]Charter!$D$21</f>
        <v>154314</v>
      </c>
      <c r="F21" s="424">
        <f t="shared" ref="F21:F32" si="3">(D21-E21)/E21</f>
        <v>0.65865702399004622</v>
      </c>
      <c r="G21" s="433">
        <f>+[4]Charter!G21</f>
        <v>1051268</v>
      </c>
      <c r="H21" s="433">
        <f>+[4]Charter!H21</f>
        <v>1085708</v>
      </c>
      <c r="I21" s="433">
        <f t="shared" ref="I21" si="4">SUM(G21:H21)</f>
        <v>2136976</v>
      </c>
      <c r="J21" s="433">
        <f>[5]Charter!I21</f>
        <v>1842508</v>
      </c>
      <c r="K21" s="430">
        <f t="shared" ref="K21:K32" si="5">(I21-J21)/J21</f>
        <v>0.15981911611781333</v>
      </c>
      <c r="L21" s="433">
        <f>+[4]Charter!L21</f>
        <v>1180919</v>
      </c>
      <c r="M21" s="433">
        <f>+[4]Charter!M21</f>
        <v>1212011</v>
      </c>
      <c r="N21" s="433">
        <f t="shared" ref="N21:N28" si="6">SUM(L21:M21)</f>
        <v>2392930</v>
      </c>
      <c r="O21" s="433">
        <f>[5]Charter!N21</f>
        <v>1996822</v>
      </c>
      <c r="P21" s="429">
        <f>(N21-O21)/O21</f>
        <v>0.19836920867258073</v>
      </c>
      <c r="S21" s="391"/>
    </row>
    <row r="22" spans="1:19" ht="14.1" customHeight="1" x14ac:dyDescent="0.2">
      <c r="A22" s="181" t="s">
        <v>103</v>
      </c>
      <c r="B22" s="433">
        <f>+[6]Charter!B22</f>
        <v>124840</v>
      </c>
      <c r="C22" s="433">
        <f>+[6]Charter!C22</f>
        <v>126281</v>
      </c>
      <c r="D22" s="433">
        <f t="shared" ref="D22" si="7">SUM(B22:C22)</f>
        <v>251121</v>
      </c>
      <c r="E22" s="423">
        <f>[7]Charter!D22</f>
        <v>169898</v>
      </c>
      <c r="F22" s="425">
        <f t="shared" si="3"/>
        <v>0.47806919445785118</v>
      </c>
      <c r="G22" s="423">
        <f t="shared" ref="G22" si="8">L22-B22</f>
        <v>996328</v>
      </c>
      <c r="H22" s="423">
        <f t="shared" ref="H22" si="9">M22-C22</f>
        <v>1014184</v>
      </c>
      <c r="I22" s="423">
        <f t="shared" ref="I22" si="10">SUM(G22:H22)</f>
        <v>2010512</v>
      </c>
      <c r="J22" s="423">
        <f>[7]Charter!I22</f>
        <v>1925453</v>
      </c>
      <c r="K22" s="431">
        <f t="shared" si="5"/>
        <v>4.4176097780626172E-2</v>
      </c>
      <c r="L22" s="433">
        <f>+[6]Charter!L22</f>
        <v>1121168</v>
      </c>
      <c r="M22" s="433">
        <f>+[6]Charter!M22</f>
        <v>1140465</v>
      </c>
      <c r="N22" s="433">
        <f t="shared" si="6"/>
        <v>2261633</v>
      </c>
      <c r="O22" s="423">
        <f>[7]Charter!N22</f>
        <v>2095351</v>
      </c>
      <c r="P22" s="420">
        <f t="shared" ref="P22:P32" si="11">(N22-O22)/O22</f>
        <v>7.9357587344554684E-2</v>
      </c>
      <c r="S22" s="391"/>
    </row>
    <row r="23" spans="1:19" ht="14.1" customHeight="1" x14ac:dyDescent="0.2">
      <c r="A23" s="181" t="s">
        <v>104</v>
      </c>
      <c r="B23" s="433">
        <f>+[8]Charter!B23</f>
        <v>169369</v>
      </c>
      <c r="C23" s="433">
        <f>+[8]Charter!C23</f>
        <v>172194</v>
      </c>
      <c r="D23" s="423">
        <f t="shared" ref="D23" si="12">SUM(B23:C23)</f>
        <v>341563</v>
      </c>
      <c r="E23" s="423">
        <f>[9]Charter!D23</f>
        <v>248666</v>
      </c>
      <c r="F23" s="426">
        <f t="shared" si="3"/>
        <v>0.37358143051321852</v>
      </c>
      <c r="G23" s="423">
        <f t="shared" ref="G23" si="13">L23-B23</f>
        <v>1336750</v>
      </c>
      <c r="H23" s="423">
        <f t="shared" ref="H23" si="14">M23-C23</f>
        <v>1356247</v>
      </c>
      <c r="I23" s="423">
        <f t="shared" ref="I23" si="15">SUM(G23:H23)</f>
        <v>2692997</v>
      </c>
      <c r="J23" s="423">
        <f>[9]Charter!I23</f>
        <v>2580302</v>
      </c>
      <c r="K23" s="431">
        <f t="shared" si="5"/>
        <v>4.3675120199108478E-2</v>
      </c>
      <c r="L23" s="433">
        <f>+[8]Charter!L23</f>
        <v>1506119</v>
      </c>
      <c r="M23" s="433">
        <f>+[8]Charter!M23</f>
        <v>1528441</v>
      </c>
      <c r="N23" s="433">
        <f t="shared" si="6"/>
        <v>3034560</v>
      </c>
      <c r="O23" s="423">
        <f>[9]Charter!N23</f>
        <v>2828968</v>
      </c>
      <c r="P23" s="420">
        <f t="shared" si="11"/>
        <v>7.2673851383260615E-2</v>
      </c>
      <c r="S23" s="391"/>
    </row>
    <row r="24" spans="1:19" ht="14.1" customHeight="1" x14ac:dyDescent="0.2">
      <c r="A24" s="181" t="s">
        <v>105</v>
      </c>
      <c r="B24" s="433">
        <f>+[10]Charter!B24</f>
        <v>133601</v>
      </c>
      <c r="C24" s="433">
        <f>+[10]Charter!C24</f>
        <v>115857</v>
      </c>
      <c r="D24" s="423">
        <f t="shared" ref="D24" si="16">SUM(B24:C24)</f>
        <v>249458</v>
      </c>
      <c r="E24" s="423">
        <f>[11]Charter!D24</f>
        <v>153818</v>
      </c>
      <c r="F24" s="426">
        <f t="shared" si="3"/>
        <v>0.62177378460258226</v>
      </c>
      <c r="G24" s="423">
        <f t="shared" ref="G24" si="17">L24-B24</f>
        <v>1305362</v>
      </c>
      <c r="H24" s="423">
        <f t="shared" ref="H24" si="18">M24-C24</f>
        <v>1227285</v>
      </c>
      <c r="I24" s="423">
        <f t="shared" ref="I24" si="19">SUM(G24:H24)</f>
        <v>2532647</v>
      </c>
      <c r="J24" s="423">
        <f>[11]Charter!I24</f>
        <v>2445202</v>
      </c>
      <c r="K24" s="431">
        <f t="shared" si="5"/>
        <v>3.5761871616332722E-2</v>
      </c>
      <c r="L24" s="433">
        <f>+[10]Charter!L24</f>
        <v>1438963</v>
      </c>
      <c r="M24" s="433">
        <f>+[10]Charter!M24</f>
        <v>1343142</v>
      </c>
      <c r="N24" s="433">
        <f t="shared" si="6"/>
        <v>2782105</v>
      </c>
      <c r="O24" s="423">
        <f>[11]Charter!N24</f>
        <v>2599020</v>
      </c>
      <c r="P24" s="420">
        <f t="shared" si="11"/>
        <v>7.0443859608621706E-2</v>
      </c>
    </row>
    <row r="25" spans="1:19" ht="14.1" customHeight="1" x14ac:dyDescent="0.2">
      <c r="A25" s="174" t="s">
        <v>75</v>
      </c>
      <c r="B25" s="433">
        <f>+[12]Charter!B25</f>
        <v>102957</v>
      </c>
      <c r="C25" s="433">
        <f>+[12]Charter!C25</f>
        <v>111285</v>
      </c>
      <c r="D25" s="423">
        <f t="shared" ref="D25" si="20">SUM(B25:C25)</f>
        <v>214242</v>
      </c>
      <c r="E25" s="423">
        <f>[13]Charter!D25</f>
        <v>131276</v>
      </c>
      <c r="F25" s="427">
        <f t="shared" si="3"/>
        <v>0.63199670922331574</v>
      </c>
      <c r="G25" s="423">
        <f t="shared" ref="G25" si="21">L25-B25</f>
        <v>1351079</v>
      </c>
      <c r="H25" s="423">
        <f t="shared" ref="H25" si="22">M25-C25</f>
        <v>1297633</v>
      </c>
      <c r="I25" s="423">
        <f t="shared" ref="I25" si="23">SUM(G25:H25)</f>
        <v>2648712</v>
      </c>
      <c r="J25" s="423">
        <f>[13]Charter!I25</f>
        <v>2565837</v>
      </c>
      <c r="K25" s="432">
        <f t="shared" si="5"/>
        <v>3.2299401715697451E-2</v>
      </c>
      <c r="L25" s="433">
        <f>+[12]Charter!L25</f>
        <v>1454036</v>
      </c>
      <c r="M25" s="433">
        <f>+[12]Charter!M25</f>
        <v>1408918</v>
      </c>
      <c r="N25" s="433">
        <f t="shared" si="6"/>
        <v>2862954</v>
      </c>
      <c r="O25" s="423">
        <f>[13]Charter!N25</f>
        <v>2697113</v>
      </c>
      <c r="P25" s="421">
        <f t="shared" si="11"/>
        <v>6.1488339569013235E-2</v>
      </c>
    </row>
    <row r="26" spans="1:19" ht="14.1" customHeight="1" x14ac:dyDescent="0.2">
      <c r="A26" s="181" t="s">
        <v>106</v>
      </c>
      <c r="B26" s="433">
        <f>+[14]Charter!B26</f>
        <v>121820</v>
      </c>
      <c r="C26" s="433">
        <f>+[14]Charter!C26</f>
        <v>128458</v>
      </c>
      <c r="D26" s="423">
        <f t="shared" ref="D26" si="24">SUM(B26:C26)</f>
        <v>250278</v>
      </c>
      <c r="E26" s="423">
        <f>[15]Charter!D26</f>
        <v>180003</v>
      </c>
      <c r="F26" s="426">
        <f t="shared" si="3"/>
        <v>0.39041015983066951</v>
      </c>
      <c r="G26" s="423">
        <f t="shared" ref="G26" si="25">L26-B26</f>
        <v>1511419</v>
      </c>
      <c r="H26" s="423">
        <f t="shared" ref="H26" si="26">M26-C26</f>
        <v>1495883</v>
      </c>
      <c r="I26" s="423">
        <f t="shared" ref="I26" si="27">SUM(G26:H26)</f>
        <v>3007302</v>
      </c>
      <c r="J26" s="423">
        <f>[15]Charter!I26</f>
        <v>2666878</v>
      </c>
      <c r="K26" s="431">
        <f t="shared" si="5"/>
        <v>0.12764888382595679</v>
      </c>
      <c r="L26" s="433">
        <f>+[14]Charter!L26</f>
        <v>1633239</v>
      </c>
      <c r="M26" s="433">
        <f>+[14]Charter!M26</f>
        <v>1624341</v>
      </c>
      <c r="N26" s="433">
        <f t="shared" si="6"/>
        <v>3257580</v>
      </c>
      <c r="O26" s="423">
        <f>[15]Charter!N26</f>
        <v>2846881</v>
      </c>
      <c r="P26" s="420">
        <f t="shared" si="11"/>
        <v>0.1442627914549291</v>
      </c>
    </row>
    <row r="27" spans="1:19" ht="14.1" customHeight="1" x14ac:dyDescent="0.2">
      <c r="A27" s="174" t="s">
        <v>107</v>
      </c>
      <c r="B27" s="433">
        <f>+[16]Charter!B27</f>
        <v>139115</v>
      </c>
      <c r="C27" s="433">
        <f>+[16]Charter!C27</f>
        <v>126500</v>
      </c>
      <c r="D27" s="423">
        <f t="shared" ref="D27" si="28">SUM(B27:C27)</f>
        <v>265615</v>
      </c>
      <c r="E27" s="423">
        <f>[17]Charter!D27</f>
        <v>180630</v>
      </c>
      <c r="F27" s="427">
        <f t="shared" si="3"/>
        <v>0.47049216630681506</v>
      </c>
      <c r="G27" s="423">
        <f t="shared" ref="G27" si="29">L27-B27</f>
        <v>1576788</v>
      </c>
      <c r="H27" s="423">
        <f t="shared" ref="H27" si="30">M27-C27</f>
        <v>1577344</v>
      </c>
      <c r="I27" s="423">
        <f t="shared" ref="I27" si="31">SUM(G27:H27)</f>
        <v>3154132</v>
      </c>
      <c r="J27" s="423">
        <f>[17]Charter!I27</f>
        <v>2778188</v>
      </c>
      <c r="K27" s="432">
        <f t="shared" si="5"/>
        <v>0.1353198559636713</v>
      </c>
      <c r="L27" s="433">
        <f>+[16]Charter!L27</f>
        <v>1715903</v>
      </c>
      <c r="M27" s="433">
        <f>+[16]Charter!M27</f>
        <v>1703844</v>
      </c>
      <c r="N27" s="433">
        <f t="shared" si="6"/>
        <v>3419747</v>
      </c>
      <c r="O27" s="423">
        <f>[17]Charter!N27</f>
        <v>2958818</v>
      </c>
      <c r="P27" s="421">
        <f t="shared" si="11"/>
        <v>0.15578146408464461</v>
      </c>
    </row>
    <row r="28" spans="1:19" ht="14.1" customHeight="1" x14ac:dyDescent="0.2">
      <c r="A28" s="181" t="s">
        <v>108</v>
      </c>
      <c r="B28" s="433">
        <f>+[18]Charter!B28</f>
        <v>136198</v>
      </c>
      <c r="C28" s="433">
        <f>+[18]Charter!C28</f>
        <v>125692</v>
      </c>
      <c r="D28" s="423">
        <f t="shared" ref="D28" si="32">SUM(B28:C28)</f>
        <v>261890</v>
      </c>
      <c r="E28" s="423">
        <f>[19]Charter!D28</f>
        <v>181603</v>
      </c>
      <c r="F28" s="426">
        <f t="shared" si="3"/>
        <v>0.44210172739437126</v>
      </c>
      <c r="G28" s="423">
        <f t="shared" ref="G28" si="33">L28-B28</f>
        <v>1547751</v>
      </c>
      <c r="H28" s="423">
        <f t="shared" ref="H28" si="34">M28-C28</f>
        <v>1533750</v>
      </c>
      <c r="I28" s="423">
        <f t="shared" ref="I28" si="35">SUM(G28:H28)</f>
        <v>3081501</v>
      </c>
      <c r="J28" s="423">
        <f>[19]Charter!I28</f>
        <v>2731608</v>
      </c>
      <c r="K28" s="431">
        <f t="shared" si="5"/>
        <v>0.1280904873612905</v>
      </c>
      <c r="L28" s="433">
        <f>+[18]Charter!L28</f>
        <v>1683949</v>
      </c>
      <c r="M28" s="433">
        <f>+[18]Charter!M28</f>
        <v>1659442</v>
      </c>
      <c r="N28" s="433">
        <f t="shared" si="6"/>
        <v>3343391</v>
      </c>
      <c r="O28" s="423">
        <f>[19]Charter!N28</f>
        <v>2913211</v>
      </c>
      <c r="P28" s="420">
        <f t="shared" si="11"/>
        <v>0.14766523949003352</v>
      </c>
    </row>
    <row r="29" spans="1:19" ht="14.1" customHeight="1" x14ac:dyDescent="0.2">
      <c r="A29" s="174" t="s">
        <v>109</v>
      </c>
      <c r="B29" s="433">
        <f>+[20]Charter!B29</f>
        <v>114472</v>
      </c>
      <c r="C29" s="433">
        <f>+[20]Charter!C29</f>
        <v>112599</v>
      </c>
      <c r="D29" s="423">
        <f t="shared" ref="D29" si="36">SUM(B29:C29)</f>
        <v>227071</v>
      </c>
      <c r="E29" s="423">
        <f>[21]Charter!D29</f>
        <v>146335</v>
      </c>
      <c r="F29" s="427">
        <f t="shared" si="3"/>
        <v>0.55172036764957122</v>
      </c>
      <c r="G29" s="423">
        <f t="shared" ref="G29" si="37">L29-B29</f>
        <v>1301826</v>
      </c>
      <c r="H29" s="423">
        <f t="shared" ref="H29" si="38">M29-C29</f>
        <v>1328191</v>
      </c>
      <c r="I29" s="423">
        <f t="shared" ref="I29" si="39">SUM(G29:H29)</f>
        <v>2630017</v>
      </c>
      <c r="J29" s="423">
        <f>[21]Charter!I29</f>
        <v>2451268</v>
      </c>
      <c r="K29" s="432">
        <f t="shared" si="5"/>
        <v>7.2921035154050878E-2</v>
      </c>
      <c r="L29" s="433">
        <f>+[20]Charter!L29</f>
        <v>1416298</v>
      </c>
      <c r="M29" s="433">
        <f>+[20]Charter!M29</f>
        <v>1440790</v>
      </c>
      <c r="N29" s="433">
        <f t="shared" ref="N29" si="40">SUM(L29:M29)</f>
        <v>2857088</v>
      </c>
      <c r="O29" s="423">
        <f>[21]Charter!N29</f>
        <v>2597603</v>
      </c>
      <c r="P29" s="421">
        <f t="shared" si="11"/>
        <v>9.9894017677066127E-2</v>
      </c>
    </row>
    <row r="30" spans="1:19" ht="14.1" customHeight="1" x14ac:dyDescent="0.2">
      <c r="A30" s="181" t="s">
        <v>110</v>
      </c>
      <c r="B30" s="433">
        <f>+[22]Charter!B30</f>
        <v>113368</v>
      </c>
      <c r="C30" s="433">
        <f>+[22]Charter!C30</f>
        <v>104951</v>
      </c>
      <c r="D30" s="423">
        <f t="shared" ref="D30" si="41">SUM(B30:C30)</f>
        <v>218319</v>
      </c>
      <c r="E30" s="423">
        <f>[23]Charter!D30</f>
        <v>138306</v>
      </c>
      <c r="F30" s="426">
        <f t="shared" si="3"/>
        <v>0.57852153919569649</v>
      </c>
      <c r="G30" s="423">
        <f t="shared" ref="G30" si="42">L30-B30</f>
        <v>1371335</v>
      </c>
      <c r="H30" s="423">
        <f t="shared" ref="H30" si="43">M30-C30</f>
        <v>1413534</v>
      </c>
      <c r="I30" s="423">
        <f t="shared" ref="I30" si="44">SUM(G30:H30)</f>
        <v>2784869</v>
      </c>
      <c r="J30" s="423">
        <f>[23]Charter!I30</f>
        <v>2551547</v>
      </c>
      <c r="K30" s="431">
        <f t="shared" si="5"/>
        <v>9.1443347898353428E-2</v>
      </c>
      <c r="L30" s="433">
        <f>+[22]Charter!L30</f>
        <v>1484703</v>
      </c>
      <c r="M30" s="433">
        <f>+[22]Charter!M30</f>
        <v>1518485</v>
      </c>
      <c r="N30" s="433">
        <f t="shared" ref="N30" si="45">SUM(L30:M30)</f>
        <v>3003188</v>
      </c>
      <c r="O30" s="423">
        <f>[23]Charter!N30</f>
        <v>2689853</v>
      </c>
      <c r="P30" s="420">
        <f t="shared" si="11"/>
        <v>0.11648777832840679</v>
      </c>
    </row>
    <row r="31" spans="1:19" ht="14.1" customHeight="1" x14ac:dyDescent="0.2">
      <c r="A31" s="174" t="s">
        <v>111</v>
      </c>
      <c r="B31" s="433">
        <f>+[2]Charter!B31</f>
        <v>93683</v>
      </c>
      <c r="C31" s="433">
        <f>+[2]Charter!C31</f>
        <v>95057</v>
      </c>
      <c r="D31" s="423">
        <f t="shared" ref="D31" si="46">SUM(B31:C31)</f>
        <v>188740</v>
      </c>
      <c r="E31" s="423">
        <f>[24]Charter!D31</f>
        <v>148527</v>
      </c>
      <c r="F31" s="427">
        <f t="shared" si="3"/>
        <v>0.27074538636072903</v>
      </c>
      <c r="G31" s="423">
        <f t="shared" ref="G31" si="47">L31-B31</f>
        <v>1276958</v>
      </c>
      <c r="H31" s="423">
        <f t="shared" ref="H31" si="48">M31-C31</f>
        <v>1300916</v>
      </c>
      <c r="I31" s="423">
        <f t="shared" ref="I31" si="49">SUM(G31:H31)</f>
        <v>2577874</v>
      </c>
      <c r="J31" s="423">
        <f>[24]Charter!I31</f>
        <v>2377200</v>
      </c>
      <c r="K31" s="432">
        <f t="shared" si="5"/>
        <v>8.4416119804812381E-2</v>
      </c>
      <c r="L31" s="433">
        <f>+[2]Charter!L31</f>
        <v>1370641</v>
      </c>
      <c r="M31" s="433">
        <f>+[2]Charter!M31</f>
        <v>1395973</v>
      </c>
      <c r="N31" s="433">
        <f t="shared" ref="N31" si="50">SUM(L31:M31)</f>
        <v>2766614</v>
      </c>
      <c r="O31" s="423">
        <f>[24]Charter!N31</f>
        <v>2525727</v>
      </c>
      <c r="P31" s="421">
        <f t="shared" si="11"/>
        <v>9.5373332113882464E-2</v>
      </c>
    </row>
    <row r="32" spans="1:19" ht="14.1" customHeight="1" x14ac:dyDescent="0.2">
      <c r="A32" s="182" t="s">
        <v>112</v>
      </c>
      <c r="B32" s="423">
        <f>+'Intl Detail'!$Q$4+'Intl Detail'!$Q$9</f>
        <v>119921</v>
      </c>
      <c r="C32" s="423">
        <f>+'Intl Detail'!$Q$5+'Intl Detail'!$Q$10</f>
        <v>139997</v>
      </c>
      <c r="D32" s="423">
        <f t="shared" ref="D32" si="51">SUM(B32:C32)</f>
        <v>259918</v>
      </c>
      <c r="E32" s="423">
        <f>[1]Charter!D32</f>
        <v>206433</v>
      </c>
      <c r="F32" s="428">
        <f t="shared" si="3"/>
        <v>0.25909132745249064</v>
      </c>
      <c r="G32" s="423">
        <f t="shared" ref="G32" si="52">L32-B32</f>
        <v>1269351</v>
      </c>
      <c r="H32" s="423">
        <f t="shared" ref="H32" si="53">M32-C32</f>
        <v>1259741</v>
      </c>
      <c r="I32" s="423">
        <f t="shared" ref="I32" si="54">SUM(G32:H32)</f>
        <v>2529092</v>
      </c>
      <c r="J32" s="423">
        <f>[1]Charter!I32</f>
        <v>2286022</v>
      </c>
      <c r="K32" s="428">
        <f t="shared" si="5"/>
        <v>0.10632881048388861</v>
      </c>
      <c r="L32" s="423">
        <f>+'Monthly Summary'!$B$11</f>
        <v>1389272</v>
      </c>
      <c r="M32" s="423">
        <f>+'Monthly Summary'!$C$11</f>
        <v>1399738</v>
      </c>
      <c r="N32" s="433">
        <f t="shared" ref="N32" si="55">SUM(L32:M32)</f>
        <v>2789010</v>
      </c>
      <c r="O32" s="423">
        <f>[1]Charter!N32</f>
        <v>2492455</v>
      </c>
      <c r="P32" s="422">
        <f t="shared" si="11"/>
        <v>0.11898108491427127</v>
      </c>
    </row>
    <row r="33" spans="1:16" ht="13.5" thickBot="1" x14ac:dyDescent="0.25">
      <c r="A33" s="179" t="s">
        <v>76</v>
      </c>
      <c r="B33" s="185">
        <f>SUM(B21:B32)</f>
        <v>1498995</v>
      </c>
      <c r="C33" s="186">
        <f>SUM(C21:C32)</f>
        <v>1485174</v>
      </c>
      <c r="D33" s="186">
        <f>SUM(D21:D32)</f>
        <v>2984169</v>
      </c>
      <c r="E33" s="187">
        <f>SUM(E21:E32)</f>
        <v>2039809</v>
      </c>
      <c r="F33" s="177">
        <f>(D33-E33)/E33</f>
        <v>0.46296491485232194</v>
      </c>
      <c r="G33" s="188">
        <f>SUM(G21:G32)</f>
        <v>15896215</v>
      </c>
      <c r="H33" s="186">
        <f>SUM(H21:H32)</f>
        <v>15890416</v>
      </c>
      <c r="I33" s="186">
        <f>SUM(I21:I32)</f>
        <v>31786631</v>
      </c>
      <c r="J33" s="189">
        <f>SUM(J21:J32)</f>
        <v>29202013</v>
      </c>
      <c r="K33" s="178">
        <f>(I33-J33)/J33</f>
        <v>8.8508213457750326E-2</v>
      </c>
      <c r="L33" s="188">
        <f>SUM(L21:L32)</f>
        <v>17395210</v>
      </c>
      <c r="M33" s="186">
        <f>SUM(M21:M32)</f>
        <v>17375590</v>
      </c>
      <c r="N33" s="186">
        <f>SUM(N21:N32)</f>
        <v>34770800</v>
      </c>
      <c r="O33" s="187">
        <f>SUM(O21:O32)</f>
        <v>31241822</v>
      </c>
      <c r="P33" s="176">
        <f>(N33-O33)/O33</f>
        <v>0.11295685635748133</v>
      </c>
    </row>
    <row r="35" spans="1:16" x14ac:dyDescent="0.2">
      <c r="N35" s="95"/>
      <c r="O35" s="95"/>
    </row>
    <row r="36" spans="1:16" x14ac:dyDescent="0.2">
      <c r="D36" s="95"/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 xml:space="preserve">&amp;L
Schedule 6
&amp;CMinneapolis-St. Paul International Airport
&amp;"Arial,Bold"Charters and Passenger Summary
December 2023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T12" sqref="T12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58" t="s">
        <v>197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60"/>
    </row>
    <row r="2" spans="1:23" s="27" customFormat="1" ht="43.5" customHeight="1" thickBot="1" x14ac:dyDescent="0.25">
      <c r="A2" s="396">
        <v>45261</v>
      </c>
      <c r="B2" s="325" t="s">
        <v>193</v>
      </c>
      <c r="C2" s="325" t="s">
        <v>245</v>
      </c>
      <c r="D2" s="325" t="s">
        <v>214</v>
      </c>
      <c r="E2" s="358" t="s">
        <v>216</v>
      </c>
      <c r="F2" s="358" t="s">
        <v>215</v>
      </c>
      <c r="G2" s="325" t="s">
        <v>198</v>
      </c>
      <c r="H2" s="358" t="s">
        <v>240</v>
      </c>
      <c r="I2" s="358" t="s">
        <v>195</v>
      </c>
      <c r="J2" s="326" t="s">
        <v>81</v>
      </c>
      <c r="K2" s="358" t="s">
        <v>174</v>
      </c>
      <c r="L2" s="325" t="s">
        <v>199</v>
      </c>
      <c r="M2" s="358" t="s">
        <v>85</v>
      </c>
      <c r="N2" s="325" t="s">
        <v>238</v>
      </c>
      <c r="O2" s="325" t="s">
        <v>200</v>
      </c>
      <c r="P2" s="325" t="s">
        <v>201</v>
      </c>
      <c r="Q2" s="326" t="s">
        <v>82</v>
      </c>
      <c r="R2" s="358" t="s">
        <v>126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'[3]Atlas Air'!$IQ$4</f>
        <v>2</v>
      </c>
      <c r="C4" s="132">
        <f>[3]DHL!$IQ$8+[3]DHL!$IQ$4</f>
        <v>0</v>
      </c>
      <c r="D4" s="132">
        <f>[3]Airborne!$IQ$4+[3]Airborne!$IQ$15</f>
        <v>20</v>
      </c>
      <c r="E4" s="95">
        <f>[3]DHL_Bemidji!$IQ$4</f>
        <v>34</v>
      </c>
      <c r="F4" s="95">
        <f>[3]Bemidji!$IQ$4</f>
        <v>172</v>
      </c>
      <c r="G4" s="132">
        <f>[3]DHL_Encore!$IQ$4+[3]DHL_Encore!$IQ$15</f>
        <v>0</v>
      </c>
      <c r="H4" s="132">
        <f>[3]DHL_Mesa!$IQ$4+[3]DHL_Mesa!$IQ$15</f>
        <v>3</v>
      </c>
      <c r="I4" s="132">
        <f>[3]Encore!$IQ$4+[3]Encore!$IQ$15</f>
        <v>0</v>
      </c>
      <c r="J4" s="132">
        <f>[3]FedEx!$IQ$4+[3]FedEx!$IQ$15</f>
        <v>122</v>
      </c>
      <c r="K4" s="132">
        <f>[3]IFL!$IQ$4+[3]IFL!$IQ$15</f>
        <v>18</v>
      </c>
      <c r="L4" s="132">
        <f>[3]DHL_Kalitta!$IQ$4+[3]DHL_Kalitta!$IQ$15</f>
        <v>0</v>
      </c>
      <c r="M4" s="95">
        <f>'[3]Mountain Cargo'!$IQ$4</f>
        <v>21</v>
      </c>
      <c r="N4" s="132">
        <f>[3]DHL_Amerijet!$IQ$4+[3]DHL_Amerijet!$IQ$15</f>
        <v>0</v>
      </c>
      <c r="O4" s="132">
        <f>[3]DHL_Swift!$IQ$4+[3]DHL_Swift!$IQ$15</f>
        <v>0</v>
      </c>
      <c r="P4" s="132">
        <f>+'[3]Sun Country Cargo'!$IQ$4+'[3]Sun Country Cargo'!$IQ$8+'[3]Sun Country Cargo'!$IQ$15</f>
        <v>107</v>
      </c>
      <c r="Q4" s="132">
        <f>[3]UPS!$IQ$4+[3]UPS!$IQ$15</f>
        <v>107</v>
      </c>
      <c r="R4" s="95">
        <f>'[3]Misc Cargo'!$IQ$4</f>
        <v>0</v>
      </c>
      <c r="S4" s="368">
        <f>SUM(B4:R4)</f>
        <v>606</v>
      </c>
      <c r="U4" s="340"/>
      <c r="V4" s="340"/>
      <c r="W4" s="217"/>
    </row>
    <row r="5" spans="1:23" x14ac:dyDescent="0.2">
      <c r="A5" s="37" t="s">
        <v>54</v>
      </c>
      <c r="B5" s="369">
        <f>'[3]Atlas Air'!$IQ$5</f>
        <v>2</v>
      </c>
      <c r="C5" s="156">
        <f>[3]DHL!$IQ$9+[3]DHL!$IQ$5</f>
        <v>0</v>
      </c>
      <c r="D5" s="156">
        <f>[3]Airborne!$IQ$5</f>
        <v>20</v>
      </c>
      <c r="E5" s="96">
        <f>[3]DHL_Bemidji!$IQ$5</f>
        <v>34</v>
      </c>
      <c r="F5" s="96">
        <f>[3]Bemidji!$IQ$5</f>
        <v>172</v>
      </c>
      <c r="G5" s="156">
        <f>[3]DHL_Encore!$IQ$5</f>
        <v>0</v>
      </c>
      <c r="H5" s="156">
        <f>[3]DHL_Mesa!$IQ$5</f>
        <v>3</v>
      </c>
      <c r="I5" s="156">
        <f>[3]Encore!$IQ$5</f>
        <v>0</v>
      </c>
      <c r="J5" s="156">
        <f>[3]FedEx!$IQ$5</f>
        <v>122</v>
      </c>
      <c r="K5" s="156">
        <f>[3]IFL!$IQ$5</f>
        <v>18</v>
      </c>
      <c r="L5" s="156">
        <f>[3]DHL_Kalitta!$IQ$5</f>
        <v>0</v>
      </c>
      <c r="M5" s="96">
        <f>'[3]Mountain Cargo'!$IQ$5</f>
        <v>21</v>
      </c>
      <c r="N5" s="156">
        <f>[3]DHL_Amerijet!$IQ$5</f>
        <v>0</v>
      </c>
      <c r="O5" s="156">
        <f>[3]DHL_Swift!$IQ$5</f>
        <v>0</v>
      </c>
      <c r="P5" s="156">
        <f>+'[3]Sun Country Cargo'!$IQ$5+'[3]Sun Country Cargo'!$IQ$9+'[3]Sun Country Cargo'!$IQ$16</f>
        <v>107</v>
      </c>
      <c r="Q5" s="156">
        <f>[3]UPS!$IQ$5+[3]UPS!$IQ$16</f>
        <v>105</v>
      </c>
      <c r="R5" s="96">
        <f>'[3]Misc Cargo'!$IQ$5</f>
        <v>0</v>
      </c>
      <c r="S5" s="368">
        <f>SUM(B5:R5)</f>
        <v>604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4</v>
      </c>
      <c r="C6" s="371">
        <f t="shared" si="0"/>
        <v>0</v>
      </c>
      <c r="D6" s="371">
        <f t="shared" ref="D6:E6" si="1">SUM(D4:D5)</f>
        <v>40</v>
      </c>
      <c r="E6" s="93">
        <f t="shared" si="1"/>
        <v>68</v>
      </c>
      <c r="F6" s="93">
        <f t="shared" si="0"/>
        <v>344</v>
      </c>
      <c r="G6" s="371">
        <f t="shared" si="0"/>
        <v>0</v>
      </c>
      <c r="H6" s="371">
        <f t="shared" ref="H6" si="2">SUM(H4:H5)</f>
        <v>6</v>
      </c>
      <c r="I6" s="371">
        <f t="shared" si="0"/>
        <v>0</v>
      </c>
      <c r="J6" s="371">
        <f t="shared" si="0"/>
        <v>244</v>
      </c>
      <c r="K6" s="371">
        <f t="shared" si="0"/>
        <v>36</v>
      </c>
      <c r="L6" s="371">
        <f t="shared" si="0"/>
        <v>0</v>
      </c>
      <c r="M6" s="93">
        <f t="shared" si="0"/>
        <v>42</v>
      </c>
      <c r="N6" s="371">
        <f t="shared" si="0"/>
        <v>0</v>
      </c>
      <c r="O6" s="371">
        <f t="shared" si="0"/>
        <v>0</v>
      </c>
      <c r="P6" s="371">
        <f t="shared" si="0"/>
        <v>214</v>
      </c>
      <c r="Q6" s="371">
        <f t="shared" si="0"/>
        <v>212</v>
      </c>
      <c r="R6" s="93">
        <f t="shared" si="0"/>
        <v>0</v>
      </c>
      <c r="S6" s="368">
        <f t="shared" ref="S6:S10" si="3">SUM(B6:R6)</f>
        <v>1210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'[3]Misc Cargo'!$IQ$8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'[3]Misc Cargo'!$IQ$9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4</v>
      </c>
      <c r="C12" s="161">
        <f t="shared" si="7"/>
        <v>0</v>
      </c>
      <c r="D12" s="161">
        <f t="shared" ref="D12:E12" si="8">D6+D10</f>
        <v>40</v>
      </c>
      <c r="E12" s="162">
        <f t="shared" si="8"/>
        <v>68</v>
      </c>
      <c r="F12" s="162">
        <f t="shared" si="7"/>
        <v>344</v>
      </c>
      <c r="G12" s="161">
        <f t="shared" si="7"/>
        <v>0</v>
      </c>
      <c r="H12" s="161">
        <f t="shared" ref="H12" si="9">H6+H10</f>
        <v>6</v>
      </c>
      <c r="I12" s="161">
        <f t="shared" si="7"/>
        <v>0</v>
      </c>
      <c r="J12" s="161">
        <f t="shared" si="7"/>
        <v>244</v>
      </c>
      <c r="K12" s="161">
        <f t="shared" si="7"/>
        <v>36</v>
      </c>
      <c r="L12" s="161">
        <f t="shared" si="7"/>
        <v>0</v>
      </c>
      <c r="M12" s="162">
        <f t="shared" si="7"/>
        <v>42</v>
      </c>
      <c r="N12" s="161">
        <f t="shared" si="7"/>
        <v>0</v>
      </c>
      <c r="O12" s="161">
        <f t="shared" si="7"/>
        <v>0</v>
      </c>
      <c r="P12" s="161">
        <f t="shared" si="7"/>
        <v>214</v>
      </c>
      <c r="Q12" s="161">
        <f t="shared" si="7"/>
        <v>212</v>
      </c>
      <c r="R12" s="162">
        <f t="shared" si="7"/>
        <v>0</v>
      </c>
      <c r="S12" s="374">
        <f>SUM(B12:R12)</f>
        <v>1210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'[3]Atlas Air'!$IQ$47</f>
        <v>32365</v>
      </c>
      <c r="C16" s="132">
        <f>[3]DHL!$IQ$47</f>
        <v>0</v>
      </c>
      <c r="D16" s="132">
        <f>[3]Airborne!$IQ$47</f>
        <v>741739</v>
      </c>
      <c r="E16" s="132">
        <f>[3]DHL_Bemidji!$IQ$47</f>
        <v>42571</v>
      </c>
      <c r="F16" s="461" t="s">
        <v>86</v>
      </c>
      <c r="G16" s="132">
        <f>[3]DHL_Encore!$IQ$47</f>
        <v>0</v>
      </c>
      <c r="H16" s="132">
        <f>[3]DHL_Mesa!$IQ$47</f>
        <v>80470</v>
      </c>
      <c r="I16" s="132">
        <f>[3]Encore!$IQ$47</f>
        <v>0</v>
      </c>
      <c r="J16" s="132">
        <f>[3]FedEx!$IQ$47</f>
        <v>8436094</v>
      </c>
      <c r="K16" s="132">
        <f>[3]IFL!$IQ$47</f>
        <v>60782</v>
      </c>
      <c r="L16" s="132">
        <f>[3]DHL_Kalitta!$IQ$47</f>
        <v>0</v>
      </c>
      <c r="M16" s="95">
        <f>'[3]Mountain Cargo'!$IQ$47</f>
        <v>0</v>
      </c>
      <c r="N16" s="132">
        <f>[3]DHL_Amerijet!$IQ$47</f>
        <v>0</v>
      </c>
      <c r="O16" s="132">
        <f>[3]DHL_Swift!$IQ$47</f>
        <v>0</v>
      </c>
      <c r="P16" s="132">
        <f>+'[3]Sun Country Cargo'!$IQ$47</f>
        <v>2599450</v>
      </c>
      <c r="Q16" s="132">
        <f>[3]UPS!$IQ$47</f>
        <v>4786188</v>
      </c>
      <c r="R16" s="95">
        <f>'[3]Misc Cargo'!$IQ$47</f>
        <v>0</v>
      </c>
      <c r="S16" s="368">
        <f>SUM(B16:E16)+SUM(G16:R16)</f>
        <v>16779659</v>
      </c>
      <c r="U16" s="340"/>
      <c r="V16" s="340"/>
      <c r="W16" s="217"/>
    </row>
    <row r="17" spans="1:23" x14ac:dyDescent="0.2">
      <c r="A17" s="37" t="s">
        <v>38</v>
      </c>
      <c r="B17" s="183">
        <f>'[3]Atlas Air'!$IQ$48</f>
        <v>0</v>
      </c>
      <c r="C17" s="132">
        <f>[3]DHL!$IQ$48</f>
        <v>0</v>
      </c>
      <c r="D17" s="132">
        <f>[3]Airborne!$IQ$48</f>
        <v>0</v>
      </c>
      <c r="E17" s="132">
        <f>[3]DHL_Bemidji!$IQ$48</f>
        <v>0</v>
      </c>
      <c r="F17" s="462"/>
      <c r="G17" s="132">
        <f>[3]DHL_Encore!$IQ$48</f>
        <v>0</v>
      </c>
      <c r="H17" s="132">
        <f>[3]DHL_Mesa!$IQ$48</f>
        <v>0</v>
      </c>
      <c r="I17" s="132">
        <f>[3]Encore!$IQ$48</f>
        <v>0</v>
      </c>
      <c r="J17" s="132">
        <f>[3]FedEx!$IQ$48</f>
        <v>0</v>
      </c>
      <c r="K17" s="132">
        <f>[3]IFL!$IQ$48</f>
        <v>0</v>
      </c>
      <c r="L17" s="132">
        <f>[3]DHL_Kalitta!$IQ$48</f>
        <v>0</v>
      </c>
      <c r="M17" s="95">
        <f>'[3]Mountain Cargo'!$IQ$48</f>
        <v>47611</v>
      </c>
      <c r="N17" s="132">
        <f>[3]DHL_Amerijet!$IQ$48</f>
        <v>0</v>
      </c>
      <c r="O17" s="132">
        <f>[3]DHL_Swift!$IQ$48</f>
        <v>0</v>
      </c>
      <c r="P17" s="132">
        <f>+'[3]Sun Country Cargo'!$IQ$48</f>
        <v>0</v>
      </c>
      <c r="Q17" s="132">
        <f>[3]UPS!$IQ$48</f>
        <v>0</v>
      </c>
      <c r="R17" s="95">
        <f>'[3]Misc Cargo'!$IQ$48</f>
        <v>0</v>
      </c>
      <c r="S17" s="368">
        <f>SUM(B17:E17)+SUM(G17:R17)</f>
        <v>47611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32365</v>
      </c>
      <c r="C18" s="223">
        <f>SUM(C16:C17)</f>
        <v>0</v>
      </c>
      <c r="D18" s="223">
        <f>SUM(D16:D17)</f>
        <v>741739</v>
      </c>
      <c r="E18" s="223">
        <f>SUM(E16:E17)</f>
        <v>42571</v>
      </c>
      <c r="F18" s="462"/>
      <c r="G18" s="223">
        <f>SUM(G16:G17)</f>
        <v>0</v>
      </c>
      <c r="H18" s="223">
        <f>SUM(H16:H17)</f>
        <v>80470</v>
      </c>
      <c r="I18" s="223">
        <f>SUM(I16:I17)</f>
        <v>0</v>
      </c>
      <c r="J18" s="223">
        <f>SUM(J16:J17)</f>
        <v>8436094</v>
      </c>
      <c r="K18" s="223">
        <f>SUM(K16:K17)</f>
        <v>60782</v>
      </c>
      <c r="L18" s="223">
        <f t="shared" ref="L18:R18" si="10">SUM(L16:L17)</f>
        <v>0</v>
      </c>
      <c r="M18" s="224">
        <f t="shared" si="10"/>
        <v>47611</v>
      </c>
      <c r="N18" s="223">
        <f t="shared" si="10"/>
        <v>0</v>
      </c>
      <c r="O18" s="223">
        <f t="shared" si="10"/>
        <v>0</v>
      </c>
      <c r="P18" s="223">
        <f t="shared" si="10"/>
        <v>2599450</v>
      </c>
      <c r="Q18" s="223">
        <f t="shared" si="10"/>
        <v>4786188</v>
      </c>
      <c r="R18" s="224">
        <f t="shared" si="10"/>
        <v>0</v>
      </c>
      <c r="S18" s="380">
        <f>SUM(B18:D18)+SUM(G18:R18)</f>
        <v>16784699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62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62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'[3]Atlas Air'!$IQ$52</f>
        <v>68937</v>
      </c>
      <c r="C21" s="132">
        <f>[3]DHL!$IQ$52</f>
        <v>0</v>
      </c>
      <c r="D21" s="132">
        <f>[3]Airborne!$IQ$52</f>
        <v>1277607</v>
      </c>
      <c r="E21" s="132">
        <f>[3]DHL_Bemidji!$IQ$52</f>
        <v>51980</v>
      </c>
      <c r="F21" s="462"/>
      <c r="G21" s="132">
        <f>[3]DHL_Encore!$IQ$52</f>
        <v>0</v>
      </c>
      <c r="H21" s="132">
        <f>[3]DHL_Mesa!$IQ$52</f>
        <v>0</v>
      </c>
      <c r="I21" s="132">
        <f>[3]Encore!$IQ$52</f>
        <v>0</v>
      </c>
      <c r="J21" s="132">
        <f>[3]FedEx!$IQ$52</f>
        <v>7019229</v>
      </c>
      <c r="K21" s="132">
        <f>[3]IFL!$IQ$52</f>
        <v>0</v>
      </c>
      <c r="L21" s="132">
        <f>[3]DHL_Kalitta!$IQ$52</f>
        <v>0</v>
      </c>
      <c r="M21" s="95">
        <f>'[3]Mountain Cargo'!$IQ$52</f>
        <v>0</v>
      </c>
      <c r="N21" s="132">
        <f>[3]DHL_Amerijet!$IQ$52</f>
        <v>0</v>
      </c>
      <c r="O21" s="132">
        <f>[3]DHL_Swift!$IQ$52</f>
        <v>0</v>
      </c>
      <c r="P21" s="132">
        <f>+'[3]Sun Country Cargo'!$IQ$52</f>
        <v>2651919</v>
      </c>
      <c r="Q21" s="132">
        <f>[3]UPS!$IQ$52</f>
        <v>4018058</v>
      </c>
      <c r="R21" s="95">
        <f>'[3]Misc Cargo'!$IQ$52</f>
        <v>0</v>
      </c>
      <c r="S21" s="368">
        <f>SUM(B21:E21)+SUM(G21:R21)</f>
        <v>15087730</v>
      </c>
      <c r="U21" s="340"/>
      <c r="V21" s="340"/>
      <c r="W21" s="217"/>
    </row>
    <row r="22" spans="1:23" x14ac:dyDescent="0.2">
      <c r="A22" s="37" t="s">
        <v>60</v>
      </c>
      <c r="B22" s="183">
        <f>'[3]Atlas Air'!$IQ$53</f>
        <v>0</v>
      </c>
      <c r="C22" s="132">
        <f>[3]DHL!$IQ$53</f>
        <v>0</v>
      </c>
      <c r="D22" s="132">
        <f>[3]Airborne!$IQ$53</f>
        <v>0</v>
      </c>
      <c r="E22" s="132">
        <f>[3]DHL_Bemidji!$IQ$53</f>
        <v>0</v>
      </c>
      <c r="F22" s="462"/>
      <c r="G22" s="132">
        <f>[3]DHL_Encore!$IQ$53</f>
        <v>0</v>
      </c>
      <c r="H22" s="132">
        <f>[3]DHL_Mesa!$IQ$53</f>
        <v>0</v>
      </c>
      <c r="I22" s="132">
        <f>[3]Encore!$IQ$53</f>
        <v>0</v>
      </c>
      <c r="J22" s="132">
        <f>[3]FedEx!$IQ$53</f>
        <v>0</v>
      </c>
      <c r="K22" s="132">
        <f>[3]IFL!$IQ$53</f>
        <v>0</v>
      </c>
      <c r="L22" s="132">
        <f>[3]DHL_Kalitta!$IQ$53</f>
        <v>0</v>
      </c>
      <c r="M22" s="95">
        <f>'[3]Mountain Cargo'!$IQ$53</f>
        <v>102610</v>
      </c>
      <c r="N22" s="132">
        <f>[3]DHL_Amerijet!$IQ$53</f>
        <v>0</v>
      </c>
      <c r="O22" s="132">
        <f>[3]DHL_Swift!$IQ$53</f>
        <v>0</v>
      </c>
      <c r="P22" s="132">
        <f>+'[3]Sun Country Cargo'!$IQ$53</f>
        <v>0</v>
      </c>
      <c r="Q22" s="132">
        <f>[3]UPS!$IQ$53</f>
        <v>0</v>
      </c>
      <c r="R22" s="95">
        <f>'[3]Misc Cargo'!$IQ$53</f>
        <v>0</v>
      </c>
      <c r="S22" s="368">
        <f>SUM(B22:E22)+SUM(G22:R22)</f>
        <v>102610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68937</v>
      </c>
      <c r="C23" s="223">
        <f>SUM(C21:C22)</f>
        <v>0</v>
      </c>
      <c r="D23" s="223">
        <f t="shared" ref="D23:E23" si="11">SUM(D21:D22)</f>
        <v>1277607</v>
      </c>
      <c r="E23" s="223">
        <f t="shared" si="11"/>
        <v>51980</v>
      </c>
      <c r="F23" s="462"/>
      <c r="G23" s="223">
        <f t="shared" ref="G23:R23" si="12">SUM(G21:G22)</f>
        <v>0</v>
      </c>
      <c r="H23" s="223">
        <f t="shared" ref="H23" si="13">SUM(H21:H22)</f>
        <v>0</v>
      </c>
      <c r="I23" s="223">
        <f t="shared" si="12"/>
        <v>0</v>
      </c>
      <c r="J23" s="223">
        <f t="shared" si="12"/>
        <v>7019229</v>
      </c>
      <c r="K23" s="223">
        <f t="shared" si="12"/>
        <v>0</v>
      </c>
      <c r="L23" s="223">
        <f t="shared" si="12"/>
        <v>0</v>
      </c>
      <c r="M23" s="224">
        <f t="shared" si="12"/>
        <v>102610</v>
      </c>
      <c r="N23" s="223">
        <f t="shared" si="12"/>
        <v>0</v>
      </c>
      <c r="O23" s="223">
        <f t="shared" si="12"/>
        <v>0</v>
      </c>
      <c r="P23" s="223">
        <f t="shared" si="12"/>
        <v>2651919</v>
      </c>
      <c r="Q23" s="223">
        <f t="shared" si="12"/>
        <v>4018058</v>
      </c>
      <c r="R23" s="224">
        <f t="shared" si="12"/>
        <v>0</v>
      </c>
      <c r="S23" s="380">
        <f>SUM(B23:D23)+SUM(G23:R23)</f>
        <v>15138360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62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62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'[3]Atlas Air'!$IQ$57</f>
        <v>0</v>
      </c>
      <c r="C26" s="132">
        <f>[3]DHL!$IQ$57</f>
        <v>0</v>
      </c>
      <c r="D26" s="132">
        <f>[3]Airborne!$IQ$57</f>
        <v>0</v>
      </c>
      <c r="E26" s="132">
        <f>[3]DHL_Bemidji!$IQ$57</f>
        <v>0</v>
      </c>
      <c r="F26" s="462"/>
      <c r="G26" s="132">
        <f>[3]DHL_Encore!$IQ$57</f>
        <v>0</v>
      </c>
      <c r="H26" s="132">
        <f>[3]DHL_Mesa!$IQ$57</f>
        <v>0</v>
      </c>
      <c r="I26" s="132">
        <f>[3]Encore!$IQ$57</f>
        <v>0</v>
      </c>
      <c r="J26" s="132">
        <f>[3]FedEx!$IQ$57</f>
        <v>0</v>
      </c>
      <c r="K26" s="132">
        <f>[3]IFL!$IQ$57</f>
        <v>0</v>
      </c>
      <c r="L26" s="132">
        <f>[3]DHL_Kalitta!$IQ$57</f>
        <v>0</v>
      </c>
      <c r="M26" s="95">
        <f>'[3]Mountain Cargo'!$IQ$57</f>
        <v>0</v>
      </c>
      <c r="N26" s="132">
        <f>[3]DHL_Amerijet!$IQ$57</f>
        <v>0</v>
      </c>
      <c r="O26" s="132">
        <f>[3]DHL_Swift!$IQ$57</f>
        <v>0</v>
      </c>
      <c r="P26" s="132">
        <f>+'[3]Sun Country Cargo'!$IQ$57</f>
        <v>0</v>
      </c>
      <c r="Q26" s="132">
        <f>[3]UPS!$IQ$57</f>
        <v>0</v>
      </c>
      <c r="R26" s="95">
        <f>'[3]Misc Cargo'!$IQ$57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'[3]Atlas Air'!$IQ$58</f>
        <v>0</v>
      </c>
      <c r="C27" s="132">
        <f>[3]DHL!$IQ$58</f>
        <v>0</v>
      </c>
      <c r="D27" s="132">
        <f>[3]Airborne!$IQ$58</f>
        <v>0</v>
      </c>
      <c r="E27" s="132">
        <f>[3]DHL_Bemidji!$IQ$58</f>
        <v>0</v>
      </c>
      <c r="F27" s="462"/>
      <c r="G27" s="132">
        <f>[3]DHL_Encore!$IQ$58</f>
        <v>0</v>
      </c>
      <c r="H27" s="132">
        <f>[3]DHL_Mesa!$IQ$58</f>
        <v>0</v>
      </c>
      <c r="I27" s="132">
        <f>[3]Encore!$IQ$58</f>
        <v>0</v>
      </c>
      <c r="J27" s="132">
        <f>[3]FedEx!$IQ$58</f>
        <v>0</v>
      </c>
      <c r="K27" s="132">
        <f>[3]IFL!$IQ$58</f>
        <v>0</v>
      </c>
      <c r="L27" s="132">
        <f>[3]DHL_Kalitta!$IQ$58</f>
        <v>0</v>
      </c>
      <c r="M27" s="95">
        <f>'[3]Mountain Cargo'!$IQ$58</f>
        <v>0</v>
      </c>
      <c r="N27" s="132">
        <f>[3]DHL_Amerijet!$IQ$58</f>
        <v>0</v>
      </c>
      <c r="O27" s="132">
        <f>[3]DHL_Swift!$IQ$58</f>
        <v>0</v>
      </c>
      <c r="P27" s="132">
        <f>+'[3]Sun Country Cargo'!$IQ$58</f>
        <v>0</v>
      </c>
      <c r="Q27" s="132">
        <f>[3]UPS!$IQ$58</f>
        <v>0</v>
      </c>
      <c r="R27" s="95">
        <f>'[3]Misc Cargo'!$IQ$58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62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62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62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101302</v>
      </c>
      <c r="C31" s="132">
        <f t="shared" ref="C31:R33" si="17">C26+C21+C16</f>
        <v>0</v>
      </c>
      <c r="D31" s="132">
        <f t="shared" si="17"/>
        <v>2019346</v>
      </c>
      <c r="E31" s="132">
        <f t="shared" si="17"/>
        <v>94551</v>
      </c>
      <c r="F31" s="462"/>
      <c r="G31" s="132">
        <f t="shared" ref="G31:P33" si="18">G26+G21+G16</f>
        <v>0</v>
      </c>
      <c r="H31" s="132">
        <f t="shared" ref="H31" si="19">H26+H21+H16</f>
        <v>80470</v>
      </c>
      <c r="I31" s="132">
        <f t="shared" si="18"/>
        <v>0</v>
      </c>
      <c r="J31" s="132">
        <f t="shared" si="18"/>
        <v>15455323</v>
      </c>
      <c r="K31" s="132">
        <f t="shared" si="18"/>
        <v>60782</v>
      </c>
      <c r="L31" s="132">
        <f t="shared" si="18"/>
        <v>0</v>
      </c>
      <c r="M31" s="95">
        <f>M26+M21+M16</f>
        <v>0</v>
      </c>
      <c r="N31" s="132">
        <f t="shared" si="18"/>
        <v>0</v>
      </c>
      <c r="O31" s="132">
        <f t="shared" si="18"/>
        <v>0</v>
      </c>
      <c r="P31" s="132">
        <f t="shared" si="18"/>
        <v>5251369</v>
      </c>
      <c r="Q31" s="132">
        <f t="shared" si="17"/>
        <v>8804246</v>
      </c>
      <c r="R31" s="95">
        <f>R26+R21+R16</f>
        <v>0</v>
      </c>
      <c r="S31" s="368">
        <f>SUM(B31:E31)+SUM(G31:R31)</f>
        <v>31867389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63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150221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0</v>
      </c>
      <c r="R32" s="95">
        <f>R27+R22+R17</f>
        <v>0</v>
      </c>
      <c r="S32" s="368">
        <f>SUM(B32:E32)+SUM(G32:R32)</f>
        <v>150221</v>
      </c>
    </row>
    <row r="33" spans="1:19" ht="18" customHeight="1" thickBot="1" x14ac:dyDescent="0.25">
      <c r="A33" s="160" t="s">
        <v>46</v>
      </c>
      <c r="B33" s="373">
        <f>B28+B23+B18</f>
        <v>101302</v>
      </c>
      <c r="C33" s="161">
        <f t="shared" ref="C33:I33" si="21">C28+C23+C18</f>
        <v>0</v>
      </c>
      <c r="D33" s="161">
        <f t="shared" si="21"/>
        <v>2019346</v>
      </c>
      <c r="E33" s="161">
        <f t="shared" si="21"/>
        <v>94551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80470</v>
      </c>
      <c r="I33" s="161">
        <f t="shared" si="21"/>
        <v>0</v>
      </c>
      <c r="J33" s="161">
        <f t="shared" si="18"/>
        <v>15455323</v>
      </c>
      <c r="K33" s="161">
        <f t="shared" si="18"/>
        <v>60782</v>
      </c>
      <c r="L33" s="161">
        <f t="shared" si="18"/>
        <v>0</v>
      </c>
      <c r="M33" s="162">
        <f>M28+M23+M18</f>
        <v>150221</v>
      </c>
      <c r="N33" s="161">
        <f t="shared" si="18"/>
        <v>0</v>
      </c>
      <c r="O33" s="161">
        <f t="shared" si="18"/>
        <v>0</v>
      </c>
      <c r="P33" s="161">
        <f t="shared" si="17"/>
        <v>5251369</v>
      </c>
      <c r="Q33" s="161">
        <f t="shared" si="17"/>
        <v>8804246</v>
      </c>
      <c r="R33" s="162">
        <f t="shared" si="17"/>
        <v>0</v>
      </c>
      <c r="S33" s="374">
        <f>SUM(B33:E33)+SUM(G33:R33)</f>
        <v>32017610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December 2023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R13" sqref="R13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45261</v>
      </c>
      <c r="B2" s="57" t="s">
        <v>213</v>
      </c>
      <c r="C2" s="57" t="s">
        <v>63</v>
      </c>
      <c r="D2" s="57" t="s">
        <v>64</v>
      </c>
      <c r="E2" s="236" t="s">
        <v>74</v>
      </c>
      <c r="F2" s="58" t="s">
        <v>237</v>
      </c>
      <c r="G2" s="58" t="s">
        <v>223</v>
      </c>
      <c r="H2" s="59" t="s">
        <v>65</v>
      </c>
      <c r="I2" s="60" t="s">
        <v>229</v>
      </c>
      <c r="J2" s="60" t="s">
        <v>221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4782804</v>
      </c>
      <c r="C5" s="95">
        <f>'Regional Major'!M25</f>
        <v>11212.8</v>
      </c>
      <c r="D5" s="95">
        <f>Cargo!S16</f>
        <v>16779659</v>
      </c>
      <c r="E5" s="95">
        <f>SUM(B5:D5)</f>
        <v>21573675.800000001</v>
      </c>
      <c r="F5" s="95">
        <f>E5*0.00045359237</f>
        <v>9785.6547357336458</v>
      </c>
      <c r="G5" s="95">
        <f>'[1]Cargo Summary'!F5</f>
        <v>11212.198294178419</v>
      </c>
      <c r="H5" s="77">
        <f>(F5-G5)/G5</f>
        <v>-0.12723138861943434</v>
      </c>
      <c r="I5" s="95">
        <f>+'[2]Cargo Summary'!I5+F5</f>
        <v>107404.06337726588</v>
      </c>
      <c r="J5" s="95">
        <f>+'[1]Cargo Summary'!I5</f>
        <v>116192.44938400669</v>
      </c>
      <c r="K5" s="65">
        <f>(I5-J5)/J5</f>
        <v>-7.5636463929733527E-2</v>
      </c>
      <c r="M5" s="13"/>
      <c r="O5" s="400"/>
    </row>
    <row r="6" spans="1:18" x14ac:dyDescent="0.2">
      <c r="A6" s="45" t="s">
        <v>16</v>
      </c>
      <c r="B6" s="139">
        <f>'Major Airline Stats'!K29</f>
        <v>345168</v>
      </c>
      <c r="C6" s="95">
        <f>'Regional Major'!M26</f>
        <v>0</v>
      </c>
      <c r="D6" s="95">
        <f>Cargo!S17</f>
        <v>47611</v>
      </c>
      <c r="E6" s="95">
        <f>SUM(B6:D6)</f>
        <v>392779</v>
      </c>
      <c r="F6" s="95">
        <f>E6*0.00045359237</f>
        <v>178.16155749622999</v>
      </c>
      <c r="G6" s="95">
        <f>'[1]Cargo Summary'!F6</f>
        <v>646.42537270387993</v>
      </c>
      <c r="H6" s="3">
        <f>(F6-G6)/G6</f>
        <v>-0.72438959697542105</v>
      </c>
      <c r="I6" s="95">
        <f>+'[2]Cargo Summary'!I6+F6</f>
        <v>6654.5901573381989</v>
      </c>
      <c r="J6" s="95">
        <f>+'[1]Cargo Summary'!I6</f>
        <v>15692.914359640978</v>
      </c>
      <c r="K6" s="65">
        <f>(I6-J6)/J6</f>
        <v>-0.57594937404026947</v>
      </c>
      <c r="M6" s="13"/>
    </row>
    <row r="7" spans="1:18" ht="18" customHeight="1" thickBot="1" x14ac:dyDescent="0.25">
      <c r="A7" s="54" t="s">
        <v>71</v>
      </c>
      <c r="B7" s="141">
        <f>SUM(B5:B6)</f>
        <v>5127972</v>
      </c>
      <c r="C7" s="105">
        <f t="shared" ref="C7:J7" si="0">SUM(C5:C6)</f>
        <v>11212.8</v>
      </c>
      <c r="D7" s="105">
        <f t="shared" si="0"/>
        <v>16827270</v>
      </c>
      <c r="E7" s="105">
        <f t="shared" si="0"/>
        <v>21966454.800000001</v>
      </c>
      <c r="F7" s="105">
        <f t="shared" si="0"/>
        <v>9963.8162932298765</v>
      </c>
      <c r="G7" s="105">
        <f t="shared" si="0"/>
        <v>11858.623666882298</v>
      </c>
      <c r="H7" s="28">
        <f>(F7-G7)/G7</f>
        <v>-0.15978307659294985</v>
      </c>
      <c r="I7" s="105">
        <f t="shared" si="0"/>
        <v>114058.65353460408</v>
      </c>
      <c r="J7" s="105">
        <f t="shared" si="0"/>
        <v>131885.36374364767</v>
      </c>
      <c r="K7" s="238">
        <f>(I7-J7)/J7</f>
        <v>-0.13516822263685213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2163056</v>
      </c>
      <c r="C10" s="95">
        <f>'Regional Major'!M30</f>
        <v>8837.1</v>
      </c>
      <c r="D10" s="95">
        <f>Cargo!S21</f>
        <v>15087730</v>
      </c>
      <c r="E10" s="95">
        <f>SUM(B10:D10)</f>
        <v>17259623.100000001</v>
      </c>
      <c r="F10" s="95">
        <f>E10*0.00045359237</f>
        <v>7828.8333472357472</v>
      </c>
      <c r="G10" s="95">
        <f>'[1]Cargo Summary'!F10</f>
        <v>8633.0484915551806</v>
      </c>
      <c r="H10" s="3">
        <f>(F10-G10)/G10</f>
        <v>-9.3155406819052849E-2</v>
      </c>
      <c r="I10" s="95">
        <f>+'[2]Cargo Summary'!I10+F10</f>
        <v>84905.432632741868</v>
      </c>
      <c r="J10" s="95">
        <f>+'[1]Cargo Summary'!I10</f>
        <v>93125.46517727006</v>
      </c>
      <c r="K10" s="65">
        <f>(I10-J10)/J10</f>
        <v>-8.8268364929837972E-2</v>
      </c>
      <c r="M10" s="13"/>
      <c r="O10" s="400"/>
    </row>
    <row r="11" spans="1:18" x14ac:dyDescent="0.2">
      <c r="A11" s="45" t="s">
        <v>16</v>
      </c>
      <c r="B11" s="139">
        <f>'Major Airline Stats'!K34</f>
        <v>498326</v>
      </c>
      <c r="C11" s="95">
        <f>'Regional Major'!M31</f>
        <v>0</v>
      </c>
      <c r="D11" s="95">
        <f>Cargo!S22</f>
        <v>102610</v>
      </c>
      <c r="E11" s="95">
        <f>SUM(B11:D11)</f>
        <v>600936</v>
      </c>
      <c r="F11" s="95">
        <f>E11*0.00045359237</f>
        <v>272.57998445831998</v>
      </c>
      <c r="G11" s="95">
        <f>'[1]Cargo Summary'!F11</f>
        <v>731.15189149617993</v>
      </c>
      <c r="H11" s="25">
        <f>(F11-G11)/G11</f>
        <v>-0.62719102880178468</v>
      </c>
      <c r="I11" s="95">
        <f>+'[2]Cargo Summary'!I11+F11</f>
        <v>4679.18767491791</v>
      </c>
      <c r="J11" s="95">
        <f>+'[1]Cargo Summary'!I11</f>
        <v>12419.036314269506</v>
      </c>
      <c r="K11" s="65">
        <f>(I11-J11)/J11</f>
        <v>-0.62322457584397983</v>
      </c>
      <c r="M11" s="13"/>
    </row>
    <row r="12" spans="1:18" ht="18" customHeight="1" thickBot="1" x14ac:dyDescent="0.25">
      <c r="A12" s="54" t="s">
        <v>72</v>
      </c>
      <c r="B12" s="141">
        <f>SUM(B10:B11)</f>
        <v>2661382</v>
      </c>
      <c r="C12" s="105">
        <f t="shared" ref="C12:J12" si="1">SUM(C10:C11)</f>
        <v>8837.1</v>
      </c>
      <c r="D12" s="105">
        <f t="shared" si="1"/>
        <v>15190340</v>
      </c>
      <c r="E12" s="105">
        <f t="shared" si="1"/>
        <v>17860559.100000001</v>
      </c>
      <c r="F12" s="105">
        <f t="shared" si="1"/>
        <v>8101.413331694067</v>
      </c>
      <c r="G12" s="105">
        <f t="shared" si="1"/>
        <v>9364.2003830513604</v>
      </c>
      <c r="H12" s="28">
        <f>(F12-G12)/G12</f>
        <v>-0.13485263019818136</v>
      </c>
      <c r="I12" s="105">
        <f>SUM(I10:I11)</f>
        <v>89584.620307659774</v>
      </c>
      <c r="J12" s="105">
        <f t="shared" si="1"/>
        <v>105544.50149153956</v>
      </c>
      <c r="K12" s="238">
        <f>(I12-J12)/J12</f>
        <v>-0.15121470998808145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+'[2]Cargo Summary'!I15+F15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+'[2]Cargo Summary'!I16+F16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6945860</v>
      </c>
      <c r="C20" s="95">
        <f t="shared" si="3"/>
        <v>20049.900000000001</v>
      </c>
      <c r="D20" s="95">
        <f t="shared" si="3"/>
        <v>31867389</v>
      </c>
      <c r="E20" s="95">
        <f>SUM(B20:D20)</f>
        <v>38833298.899999999</v>
      </c>
      <c r="F20" s="95">
        <f>E20*0.00045359237</f>
        <v>17614.48808296939</v>
      </c>
      <c r="G20" s="95">
        <f>'[1]Cargo Summary'!F20</f>
        <v>19845.246785733598</v>
      </c>
      <c r="H20" s="3">
        <f>(F20-G20)/G20</f>
        <v>-0.112407707843062</v>
      </c>
      <c r="I20" s="95">
        <f>+'[2]Cargo Summary'!I20+F20</f>
        <v>192309.49601000774</v>
      </c>
      <c r="J20" s="95">
        <f>+'[1]Cargo Summary'!I20</f>
        <v>209317.91456127676</v>
      </c>
      <c r="K20" s="65">
        <f>(I20-J20)/J20</f>
        <v>-8.1256392157919619E-2</v>
      </c>
      <c r="M20" s="13"/>
    </row>
    <row r="21" spans="1:13" x14ac:dyDescent="0.2">
      <c r="A21" s="45" t="s">
        <v>16</v>
      </c>
      <c r="B21" s="139">
        <f t="shared" si="3"/>
        <v>843494</v>
      </c>
      <c r="C21" s="96">
        <f t="shared" si="3"/>
        <v>0</v>
      </c>
      <c r="D21" s="96">
        <f t="shared" si="3"/>
        <v>150221</v>
      </c>
      <c r="E21" s="95">
        <f>SUM(B21:D21)</f>
        <v>993715</v>
      </c>
      <c r="F21" s="95">
        <f>E21*0.00045359237</f>
        <v>450.74154195454997</v>
      </c>
      <c r="G21" s="95">
        <f>'[1]Cargo Summary'!F21</f>
        <v>1377.57726420006</v>
      </c>
      <c r="H21" s="3">
        <f>(F21-G21)/G21</f>
        <v>-0.67280126228252657</v>
      </c>
      <c r="I21" s="95">
        <f>+'[2]Cargo Summary'!I21+F21</f>
        <v>11333.777832256112</v>
      </c>
      <c r="J21" s="95">
        <f>+'[1]Cargo Summary'!I21</f>
        <v>28111.950673910491</v>
      </c>
      <c r="K21" s="65">
        <f>(I21-J21)/J21</f>
        <v>-0.59683417334768907</v>
      </c>
      <c r="M21" s="13"/>
    </row>
    <row r="22" spans="1:13" ht="18" customHeight="1" thickBot="1" x14ac:dyDescent="0.25">
      <c r="A22" s="67" t="s">
        <v>62</v>
      </c>
      <c r="B22" s="142">
        <f>SUM(B20:B21)</f>
        <v>7789354</v>
      </c>
      <c r="C22" s="143">
        <f t="shared" ref="C22:J22" si="4">SUM(C20:C21)</f>
        <v>20049.900000000001</v>
      </c>
      <c r="D22" s="143">
        <f t="shared" si="4"/>
        <v>32017610</v>
      </c>
      <c r="E22" s="143">
        <f t="shared" si="4"/>
        <v>39827013.899999999</v>
      </c>
      <c r="F22" s="143">
        <f t="shared" si="4"/>
        <v>18065.229624923941</v>
      </c>
      <c r="G22" s="143">
        <f t="shared" si="4"/>
        <v>21222.824049933657</v>
      </c>
      <c r="H22" s="244">
        <f>(F22-G22)/G22</f>
        <v>-0.14878295261650568</v>
      </c>
      <c r="I22" s="143">
        <f>SUM(I20:I21)</f>
        <v>203643.27384226385</v>
      </c>
      <c r="J22" s="143">
        <f t="shared" si="4"/>
        <v>237429.86523518726</v>
      </c>
      <c r="K22" s="245">
        <f>(I22-J22)/J22</f>
        <v>-0.14230135437871702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December 2023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B13" sqref="B13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8.85546875" bestFit="1" customWidth="1"/>
    <col min="15" max="16" width="11.140625" bestFit="1" customWidth="1"/>
    <col min="17" max="17" width="9.2851562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70" t="s">
        <v>182</v>
      </c>
      <c r="B2" s="471"/>
      <c r="C2" s="336" t="s">
        <v>231</v>
      </c>
      <c r="D2" s="337" t="s">
        <v>224</v>
      </c>
      <c r="E2" s="394" t="s">
        <v>95</v>
      </c>
      <c r="F2" s="339" t="s">
        <v>232</v>
      </c>
      <c r="G2" s="337" t="s">
        <v>225</v>
      </c>
      <c r="H2" s="395" t="s">
        <v>96</v>
      </c>
      <c r="I2" s="338" t="s">
        <v>135</v>
      </c>
      <c r="J2" s="470" t="s">
        <v>178</v>
      </c>
      <c r="K2" s="471"/>
      <c r="L2" s="336" t="s">
        <v>241</v>
      </c>
      <c r="M2" s="337" t="s">
        <v>242</v>
      </c>
      <c r="N2" s="394" t="s">
        <v>95</v>
      </c>
      <c r="O2" s="339" t="s">
        <v>243</v>
      </c>
      <c r="P2" s="337" t="s">
        <v>244</v>
      </c>
      <c r="Q2" s="395" t="s">
        <v>96</v>
      </c>
      <c r="R2" s="338" t="s">
        <v>135</v>
      </c>
      <c r="T2" s="392"/>
    </row>
    <row r="3" spans="1:20" s="9" customFormat="1" ht="13.5" customHeight="1" thickBot="1" x14ac:dyDescent="0.25">
      <c r="A3" s="472">
        <v>45261</v>
      </c>
      <c r="B3" s="473"/>
      <c r="C3" s="474" t="s">
        <v>9</v>
      </c>
      <c r="D3" s="475"/>
      <c r="E3" s="475"/>
      <c r="F3" s="475"/>
      <c r="G3" s="475"/>
      <c r="H3" s="476"/>
      <c r="I3" s="365"/>
      <c r="J3" s="472">
        <f>+A3</f>
        <v>45261</v>
      </c>
      <c r="K3" s="473"/>
      <c r="L3" s="467" t="s">
        <v>179</v>
      </c>
      <c r="M3" s="468"/>
      <c r="N3" s="468"/>
      <c r="O3" s="468"/>
      <c r="P3" s="468"/>
      <c r="Q3" s="468"/>
      <c r="R3" s="469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202</v>
      </c>
      <c r="B5" s="39"/>
      <c r="C5" s="382">
        <f>SUM(C6:C7)</f>
        <v>218</v>
      </c>
      <c r="D5" s="382">
        <f>SUM(D6:D7)</f>
        <v>179</v>
      </c>
      <c r="E5" s="383">
        <f>(C5-D5)/D5</f>
        <v>0.21787709497206703</v>
      </c>
      <c r="F5" s="382">
        <f>SUM(F6:F7)</f>
        <v>2289</v>
      </c>
      <c r="G5" s="382">
        <f>SUM(G6:G7)</f>
        <v>1786</v>
      </c>
      <c r="H5" s="384">
        <f>(F5-G5)/G5</f>
        <v>0.28163493840985443</v>
      </c>
      <c r="I5" s="383">
        <f>+F5/$F$34</f>
        <v>0.16361686919228019</v>
      </c>
      <c r="J5" s="258" t="s">
        <v>202</v>
      </c>
      <c r="K5" s="39"/>
      <c r="L5" s="382">
        <f>SUM(L6:L7)</f>
        <v>5352671</v>
      </c>
      <c r="M5" s="382">
        <f>SUM(M6:M7)</f>
        <v>6720502</v>
      </c>
      <c r="N5" s="383">
        <f>(L5-M5)/M5</f>
        <v>-0.20353107550596666</v>
      </c>
      <c r="O5" s="382">
        <f>SUM(O6:O7)</f>
        <v>64388434</v>
      </c>
      <c r="P5" s="382">
        <f>SUM(P6:P7)</f>
        <v>69271833</v>
      </c>
      <c r="Q5" s="384">
        <f>(O5-P5)/P5</f>
        <v>-7.0496171221569953E-2</v>
      </c>
      <c r="R5" s="383">
        <f>O5/$O$34</f>
        <v>0.17739224864850006</v>
      </c>
      <c r="T5" s="391"/>
    </row>
    <row r="6" spans="1:20" ht="14.1" customHeight="1" x14ac:dyDescent="0.2">
      <c r="A6" s="37"/>
      <c r="B6" s="318" t="s">
        <v>203</v>
      </c>
      <c r="C6" s="322">
        <f>+'[3]Atlas Air'!$IQ$19</f>
        <v>4</v>
      </c>
      <c r="D6" s="217">
        <f>+'[3]Atlas Air'!$IC$19</f>
        <v>62</v>
      </c>
      <c r="E6" s="324">
        <f>(C6-D6)/D6</f>
        <v>-0.93548387096774188</v>
      </c>
      <c r="F6" s="322">
        <f>+SUM('[3]Atlas Air'!$IF$19:$IQ$19)</f>
        <v>336</v>
      </c>
      <c r="G6" s="217">
        <f>+SUM('[3]Atlas Air'!$HR$19:$IC$19)</f>
        <v>728</v>
      </c>
      <c r="H6" s="323">
        <f>(F6-G6)/G6</f>
        <v>-0.53846153846153844</v>
      </c>
      <c r="I6" s="324">
        <f>+F6/$F$34</f>
        <v>2.4017155110793425E-2</v>
      </c>
      <c r="J6" s="37"/>
      <c r="K6" s="318" t="s">
        <v>203</v>
      </c>
      <c r="L6" s="322">
        <f>+'[3]Atlas Air'!$IQ$64</f>
        <v>101302</v>
      </c>
      <c r="M6" s="217">
        <f>+'[3]Atlas Air'!$IC$64</f>
        <v>4079278</v>
      </c>
      <c r="N6" s="324">
        <f>(L6-M6)/M6</f>
        <v>-0.97516668390827987</v>
      </c>
      <c r="O6" s="217">
        <f>+SUM('[3]Atlas Air'!$IF$64:$IQ$64)</f>
        <v>15728416</v>
      </c>
      <c r="P6" s="217">
        <f>+SUM('[3]Atlas Air'!$HR$64:$IC$64)</f>
        <v>41913658</v>
      </c>
      <c r="Q6" s="323">
        <f>(O6-P6)/P6</f>
        <v>-0.62474246461618788</v>
      </c>
      <c r="R6" s="324">
        <f>O6/$O$34</f>
        <v>4.333230222556813E-2</v>
      </c>
      <c r="T6" s="391"/>
    </row>
    <row r="7" spans="1:20" ht="14.1" customHeight="1" x14ac:dyDescent="0.2">
      <c r="A7" s="37"/>
      <c r="B7" s="318" t="s">
        <v>49</v>
      </c>
      <c r="C7" s="322">
        <f>+'[3]Sun Country Cargo'!$IQ$19</f>
        <v>214</v>
      </c>
      <c r="D7" s="217">
        <f>+'[3]Sun Country Cargo'!$IC$19</f>
        <v>117</v>
      </c>
      <c r="E7" s="324">
        <f>(C7-D7)/D7</f>
        <v>0.82905982905982911</v>
      </c>
      <c r="F7" s="322">
        <f>+SUM('[3]Sun Country Cargo'!$IF$19:$IQ$19)</f>
        <v>1953</v>
      </c>
      <c r="G7" s="217">
        <f>+SUM('[3]Sun Country Cargo'!$HR$19:$IC$19)</f>
        <v>1058</v>
      </c>
      <c r="H7" s="323">
        <f>(F7-G7)/G7</f>
        <v>0.84593572778827975</v>
      </c>
      <c r="I7" s="324">
        <f>+F7/$F$34</f>
        <v>0.13959971408148678</v>
      </c>
      <c r="J7" s="37"/>
      <c r="K7" s="318" t="s">
        <v>49</v>
      </c>
      <c r="L7" s="322">
        <f>+'[3]Sun Country Cargo'!$IQ$64</f>
        <v>5251369</v>
      </c>
      <c r="M7" s="217">
        <f>+'[3]Sun Country Cargo'!$IC$64</f>
        <v>2641224</v>
      </c>
      <c r="N7" s="324">
        <f>(L7-M7)/M7</f>
        <v>0.98823310707459877</v>
      </c>
      <c r="O7" s="217">
        <f>+SUM('[3]Sun Country Cargo'!$IF$64:$IQ$64)</f>
        <v>48660018</v>
      </c>
      <c r="P7" s="217">
        <f>+SUM('[3]Sun Country Cargo'!$HR$64:$IC$64)</f>
        <v>27358175</v>
      </c>
      <c r="Q7" s="323">
        <f>(O7-P7)/P7</f>
        <v>0.77862807003756651</v>
      </c>
      <c r="R7" s="324">
        <f>O7/$O$34</f>
        <v>0.13405994642293192</v>
      </c>
      <c r="T7" s="391"/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204</v>
      </c>
      <c r="B9" s="39"/>
      <c r="C9" s="382">
        <f>SUM(C10:C18)</f>
        <v>114</v>
      </c>
      <c r="D9" s="382">
        <f>SUM(D10:D18)</f>
        <v>150</v>
      </c>
      <c r="E9" s="383">
        <f>(C9-D9)/D9</f>
        <v>-0.24</v>
      </c>
      <c r="F9" s="382">
        <f>SUM(F10:F18)</f>
        <v>1624</v>
      </c>
      <c r="G9" s="382">
        <f>SUM(G10:G18)</f>
        <v>1850</v>
      </c>
      <c r="H9" s="384">
        <f>(F9-G9)/G9</f>
        <v>-0.12216216216216216</v>
      </c>
      <c r="I9" s="383">
        <f t="shared" ref="I9:I18" si="0">+F9/$F$34</f>
        <v>0.11608291636883489</v>
      </c>
      <c r="J9" s="258" t="s">
        <v>204</v>
      </c>
      <c r="K9" s="39"/>
      <c r="L9" s="382">
        <f>SUM(L10:L18)</f>
        <v>2194367</v>
      </c>
      <c r="M9" s="382">
        <f>SUM(M10:M18)</f>
        <v>1496407</v>
      </c>
      <c r="N9" s="383">
        <f t="shared" ref="N9:N18" si="1">(L9-M9)/M9</f>
        <v>0.46642390739952433</v>
      </c>
      <c r="O9" s="382">
        <f>SUM(O10:O18)</f>
        <v>19041253</v>
      </c>
      <c r="P9" s="382">
        <f>SUM(P10:P18)</f>
        <v>19362463</v>
      </c>
      <c r="Q9" s="384">
        <f t="shared" ref="Q9:Q18" si="2">(O9-P9)/P9</f>
        <v>-1.6589315109343267E-2</v>
      </c>
      <c r="R9" s="383">
        <f t="shared" ref="R9:R18" si="3">O9/$O$34</f>
        <v>5.2459276875020715E-2</v>
      </c>
      <c r="T9" s="391"/>
    </row>
    <row r="10" spans="1:20" ht="14.1" customHeight="1" x14ac:dyDescent="0.2">
      <c r="A10" s="258"/>
      <c r="B10" s="318" t="s">
        <v>205</v>
      </c>
      <c r="C10" s="322">
        <f>+[3]Airborne!$IQ$19</f>
        <v>40</v>
      </c>
      <c r="D10" s="217">
        <f>+[3]Airborne!$IC$19</f>
        <v>0</v>
      </c>
      <c r="E10" s="324" t="e">
        <f>(C10-D10)/D10</f>
        <v>#DIV/0!</v>
      </c>
      <c r="F10" s="322">
        <f>+SUM([3]Airborne!$IF$19:$IQ$19)</f>
        <v>114</v>
      </c>
      <c r="G10" s="217">
        <f>+SUM([3]Airborne!$HR$19:$IC$19)</f>
        <v>12</v>
      </c>
      <c r="H10" s="323">
        <f>(F10-G10)/G10</f>
        <v>8.5</v>
      </c>
      <c r="I10" s="324">
        <f t="shared" si="0"/>
        <v>8.1486776268763408E-3</v>
      </c>
      <c r="J10" s="258"/>
      <c r="K10" s="318" t="s">
        <v>205</v>
      </c>
      <c r="L10" s="322">
        <f>+[3]Airborne!$IQ$64</f>
        <v>2019346</v>
      </c>
      <c r="M10" s="217">
        <f>+[3]Airborne!$IC$64</f>
        <v>0</v>
      </c>
      <c r="N10" s="324" t="e">
        <f t="shared" si="1"/>
        <v>#DIV/0!</v>
      </c>
      <c r="O10" s="322">
        <f>+SUM([3]Airborne!$IF$64:$IQ$64)</f>
        <v>4727202</v>
      </c>
      <c r="P10" s="217">
        <f>+SUM([3]Airborne!$HR$64:$IC$64)</f>
        <v>352522</v>
      </c>
      <c r="Q10" s="323">
        <f t="shared" si="2"/>
        <v>12.409665212383908</v>
      </c>
      <c r="R10" s="324">
        <f t="shared" si="3"/>
        <v>1.3023596638422464E-2</v>
      </c>
      <c r="T10" s="391"/>
    </row>
    <row r="11" spans="1:20" ht="14.1" customHeight="1" x14ac:dyDescent="0.2">
      <c r="A11" s="258"/>
      <c r="B11" s="39" t="s">
        <v>203</v>
      </c>
      <c r="C11" s="322">
        <f>+[3]DHL_Atlas!$IQ$19</f>
        <v>0</v>
      </c>
      <c r="D11" s="217">
        <f>+[3]DHL_Atlas!$IC$19</f>
        <v>0</v>
      </c>
      <c r="E11" s="324" t="e">
        <f t="shared" ref="E11:E18" si="4">(C11-D11)/D11</f>
        <v>#DIV/0!</v>
      </c>
      <c r="F11" s="322">
        <f>+SUM([3]DHL_Atlas!$IF$19:$IQ$19)</f>
        <v>0</v>
      </c>
      <c r="G11" s="217">
        <f>+SUM([3]DHL_Atlas!$HR$19:$IC$19)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203</v>
      </c>
      <c r="L11" s="322">
        <f>+[3]DHL_Atlas!$IQ$64</f>
        <v>0</v>
      </c>
      <c r="M11" s="217">
        <f>+[3]DHL_Atlas!$IC$64</f>
        <v>0</v>
      </c>
      <c r="N11" s="324" t="e">
        <f t="shared" si="1"/>
        <v>#DIV/0!</v>
      </c>
      <c r="O11" s="322">
        <f>+SUM([3]DHL_Atlas!$IF$64:$IQ$64)</f>
        <v>0</v>
      </c>
      <c r="P11" s="217">
        <f>+SUM([3]DHL_Atlas!$HR$64:$IC$64)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206</v>
      </c>
      <c r="C12" s="322">
        <f>+[3]DHL!$IQ$19</f>
        <v>0</v>
      </c>
      <c r="D12" s="217">
        <f>+[3]DHL!$IC$19</f>
        <v>2</v>
      </c>
      <c r="E12" s="324">
        <f t="shared" si="4"/>
        <v>-1</v>
      </c>
      <c r="F12" s="322">
        <f>+SUM([3]DHL!$IF$19:$IQ$19)</f>
        <v>18</v>
      </c>
      <c r="G12" s="217">
        <f>+SUM([3]DHL!$HR$19:$IC$19)</f>
        <v>2</v>
      </c>
      <c r="H12" s="323">
        <f t="shared" si="5"/>
        <v>8</v>
      </c>
      <c r="I12" s="324">
        <f t="shared" si="0"/>
        <v>1.2866333095067906E-3</v>
      </c>
      <c r="J12" s="258"/>
      <c r="K12" s="39" t="s">
        <v>206</v>
      </c>
      <c r="L12" s="322">
        <f>+[3]DHL!$IQ$64</f>
        <v>0</v>
      </c>
      <c r="M12" s="217">
        <f>+[3]DHL!$IC$64</f>
        <v>35948</v>
      </c>
      <c r="N12" s="324">
        <f t="shared" si="1"/>
        <v>-1</v>
      </c>
      <c r="O12" s="322">
        <f>+SUM([3]DHL!$IF$64:$IQ$64)</f>
        <v>556427</v>
      </c>
      <c r="P12" s="217">
        <f>+SUM([3]DHL!$HR$64:$IC$64)</f>
        <v>35948</v>
      </c>
      <c r="Q12" s="323">
        <f t="shared" si="2"/>
        <v>14.478663625236452</v>
      </c>
      <c r="R12" s="324">
        <f t="shared" si="3"/>
        <v>1.5329746447745405E-3</v>
      </c>
      <c r="T12" s="391"/>
    </row>
    <row r="13" spans="1:20" ht="14.1" customHeight="1" x14ac:dyDescent="0.2">
      <c r="A13" s="258"/>
      <c r="B13" s="318" t="s">
        <v>83</v>
      </c>
      <c r="C13" s="322">
        <f>+[3]DHL_Bemidji!$IQ$19</f>
        <v>68</v>
      </c>
      <c r="D13" s="217">
        <f>+[3]DHL_Bemidji!$IC$19</f>
        <v>54</v>
      </c>
      <c r="E13" s="324">
        <f>(C13-D13)/D13</f>
        <v>0.25925925925925924</v>
      </c>
      <c r="F13" s="322">
        <f>+SUM([3]DHL_Bemidji!$IF$19:$IQ$19)</f>
        <v>888</v>
      </c>
      <c r="G13" s="217">
        <f>+SUM([3]DHL_Bemidji!$HR$19:$IC$19)</f>
        <v>928</v>
      </c>
      <c r="H13" s="323">
        <f t="shared" si="5"/>
        <v>-4.3103448275862072E-2</v>
      </c>
      <c r="I13" s="324">
        <f t="shared" si="0"/>
        <v>6.347390993566833E-2</v>
      </c>
      <c r="J13" s="258"/>
      <c r="K13" s="318" t="s">
        <v>83</v>
      </c>
      <c r="L13" s="322">
        <f>+[3]DHL_Bemidji!$IQ$64</f>
        <v>94551</v>
      </c>
      <c r="M13" s="217">
        <f>+[3]DHL_Bemidji!$IC$64</f>
        <v>67427</v>
      </c>
      <c r="N13" s="324">
        <f t="shared" ref="N13" si="6">(L13-M13)/M13</f>
        <v>0.40227208684948168</v>
      </c>
      <c r="O13" s="322">
        <f>+SUM([3]DHL_Bemidji!$IF$64:$IQ$64)</f>
        <v>1156872</v>
      </c>
      <c r="P13" s="217">
        <f>+SUM([3]DHL_Bemidji!$HR$64:$IC$64)</f>
        <v>1213292</v>
      </c>
      <c r="Q13" s="323">
        <f t="shared" ref="Q13" si="7">(O13-P13)/P13</f>
        <v>-4.650158411989859E-2</v>
      </c>
      <c r="R13" s="324">
        <f t="shared" si="3"/>
        <v>3.1872203240489987E-3</v>
      </c>
      <c r="T13" s="391"/>
    </row>
    <row r="14" spans="1:20" ht="14.1" customHeight="1" x14ac:dyDescent="0.2">
      <c r="A14" s="258"/>
      <c r="B14" s="39" t="s">
        <v>194</v>
      </c>
      <c r="C14" s="322">
        <f>+[3]Encore!$IQ$19+[3]DHL_Encore!$IQ$12</f>
        <v>0</v>
      </c>
      <c r="D14" s="217">
        <f>+[3]Encore!$IC$19+[3]DHL_Encore!$IC$19</f>
        <v>0</v>
      </c>
      <c r="E14" s="324" t="e">
        <f t="shared" si="4"/>
        <v>#DIV/0!</v>
      </c>
      <c r="F14" s="322">
        <f>+SUM([3]Encore!$IF$19:$IQ$19)+SUM([3]DHL_Encore!$IF$19:$IQ$19)</f>
        <v>0</v>
      </c>
      <c r="G14" s="217">
        <f>+SUM([3]Encore!$HR$19:$IC$19)+SUM([3]DHL_Encore!$HR$19:$IC$19)</f>
        <v>34</v>
      </c>
      <c r="H14" s="323">
        <f t="shared" si="5"/>
        <v>-1</v>
      </c>
      <c r="I14" s="324">
        <f t="shared" si="0"/>
        <v>0</v>
      </c>
      <c r="J14" s="258"/>
      <c r="K14" s="39" t="s">
        <v>194</v>
      </c>
      <c r="L14" s="322">
        <f>+[3]Encore!$IQ$64+[3]DHL_Encore!$IQ$64</f>
        <v>0</v>
      </c>
      <c r="M14" s="217">
        <f>+[3]Encore!$IC$64+[3]DHL_Encore!$IC$64</f>
        <v>0</v>
      </c>
      <c r="N14" s="324" t="e">
        <f t="shared" si="1"/>
        <v>#DIV/0!</v>
      </c>
      <c r="O14" s="322">
        <f>+SUM([3]Encore!$IF$64:$IQ$64)+SUM([3]DHL_Encore!$IF$64:$IQ$64)</f>
        <v>0</v>
      </c>
      <c r="P14" s="217">
        <f>+SUM([3]Encore!$HR$64:$IC$64)+SUM([3]DHL_Encore!$HR$64:$IC$64)</f>
        <v>769886</v>
      </c>
      <c r="Q14" s="323">
        <f t="shared" si="2"/>
        <v>-1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207</v>
      </c>
      <c r="C15" s="322">
        <f>+[3]DHL_Kalitta!$IQ$19</f>
        <v>0</v>
      </c>
      <c r="D15" s="217">
        <f>+[3]DHL_Kalitta!$IC$19</f>
        <v>0</v>
      </c>
      <c r="E15" s="324" t="e">
        <f t="shared" si="4"/>
        <v>#DIV/0!</v>
      </c>
      <c r="F15" s="322">
        <f>+SUM([3]DHL_Kalitta!$IF$19:$IQ$19)</f>
        <v>4</v>
      </c>
      <c r="G15" s="217">
        <f>+SUM([3]DHL_Kalitta!$HR$19:$IC$19)</f>
        <v>2</v>
      </c>
      <c r="H15" s="323">
        <f t="shared" si="5"/>
        <v>1</v>
      </c>
      <c r="I15" s="324">
        <f t="shared" si="0"/>
        <v>2.8591851322373122E-4</v>
      </c>
      <c r="J15" s="258"/>
      <c r="K15" s="39" t="s">
        <v>207</v>
      </c>
      <c r="L15" s="322">
        <f>+[3]DHL_Kalitta!$IQ$64</f>
        <v>0</v>
      </c>
      <c r="M15" s="217">
        <f>+[3]DHL_Kalitta!$IC$64</f>
        <v>0</v>
      </c>
      <c r="N15" s="324" t="e">
        <f t="shared" si="1"/>
        <v>#DIV/0!</v>
      </c>
      <c r="O15" s="322">
        <f>+SUM([3]DHL_Kalitta!$IF$64:$IQ$64)</f>
        <v>109286</v>
      </c>
      <c r="P15" s="217">
        <f>+SUM([3]DHL_Kalitta!$HR$64:$IC$64)</f>
        <v>43161</v>
      </c>
      <c r="Q15" s="323">
        <f t="shared" si="2"/>
        <v>1.5320544009638331</v>
      </c>
      <c r="R15" s="324">
        <f t="shared" si="3"/>
        <v>3.0108651634236014E-4</v>
      </c>
      <c r="T15" s="391"/>
    </row>
    <row r="16" spans="1:20" ht="14.1" customHeight="1" x14ac:dyDescent="0.2">
      <c r="A16" s="258"/>
      <c r="B16" s="39" t="s">
        <v>51</v>
      </c>
      <c r="C16" s="322">
        <f>+[3]DHL_Mesa!$IQ$19</f>
        <v>6</v>
      </c>
      <c r="D16" s="217">
        <f>+[3]DHL_Mesa!$IC$19</f>
        <v>80</v>
      </c>
      <c r="E16" s="324">
        <f t="shared" ref="E16" si="8">(C16-D16)/D16</f>
        <v>-0.92500000000000004</v>
      </c>
      <c r="F16" s="322">
        <f>+SUM([3]DHL_Mesa!$IF$19:$IQ$19)</f>
        <v>308</v>
      </c>
      <c r="G16" s="217">
        <f>+SUM([3]DHL_Mesa!$HR$19:$IC$19)</f>
        <v>552</v>
      </c>
      <c r="H16" s="323">
        <f t="shared" ref="H16" si="9">(F16-G16)/G16</f>
        <v>-0.4420289855072464</v>
      </c>
      <c r="I16" s="324">
        <f t="shared" ref="I16" si="10">+F16/$F$34</f>
        <v>2.2015725518227305E-2</v>
      </c>
      <c r="J16" s="258"/>
      <c r="K16" s="39" t="s">
        <v>51</v>
      </c>
      <c r="L16" s="322">
        <f>+[3]DHL_Mesa!$IQ$64</f>
        <v>80470</v>
      </c>
      <c r="M16" s="217">
        <f>+[3]DHL_Mesa!$IC$64</f>
        <v>1227781</v>
      </c>
      <c r="N16" s="324">
        <f t="shared" ref="N16" si="11">(L16-M16)/M16</f>
        <v>-0.9344589955374778</v>
      </c>
      <c r="O16" s="322">
        <f>+SUM([3]DHL_Mesa!$IF$64:$IQ$64)</f>
        <v>6309206</v>
      </c>
      <c r="P16" s="217">
        <f>+SUM([3]DHL_Mesa!$HR$64:$IC$64)</f>
        <v>9107078</v>
      </c>
      <c r="Q16" s="323">
        <f t="shared" ref="Q16" si="12">(O16-P16)/P16</f>
        <v>-0.30721950553185118</v>
      </c>
      <c r="R16" s="324">
        <f t="shared" ref="R16" si="13">O16/$O$34</f>
        <v>1.7382069573653684E-2</v>
      </c>
      <c r="T16" s="391"/>
    </row>
    <row r="17" spans="1:20" x14ac:dyDescent="0.2">
      <c r="A17" s="258"/>
      <c r="B17" s="39" t="s">
        <v>239</v>
      </c>
      <c r="C17" s="322">
        <f>+[3]DHL_Amerijet!$IQ$19</f>
        <v>0</v>
      </c>
      <c r="D17" s="217">
        <f>+[3]DHL_Amerijet!$IC$19</f>
        <v>0</v>
      </c>
      <c r="E17" s="324" t="e">
        <f t="shared" si="4"/>
        <v>#DIV/0!</v>
      </c>
      <c r="F17" s="322">
        <f>+SUM([3]DHL_Amerijet!$IF$19:$IQ$19)</f>
        <v>82</v>
      </c>
      <c r="G17" s="217">
        <f>+SUM([3]DHL_Amerijet!$HR$19:$IC$19)</f>
        <v>0</v>
      </c>
      <c r="H17" s="323" t="e">
        <f t="shared" si="5"/>
        <v>#DIV/0!</v>
      </c>
      <c r="I17" s="324">
        <f t="shared" si="0"/>
        <v>5.8613295210864901E-3</v>
      </c>
      <c r="J17" s="258"/>
      <c r="K17" s="39" t="s">
        <v>239</v>
      </c>
      <c r="L17" s="322">
        <f>+[3]DHL_Amerijet!$IQ$64</f>
        <v>0</v>
      </c>
      <c r="M17" s="217">
        <f>+[3]DHL_Amerijet!$IC$64</f>
        <v>0</v>
      </c>
      <c r="N17" s="324" t="e">
        <f t="shared" si="1"/>
        <v>#DIV/0!</v>
      </c>
      <c r="O17" s="322">
        <f>+SUM([3]DHL_Amerijet!$IF$64:$IQ$64)</f>
        <v>2347965</v>
      </c>
      <c r="P17" s="217">
        <f>+SUM([3]DHL_Amerijet!$HR$64:$IC$64)</f>
        <v>0</v>
      </c>
      <c r="Q17" s="323" t="e">
        <f t="shared" si="2"/>
        <v>#DIV/0!</v>
      </c>
      <c r="R17" s="324">
        <f t="shared" si="3"/>
        <v>6.4687206260983987E-3</v>
      </c>
      <c r="T17" s="391"/>
    </row>
    <row r="18" spans="1:20" ht="14.1" customHeight="1" x14ac:dyDescent="0.2">
      <c r="A18" s="258"/>
      <c r="B18" s="39" t="s">
        <v>208</v>
      </c>
      <c r="C18" s="322">
        <f>+[3]DHL_Swift!$IQ$19</f>
        <v>0</v>
      </c>
      <c r="D18" s="217">
        <f>+[3]DHL_Swift!$IC$19</f>
        <v>14</v>
      </c>
      <c r="E18" s="324">
        <f t="shared" si="4"/>
        <v>-1</v>
      </c>
      <c r="F18" s="322">
        <f>+SUM([3]DHL_Swift!$IF$19:$IQ$19)</f>
        <v>210</v>
      </c>
      <c r="G18" s="217">
        <f>+SUM([3]DHL_Swift!$HR$19:$IC$19)</f>
        <v>320</v>
      </c>
      <c r="H18" s="323">
        <f t="shared" si="5"/>
        <v>-0.34375</v>
      </c>
      <c r="I18" s="324">
        <f t="shared" si="0"/>
        <v>1.5010721944245889E-2</v>
      </c>
      <c r="J18" s="258"/>
      <c r="K18" s="39" t="s">
        <v>208</v>
      </c>
      <c r="L18" s="322">
        <f>+[3]DHL_Swift!$IQ$64</f>
        <v>0</v>
      </c>
      <c r="M18" s="217">
        <f>+[3]DHL_Swift!$IC$64</f>
        <v>165251</v>
      </c>
      <c r="N18" s="324">
        <f t="shared" si="1"/>
        <v>-1</v>
      </c>
      <c r="O18" s="322">
        <f>+SUM([3]DHL_Swift!$IF$64:$IQ$64)</f>
        <v>3834295</v>
      </c>
      <c r="P18" s="217">
        <f>+SUM([3]DHL_Swift!$HR$64:$IC$64)</f>
        <v>7840576</v>
      </c>
      <c r="Q18" s="323">
        <f t="shared" si="2"/>
        <v>-0.51096768910855528</v>
      </c>
      <c r="R18" s="324">
        <f t="shared" si="3"/>
        <v>1.0563608551680268E-2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180</v>
      </c>
      <c r="B20" s="39"/>
      <c r="C20" s="386">
        <f>SUM(C21:C24)</f>
        <v>322</v>
      </c>
      <c r="D20" s="382">
        <f>SUM(D21:D24)</f>
        <v>332</v>
      </c>
      <c r="E20" s="383">
        <f>(C20-D20)/D20</f>
        <v>-3.0120481927710843E-2</v>
      </c>
      <c r="F20" s="386">
        <f>SUM(F21:F24)</f>
        <v>3276</v>
      </c>
      <c r="G20" s="382">
        <f>SUM(G21:G24)</f>
        <v>3930</v>
      </c>
      <c r="H20" s="384">
        <f t="shared" ref="H20:H21" si="14">(F20-G20)/G20</f>
        <v>-0.166412213740458</v>
      </c>
      <c r="I20" s="383">
        <f>+F20/$F$34</f>
        <v>0.23416726233023588</v>
      </c>
      <c r="J20" s="258" t="s">
        <v>180</v>
      </c>
      <c r="K20" s="39"/>
      <c r="L20" s="386">
        <f>SUM(L21:L24)</f>
        <v>15666326</v>
      </c>
      <c r="M20" s="382">
        <f>SUM(M21:M24)</f>
        <v>16245102</v>
      </c>
      <c r="N20" s="383">
        <f>(L20-M20)/M20</f>
        <v>-3.5627723359323939E-2</v>
      </c>
      <c r="O20" s="386">
        <f>SUM(O21:O24)</f>
        <v>158281256</v>
      </c>
      <c r="P20" s="382">
        <f>SUM(P21:P24)</f>
        <v>181763479</v>
      </c>
      <c r="Q20" s="384">
        <f t="shared" ref="Q20:Q22" si="15">(O20-P20)/P20</f>
        <v>-0.12919109564358636</v>
      </c>
      <c r="R20" s="383">
        <f>O20/$O$34</f>
        <v>0.4360700544565021</v>
      </c>
      <c r="T20" s="391"/>
    </row>
    <row r="21" spans="1:20" ht="14.1" customHeight="1" x14ac:dyDescent="0.2">
      <c r="A21" s="37"/>
      <c r="B21" s="318" t="s">
        <v>180</v>
      </c>
      <c r="C21" s="322">
        <f>+[3]FedEx!$IQ$19</f>
        <v>244</v>
      </c>
      <c r="D21" s="217">
        <f>+[3]FedEx!$IC$19</f>
        <v>272</v>
      </c>
      <c r="E21" s="324">
        <f>(C21-D21)/D21</f>
        <v>-0.10294117647058823</v>
      </c>
      <c r="F21" s="322">
        <f>+SUM([3]FedEx!$IF$19:$IQ$19)</f>
        <v>2386</v>
      </c>
      <c r="G21" s="217">
        <f>+SUM([3]FedEx!$HR$19:$IC$19)</f>
        <v>3072</v>
      </c>
      <c r="H21" s="323">
        <f t="shared" si="14"/>
        <v>-0.22330729166666666</v>
      </c>
      <c r="I21" s="324">
        <f>+F21/$F$34</f>
        <v>0.17055039313795567</v>
      </c>
      <c r="J21" s="258"/>
      <c r="K21" s="318" t="s">
        <v>180</v>
      </c>
      <c r="L21" s="322">
        <f>+[3]FedEx!$IQ$64</f>
        <v>15455323</v>
      </c>
      <c r="M21" s="217">
        <f>+[3]FedEx!$IC$64</f>
        <v>16048063</v>
      </c>
      <c r="N21" s="324">
        <f>(L21-M21)/M21</f>
        <v>-3.6935298671247736E-2</v>
      </c>
      <c r="O21" s="322">
        <f>+SUM([3]FedEx!$IF$64:$IQ$64)</f>
        <v>155832565</v>
      </c>
      <c r="P21" s="217">
        <f>+SUM([3]FedEx!$HR$64:$IC$64)</f>
        <v>179273632</v>
      </c>
      <c r="Q21" s="323">
        <f t="shared" si="15"/>
        <v>-0.13075579904578494</v>
      </c>
      <c r="R21" s="324">
        <f>O21/$O$34</f>
        <v>0.4293238303949673</v>
      </c>
      <c r="T21" s="391"/>
    </row>
    <row r="22" spans="1:20" ht="14.1" customHeight="1" x14ac:dyDescent="0.2">
      <c r="A22" s="37"/>
      <c r="B22" s="318" t="s">
        <v>209</v>
      </c>
      <c r="C22" s="322">
        <f>+'[3]Mountain Cargo'!$IQ$19</f>
        <v>42</v>
      </c>
      <c r="D22" s="217">
        <f>+'[3]Mountain Cargo'!$IC$19</f>
        <v>32</v>
      </c>
      <c r="E22" s="324">
        <f>(C22-D22)/D22</f>
        <v>0.3125</v>
      </c>
      <c r="F22" s="322">
        <f>+SUM('[3]Mountain Cargo'!$IF$19:$IQ$19)</f>
        <v>510</v>
      </c>
      <c r="G22" s="217">
        <f>+SUM('[3]Mountain Cargo'!$HR$19:$IC$19)</f>
        <v>490</v>
      </c>
      <c r="H22" s="323">
        <f>(F22-G22)/G22</f>
        <v>4.0816326530612242E-2</v>
      </c>
      <c r="I22" s="324">
        <f>+F22/$F$34</f>
        <v>3.6454610436025735E-2</v>
      </c>
      <c r="J22" s="363"/>
      <c r="K22" s="318" t="s">
        <v>209</v>
      </c>
      <c r="L22" s="322">
        <f>+'[3]Mountain Cargo'!$IQ$64</f>
        <v>150221</v>
      </c>
      <c r="M22" s="217">
        <f>+'[3]Mountain Cargo'!$IC$64</f>
        <v>123850</v>
      </c>
      <c r="N22" s="324">
        <f>(L22-M22)/M22</f>
        <v>0.2129269277351635</v>
      </c>
      <c r="O22" s="322">
        <f>+SUM('[3]Mountain Cargo'!$IF$64:$IQ$64)</f>
        <v>1746014</v>
      </c>
      <c r="P22" s="217">
        <f>+SUM('[3]Mountain Cargo'!$HR$64:$IC$64)</f>
        <v>1772675</v>
      </c>
      <c r="Q22" s="323">
        <f t="shared" si="15"/>
        <v>-1.5039981948185652E-2</v>
      </c>
      <c r="R22" s="324">
        <f>O22/$O$34</f>
        <v>4.8103258674028655E-3</v>
      </c>
      <c r="T22" s="391"/>
    </row>
    <row r="23" spans="1:20" ht="14.1" customHeight="1" x14ac:dyDescent="0.2">
      <c r="A23" s="37"/>
      <c r="B23" s="318" t="s">
        <v>174</v>
      </c>
      <c r="C23" s="322">
        <f>+[3]IFL!$IQ$19</f>
        <v>36</v>
      </c>
      <c r="D23" s="217">
        <f>+[3]IFL!$IC$19</f>
        <v>28</v>
      </c>
      <c r="E23" s="324">
        <f>(C23-D23)/D23</f>
        <v>0.2857142857142857</v>
      </c>
      <c r="F23" s="322">
        <f>+SUM([3]IFL!$IF$19:$IQ$19)</f>
        <v>380</v>
      </c>
      <c r="G23" s="217">
        <f>+SUM([3]IFL!$HR$19:$IC$19)</f>
        <v>368</v>
      </c>
      <c r="H23" s="323">
        <f>(F23-G23)/G23</f>
        <v>3.2608695652173912E-2</v>
      </c>
      <c r="I23" s="324">
        <f>+F23/$F$34</f>
        <v>2.7162258756254467E-2</v>
      </c>
      <c r="J23" s="363"/>
      <c r="K23" s="318" t="s">
        <v>174</v>
      </c>
      <c r="L23" s="322">
        <f>+[3]IFL!$IQ$64</f>
        <v>60782</v>
      </c>
      <c r="M23" s="217">
        <f>+[3]IFL!$IC$64</f>
        <v>73189</v>
      </c>
      <c r="N23" s="324">
        <f>(L23-M23)/M23</f>
        <v>-0.16952000983754389</v>
      </c>
      <c r="O23" s="322">
        <f>+SUM([3]IFL!$IF$64:$IQ$64)</f>
        <v>702677</v>
      </c>
      <c r="P23" s="217">
        <f>+SUM([3]IFL!$HR$64:$IC$64)</f>
        <v>717172</v>
      </c>
      <c r="Q23" s="323">
        <f>(O23-P23)/P23</f>
        <v>-2.021133005750364E-2</v>
      </c>
      <c r="R23" s="324">
        <f>O23/$O$34</f>
        <v>1.9358981941319162E-3</v>
      </c>
      <c r="T23" s="391"/>
    </row>
    <row r="24" spans="1:20" ht="14.1" customHeight="1" x14ac:dyDescent="0.2">
      <c r="A24" s="258"/>
      <c r="B24" s="318" t="s">
        <v>84</v>
      </c>
      <c r="C24" s="322">
        <f>+'[3]CSA Air'!$IQ$19</f>
        <v>0</v>
      </c>
      <c r="D24" s="217">
        <f>+'[3]CSA Air'!$IC$19</f>
        <v>0</v>
      </c>
      <c r="E24" s="324" t="e">
        <f>(C24-D24)/D24</f>
        <v>#DIV/0!</v>
      </c>
      <c r="F24" s="322">
        <f>+SUM('[3]CSA Air'!$IF$19:$IQ$19)</f>
        <v>0</v>
      </c>
      <c r="G24" s="217">
        <f>+SUM('[3]CSA Air'!$HR$19:$IC$19)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+'[3]CSA Air'!$IQ$64</f>
        <v>0</v>
      </c>
      <c r="M24" s="217">
        <f>+'[3]CSA Air'!$IC$64</f>
        <v>0</v>
      </c>
      <c r="N24" s="324" t="e">
        <f>(L24-M24)/M24</f>
        <v>#DIV/0!</v>
      </c>
      <c r="O24" s="322">
        <f>+SUM('[3]CSA Air'!$IF$64:$IQ$64)</f>
        <v>0</v>
      </c>
      <c r="P24" s="217">
        <f>+SUM('[3]CSA Air'!$HR$64:$IC$64)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556</v>
      </c>
      <c r="D26" s="382">
        <f>SUM(D27:D28)</f>
        <v>870</v>
      </c>
      <c r="E26" s="383">
        <f>(C26-D26)/D26</f>
        <v>-0.36091954022988504</v>
      </c>
      <c r="F26" s="382">
        <f>SUM(F27:F28)</f>
        <v>6799</v>
      </c>
      <c r="G26" s="382">
        <f>SUM(G27:G28)</f>
        <v>8198</v>
      </c>
      <c r="H26" s="384">
        <f>(F26-G26)/G26</f>
        <v>-0.17065137838497194</v>
      </c>
      <c r="I26" s="383">
        <f>+F26/$F$34</f>
        <v>0.48598999285203714</v>
      </c>
      <c r="J26" s="258" t="s">
        <v>82</v>
      </c>
      <c r="K26" s="39"/>
      <c r="L26" s="382">
        <f>SUM(L27:L28)</f>
        <v>8804246</v>
      </c>
      <c r="M26" s="382">
        <f>SUM(M27:M28)</f>
        <v>14992973</v>
      </c>
      <c r="N26" s="383">
        <f>(L26-M26)/M26</f>
        <v>-0.41277517140863257</v>
      </c>
      <c r="O26" s="382">
        <f>SUM(O27:O28)</f>
        <v>121260990</v>
      </c>
      <c r="P26" s="382">
        <f>SUM(P27:P28)</f>
        <v>153108523</v>
      </c>
      <c r="Q26" s="384">
        <f>(O26-P26)/P26</f>
        <v>-0.20800627147320858</v>
      </c>
      <c r="R26" s="383">
        <f>O26/$O$34</f>
        <v>0.33407800676505472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+[3]UPS!$IQ$19</f>
        <v>212</v>
      </c>
      <c r="D27" s="217">
        <f>+[3]UPS!$IC$19</f>
        <v>370</v>
      </c>
      <c r="E27" s="324">
        <f>(C27-D27)/D27</f>
        <v>-0.42702702702702705</v>
      </c>
      <c r="F27" s="322">
        <f>+SUM([3]UPS!$IF$19:$IQ$19)</f>
        <v>2629</v>
      </c>
      <c r="G27" s="217">
        <f>+SUM([3]UPS!$HR$19:$IC$19)</f>
        <v>3366</v>
      </c>
      <c r="H27" s="323">
        <f>(F27-G27)/G27</f>
        <v>-0.21895424836601307</v>
      </c>
      <c r="I27" s="324">
        <f>+F27/$F$34</f>
        <v>0.18791994281629734</v>
      </c>
      <c r="J27" s="258"/>
      <c r="K27" s="318" t="s">
        <v>82</v>
      </c>
      <c r="L27" s="322">
        <f>+[3]UPS!$IQ$64</f>
        <v>8804246</v>
      </c>
      <c r="M27" s="217">
        <f>+[3]UPS!$IC$64</f>
        <v>14992973</v>
      </c>
      <c r="N27" s="324">
        <f>(L27-M27)/M27</f>
        <v>-0.41277517140863257</v>
      </c>
      <c r="O27" s="322">
        <f>+SUM([3]UPS!$IF$64:$IQ$64)</f>
        <v>121260990</v>
      </c>
      <c r="P27" s="217">
        <f>+SUM([3]UPS!$HR$64:$IC$64)</f>
        <v>153108523</v>
      </c>
      <c r="Q27" s="323">
        <f>(O27-P27)/P27</f>
        <v>-0.20800627147320858</v>
      </c>
      <c r="R27" s="324">
        <f>O27/$O$34</f>
        <v>0.33407800676505472</v>
      </c>
      <c r="S27" s="340"/>
      <c r="T27" s="393"/>
    </row>
    <row r="28" spans="1:20" x14ac:dyDescent="0.2">
      <c r="A28" s="258"/>
      <c r="B28" s="318" t="s">
        <v>83</v>
      </c>
      <c r="C28" s="322">
        <f>+[3]Bemidji!$IQ$19</f>
        <v>344</v>
      </c>
      <c r="D28" s="217">
        <f>+[3]Bemidji!$IC$19</f>
        <v>500</v>
      </c>
      <c r="E28" s="324">
        <f>(C28-D28)/D28</f>
        <v>-0.312</v>
      </c>
      <c r="F28" s="322">
        <f>+SUM([3]Bemidji!$IF$19:$IQ$19)</f>
        <v>4170</v>
      </c>
      <c r="G28" s="217">
        <f>+SUM([3]Bemidji!$HR$19:$IC$19)</f>
        <v>4832</v>
      </c>
      <c r="H28" s="323">
        <f t="shared" ref="H28" si="18">(F28-G28)/G28</f>
        <v>-0.13700331125827814</v>
      </c>
      <c r="I28" s="324">
        <f>+F28/$F$34</f>
        <v>0.29807005003573983</v>
      </c>
      <c r="J28" s="258"/>
      <c r="K28" s="318" t="s">
        <v>83</v>
      </c>
      <c r="L28" s="464" t="s">
        <v>183</v>
      </c>
      <c r="M28" s="465"/>
      <c r="N28" s="465"/>
      <c r="O28" s="465"/>
      <c r="P28" s="465"/>
      <c r="Q28" s="465"/>
      <c r="R28" s="466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126</v>
      </c>
      <c r="B30" s="39"/>
      <c r="C30" s="386">
        <f>+'[3]Misc Cargo'!$IQ$19</f>
        <v>0</v>
      </c>
      <c r="D30" s="382">
        <f>+'[3]Misc Cargo'!$IC$19</f>
        <v>0</v>
      </c>
      <c r="E30" s="383" t="e">
        <f>(C30-D30)/D30</f>
        <v>#DIV/0!</v>
      </c>
      <c r="F30" s="386">
        <f>+SUM('[3]Misc Cargo'!$IF$19:$IQ$19)</f>
        <v>2</v>
      </c>
      <c r="G30" s="382">
        <f>+SUM('[3]Misc Cargo'!$HR$19:$IC$19)</f>
        <v>12</v>
      </c>
      <c r="H30" s="384">
        <f>(F30-G30)/G30</f>
        <v>-0.83333333333333337</v>
      </c>
      <c r="I30" s="383">
        <f>+F30/$F$34</f>
        <v>1.4295925661186561E-4</v>
      </c>
      <c r="J30" s="258" t="s">
        <v>126</v>
      </c>
      <c r="K30" s="39"/>
      <c r="L30" s="386">
        <f>+'[3]Misc Cargo'!$IQ$64</f>
        <v>0</v>
      </c>
      <c r="M30" s="382">
        <f>+'[3]Misc Cargo'!$IC$64</f>
        <v>0</v>
      </c>
      <c r="N30" s="383" t="e">
        <f>(L30-M30)/M30</f>
        <v>#DIV/0!</v>
      </c>
      <c r="O30" s="386">
        <f>+SUM('[3]Misc Cargo'!$IF$64:$IQ$64)</f>
        <v>150</v>
      </c>
      <c r="P30" s="382">
        <f>+SUM('[3]Misc Cargo'!$HR$64:$IC$64)</f>
        <v>111244</v>
      </c>
      <c r="Q30" s="384">
        <f>(O30-P30)/P30</f>
        <v>-0.99865161267124514</v>
      </c>
      <c r="R30" s="383">
        <f>O30/$O$34</f>
        <v>4.1325492241782133E-7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181</v>
      </c>
      <c r="C34" s="344">
        <f>+C30+C26+C20+C9+C5</f>
        <v>1210</v>
      </c>
      <c r="D34" s="344">
        <f>+D30+D26+D20+D9+D5</f>
        <v>1531</v>
      </c>
      <c r="E34" s="345">
        <f>(C34-D34)/D34</f>
        <v>-0.20966688438928804</v>
      </c>
      <c r="F34" s="344">
        <f>+F30+F26+F20+F9+F5</f>
        <v>13990</v>
      </c>
      <c r="G34" s="344">
        <f>+G30+G26+G20+G9+G5</f>
        <v>15776</v>
      </c>
      <c r="H34" s="346">
        <f>(F34-G34)/G34</f>
        <v>-0.11320993914807302</v>
      </c>
      <c r="I34" s="352"/>
      <c r="K34" s="343" t="s">
        <v>181</v>
      </c>
      <c r="L34" s="344">
        <f>+L30+L26+L20+L9+L5</f>
        <v>32017610</v>
      </c>
      <c r="M34" s="344">
        <f>+M30+M26+M20+M9+M5</f>
        <v>39454984</v>
      </c>
      <c r="N34" s="347">
        <f>(L34-M34)/M34</f>
        <v>-0.18850277572029936</v>
      </c>
      <c r="O34" s="344">
        <f>+O30+O26+O20+O9+O5</f>
        <v>362972083</v>
      </c>
      <c r="P34" s="344">
        <f>+P30+P26+P20+P9+P5</f>
        <v>423617542</v>
      </c>
      <c r="Q34" s="346">
        <f t="shared" ref="Q34" si="19">(O34-P34)/P34</f>
        <v>-0.14316087741239006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December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2024-01-25T22:46:01Z</dcterms:modified>
</cp:coreProperties>
</file>