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9\"/>
    </mc:Choice>
  </mc:AlternateContent>
  <xr:revisionPtr revIDLastSave="0" documentId="13_ncr:1_{97808930-AD53-4089-9465-BE1C12C71425}" xr6:coauthVersionLast="46" xr6:coauthVersionMax="46" xr10:uidLastSave="{00000000-0000-0000-0000-000000000000}"/>
  <bookViews>
    <workbookView xWindow="-253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</externalReferences>
  <definedNames>
    <definedName name="_xlnm.Print_Area" localSheetId="6">Cargo!$A$1:$P$37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Activity'!$A$1:$R$62</definedName>
    <definedName name="_xlnm.Print_Area" localSheetId="2">'Other Major Airline Stats'!$A$2:$I$50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8" l="1"/>
  <c r="B26" i="8"/>
  <c r="B22" i="8"/>
  <c r="B21" i="8"/>
  <c r="B17" i="8"/>
  <c r="B16" i="8"/>
  <c r="B5" i="8"/>
  <c r="B4" i="8"/>
  <c r="P9" i="17"/>
  <c r="P7" i="17"/>
  <c r="O9" i="17"/>
  <c r="O7" i="17"/>
  <c r="G9" i="17"/>
  <c r="G7" i="17"/>
  <c r="M9" i="17"/>
  <c r="N9" i="17" s="1"/>
  <c r="D9" i="17"/>
  <c r="M7" i="17"/>
  <c r="D7" i="17"/>
  <c r="L9" i="17"/>
  <c r="F9" i="17"/>
  <c r="C9" i="17"/>
  <c r="L7" i="17"/>
  <c r="N7" i="17" s="1"/>
  <c r="F7" i="17"/>
  <c r="C7" i="17"/>
  <c r="E9" i="17"/>
  <c r="E7" i="17"/>
  <c r="H27" i="8"/>
  <c r="H26" i="8"/>
  <c r="H31" i="8" s="1"/>
  <c r="H22" i="8"/>
  <c r="H21" i="8"/>
  <c r="H23" i="8" s="1"/>
  <c r="H17" i="8"/>
  <c r="H32" i="8" s="1"/>
  <c r="H16" i="8"/>
  <c r="H18" i="8" s="1"/>
  <c r="H5" i="8"/>
  <c r="H4" i="8"/>
  <c r="H6" i="8" s="1"/>
  <c r="H12" i="8" s="1"/>
  <c r="H10" i="8"/>
  <c r="C27" i="8"/>
  <c r="C26" i="8"/>
  <c r="C22" i="8"/>
  <c r="C32" i="8" s="1"/>
  <c r="C21" i="8"/>
  <c r="C23" i="8" s="1"/>
  <c r="C17" i="8"/>
  <c r="C16" i="8"/>
  <c r="C18" i="8" s="1"/>
  <c r="C5" i="8"/>
  <c r="C4" i="8"/>
  <c r="C10" i="8"/>
  <c r="C6" i="8"/>
  <c r="C12" i="8" s="1"/>
  <c r="P13" i="17"/>
  <c r="O13" i="17"/>
  <c r="M13" i="17"/>
  <c r="L13" i="17"/>
  <c r="G13" i="17"/>
  <c r="F13" i="17"/>
  <c r="D13" i="17"/>
  <c r="C13" i="17"/>
  <c r="I27" i="8"/>
  <c r="I26" i="8"/>
  <c r="I22" i="8"/>
  <c r="I21" i="8"/>
  <c r="I17" i="8"/>
  <c r="I16" i="8"/>
  <c r="I18" i="8" s="1"/>
  <c r="I5" i="8"/>
  <c r="I4" i="8"/>
  <c r="I10" i="8"/>
  <c r="C31" i="8" l="1"/>
  <c r="H7" i="17"/>
  <c r="Q9" i="17"/>
  <c r="H9" i="17"/>
  <c r="Q7" i="17"/>
  <c r="H28" i="8"/>
  <c r="H33" i="8" s="1"/>
  <c r="C28" i="8"/>
  <c r="C33" i="8" s="1"/>
  <c r="I6" i="8"/>
  <c r="I12" i="8" s="1"/>
  <c r="H13" i="17"/>
  <c r="E13" i="17"/>
  <c r="I31" i="8"/>
  <c r="Q13" i="17"/>
  <c r="I32" i="8"/>
  <c r="N13" i="17"/>
  <c r="I23" i="8"/>
  <c r="I28" i="8"/>
  <c r="M29" i="17"/>
  <c r="M27" i="17"/>
  <c r="M25" i="17"/>
  <c r="M21" i="17"/>
  <c r="M19" i="17"/>
  <c r="M17" i="17"/>
  <c r="M15" i="17"/>
  <c r="M11" i="17"/>
  <c r="M5" i="17"/>
  <c r="G29" i="17"/>
  <c r="G27" i="17"/>
  <c r="G25" i="17"/>
  <c r="G23" i="17"/>
  <c r="G21" i="17"/>
  <c r="G19" i="17"/>
  <c r="G17" i="17"/>
  <c r="G15" i="17"/>
  <c r="G11" i="17"/>
  <c r="G5" i="17"/>
  <c r="D29" i="17"/>
  <c r="D27" i="17"/>
  <c r="D25" i="17"/>
  <c r="D23" i="17"/>
  <c r="D21" i="17"/>
  <c r="D19" i="17"/>
  <c r="D17" i="17"/>
  <c r="D15" i="17"/>
  <c r="D11" i="17"/>
  <c r="D5" i="17"/>
  <c r="I33" i="8" l="1"/>
  <c r="J16" i="5"/>
  <c r="J15" i="5"/>
  <c r="J11" i="5"/>
  <c r="J10" i="5"/>
  <c r="J6" i="5"/>
  <c r="J5" i="5"/>
  <c r="G21" i="5" l="1"/>
  <c r="G20" i="5"/>
  <c r="G16" i="5"/>
  <c r="G15" i="5"/>
  <c r="G11" i="5"/>
  <c r="G10" i="5"/>
  <c r="G6" i="5"/>
  <c r="G5" i="5"/>
  <c r="E11" i="7" l="1"/>
  <c r="E10" i="7"/>
  <c r="E6" i="7"/>
  <c r="F11" i="7" l="1"/>
  <c r="F10" i="7"/>
  <c r="O22" i="7" l="1"/>
  <c r="E22" i="7"/>
  <c r="J22" i="7"/>
  <c r="B37" i="1"/>
  <c r="B36" i="1"/>
  <c r="D37" i="1"/>
  <c r="D36" i="1"/>
  <c r="E28" i="1"/>
  <c r="E27" i="1"/>
  <c r="E21" i="1"/>
  <c r="E20" i="1"/>
  <c r="E19" i="1"/>
  <c r="E18" i="1"/>
  <c r="E17" i="1"/>
  <c r="E16" i="1"/>
  <c r="E10" i="1"/>
  <c r="E7" i="1"/>
  <c r="E6" i="1"/>
  <c r="E5" i="1"/>
  <c r="H28" i="1"/>
  <c r="H27" i="1"/>
  <c r="H21" i="1"/>
  <c r="H20" i="1"/>
  <c r="H19" i="1"/>
  <c r="H18" i="1"/>
  <c r="H17" i="1"/>
  <c r="H16" i="1"/>
  <c r="H10" i="1"/>
  <c r="H7" i="1"/>
  <c r="H6" i="1"/>
  <c r="H5" i="1"/>
  <c r="P62" i="9" l="1"/>
  <c r="P61" i="9"/>
  <c r="P60" i="9"/>
  <c r="P59" i="9"/>
  <c r="P58" i="9"/>
  <c r="P57" i="9"/>
  <c r="P56" i="9"/>
  <c r="P53" i="9"/>
  <c r="P51" i="9"/>
  <c r="P49" i="9"/>
  <c r="P46" i="9"/>
  <c r="P44" i="9"/>
  <c r="P42" i="9"/>
  <c r="P40" i="9"/>
  <c r="P38" i="9"/>
  <c r="P37" i="9"/>
  <c r="P36" i="9"/>
  <c r="P35" i="9"/>
  <c r="P34" i="9"/>
  <c r="P33" i="9"/>
  <c r="P32" i="9"/>
  <c r="P29" i="9"/>
  <c r="P27" i="9"/>
  <c r="P25" i="9"/>
  <c r="P24" i="9"/>
  <c r="P23" i="9"/>
  <c r="P22" i="9"/>
  <c r="P21" i="9"/>
  <c r="P20" i="9"/>
  <c r="P19" i="9"/>
  <c r="P16" i="9"/>
  <c r="P15" i="9"/>
  <c r="P14" i="9"/>
  <c r="P11" i="9"/>
  <c r="P9" i="9"/>
  <c r="P7" i="9"/>
  <c r="P6" i="9"/>
  <c r="P5" i="9"/>
  <c r="G62" i="9"/>
  <c r="G61" i="9"/>
  <c r="G60" i="9"/>
  <c r="G59" i="9"/>
  <c r="G58" i="9"/>
  <c r="G57" i="9"/>
  <c r="G56" i="9"/>
  <c r="G53" i="9"/>
  <c r="G51" i="9"/>
  <c r="G49" i="9"/>
  <c r="G46" i="9"/>
  <c r="G44" i="9"/>
  <c r="G42" i="9"/>
  <c r="G40" i="9"/>
  <c r="G38" i="9"/>
  <c r="G37" i="9"/>
  <c r="G36" i="9"/>
  <c r="G35" i="9"/>
  <c r="G34" i="9"/>
  <c r="G33" i="9"/>
  <c r="G32" i="9"/>
  <c r="G29" i="9"/>
  <c r="G27" i="9"/>
  <c r="G25" i="9"/>
  <c r="G24" i="9"/>
  <c r="G23" i="9"/>
  <c r="G22" i="9"/>
  <c r="G21" i="9"/>
  <c r="G20" i="9"/>
  <c r="G19" i="9"/>
  <c r="G16" i="9"/>
  <c r="G15" i="9"/>
  <c r="G14" i="9"/>
  <c r="G11" i="9"/>
  <c r="G9" i="9"/>
  <c r="G7" i="9"/>
  <c r="G6" i="9"/>
  <c r="G5" i="9"/>
  <c r="O62" i="9"/>
  <c r="O61" i="9"/>
  <c r="O60" i="9"/>
  <c r="O59" i="9"/>
  <c r="O58" i="9"/>
  <c r="O57" i="9"/>
  <c r="O56" i="9"/>
  <c r="O53" i="9"/>
  <c r="O51" i="9"/>
  <c r="O49" i="9"/>
  <c r="O46" i="9"/>
  <c r="O44" i="9"/>
  <c r="O42" i="9"/>
  <c r="O40" i="9"/>
  <c r="O38" i="9"/>
  <c r="O37" i="9"/>
  <c r="O36" i="9"/>
  <c r="O35" i="9"/>
  <c r="O34" i="9"/>
  <c r="O33" i="9"/>
  <c r="O32" i="9"/>
  <c r="O29" i="9"/>
  <c r="O27" i="9"/>
  <c r="O25" i="9"/>
  <c r="O24" i="9"/>
  <c r="O23" i="9"/>
  <c r="O22" i="9"/>
  <c r="O21" i="9"/>
  <c r="O20" i="9"/>
  <c r="O19" i="9"/>
  <c r="O16" i="9"/>
  <c r="O15" i="9"/>
  <c r="O14" i="9"/>
  <c r="O11" i="9"/>
  <c r="O9" i="9"/>
  <c r="O7" i="9"/>
  <c r="O6" i="9"/>
  <c r="O5" i="9"/>
  <c r="F62" i="9"/>
  <c r="F61" i="9"/>
  <c r="F60" i="9"/>
  <c r="F59" i="9"/>
  <c r="F58" i="9"/>
  <c r="F57" i="9"/>
  <c r="F56" i="9"/>
  <c r="F53" i="9"/>
  <c r="F51" i="9"/>
  <c r="F49" i="9"/>
  <c r="F46" i="9"/>
  <c r="F44" i="9"/>
  <c r="F42" i="9"/>
  <c r="F40" i="9"/>
  <c r="F38" i="9"/>
  <c r="F37" i="9"/>
  <c r="F36" i="9"/>
  <c r="F35" i="9"/>
  <c r="F34" i="9"/>
  <c r="F33" i="9"/>
  <c r="F32" i="9"/>
  <c r="F29" i="9"/>
  <c r="F27" i="9"/>
  <c r="F25" i="9"/>
  <c r="F24" i="9"/>
  <c r="F23" i="9"/>
  <c r="F22" i="9"/>
  <c r="F21" i="9"/>
  <c r="F20" i="9"/>
  <c r="F19" i="9"/>
  <c r="F16" i="9"/>
  <c r="F15" i="9"/>
  <c r="F14" i="9"/>
  <c r="F11" i="9"/>
  <c r="F9" i="9"/>
  <c r="F7" i="9"/>
  <c r="F6" i="9"/>
  <c r="F5" i="9"/>
  <c r="M62" i="9"/>
  <c r="M61" i="9"/>
  <c r="M60" i="9"/>
  <c r="M59" i="9"/>
  <c r="M58" i="9"/>
  <c r="M57" i="9"/>
  <c r="M56" i="9"/>
  <c r="M53" i="9"/>
  <c r="M51" i="9"/>
  <c r="M49" i="9"/>
  <c r="M46" i="9"/>
  <c r="M44" i="9"/>
  <c r="M42" i="9"/>
  <c r="M40" i="9"/>
  <c r="M38" i="9"/>
  <c r="M37" i="9"/>
  <c r="M36" i="9"/>
  <c r="M35" i="9"/>
  <c r="M34" i="9"/>
  <c r="M33" i="9"/>
  <c r="M32" i="9"/>
  <c r="M29" i="9"/>
  <c r="M27" i="9"/>
  <c r="M25" i="9"/>
  <c r="M24" i="9"/>
  <c r="M23" i="9"/>
  <c r="M22" i="9"/>
  <c r="M21" i="9"/>
  <c r="M20" i="9"/>
  <c r="M19" i="9"/>
  <c r="M16" i="9"/>
  <c r="M15" i="9"/>
  <c r="M14" i="9"/>
  <c r="M11" i="9"/>
  <c r="M9" i="9"/>
  <c r="M7" i="9"/>
  <c r="M6" i="9"/>
  <c r="M5" i="9"/>
  <c r="D62" i="9"/>
  <c r="D61" i="9"/>
  <c r="D60" i="9"/>
  <c r="D59" i="9"/>
  <c r="D58" i="9"/>
  <c r="D57" i="9"/>
  <c r="D56" i="9"/>
  <c r="D53" i="9"/>
  <c r="D51" i="9"/>
  <c r="D49" i="9"/>
  <c r="D46" i="9"/>
  <c r="D44" i="9"/>
  <c r="D42" i="9"/>
  <c r="D40" i="9"/>
  <c r="D38" i="9"/>
  <c r="D37" i="9"/>
  <c r="D36" i="9"/>
  <c r="D35" i="9"/>
  <c r="D34" i="9"/>
  <c r="D33" i="9"/>
  <c r="D32" i="9"/>
  <c r="D29" i="9"/>
  <c r="D27" i="9"/>
  <c r="D25" i="9"/>
  <c r="D24" i="9"/>
  <c r="D23" i="9"/>
  <c r="D22" i="9"/>
  <c r="D21" i="9"/>
  <c r="D20" i="9"/>
  <c r="D19" i="9"/>
  <c r="D16" i="9"/>
  <c r="D15" i="9"/>
  <c r="D14" i="9"/>
  <c r="D11" i="9"/>
  <c r="D9" i="9"/>
  <c r="D7" i="9"/>
  <c r="D6" i="9"/>
  <c r="D5" i="9"/>
  <c r="L62" i="9"/>
  <c r="L61" i="9"/>
  <c r="L60" i="9"/>
  <c r="L59" i="9"/>
  <c r="L58" i="9"/>
  <c r="L57" i="9"/>
  <c r="L56" i="9"/>
  <c r="L53" i="9"/>
  <c r="L51" i="9"/>
  <c r="L49" i="9"/>
  <c r="L46" i="9"/>
  <c r="L44" i="9"/>
  <c r="L42" i="9"/>
  <c r="L40" i="9"/>
  <c r="L38" i="9"/>
  <c r="L37" i="9"/>
  <c r="L36" i="9"/>
  <c r="L35" i="9"/>
  <c r="L34" i="9"/>
  <c r="L33" i="9"/>
  <c r="L32" i="9"/>
  <c r="L29" i="9"/>
  <c r="L27" i="9"/>
  <c r="L25" i="9"/>
  <c r="L24" i="9"/>
  <c r="L23" i="9"/>
  <c r="L22" i="9"/>
  <c r="L21" i="9"/>
  <c r="L20" i="9"/>
  <c r="L19" i="9"/>
  <c r="L16" i="9"/>
  <c r="L15" i="9"/>
  <c r="L14" i="9"/>
  <c r="L11" i="9"/>
  <c r="L9" i="9"/>
  <c r="L7" i="9"/>
  <c r="L6" i="9"/>
  <c r="L5" i="9"/>
  <c r="C62" i="9"/>
  <c r="C61" i="9"/>
  <c r="C60" i="9"/>
  <c r="C59" i="9"/>
  <c r="C58" i="9"/>
  <c r="C57" i="9"/>
  <c r="C56" i="9"/>
  <c r="C53" i="9"/>
  <c r="C51" i="9"/>
  <c r="C49" i="9"/>
  <c r="C46" i="9"/>
  <c r="C44" i="9"/>
  <c r="C42" i="9"/>
  <c r="C40" i="9"/>
  <c r="C38" i="9"/>
  <c r="C37" i="9"/>
  <c r="C36" i="9"/>
  <c r="C35" i="9"/>
  <c r="C34" i="9"/>
  <c r="C33" i="9"/>
  <c r="C32" i="9"/>
  <c r="C29" i="9"/>
  <c r="C27" i="9"/>
  <c r="C25" i="9"/>
  <c r="C24" i="9"/>
  <c r="C23" i="9"/>
  <c r="C22" i="9"/>
  <c r="C21" i="9"/>
  <c r="C20" i="9"/>
  <c r="C19" i="9"/>
  <c r="C16" i="9"/>
  <c r="C15" i="9"/>
  <c r="C14" i="9"/>
  <c r="C11" i="9"/>
  <c r="C9" i="9"/>
  <c r="C7" i="9"/>
  <c r="C6" i="9"/>
  <c r="C5" i="9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9" i="17"/>
  <c r="P27" i="17"/>
  <c r="P25" i="17"/>
  <c r="O29" i="17"/>
  <c r="O27" i="17"/>
  <c r="O25" i="17"/>
  <c r="O21" i="17"/>
  <c r="O19" i="17"/>
  <c r="O17" i="17"/>
  <c r="O15" i="17"/>
  <c r="O11" i="17"/>
  <c r="O5" i="17"/>
  <c r="P21" i="17"/>
  <c r="P19" i="17"/>
  <c r="P17" i="17"/>
  <c r="P15" i="17"/>
  <c r="P11" i="17"/>
  <c r="P5" i="17"/>
  <c r="F29" i="17"/>
  <c r="F27" i="17"/>
  <c r="F25" i="17"/>
  <c r="F23" i="17"/>
  <c r="F21" i="17"/>
  <c r="F19" i="17"/>
  <c r="F17" i="17"/>
  <c r="F15" i="17"/>
  <c r="F11" i="17"/>
  <c r="F5" i="17"/>
  <c r="L29" i="17" l="1"/>
  <c r="C29" i="17"/>
  <c r="L27" i="17"/>
  <c r="C27" i="17"/>
  <c r="L25" i="17"/>
  <c r="C25" i="17"/>
  <c r="C23" i="17"/>
  <c r="L21" i="17"/>
  <c r="C21" i="17"/>
  <c r="L19" i="17"/>
  <c r="C19" i="17"/>
  <c r="L17" i="17"/>
  <c r="C17" i="17"/>
  <c r="L15" i="17"/>
  <c r="C15" i="17"/>
  <c r="L11" i="17"/>
  <c r="C11" i="17"/>
  <c r="L5" i="17"/>
  <c r="C5" i="17"/>
  <c r="O27" i="8"/>
  <c r="N27" i="8"/>
  <c r="M27" i="8"/>
  <c r="K27" i="8"/>
  <c r="J27" i="8"/>
  <c r="F27" i="8"/>
  <c r="E27" i="8"/>
  <c r="D27" i="8"/>
  <c r="O26" i="8"/>
  <c r="N26" i="8"/>
  <c r="M26" i="8"/>
  <c r="K26" i="8"/>
  <c r="J26" i="8"/>
  <c r="F26" i="8"/>
  <c r="E26" i="8"/>
  <c r="D26" i="8"/>
  <c r="O22" i="8"/>
  <c r="N22" i="8"/>
  <c r="M22" i="8"/>
  <c r="K22" i="8"/>
  <c r="J22" i="8"/>
  <c r="F22" i="8"/>
  <c r="E22" i="8"/>
  <c r="D22" i="8"/>
  <c r="O21" i="8"/>
  <c r="N21" i="8"/>
  <c r="M21" i="8"/>
  <c r="K21" i="8"/>
  <c r="J21" i="8"/>
  <c r="F21" i="8"/>
  <c r="E21" i="8"/>
  <c r="D21" i="8"/>
  <c r="O17" i="8"/>
  <c r="N17" i="8"/>
  <c r="M17" i="8"/>
  <c r="K17" i="8"/>
  <c r="J17" i="8"/>
  <c r="F17" i="8"/>
  <c r="E17" i="8"/>
  <c r="D17" i="8"/>
  <c r="O16" i="8"/>
  <c r="N16" i="8"/>
  <c r="M16" i="8"/>
  <c r="K16" i="8"/>
  <c r="J16" i="8"/>
  <c r="F16" i="8"/>
  <c r="E16" i="8"/>
  <c r="D16" i="8"/>
  <c r="O9" i="8"/>
  <c r="O8" i="8"/>
  <c r="O5" i="8"/>
  <c r="N5" i="8"/>
  <c r="M5" i="8"/>
  <c r="L5" i="8"/>
  <c r="K5" i="8"/>
  <c r="J5" i="8"/>
  <c r="F5" i="8"/>
  <c r="E5" i="8"/>
  <c r="D5" i="8"/>
  <c r="O4" i="8"/>
  <c r="N4" i="8"/>
  <c r="M4" i="8"/>
  <c r="L4" i="8"/>
  <c r="K4" i="8"/>
  <c r="J4" i="8"/>
  <c r="F4" i="8"/>
  <c r="E4" i="8"/>
  <c r="D4" i="8"/>
  <c r="D11" i="7"/>
  <c r="C11" i="7"/>
  <c r="B11" i="7"/>
  <c r="D10" i="7"/>
  <c r="C10" i="7"/>
  <c r="B10" i="7"/>
  <c r="F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G49" i="3"/>
  <c r="F49" i="3"/>
  <c r="G48" i="3"/>
  <c r="F48" i="3"/>
  <c r="H39" i="3"/>
  <c r="G39" i="3"/>
  <c r="F39" i="3"/>
  <c r="E39" i="3"/>
  <c r="D39" i="3"/>
  <c r="C39" i="3"/>
  <c r="B39" i="3"/>
  <c r="H38" i="3"/>
  <c r="G38" i="3"/>
  <c r="F38" i="3"/>
  <c r="E38" i="3"/>
  <c r="D38" i="3"/>
  <c r="C38" i="3"/>
  <c r="B38" i="3"/>
  <c r="H34" i="3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29" i="3"/>
  <c r="G29" i="3"/>
  <c r="F29" i="3"/>
  <c r="E29" i="3"/>
  <c r="D29" i="3"/>
  <c r="C29" i="3"/>
  <c r="B29" i="3"/>
  <c r="H28" i="3"/>
  <c r="G28" i="3"/>
  <c r="F28" i="3"/>
  <c r="E28" i="3"/>
  <c r="D28" i="3"/>
  <c r="C28" i="3"/>
  <c r="B28" i="3"/>
  <c r="H21" i="3"/>
  <c r="G21" i="3"/>
  <c r="F21" i="3"/>
  <c r="E21" i="3"/>
  <c r="D21" i="3"/>
  <c r="C21" i="3"/>
  <c r="B21" i="3"/>
  <c r="H20" i="3"/>
  <c r="G20" i="3"/>
  <c r="F20" i="3"/>
  <c r="E20" i="3"/>
  <c r="D20" i="3"/>
  <c r="C20" i="3"/>
  <c r="B20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6" i="3"/>
  <c r="G6" i="3"/>
  <c r="F6" i="3"/>
  <c r="E6" i="3"/>
  <c r="D6" i="3"/>
  <c r="C6" i="3"/>
  <c r="B6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1" i="1"/>
  <c r="B21" i="1"/>
  <c r="C20" i="1"/>
  <c r="B20" i="1"/>
  <c r="C32" i="17" l="1"/>
  <c r="L32" i="17"/>
  <c r="Q62" i="9"/>
  <c r="E62" i="9"/>
  <c r="N62" i="9"/>
  <c r="E44" i="9" l="1"/>
  <c r="F66" i="9"/>
  <c r="G66" i="9"/>
  <c r="N44" i="9"/>
  <c r="L66" i="9"/>
  <c r="M66" i="9"/>
  <c r="P66" i="9"/>
  <c r="D66" i="9"/>
  <c r="O66" i="9"/>
  <c r="C66" i="9"/>
  <c r="Q44" i="9"/>
  <c r="H44" i="9"/>
  <c r="H62" i="9"/>
  <c r="E11" i="17" l="1"/>
  <c r="D10" i="8"/>
  <c r="O21" i="7"/>
  <c r="J21" i="7"/>
  <c r="E21" i="7"/>
  <c r="D6" i="8" l="1"/>
  <c r="D12" i="8" s="1"/>
  <c r="D23" i="8"/>
  <c r="D32" i="8"/>
  <c r="D28" i="8"/>
  <c r="D18" i="8"/>
  <c r="N11" i="17"/>
  <c r="Q11" i="17"/>
  <c r="H11" i="17"/>
  <c r="D31" i="8"/>
  <c r="H11" i="2" l="1"/>
  <c r="H21" i="2"/>
  <c r="H35" i="2"/>
  <c r="H6" i="2"/>
  <c r="D33" i="8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J3" i="17"/>
  <c r="C48" i="9"/>
  <c r="I45" i="2" l="1"/>
  <c r="G17" i="4"/>
  <c r="G27" i="4"/>
  <c r="C13" i="9"/>
  <c r="G12" i="4"/>
  <c r="G20" i="4"/>
  <c r="G32" i="4"/>
  <c r="C18" i="9"/>
  <c r="C31" i="9"/>
  <c r="C4" i="9"/>
  <c r="C55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G21" i="4" l="1"/>
  <c r="C67" i="9"/>
  <c r="C65" i="9" s="1"/>
  <c r="D21" i="15"/>
  <c r="G42" i="4"/>
  <c r="D42" i="15"/>
  <c r="O55" i="9"/>
  <c r="N61" i="9"/>
  <c r="H61" i="9"/>
  <c r="E61" i="9"/>
  <c r="Q60" i="9"/>
  <c r="N59" i="9"/>
  <c r="H59" i="9"/>
  <c r="E59" i="9"/>
  <c r="Q58" i="9"/>
  <c r="N57" i="9"/>
  <c r="H57" i="9"/>
  <c r="E57" i="9"/>
  <c r="P55" i="9"/>
  <c r="Q56" i="9"/>
  <c r="M55" i="9"/>
  <c r="D55" i="9"/>
  <c r="Q53" i="9"/>
  <c r="N53" i="9"/>
  <c r="E53" i="9"/>
  <c r="N51" i="9"/>
  <c r="E51" i="9"/>
  <c r="Q49" i="9"/>
  <c r="M48" i="9"/>
  <c r="N49" i="9"/>
  <c r="H49" i="9"/>
  <c r="G48" i="9"/>
  <c r="D48" i="9"/>
  <c r="P48" i="9"/>
  <c r="L48" i="9"/>
  <c r="F48" i="9"/>
  <c r="Q46" i="9"/>
  <c r="N46" i="9"/>
  <c r="H46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7" i="9" l="1"/>
  <c r="M65" i="9" s="1"/>
  <c r="N7" i="9"/>
  <c r="L31" i="9"/>
  <c r="N31" i="9" s="1"/>
  <c r="D31" i="9"/>
  <c r="E31" i="9" s="1"/>
  <c r="N48" i="9"/>
  <c r="G4" i="9"/>
  <c r="P4" i="9"/>
  <c r="Q4" i="9" s="1"/>
  <c r="N9" i="9"/>
  <c r="E11" i="9"/>
  <c r="L13" i="9"/>
  <c r="N13" i="9" s="1"/>
  <c r="Q14" i="9"/>
  <c r="E36" i="9"/>
  <c r="P31" i="9"/>
  <c r="O48" i="9"/>
  <c r="Q48" i="9" s="1"/>
  <c r="E6" i="9"/>
  <c r="N6" i="9"/>
  <c r="F18" i="9"/>
  <c r="H18" i="9" s="1"/>
  <c r="O31" i="9"/>
  <c r="N33" i="9"/>
  <c r="Q34" i="9"/>
  <c r="E37" i="9"/>
  <c r="N37" i="9"/>
  <c r="Q38" i="9"/>
  <c r="E58" i="9"/>
  <c r="N58" i="9"/>
  <c r="E60" i="9"/>
  <c r="N60" i="9"/>
  <c r="H35" i="9"/>
  <c r="H51" i="9"/>
  <c r="F4" i="9"/>
  <c r="L4" i="9"/>
  <c r="N4" i="9" s="1"/>
  <c r="H6" i="9"/>
  <c r="D13" i="9"/>
  <c r="E16" i="9"/>
  <c r="E19" i="9"/>
  <c r="H22" i="9"/>
  <c r="E29" i="9"/>
  <c r="F31" i="9"/>
  <c r="H33" i="9"/>
  <c r="E38" i="9"/>
  <c r="E46" i="9"/>
  <c r="H48" i="9"/>
  <c r="E49" i="9"/>
  <c r="H13" i="9"/>
  <c r="H20" i="9"/>
  <c r="E4" i="9"/>
  <c r="E7" i="9"/>
  <c r="L18" i="9"/>
  <c r="N18" i="9" s="1"/>
  <c r="D18" i="9"/>
  <c r="E21" i="9"/>
  <c r="H24" i="9"/>
  <c r="H40" i="9"/>
  <c r="Q55" i="9"/>
  <c r="G55" i="9"/>
  <c r="G67" i="9" s="1"/>
  <c r="G65" i="9" s="1"/>
  <c r="Q57" i="9"/>
  <c r="H15" i="9"/>
  <c r="E23" i="9"/>
  <c r="H27" i="9"/>
  <c r="E32" i="9"/>
  <c r="E34" i="9"/>
  <c r="H37" i="9"/>
  <c r="H42" i="9"/>
  <c r="E56" i="9"/>
  <c r="N56" i="9"/>
  <c r="Q59" i="9"/>
  <c r="Q61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E48" i="9"/>
  <c r="Q51" i="9"/>
  <c r="H53" i="9"/>
  <c r="F55" i="9"/>
  <c r="L55" i="9"/>
  <c r="H56" i="9"/>
  <c r="H58" i="9"/>
  <c r="H60" i="9"/>
  <c r="P67" i="9" l="1"/>
  <c r="P65" i="9" s="1"/>
  <c r="L67" i="9"/>
  <c r="L65" i="9" s="1"/>
  <c r="D67" i="9"/>
  <c r="D65" i="9" s="1"/>
  <c r="O67" i="9"/>
  <c r="R44" i="9" s="1"/>
  <c r="F67" i="9"/>
  <c r="Q31" i="9"/>
  <c r="E18" i="9"/>
  <c r="E66" i="9"/>
  <c r="N66" i="9"/>
  <c r="H55" i="9"/>
  <c r="H31" i="9"/>
  <c r="H4" i="9"/>
  <c r="Q66" i="9"/>
  <c r="N55" i="9"/>
  <c r="E13" i="9"/>
  <c r="H66" i="9"/>
  <c r="E55" i="9"/>
  <c r="O65" i="9" l="1"/>
  <c r="R65" i="9" s="1"/>
  <c r="F65" i="9"/>
  <c r="I44" i="9"/>
  <c r="I4" i="9"/>
  <c r="I62" i="9"/>
  <c r="R58" i="9"/>
  <c r="R62" i="9"/>
  <c r="R56" i="9"/>
  <c r="R35" i="9"/>
  <c r="R22" i="9"/>
  <c r="R46" i="9"/>
  <c r="R31" i="9"/>
  <c r="R66" i="9"/>
  <c r="R23" i="9"/>
  <c r="R33" i="9"/>
  <c r="R24" i="9"/>
  <c r="R19" i="9"/>
  <c r="R42" i="9"/>
  <c r="R14" i="9"/>
  <c r="R55" i="9"/>
  <c r="R20" i="9"/>
  <c r="R61" i="9"/>
  <c r="R13" i="9"/>
  <c r="R57" i="9"/>
  <c r="R9" i="9"/>
  <c r="R51" i="9"/>
  <c r="R27" i="9"/>
  <c r="R60" i="9"/>
  <c r="R7" i="9"/>
  <c r="R6" i="9"/>
  <c r="R48" i="9"/>
  <c r="R32" i="9"/>
  <c r="R53" i="9"/>
  <c r="R40" i="9"/>
  <c r="R59" i="9"/>
  <c r="R5" i="9"/>
  <c r="R34" i="9"/>
  <c r="R16" i="9"/>
  <c r="R25" i="9"/>
  <c r="Q67" i="9"/>
  <c r="R18" i="9"/>
  <c r="R29" i="9"/>
  <c r="R52" i="9"/>
  <c r="R15" i="9"/>
  <c r="R4" i="9"/>
  <c r="R37" i="9"/>
  <c r="R36" i="9"/>
  <c r="R21" i="9"/>
  <c r="R49" i="9"/>
  <c r="R11" i="9"/>
  <c r="R38" i="9"/>
  <c r="R67" i="9"/>
  <c r="I66" i="9"/>
  <c r="I31" i="9"/>
  <c r="I55" i="9"/>
  <c r="H67" i="9"/>
  <c r="I67" i="9" s="1"/>
  <c r="I61" i="9"/>
  <c r="I59" i="9"/>
  <c r="I9" i="9"/>
  <c r="I57" i="9"/>
  <c r="I5" i="9"/>
  <c r="I36" i="9"/>
  <c r="I53" i="9"/>
  <c r="I48" i="9"/>
  <c r="I13" i="9"/>
  <c r="I14" i="9"/>
  <c r="I24" i="9"/>
  <c r="I40" i="9"/>
  <c r="I19" i="9"/>
  <c r="I37" i="9"/>
  <c r="I42" i="9"/>
  <c r="I60" i="9"/>
  <c r="I6" i="9"/>
  <c r="I51" i="9"/>
  <c r="I23" i="9"/>
  <c r="I32" i="9"/>
  <c r="I34" i="9"/>
  <c r="I21" i="9"/>
  <c r="I29" i="9"/>
  <c r="I49" i="9"/>
  <c r="I35" i="9"/>
  <c r="I22" i="9"/>
  <c r="I33" i="9"/>
  <c r="I20" i="9"/>
  <c r="I11" i="9"/>
  <c r="I58" i="9"/>
  <c r="I16" i="9"/>
  <c r="I27" i="9"/>
  <c r="I18" i="9"/>
  <c r="I56" i="9"/>
  <c r="I7" i="9"/>
  <c r="I25" i="9"/>
  <c r="I15" i="9"/>
  <c r="I38" i="9"/>
  <c r="I46" i="9"/>
  <c r="E67" i="9"/>
  <c r="N67" i="9"/>
  <c r="Q65" i="9" l="1"/>
  <c r="N65" i="9"/>
  <c r="E65" i="9"/>
  <c r="H65" i="9"/>
  <c r="I65" i="9"/>
  <c r="J2" i="9" l="1"/>
  <c r="M32" i="17" l="1"/>
  <c r="P32" i="17" l="1"/>
  <c r="D32" i="17"/>
  <c r="G32" i="17"/>
  <c r="H21" i="17"/>
  <c r="Q21" i="17"/>
  <c r="H29" i="17"/>
  <c r="Q29" i="17"/>
  <c r="E5" i="17"/>
  <c r="E19" i="17"/>
  <c r="E21" i="17"/>
  <c r="H19" i="17"/>
  <c r="Q19" i="17"/>
  <c r="H27" i="17"/>
  <c r="Q27" i="17"/>
  <c r="F32" i="17"/>
  <c r="Q5" i="17"/>
  <c r="Q15" i="17"/>
  <c r="H17" i="17"/>
  <c r="Q17" i="17"/>
  <c r="E23" i="17"/>
  <c r="E25" i="17"/>
  <c r="E29" i="17"/>
  <c r="H25" i="17"/>
  <c r="E15" i="17"/>
  <c r="N15" i="17"/>
  <c r="H15" i="17"/>
  <c r="E17" i="17"/>
  <c r="N19" i="17"/>
  <c r="H23" i="17"/>
  <c r="E27" i="17"/>
  <c r="N27" i="17"/>
  <c r="Q25" i="17"/>
  <c r="O32" i="17"/>
  <c r="H5" i="17"/>
  <c r="N5" i="17"/>
  <c r="N17" i="17"/>
  <c r="N21" i="17"/>
  <c r="N25" i="17"/>
  <c r="N29" i="17"/>
  <c r="I7" i="17" l="1"/>
  <c r="I9" i="17"/>
  <c r="R9" i="17"/>
  <c r="R7" i="17"/>
  <c r="I11" i="17"/>
  <c r="I13" i="17"/>
  <c r="R11" i="17"/>
  <c r="R13" i="17"/>
  <c r="Q32" i="17"/>
  <c r="H32" i="17"/>
  <c r="R5" i="17"/>
  <c r="R29" i="17"/>
  <c r="R21" i="17"/>
  <c r="R27" i="17"/>
  <c r="R19" i="17"/>
  <c r="R17" i="17"/>
  <c r="R25" i="17"/>
  <c r="R15" i="17"/>
  <c r="I29" i="17"/>
  <c r="I23" i="17"/>
  <c r="I19" i="17"/>
  <c r="I17" i="17"/>
  <c r="I27" i="17"/>
  <c r="I21" i="17"/>
  <c r="I15" i="17"/>
  <c r="I25" i="17"/>
  <c r="I5" i="17"/>
  <c r="N32" i="17"/>
  <c r="E32" i="17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36" i="15"/>
  <c r="E17" i="15" l="1"/>
  <c r="C18" i="3"/>
  <c r="E27" i="15"/>
  <c r="J7" i="4"/>
  <c r="C30" i="3"/>
  <c r="D22" i="3"/>
  <c r="I17" i="4"/>
  <c r="I37" i="4"/>
  <c r="J40" i="4"/>
  <c r="D44" i="3"/>
  <c r="C44" i="3"/>
  <c r="E7" i="15"/>
  <c r="J20" i="4"/>
  <c r="E12" i="15"/>
  <c r="E20" i="15"/>
  <c r="E32" i="15"/>
  <c r="C22" i="3"/>
  <c r="C7" i="3"/>
  <c r="C40" i="3"/>
  <c r="D7" i="3"/>
  <c r="D18" i="3"/>
  <c r="D30" i="3"/>
  <c r="J17" i="4"/>
  <c r="J27" i="4"/>
  <c r="J41" i="4"/>
  <c r="E41" i="15"/>
  <c r="D12" i="3"/>
  <c r="D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D40" i="3"/>
  <c r="D43" i="3"/>
  <c r="C43" i="3"/>
  <c r="E21" i="15" l="1"/>
  <c r="D23" i="3"/>
  <c r="C23" i="3"/>
  <c r="C45" i="3"/>
  <c r="J21" i="4"/>
  <c r="I42" i="4"/>
  <c r="D45" i="3"/>
  <c r="I21" i="4"/>
  <c r="E42" i="15"/>
  <c r="J42" i="4"/>
  <c r="J10" i="15" l="1"/>
  <c r="J18" i="15"/>
  <c r="O4" i="16"/>
  <c r="J5" i="15"/>
  <c r="J15" i="15"/>
  <c r="J6" i="15"/>
  <c r="J16" i="15"/>
  <c r="J11" i="15"/>
  <c r="J19" i="15"/>
  <c r="J32" i="8" l="1"/>
  <c r="J18" i="8"/>
  <c r="J6" i="8"/>
  <c r="J31" i="8"/>
  <c r="J10" i="8"/>
  <c r="J12" i="8" l="1"/>
  <c r="J23" i="8"/>
  <c r="J28" i="8"/>
  <c r="J33" i="8" l="1"/>
  <c r="F41" i="4" l="1"/>
  <c r="F20" i="4"/>
  <c r="F17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K10" i="8" l="1"/>
  <c r="K18" i="8" l="1"/>
  <c r="K28" i="8"/>
  <c r="K31" i="8"/>
  <c r="K23" i="8"/>
  <c r="K6" i="8"/>
  <c r="K12" i="8" s="1"/>
  <c r="K32" i="8"/>
  <c r="N18" i="8"/>
  <c r="D30" i="2"/>
  <c r="B30" i="3"/>
  <c r="C27" i="4"/>
  <c r="K27" i="4"/>
  <c r="E23" i="8"/>
  <c r="D35" i="2"/>
  <c r="B35" i="3"/>
  <c r="E35" i="3"/>
  <c r="G35" i="3"/>
  <c r="E32" i="4"/>
  <c r="B32" i="15"/>
  <c r="H32" i="15"/>
  <c r="M31" i="8"/>
  <c r="D17" i="4"/>
  <c r="F17" i="15"/>
  <c r="D20" i="4"/>
  <c r="B20" i="15"/>
  <c r="C17" i="2"/>
  <c r="E18" i="3"/>
  <c r="H18" i="3"/>
  <c r="D21" i="2"/>
  <c r="G22" i="3"/>
  <c r="C11" i="2"/>
  <c r="D11" i="2"/>
  <c r="K12" i="4"/>
  <c r="C12" i="15"/>
  <c r="B7" i="15"/>
  <c r="I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N29" i="7"/>
  <c r="D29" i="7"/>
  <c r="F29" i="7" s="1"/>
  <c r="N27" i="7"/>
  <c r="P27" i="7" s="1"/>
  <c r="N28" i="7"/>
  <c r="P28" i="7" s="1"/>
  <c r="D27" i="7"/>
  <c r="F27" i="7" s="1"/>
  <c r="D28" i="7"/>
  <c r="F28" i="7" s="1"/>
  <c r="N24" i="7"/>
  <c r="P24" i="7" s="1"/>
  <c r="N25" i="7"/>
  <c r="P25" i="7" s="1"/>
  <c r="D24" i="7"/>
  <c r="F24" i="7" s="1"/>
  <c r="D25" i="7"/>
  <c r="F25" i="7" s="1"/>
  <c r="N23" i="7"/>
  <c r="P23" i="7" s="1"/>
  <c r="D23" i="7"/>
  <c r="F23" i="7" s="1"/>
  <c r="N32" i="7"/>
  <c r="P32" i="7" s="1"/>
  <c r="I32" i="7"/>
  <c r="K32" i="7" s="1"/>
  <c r="D32" i="7"/>
  <c r="F32" i="7" s="1"/>
  <c r="I31" i="7"/>
  <c r="K31" i="7" s="1"/>
  <c r="F31" i="7"/>
  <c r="I30" i="7"/>
  <c r="K30" i="7" s="1"/>
  <c r="P29" i="7"/>
  <c r="I29" i="7"/>
  <c r="K29" i="7" s="1"/>
  <c r="I28" i="7"/>
  <c r="K28" i="7" s="1"/>
  <c r="I27" i="7"/>
  <c r="K27" i="7" s="1"/>
  <c r="N26" i="7"/>
  <c r="P26" i="7" s="1"/>
  <c r="I26" i="7"/>
  <c r="K26" i="7" s="1"/>
  <c r="D26" i="7"/>
  <c r="F26" i="7" s="1"/>
  <c r="I25" i="7"/>
  <c r="K25" i="7" s="1"/>
  <c r="I24" i="7"/>
  <c r="K24" i="7" s="1"/>
  <c r="I23" i="7"/>
  <c r="K23" i="7" s="1"/>
  <c r="J45" i="15"/>
  <c r="J44" i="15"/>
  <c r="O20" i="16"/>
  <c r="O8" i="16"/>
  <c r="K42" i="2"/>
  <c r="K37" i="2"/>
  <c r="K36" i="2"/>
  <c r="K32" i="2"/>
  <c r="K8" i="2"/>
  <c r="M34" i="4"/>
  <c r="M33" i="4"/>
  <c r="M14" i="4"/>
  <c r="B10" i="8"/>
  <c r="E10" i="8"/>
  <c r="F10" i="8"/>
  <c r="L10" i="8"/>
  <c r="M10" i="8"/>
  <c r="N10" i="8"/>
  <c r="L33" i="8"/>
  <c r="N32" i="8" l="1"/>
  <c r="N37" i="16"/>
  <c r="G18" i="3"/>
  <c r="G23" i="3" s="1"/>
  <c r="C17" i="4"/>
  <c r="K37" i="4"/>
  <c r="J37" i="16"/>
  <c r="F32" i="8"/>
  <c r="H37" i="16"/>
  <c r="B18" i="3"/>
  <c r="B37" i="16"/>
  <c r="E37" i="16"/>
  <c r="G44" i="3"/>
  <c r="I48" i="3"/>
  <c r="J50" i="2" s="1"/>
  <c r="K50" i="2" s="1"/>
  <c r="D30" i="16"/>
  <c r="H30" i="16"/>
  <c r="N11" i="16"/>
  <c r="K41" i="4"/>
  <c r="C23" i="16"/>
  <c r="N28" i="8"/>
  <c r="B22" i="3"/>
  <c r="K20" i="4"/>
  <c r="K17" i="4"/>
  <c r="B46" i="4"/>
  <c r="B47" i="4" s="1"/>
  <c r="B44" i="3"/>
  <c r="D44" i="2"/>
  <c r="B18" i="8"/>
  <c r="M18" i="16"/>
  <c r="D6" i="16"/>
  <c r="C7" i="7"/>
  <c r="F18" i="3"/>
  <c r="H20" i="15"/>
  <c r="H17" i="4"/>
  <c r="M28" i="8"/>
  <c r="B28" i="8"/>
  <c r="H37" i="15"/>
  <c r="E40" i="2"/>
  <c r="B40" i="2"/>
  <c r="G40" i="15"/>
  <c r="N18" i="16"/>
  <c r="B27" i="15"/>
  <c r="B30" i="16"/>
  <c r="E30" i="16"/>
  <c r="M30" i="16"/>
  <c r="J18" i="16"/>
  <c r="E6" i="2"/>
  <c r="F12" i="15"/>
  <c r="H22" i="3"/>
  <c r="H23" i="3" s="1"/>
  <c r="B17" i="15"/>
  <c r="F12" i="7"/>
  <c r="B12" i="7"/>
  <c r="M6" i="8"/>
  <c r="M12" i="8" s="1"/>
  <c r="D20" i="1"/>
  <c r="O32" i="8"/>
  <c r="F41" i="15"/>
  <c r="B41" i="15"/>
  <c r="D41" i="4"/>
  <c r="E28" i="8"/>
  <c r="K40" i="4"/>
  <c r="H18" i="16"/>
  <c r="E43" i="2"/>
  <c r="B43" i="2"/>
  <c r="G32" i="15"/>
  <c r="C32" i="15"/>
  <c r="F44" i="3"/>
  <c r="B23" i="16"/>
  <c r="G11" i="16"/>
  <c r="E6" i="16"/>
  <c r="B6" i="16"/>
  <c r="J11" i="16"/>
  <c r="H6" i="16"/>
  <c r="H12" i="15"/>
  <c r="H12" i="4"/>
  <c r="F12" i="3"/>
  <c r="C21" i="2"/>
  <c r="C23" i="2" s="1"/>
  <c r="H20" i="4"/>
  <c r="H17" i="15"/>
  <c r="D32" i="4"/>
  <c r="H35" i="3"/>
  <c r="O23" i="8"/>
  <c r="F23" i="8"/>
  <c r="F27" i="15"/>
  <c r="I28" i="3"/>
  <c r="J28" i="2" s="1"/>
  <c r="K28" i="2" s="1"/>
  <c r="B5" i="5" s="1"/>
  <c r="M23" i="8"/>
  <c r="K33" i="8"/>
  <c r="C30" i="16"/>
  <c r="G30" i="16"/>
  <c r="F7" i="3"/>
  <c r="E7" i="7"/>
  <c r="C12" i="7"/>
  <c r="N6" i="8"/>
  <c r="N12" i="8" s="1"/>
  <c r="K32" i="4"/>
  <c r="D27" i="4"/>
  <c r="O18" i="8"/>
  <c r="F18" i="8"/>
  <c r="H23" i="16"/>
  <c r="G6" i="16"/>
  <c r="C6" i="16"/>
  <c r="E7" i="3"/>
  <c r="H7" i="3"/>
  <c r="B6" i="8"/>
  <c r="B12" i="8" s="1"/>
  <c r="B40" i="4"/>
  <c r="J23" i="16"/>
  <c r="K7" i="4"/>
  <c r="C7" i="4"/>
  <c r="I10" i="3"/>
  <c r="J9" i="2" s="1"/>
  <c r="B17" i="2"/>
  <c r="D21" i="1"/>
  <c r="G41" i="15"/>
  <c r="J36" i="15"/>
  <c r="L36" i="4" s="1"/>
  <c r="M36" i="4" s="1"/>
  <c r="C16" i="5" s="1"/>
  <c r="B37" i="4"/>
  <c r="O31" i="8"/>
  <c r="F28" i="8"/>
  <c r="D40" i="4"/>
  <c r="G40" i="3"/>
  <c r="B40" i="3"/>
  <c r="D40" i="2"/>
  <c r="E44" i="3"/>
  <c r="B32" i="8"/>
  <c r="O10" i="8"/>
  <c r="H7" i="15"/>
  <c r="D12" i="4"/>
  <c r="F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I11" i="3"/>
  <c r="J10" i="2" s="1"/>
  <c r="K10" i="2" s="1"/>
  <c r="G11" i="7"/>
  <c r="C18" i="1" s="1"/>
  <c r="O5" i="16"/>
  <c r="J26" i="15"/>
  <c r="L26" i="4" s="1"/>
  <c r="M26" i="4" s="1"/>
  <c r="C6" i="5" s="1"/>
  <c r="B23" i="8"/>
  <c r="M23" i="16"/>
  <c r="D37" i="4"/>
  <c r="B40" i="15"/>
  <c r="I20" i="3"/>
  <c r="J19" i="2" s="1"/>
  <c r="K19" i="2" s="1"/>
  <c r="P8" i="8"/>
  <c r="F43" i="3"/>
  <c r="B27" i="4"/>
  <c r="L19" i="4"/>
  <c r="M19" i="4" s="1"/>
  <c r="F31" i="8"/>
  <c r="D7" i="4"/>
  <c r="I39" i="3"/>
  <c r="J39" i="2" s="1"/>
  <c r="K39" i="2" s="1"/>
  <c r="B16" i="5" s="1"/>
  <c r="B32" i="4"/>
  <c r="E35" i="2"/>
  <c r="B35" i="2"/>
  <c r="D43" i="2"/>
  <c r="E23" i="16"/>
  <c r="M11" i="16"/>
  <c r="C40" i="4"/>
  <c r="E31" i="8"/>
  <c r="E43" i="3"/>
  <c r="B41" i="4"/>
  <c r="C32" i="4"/>
  <c r="B18" i="16"/>
  <c r="E18" i="16"/>
  <c r="O21" i="16"/>
  <c r="G7" i="3"/>
  <c r="C6" i="2"/>
  <c r="G7" i="15"/>
  <c r="E7" i="4"/>
  <c r="I16" i="3"/>
  <c r="J15" i="2" s="1"/>
  <c r="K15" i="2" s="1"/>
  <c r="H40" i="15"/>
  <c r="F6" i="8"/>
  <c r="F12" i="8" s="1"/>
  <c r="P5" i="8"/>
  <c r="C19" i="1" s="1"/>
  <c r="P27" i="8"/>
  <c r="D16" i="5" s="1"/>
  <c r="C44" i="2"/>
  <c r="G23" i="16"/>
  <c r="I5" i="3"/>
  <c r="J4" i="2" s="1"/>
  <c r="K4" i="2" s="1"/>
  <c r="B5" i="1" s="1"/>
  <c r="C7" i="15"/>
  <c r="L5" i="4"/>
  <c r="M5" i="4" s="1"/>
  <c r="L16" i="4"/>
  <c r="M16" i="4" s="1"/>
  <c r="F20" i="15"/>
  <c r="F21" i="15" s="1"/>
  <c r="H30" i="3"/>
  <c r="H43" i="3"/>
  <c r="I34" i="3"/>
  <c r="J34" i="2" s="1"/>
  <c r="K34" i="2" s="1"/>
  <c r="B11" i="5" s="1"/>
  <c r="I29" i="3"/>
  <c r="J29" i="2" s="1"/>
  <c r="E12" i="3"/>
  <c r="F35" i="3"/>
  <c r="J31" i="15"/>
  <c r="L31" i="4" s="1"/>
  <c r="C30" i="2"/>
  <c r="H40" i="3"/>
  <c r="H44" i="3"/>
  <c r="P9" i="8"/>
  <c r="J30" i="16"/>
  <c r="O28" i="16"/>
  <c r="O17" i="16"/>
  <c r="G18" i="16"/>
  <c r="D23" i="16"/>
  <c r="H40" i="4"/>
  <c r="H37" i="4"/>
  <c r="I38" i="3"/>
  <c r="J38" i="2" s="1"/>
  <c r="E40" i="3"/>
  <c r="P16" i="8"/>
  <c r="D5" i="5" s="1"/>
  <c r="G37" i="15"/>
  <c r="L18" i="4"/>
  <c r="M18" i="4" s="1"/>
  <c r="M32" i="8"/>
  <c r="O10" i="16"/>
  <c r="B11" i="16"/>
  <c r="K51" i="2"/>
  <c r="I21" i="3"/>
  <c r="J20" i="2" s="1"/>
  <c r="K20" i="2" s="1"/>
  <c r="F22" i="3"/>
  <c r="H41" i="4"/>
  <c r="P26" i="8"/>
  <c r="D15" i="5" s="1"/>
  <c r="C37" i="15"/>
  <c r="F30" i="3"/>
  <c r="J46" i="15"/>
  <c r="L44" i="4" s="1"/>
  <c r="M44" i="4" s="1"/>
  <c r="M37" i="16"/>
  <c r="E11" i="16"/>
  <c r="J47" i="15"/>
  <c r="L45" i="4" s="1"/>
  <c r="M45" i="4" s="1"/>
  <c r="E22" i="3"/>
  <c r="E23" i="3" s="1"/>
  <c r="B21" i="2"/>
  <c r="E37" i="4"/>
  <c r="J30" i="15"/>
  <c r="L30" i="4" s="1"/>
  <c r="M30" i="4" s="1"/>
  <c r="C10" i="5" s="1"/>
  <c r="H27" i="15"/>
  <c r="P22" i="8"/>
  <c r="D11" i="5" s="1"/>
  <c r="G27" i="15"/>
  <c r="C41" i="15"/>
  <c r="E41" i="4"/>
  <c r="E30" i="3"/>
  <c r="P17" i="8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P21" i="8"/>
  <c r="H27" i="4"/>
  <c r="N6" i="16"/>
  <c r="I6" i="3"/>
  <c r="J5" i="2" s="1"/>
  <c r="K5" i="2" s="1"/>
  <c r="C5" i="1" s="1"/>
  <c r="B7" i="3"/>
  <c r="F7" i="15"/>
  <c r="H7" i="4"/>
  <c r="D7" i="7"/>
  <c r="H12" i="3"/>
  <c r="D17" i="2"/>
  <c r="D23" i="2" s="1"/>
  <c r="C17" i="15"/>
  <c r="E17" i="4"/>
  <c r="D12" i="7"/>
  <c r="E12" i="7"/>
  <c r="O6" i="8"/>
  <c r="H41" i="15"/>
  <c r="B31" i="8"/>
  <c r="M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L6" i="8"/>
  <c r="L12" i="8" s="1"/>
  <c r="O28" i="8"/>
  <c r="B6" i="2"/>
  <c r="I17" i="3"/>
  <c r="J16" i="2" s="1"/>
  <c r="C41" i="4"/>
  <c r="C40" i="15"/>
  <c r="J25" i="15"/>
  <c r="L25" i="4" s="1"/>
  <c r="C27" i="15"/>
  <c r="E40" i="4"/>
  <c r="E27" i="4"/>
  <c r="N30" i="16"/>
  <c r="O27" i="16"/>
  <c r="O16" i="16"/>
  <c r="D18" i="16"/>
  <c r="N23" i="16"/>
  <c r="O22" i="16"/>
  <c r="O34" i="16"/>
  <c r="J12" i="5"/>
  <c r="J21" i="5"/>
  <c r="P4" i="8"/>
  <c r="B19" i="1" s="1"/>
  <c r="E6" i="8"/>
  <c r="N31" i="8"/>
  <c r="N23" i="8"/>
  <c r="E32" i="8"/>
  <c r="B43" i="3"/>
  <c r="C11" i="16"/>
  <c r="O9" i="16"/>
  <c r="B22" i="7" s="1"/>
  <c r="B12" i="15"/>
  <c r="L10" i="4"/>
  <c r="M10" i="4" s="1"/>
  <c r="F40" i="15"/>
  <c r="J35" i="15"/>
  <c r="L35" i="4" s="1"/>
  <c r="F37" i="15"/>
  <c r="E44" i="2"/>
  <c r="E30" i="2"/>
  <c r="B44" i="2"/>
  <c r="B30" i="2"/>
  <c r="I33" i="3"/>
  <c r="J33" i="2" s="1"/>
  <c r="E18" i="8"/>
  <c r="D37" i="16"/>
  <c r="C37" i="16"/>
  <c r="O35" i="16"/>
  <c r="L11" i="4"/>
  <c r="M11" i="4" s="1"/>
  <c r="L15" i="4"/>
  <c r="M15" i="4" s="1"/>
  <c r="M6" i="16"/>
  <c r="B7" i="7"/>
  <c r="F32" i="15"/>
  <c r="C43" i="2"/>
  <c r="C35" i="2"/>
  <c r="D21" i="4"/>
  <c r="C18" i="16"/>
  <c r="B7" i="4"/>
  <c r="C12" i="4"/>
  <c r="G12" i="3"/>
  <c r="G10" i="7"/>
  <c r="B18" i="1" s="1"/>
  <c r="C37" i="4"/>
  <c r="G43" i="3"/>
  <c r="G30" i="3"/>
  <c r="C22" i="7" l="1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H45" i="3"/>
  <c r="C21" i="4"/>
  <c r="B23" i="2"/>
  <c r="B33" i="1"/>
  <c r="P10" i="8"/>
  <c r="G45" i="3"/>
  <c r="M33" i="8"/>
  <c r="F45" i="3"/>
  <c r="D45" i="2"/>
  <c r="O12" i="8"/>
  <c r="F23" i="3"/>
  <c r="B33" i="8"/>
  <c r="G42" i="15"/>
  <c r="H21" i="15"/>
  <c r="B42" i="4"/>
  <c r="D7" i="1"/>
  <c r="J17" i="2"/>
  <c r="K17" i="2" s="1"/>
  <c r="I12" i="3"/>
  <c r="I44" i="3"/>
  <c r="E45" i="2"/>
  <c r="O33" i="8"/>
  <c r="E21" i="4"/>
  <c r="D17" i="5"/>
  <c r="E45" i="3"/>
  <c r="F42" i="15"/>
  <c r="D18" i="1"/>
  <c r="C10" i="1"/>
  <c r="L27" i="4"/>
  <c r="M27" i="4" s="1"/>
  <c r="C21" i="15"/>
  <c r="D42" i="4"/>
  <c r="F33" i="8"/>
  <c r="J11" i="2"/>
  <c r="K11" i="2" s="1"/>
  <c r="K9" i="2"/>
  <c r="I35" i="3"/>
  <c r="I40" i="3"/>
  <c r="J44" i="2"/>
  <c r="K44" i="2" s="1"/>
  <c r="J32" i="15"/>
  <c r="M25" i="4"/>
  <c r="C5" i="5" s="1"/>
  <c r="I30" i="3"/>
  <c r="O6" i="16"/>
  <c r="I7" i="3"/>
  <c r="P23" i="8"/>
  <c r="B21" i="4"/>
  <c r="P18" i="8"/>
  <c r="P31" i="8"/>
  <c r="G12" i="7"/>
  <c r="O11" i="16"/>
  <c r="J22" i="5"/>
  <c r="K29" i="2"/>
  <c r="B6" i="5" s="1"/>
  <c r="B7" i="5" s="1"/>
  <c r="J21" i="2"/>
  <c r="K21" i="2" s="1"/>
  <c r="H42" i="4"/>
  <c r="O23" i="16"/>
  <c r="L32" i="4"/>
  <c r="M32" i="4" s="1"/>
  <c r="C37" i="1"/>
  <c r="H42" i="15"/>
  <c r="I22" i="3"/>
  <c r="E23" i="2"/>
  <c r="J27" i="15"/>
  <c r="B16" i="1"/>
  <c r="C17" i="1"/>
  <c r="O37" i="16"/>
  <c r="L41" i="4"/>
  <c r="M41" i="4" s="1"/>
  <c r="O18" i="16"/>
  <c r="D19" i="1"/>
  <c r="J6" i="2"/>
  <c r="K6" i="2" s="1"/>
  <c r="D5" i="1" s="1"/>
  <c r="L20" i="4"/>
  <c r="M20" i="4" s="1"/>
  <c r="P32" i="8"/>
  <c r="G7" i="7"/>
  <c r="O30" i="16"/>
  <c r="P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N33" i="8"/>
  <c r="J37" i="15"/>
  <c r="I18" i="3"/>
  <c r="L17" i="4"/>
  <c r="M17" i="4" s="1"/>
  <c r="D10" i="5"/>
  <c r="E12" i="8"/>
  <c r="P6" i="8"/>
  <c r="E42" i="4"/>
  <c r="C42" i="15"/>
  <c r="J40" i="15"/>
  <c r="J41" i="15"/>
  <c r="E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I43" i="3"/>
  <c r="P33" i="8" l="1"/>
  <c r="D22" i="7"/>
  <c r="F22" i="7" s="1"/>
  <c r="B8" i="1"/>
  <c r="F18" i="1"/>
  <c r="J21" i="15"/>
  <c r="D6" i="1"/>
  <c r="C8" i="1"/>
  <c r="C33" i="1" s="1"/>
  <c r="P12" i="8"/>
  <c r="B10" i="1"/>
  <c r="F19" i="1"/>
  <c r="J45" i="2"/>
  <c r="K45" i="2" s="1"/>
  <c r="I45" i="3"/>
  <c r="F7" i="1"/>
  <c r="J23" i="2"/>
  <c r="K23" i="2" s="1"/>
  <c r="B27" i="1"/>
  <c r="B21" i="5"/>
  <c r="B28" i="1"/>
  <c r="L42" i="4"/>
  <c r="M42" i="4" s="1"/>
  <c r="J42" i="15"/>
  <c r="I23" i="3"/>
  <c r="B17" i="1"/>
  <c r="D17" i="1" s="1"/>
  <c r="K43" i="2"/>
  <c r="C11" i="5"/>
  <c r="C28" i="1"/>
  <c r="C27" i="1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10" i="1" l="1"/>
  <c r="F10" i="1" s="1"/>
  <c r="D8" i="1"/>
  <c r="F8" i="1" s="1"/>
  <c r="F6" i="1"/>
  <c r="C11" i="1"/>
  <c r="M22" i="7" s="1"/>
  <c r="B32" i="1"/>
  <c r="B11" i="1"/>
  <c r="L22" i="7" s="1"/>
  <c r="D28" i="1"/>
  <c r="B22" i="1"/>
  <c r="B29" i="1"/>
  <c r="C12" i="5"/>
  <c r="C21" i="5"/>
  <c r="E21" i="5" s="1"/>
  <c r="F21" i="5" s="1"/>
  <c r="H21" i="5" s="1"/>
  <c r="E11" i="5"/>
  <c r="F11" i="5" s="1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H22" i="7" l="1"/>
  <c r="N22" i="7"/>
  <c r="P22" i="7" s="1"/>
  <c r="G22" i="7"/>
  <c r="C32" i="1"/>
  <c r="F28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2" i="7" l="1"/>
  <c r="K22" i="7" s="1"/>
  <c r="F22" i="5"/>
  <c r="H22" i="5" s="1"/>
  <c r="H20" i="5"/>
  <c r="G20" i="1" l="1"/>
  <c r="G7" i="1"/>
  <c r="G21" i="1"/>
  <c r="G19" i="1"/>
  <c r="I7" i="1" l="1"/>
  <c r="C21" i="7"/>
  <c r="C33" i="7" s="1"/>
  <c r="I20" i="1"/>
  <c r="B21" i="7"/>
  <c r="I19" i="1"/>
  <c r="I21" i="1"/>
  <c r="G18" i="1"/>
  <c r="D33" i="1"/>
  <c r="I16" i="5"/>
  <c r="G5" i="1"/>
  <c r="D21" i="7" l="1"/>
  <c r="D33" i="7" s="1"/>
  <c r="F33" i="7" s="1"/>
  <c r="B33" i="7"/>
  <c r="I18" i="1"/>
  <c r="I5" i="1"/>
  <c r="G16" i="1"/>
  <c r="I6" i="5"/>
  <c r="G17" i="1"/>
  <c r="F21" i="7" l="1"/>
  <c r="L21" i="7"/>
  <c r="G21" i="7" s="1"/>
  <c r="M21" i="7"/>
  <c r="I17" i="1"/>
  <c r="G6" i="1"/>
  <c r="G10" i="1"/>
  <c r="K6" i="5"/>
  <c r="I16" i="1"/>
  <c r="G22" i="1"/>
  <c r="I22" i="1" s="1"/>
  <c r="D32" i="1"/>
  <c r="G28" i="1"/>
  <c r="I11" i="5"/>
  <c r="G27" i="1"/>
  <c r="I5" i="5"/>
  <c r="I15" i="5"/>
  <c r="I10" i="5"/>
  <c r="N21" i="7" l="1"/>
  <c r="P21" i="7" s="1"/>
  <c r="M33" i="7"/>
  <c r="H21" i="7"/>
  <c r="H33" i="7" s="1"/>
  <c r="L33" i="7"/>
  <c r="K11" i="5"/>
  <c r="I10" i="1"/>
  <c r="I28" i="1"/>
  <c r="I17" i="5"/>
  <c r="K17" i="5" s="1"/>
  <c r="K15" i="5"/>
  <c r="G33" i="7"/>
  <c r="N33" i="7"/>
  <c r="P33" i="7" s="1"/>
  <c r="K10" i="5"/>
  <c r="I12" i="5"/>
  <c r="K12" i="5" s="1"/>
  <c r="D34" i="1"/>
  <c r="E33" i="1" s="1"/>
  <c r="I7" i="5"/>
  <c r="K7" i="5" s="1"/>
  <c r="K5" i="5"/>
  <c r="I20" i="5"/>
  <c r="I6" i="1"/>
  <c r="G8" i="1"/>
  <c r="I27" i="1"/>
  <c r="G29" i="1"/>
  <c r="I29" i="1" s="1"/>
  <c r="I21" i="5"/>
  <c r="K21" i="5" s="1"/>
  <c r="I21" i="7" l="1"/>
  <c r="I33" i="7" s="1"/>
  <c r="K33" i="7" s="1"/>
  <c r="E32" i="1"/>
  <c r="I22" i="5"/>
  <c r="K22" i="5" s="1"/>
  <c r="K20" i="5"/>
  <c r="I8" i="1"/>
  <c r="G11" i="1"/>
  <c r="I11" i="1" s="1"/>
  <c r="K21" i="7" l="1"/>
</calcChain>
</file>

<file path=xl/sharedStrings.xml><?xml version="1.0" encoding="utf-8"?>
<sst xmlns="http://schemas.openxmlformats.org/spreadsheetml/2006/main" count="602" uniqueCount="234">
  <si>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</si>
  <si>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</si>
  <si>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</si>
  <si>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</si>
  <si>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</si>
  <si>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</si>
  <si>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</si>
  <si>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</si>
  <si>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</si>
  <si>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</si>
  <si>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</si>
  <si>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</si>
  <si>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</si>
  <si>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</si>
  <si>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</si>
  <si>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</si>
  <si>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</si>
  <si>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</si>
  <si>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</si>
  <si>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</si>
  <si>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</si>
  <si>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</si>
  <si>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</si>
  <si>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</si>
  <si>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</si>
  <si>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</si>
  <si>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</si>
  <si>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</si>
  <si>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</si>
  <si>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</si>
  <si>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</si>
  <si>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</si>
  <si>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</si>
  <si>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</si>
  <si>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</si>
  <si>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</si>
  <si>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</si>
  <si>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</si>
  <si>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</si>
  <si>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</si>
  <si>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</si>
  <si>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</si>
  <si>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</si>
  <si>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</si>
  <si>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</si>
  <si>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</si>
  <si>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</si>
  <si>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</si>
  <si>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</si>
  <si>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</si>
  <si>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</si>
  <si>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</si>
  <si>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</si>
  <si>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</si>
  <si>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</si>
  <si>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</si>
  <si>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</si>
  <si>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</si>
  <si>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</si>
  <si>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</si>
  <si>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</si>
  <si>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</si>
  <si>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</si>
  <si>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</si>
  <si>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</si>
  <si>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</si>
  <si>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</si>
  <si>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</si>
  <si>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</si>
  <si>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</si>
  <si>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</si>
  <si>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</si>
  <si>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</si>
  <si>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</si>
  <si>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</si>
  <si>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</si>
  <si>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</si>
  <si>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</si>
  <si>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</si>
  <si>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</si>
  <si>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</si>
  <si>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</si>
  <si>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</si>
  <si>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</si>
  <si>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</si>
  <si>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</si>
  <si>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</si>
  <si>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</si>
  <si>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</si>
  <si>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</si>
  <si>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</si>
  <si>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</si>
  <si>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</si>
  <si>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</si>
  <si>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</si>
  <si>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</si>
  <si>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</si>
  <si>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</si>
  <si>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</si>
  <si>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</si>
  <si>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</si>
  <si>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</si>
  <si>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</si>
  <si>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</si>
  <si>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</si>
  <si>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</si>
  <si>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</si>
  <si>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</si>
  <si>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</si>
  <si>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</si>
  <si>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</si>
  <si>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</si>
  <si>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</si>
  <si>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</si>
  <si>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</si>
  <si>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</si>
  <si>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</si>
  <si>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</si>
  <si>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</si>
  <si>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</si>
  <si>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</si>
  <si>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</si>
  <si>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</si>
  <si>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</si>
  <si>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</si>
  <si>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</si>
  <si>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</si>
  <si>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</si>
  <si>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</si>
  <si>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</si>
  <si>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</si>
  <si>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</si>
  <si>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</si>
  <si>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</si>
  <si>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</si>
  <si>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</si>
  <si>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</si>
  <si>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</si>
  <si>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</si>
  <si>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</si>
  <si>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</si>
  <si>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</si>
  <si>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</si>
  <si>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</si>
  <si>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</si>
  <si>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</si>
  <si>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</si>
  <si>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</si>
  <si>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</si>
  <si>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</si>
  <si>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</si>
  <si>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</si>
  <si>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</si>
  <si>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</si>
  <si>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</si>
  <si>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</si>
  <si>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</si>
  <si>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</si>
  <si>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</si>
  <si>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</si>
  <si>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</si>
  <si>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</si>
  <si>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</si>
  <si>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</si>
  <si>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</si>
  <si>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</si>
  <si>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</si>
  <si>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</si>
  <si>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</si>
  <si>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</si>
  <si>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</si>
  <si>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</si>
  <si>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</si>
  <si>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</si>
  <si>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</si>
  <si>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</si>
  <si>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</si>
  <si>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</si>
  <si>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</si>
  <si>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</si>
  <si>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</si>
  <si>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</si>
  <si>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</si>
  <si>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</si>
  <si>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</si>
  <si>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</si>
  <si>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</si>
  <si>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</si>
  <si>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</si>
  <si>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</si>
  <si>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</si>
  <si>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</si>
  <si>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</si>
  <si>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</si>
  <si>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</si>
  <si>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</si>
  <si>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</si>
  <si>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</si>
  <si>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</si>
  <si>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</si>
  <si>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</si>
  <si>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</si>
  <si>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</si>
  <si>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</si>
  <si>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</si>
  <si>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</si>
  <si>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</si>
  <si>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</si>
  <si>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</si>
  <si>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Metric Tons 2018</t>
  </si>
  <si>
    <t>Total 2018</t>
  </si>
  <si>
    <t>Horizon Air - Alaska</t>
  </si>
  <si>
    <t>Sky West - American</t>
  </si>
  <si>
    <t>Monthly Total 2019</t>
  </si>
  <si>
    <t>Y-T-D 2019</t>
  </si>
  <si>
    <t xml:space="preserve">2018 YTD </t>
  </si>
  <si>
    <t>Jet Blue</t>
  </si>
  <si>
    <t>Total 2019</t>
  </si>
  <si>
    <t>Metric Tons 2019</t>
  </si>
  <si>
    <t>Atlas Air -Amazon</t>
  </si>
  <si>
    <t>Atlas Air - Amazon</t>
  </si>
  <si>
    <t>Monthly Ops 2019</t>
  </si>
  <si>
    <t>Ops YTD 2019</t>
  </si>
  <si>
    <t>Current Month 2019</t>
  </si>
  <si>
    <t>YTD 2019</t>
  </si>
  <si>
    <t>2019 % Cargo</t>
  </si>
  <si>
    <t>February 2018</t>
  </si>
  <si>
    <t>Encore Air Cargo</t>
  </si>
  <si>
    <t>Encore</t>
  </si>
  <si>
    <t>Kalittia - DHL</t>
  </si>
  <si>
    <t>Atlas - DHL</t>
  </si>
  <si>
    <t>Kalitta - DHL</t>
  </si>
  <si>
    <t>DHL</t>
  </si>
  <si>
    <t>ABX - DHL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</si>
</sst>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0" fillId="0" borderId="15" xfId="0" applyNumberFormat="1" applyBorder="1"/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/>
    <xf numFmtId="41" fontId="0" fillId="0" borderId="37" xfId="0" applyNumberFormat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Border="1"/>
    <xf numFmtId="1" fontId="0" fillId="0" borderId="41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42" xfId="0" applyBorder="1"/>
    <xf numFmtId="2" fontId="0" fillId="0" borderId="0" xfId="0" applyNumberFormat="1"/>
    <xf numFmtId="17" fontId="0" fillId="0" borderId="0" xfId="0" applyNumberFormat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0" fontId="22" fillId="0" borderId="0" xfId="0" applyFont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4" fontId="4" fillId="0" borderId="0" xfId="2" applyFont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9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9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/>
    <xf numFmtId="0" fontId="27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1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1" fillId="0" borderId="15" xfId="0" applyFont="1" applyBorder="1"/>
    <xf numFmtId="1" fontId="4" fillId="0" borderId="0" xfId="0" applyNumberFormat="1" applyFont="1"/>
    <xf numFmtId="0" fontId="0" fillId="0" borderId="39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6" xfId="0" applyNumberFormat="1" applyFont="1" applyBorder="1"/>
    <xf numFmtId="0" fontId="7" fillId="0" borderId="36" xfId="0" applyFont="1" applyBorder="1"/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Border="1"/>
    <xf numFmtId="41" fontId="4" fillId="0" borderId="13" xfId="0" applyNumberFormat="1" applyFont="1" applyBorder="1"/>
    <xf numFmtId="0" fontId="1" fillId="0" borderId="0" xfId="0" applyFont="1"/>
    <xf numFmtId="0" fontId="4" fillId="0" borderId="39" xfId="0" applyFont="1" applyBorder="1"/>
    <xf numFmtId="0" fontId="0" fillId="0" borderId="26" xfId="0" applyBorder="1"/>
    <xf numFmtId="3" fontId="4" fillId="0" borderId="39" xfId="0" applyNumberFormat="1" applyFont="1" applyBorder="1"/>
    <xf numFmtId="10" fontId="4" fillId="0" borderId="24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0" fontId="28" fillId="11" borderId="0" xfId="0" applyFont="1" applyFill="1" applyAlignment="1">
      <alignment horizontal="center"/>
    </xf>
    <xf numFmtId="3" fontId="29" fillId="0" borderId="75" xfId="0" applyNumberFormat="1" applyFont="1" applyBorder="1"/>
    <xf numFmtId="165" fontId="29" fillId="0" borderId="57" xfId="1" applyNumberFormat="1" applyFont="1" applyBorder="1"/>
    <xf numFmtId="10" fontId="29" fillId="0" borderId="75" xfId="0" applyNumberFormat="1" applyFont="1" applyBorder="1"/>
    <xf numFmtId="10" fontId="29" fillId="0" borderId="58" xfId="3" applyNumberFormat="1" applyFont="1" applyBorder="1"/>
    <xf numFmtId="165" fontId="29" fillId="0" borderId="75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Border="1"/>
    <xf numFmtId="10" fontId="13" fillId="0" borderId="24" xfId="0" applyNumberFormat="1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7" fontId="0" fillId="0" borderId="76" xfId="0" applyNumberForma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37" fontId="0" fillId="0" borderId="67" xfId="0" applyNumberFormat="1" applyBorder="1" applyAlignment="1">
      <alignment horizontal="center"/>
    </xf>
    <xf numFmtId="41" fontId="0" fillId="0" borderId="76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February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anuary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2062235</v>
          </cell>
          <cell r="G5">
            <v>4110800</v>
          </cell>
        </row>
        <row r="6">
          <cell r="D6">
            <v>562528</v>
          </cell>
          <cell r="G6">
            <v>1106200</v>
          </cell>
        </row>
        <row r="7">
          <cell r="D7">
            <v>1547</v>
          </cell>
          <cell r="G7">
            <v>1941</v>
          </cell>
        </row>
        <row r="10">
          <cell r="D10">
            <v>85063</v>
          </cell>
          <cell r="G10">
            <v>177242</v>
          </cell>
        </row>
        <row r="16">
          <cell r="D16">
            <v>16029</v>
          </cell>
          <cell r="G16">
            <v>32744</v>
          </cell>
        </row>
        <row r="17">
          <cell r="D17">
            <v>10925</v>
          </cell>
          <cell r="G17">
            <v>22129</v>
          </cell>
        </row>
        <row r="18">
          <cell r="D18">
            <v>8</v>
          </cell>
          <cell r="G18">
            <v>12</v>
          </cell>
        </row>
        <row r="19">
          <cell r="D19">
            <v>1110</v>
          </cell>
          <cell r="G19">
            <v>2380</v>
          </cell>
        </row>
        <row r="20">
          <cell r="D20">
            <v>1965</v>
          </cell>
          <cell r="G20">
            <v>3506</v>
          </cell>
        </row>
        <row r="21">
          <cell r="D21">
            <v>122</v>
          </cell>
          <cell r="G21">
            <v>204</v>
          </cell>
        </row>
        <row r="27">
          <cell r="D27">
            <v>15478.279893265419</v>
          </cell>
          <cell r="G27">
            <v>31643.955436462598</v>
          </cell>
        </row>
        <row r="28">
          <cell r="D28">
            <v>1782.7119077205898</v>
          </cell>
          <cell r="G28">
            <v>3859.3494032393296</v>
          </cell>
        </row>
        <row r="32">
          <cell r="B32">
            <v>901324</v>
          </cell>
          <cell r="D32">
            <v>1750784</v>
          </cell>
        </row>
        <row r="33">
          <cell r="B33">
            <v>433217</v>
          </cell>
          <cell r="D33">
            <v>882825</v>
          </cell>
        </row>
      </sheetData>
      <sheetData sheetId="1"/>
      <sheetData sheetId="2"/>
      <sheetData sheetId="3"/>
      <sheetData sheetId="4"/>
      <sheetData sheetId="5">
        <row r="22">
          <cell r="D22">
            <v>285115</v>
          </cell>
          <cell r="I22">
            <v>2426258</v>
          </cell>
          <cell r="N22">
            <v>2711373</v>
          </cell>
        </row>
      </sheetData>
      <sheetData sheetId="6"/>
      <sheetData sheetId="7">
        <row r="5">
          <cell r="F5">
            <v>8539.6297821765693</v>
          </cell>
          <cell r="I5">
            <v>17493.357193104868</v>
          </cell>
        </row>
        <row r="6">
          <cell r="F6">
            <v>783.27918024894996</v>
          </cell>
          <cell r="I6">
            <v>1577.2263994479299</v>
          </cell>
        </row>
        <row r="10">
          <cell r="F10">
            <v>6938.6501110888503</v>
          </cell>
          <cell r="I10">
            <v>14150.59824335773</v>
          </cell>
        </row>
        <row r="11">
          <cell r="F11">
            <v>999.43272747163996</v>
          </cell>
          <cell r="I11">
            <v>2282.1230037914002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15478.27989326542</v>
          </cell>
        </row>
        <row r="21">
          <cell r="F21">
            <v>1782.71190772059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2093137</v>
          </cell>
        </row>
        <row r="6">
          <cell r="G6">
            <v>547102</v>
          </cell>
        </row>
        <row r="7">
          <cell r="G7">
            <v>55</v>
          </cell>
        </row>
        <row r="10">
          <cell r="G10">
            <v>96547</v>
          </cell>
        </row>
        <row r="16">
          <cell r="G16">
            <v>17054</v>
          </cell>
        </row>
        <row r="17">
          <cell r="G17">
            <v>11255</v>
          </cell>
        </row>
        <row r="18">
          <cell r="G18">
            <v>1</v>
          </cell>
        </row>
        <row r="19">
          <cell r="G19">
            <v>1165</v>
          </cell>
        </row>
        <row r="20">
          <cell r="G20">
            <v>1381</v>
          </cell>
        </row>
        <row r="21">
          <cell r="G21">
            <v>78</v>
          </cell>
        </row>
        <row r="27">
          <cell r="G27">
            <v>16892.70110490347</v>
          </cell>
        </row>
        <row r="28">
          <cell r="G28">
            <v>2192.1774511898798</v>
          </cell>
        </row>
        <row r="32">
          <cell r="D32">
            <v>882914</v>
          </cell>
        </row>
        <row r="33">
          <cell r="D33">
            <v>454323</v>
          </cell>
        </row>
      </sheetData>
      <sheetData sheetId="1"/>
      <sheetData sheetId="2"/>
      <sheetData sheetId="3"/>
      <sheetData sheetId="4"/>
      <sheetData sheetId="5">
        <row r="21">
          <cell r="B21">
            <v>137103</v>
          </cell>
          <cell r="C21">
            <v>129608</v>
          </cell>
          <cell r="L21">
            <v>1351127</v>
          </cell>
          <cell r="M21">
            <v>1385714</v>
          </cell>
        </row>
      </sheetData>
      <sheetData sheetId="6"/>
      <sheetData sheetId="7">
        <row r="5">
          <cell r="I5">
            <v>9617.0432027138704</v>
          </cell>
        </row>
        <row r="6">
          <cell r="I6">
            <v>939.99942641528003</v>
          </cell>
        </row>
        <row r="10">
          <cell r="I10">
            <v>7275.6579021895996</v>
          </cell>
        </row>
        <row r="11">
          <cell r="I11">
            <v>1252.1780247745999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C4">
            <v>81</v>
          </cell>
        </row>
        <row r="5">
          <cell r="GC5">
            <v>81</v>
          </cell>
        </row>
        <row r="8">
          <cell r="GC8"/>
        </row>
        <row r="9">
          <cell r="GC9"/>
        </row>
        <row r="19">
          <cell r="FN19">
            <v>248</v>
          </cell>
          <cell r="FO19">
            <v>210</v>
          </cell>
          <cell r="GB19">
            <v>200</v>
          </cell>
          <cell r="GC19">
            <v>162</v>
          </cell>
        </row>
        <row r="22">
          <cell r="GC22">
            <v>336</v>
          </cell>
        </row>
        <row r="23">
          <cell r="GC23">
            <v>417</v>
          </cell>
        </row>
        <row r="27">
          <cell r="GC27"/>
        </row>
        <row r="28">
          <cell r="GC28"/>
        </row>
        <row r="41">
          <cell r="FN41">
            <v>960</v>
          </cell>
          <cell r="FO41">
            <v>755</v>
          </cell>
          <cell r="GB41">
            <v>730</v>
          </cell>
          <cell r="GC41">
            <v>753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</sheetData>
      <sheetData sheetId="3"/>
      <sheetData sheetId="4">
        <row r="4">
          <cell r="GC4"/>
        </row>
        <row r="5">
          <cell r="GC5"/>
        </row>
        <row r="8">
          <cell r="GC8"/>
        </row>
        <row r="9">
          <cell r="GC9"/>
        </row>
        <row r="15">
          <cell r="GB15"/>
          <cell r="GC15"/>
        </row>
        <row r="16">
          <cell r="GB16"/>
          <cell r="GC16"/>
        </row>
        <row r="19">
          <cell r="FN19">
            <v>0</v>
          </cell>
          <cell r="FO19">
            <v>0</v>
          </cell>
          <cell r="GB19">
            <v>0</v>
          </cell>
          <cell r="GC19">
            <v>0</v>
          </cell>
        </row>
        <row r="22">
          <cell r="GC22"/>
        </row>
        <row r="23">
          <cell r="GC23"/>
        </row>
        <row r="27">
          <cell r="GC27"/>
        </row>
        <row r="28">
          <cell r="GC28"/>
        </row>
        <row r="32">
          <cell r="GB32"/>
          <cell r="GC32"/>
        </row>
        <row r="33">
          <cell r="GB33"/>
          <cell r="GC33"/>
        </row>
        <row r="37">
          <cell r="GB37"/>
          <cell r="GC37"/>
        </row>
        <row r="38">
          <cell r="GB38"/>
          <cell r="GC38"/>
        </row>
        <row r="41">
          <cell r="FN41">
            <v>0</v>
          </cell>
          <cell r="FO41">
            <v>0</v>
          </cell>
          <cell r="GB41">
            <v>0</v>
          </cell>
          <cell r="GC41">
            <v>0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</sheetData>
      <sheetData sheetId="5"/>
      <sheetData sheetId="6">
        <row r="4">
          <cell r="GC4">
            <v>57</v>
          </cell>
        </row>
        <row r="5">
          <cell r="GC5">
            <v>57</v>
          </cell>
        </row>
        <row r="8">
          <cell r="GC8"/>
        </row>
        <row r="9">
          <cell r="GC9"/>
        </row>
        <row r="19">
          <cell r="FN19">
            <v>120</v>
          </cell>
          <cell r="FO19">
            <v>114</v>
          </cell>
          <cell r="GB19">
            <v>127</v>
          </cell>
          <cell r="GC19">
            <v>114</v>
          </cell>
        </row>
        <row r="22">
          <cell r="GC22">
            <v>7537</v>
          </cell>
        </row>
        <row r="23">
          <cell r="GC23">
            <v>7685</v>
          </cell>
        </row>
        <row r="27">
          <cell r="GC27">
            <v>242</v>
          </cell>
        </row>
        <row r="28">
          <cell r="GC28">
            <v>279</v>
          </cell>
        </row>
        <row r="41">
          <cell r="FN41">
            <v>15815</v>
          </cell>
          <cell r="FO41">
            <v>15209</v>
          </cell>
          <cell r="GB41">
            <v>16984</v>
          </cell>
          <cell r="GC41">
            <v>15222</v>
          </cell>
        </row>
        <row r="47">
          <cell r="GC47">
            <v>3028</v>
          </cell>
        </row>
        <row r="48">
          <cell r="GC48">
            <v>108</v>
          </cell>
        </row>
        <row r="52">
          <cell r="GC52">
            <v>6102</v>
          </cell>
        </row>
        <row r="53">
          <cell r="GC53">
            <v>7686</v>
          </cell>
        </row>
        <row r="57">
          <cell r="GC57"/>
        </row>
        <row r="58">
          <cell r="GC58"/>
        </row>
      </sheetData>
      <sheetData sheetId="7"/>
      <sheetData sheetId="8">
        <row r="4">
          <cell r="GC4">
            <v>574</v>
          </cell>
        </row>
        <row r="5">
          <cell r="GC5">
            <v>572</v>
          </cell>
        </row>
        <row r="8">
          <cell r="GC8"/>
        </row>
        <row r="9">
          <cell r="GC9"/>
        </row>
        <row r="19">
          <cell r="FN19">
            <v>1140</v>
          </cell>
          <cell r="FO19">
            <v>1079</v>
          </cell>
          <cell r="GB19">
            <v>1300</v>
          </cell>
          <cell r="GC19">
            <v>1146</v>
          </cell>
        </row>
        <row r="22">
          <cell r="GC22">
            <v>68070</v>
          </cell>
        </row>
        <row r="23">
          <cell r="GC23">
            <v>67724</v>
          </cell>
        </row>
        <row r="27">
          <cell r="GC27">
            <v>2272</v>
          </cell>
        </row>
        <row r="28">
          <cell r="GC28">
            <v>2541</v>
          </cell>
        </row>
        <row r="41">
          <cell r="FN41">
            <v>137961</v>
          </cell>
          <cell r="FO41">
            <v>135003</v>
          </cell>
          <cell r="GB41">
            <v>145184</v>
          </cell>
          <cell r="GC41">
            <v>135794</v>
          </cell>
        </row>
        <row r="47">
          <cell r="GC47">
            <v>22887</v>
          </cell>
        </row>
        <row r="48">
          <cell r="GC48">
            <v>39751</v>
          </cell>
        </row>
        <row r="52">
          <cell r="GC52">
            <v>8231</v>
          </cell>
        </row>
        <row r="53">
          <cell r="GC53">
            <v>65342</v>
          </cell>
        </row>
        <row r="57">
          <cell r="GC57"/>
        </row>
        <row r="58">
          <cell r="GC58"/>
        </row>
      </sheetData>
      <sheetData sheetId="9"/>
      <sheetData sheetId="10">
        <row r="4">
          <cell r="GC4">
            <v>555</v>
          </cell>
        </row>
        <row r="5">
          <cell r="GC5">
            <v>556</v>
          </cell>
        </row>
        <row r="8">
          <cell r="GC8">
            <v>64</v>
          </cell>
        </row>
        <row r="9">
          <cell r="GC9">
            <v>59</v>
          </cell>
        </row>
        <row r="15">
          <cell r="GB15">
            <v>160</v>
          </cell>
          <cell r="GC15">
            <v>217</v>
          </cell>
        </row>
        <row r="16">
          <cell r="GB16">
            <v>161</v>
          </cell>
          <cell r="GC16">
            <v>219</v>
          </cell>
        </row>
        <row r="19">
          <cell r="FN19">
            <v>1836</v>
          </cell>
          <cell r="FO19">
            <v>1984</v>
          </cell>
          <cell r="GB19">
            <v>1519</v>
          </cell>
          <cell r="GC19">
            <v>1670</v>
          </cell>
        </row>
        <row r="22">
          <cell r="GC22">
            <v>83471</v>
          </cell>
        </row>
        <row r="23">
          <cell r="GC23">
            <v>89556</v>
          </cell>
        </row>
        <row r="27">
          <cell r="GC27">
            <v>1297</v>
          </cell>
        </row>
        <row r="28">
          <cell r="GC28">
            <v>1338</v>
          </cell>
        </row>
        <row r="32">
          <cell r="GB32">
            <v>20211</v>
          </cell>
          <cell r="GC32">
            <v>29015</v>
          </cell>
        </row>
        <row r="33">
          <cell r="GB33">
            <v>19540</v>
          </cell>
          <cell r="GC33">
            <v>31523</v>
          </cell>
        </row>
        <row r="37">
          <cell r="GB37">
            <v>206</v>
          </cell>
          <cell r="GC37">
            <v>177</v>
          </cell>
        </row>
        <row r="38">
          <cell r="GB38">
            <v>253</v>
          </cell>
          <cell r="GC38">
            <v>233</v>
          </cell>
        </row>
        <row r="41">
          <cell r="FN41">
            <v>200537</v>
          </cell>
          <cell r="FO41">
            <v>232543</v>
          </cell>
          <cell r="GB41">
            <v>195917</v>
          </cell>
          <cell r="GC41">
            <v>233565</v>
          </cell>
        </row>
        <row r="47">
          <cell r="GC47">
            <v>25815</v>
          </cell>
        </row>
        <row r="48">
          <cell r="GC48">
            <v>180624</v>
          </cell>
        </row>
        <row r="52">
          <cell r="GC52">
            <v>24332</v>
          </cell>
        </row>
        <row r="53">
          <cell r="GC53">
            <v>388885</v>
          </cell>
        </row>
        <row r="57">
          <cell r="GC57"/>
        </row>
        <row r="58">
          <cell r="GC58"/>
        </row>
        <row r="70">
          <cell r="GC70">
            <v>88495</v>
          </cell>
        </row>
        <row r="71">
          <cell r="GC71">
            <v>1061</v>
          </cell>
        </row>
        <row r="73">
          <cell r="GC73">
            <v>31488</v>
          </cell>
        </row>
        <row r="74">
          <cell r="GC74">
            <v>35</v>
          </cell>
        </row>
      </sheetData>
      <sheetData sheetId="11">
        <row r="4">
          <cell r="GC4">
            <v>60</v>
          </cell>
        </row>
        <row r="5">
          <cell r="GC5">
            <v>60</v>
          </cell>
        </row>
        <row r="8">
          <cell r="GC8"/>
        </row>
        <row r="9">
          <cell r="GC9"/>
        </row>
        <row r="19">
          <cell r="FN19">
            <v>158</v>
          </cell>
          <cell r="FO19">
            <v>138</v>
          </cell>
          <cell r="GB19">
            <v>144</v>
          </cell>
          <cell r="GC19">
            <v>120</v>
          </cell>
        </row>
        <row r="22">
          <cell r="GC22">
            <v>244</v>
          </cell>
        </row>
        <row r="23">
          <cell r="GC23">
            <v>221</v>
          </cell>
        </row>
        <row r="27">
          <cell r="GC27"/>
        </row>
        <row r="28">
          <cell r="GC28"/>
        </row>
        <row r="41">
          <cell r="FN41">
            <v>802</v>
          </cell>
          <cell r="FO41">
            <v>682</v>
          </cell>
          <cell r="GB41">
            <v>603</v>
          </cell>
          <cell r="GC41">
            <v>465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</sheetData>
      <sheetData sheetId="12">
        <row r="4">
          <cell r="GC4"/>
        </row>
        <row r="5">
          <cell r="GC5"/>
        </row>
        <row r="8">
          <cell r="GC8"/>
        </row>
        <row r="9">
          <cell r="GC9"/>
        </row>
        <row r="15">
          <cell r="GB15"/>
          <cell r="GC15"/>
        </row>
        <row r="16">
          <cell r="GB16"/>
          <cell r="GC16"/>
        </row>
        <row r="19">
          <cell r="FN19">
            <v>0</v>
          </cell>
          <cell r="FO19">
            <v>0</v>
          </cell>
          <cell r="GB19">
            <v>0</v>
          </cell>
          <cell r="GC19">
            <v>0</v>
          </cell>
        </row>
        <row r="22">
          <cell r="GC22"/>
        </row>
        <row r="23">
          <cell r="GC23"/>
        </row>
        <row r="27">
          <cell r="GC27"/>
        </row>
        <row r="28">
          <cell r="GC28"/>
        </row>
        <row r="32">
          <cell r="GB32"/>
          <cell r="GC32"/>
        </row>
        <row r="33">
          <cell r="GB33"/>
          <cell r="GC33"/>
        </row>
        <row r="37">
          <cell r="GB37"/>
          <cell r="GC37"/>
        </row>
        <row r="38">
          <cell r="GB38"/>
          <cell r="GC38"/>
        </row>
        <row r="41">
          <cell r="FN41">
            <v>0</v>
          </cell>
          <cell r="FO41">
            <v>0</v>
          </cell>
          <cell r="GB41">
            <v>0</v>
          </cell>
          <cell r="GC41">
            <v>0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</sheetData>
      <sheetData sheetId="13">
        <row r="4">
          <cell r="GC4">
            <v>4482</v>
          </cell>
        </row>
        <row r="5">
          <cell r="GC5">
            <v>4478</v>
          </cell>
        </row>
        <row r="8">
          <cell r="GC8">
            <v>5</v>
          </cell>
        </row>
        <row r="9">
          <cell r="GC9">
            <v>5</v>
          </cell>
        </row>
        <row r="15">
          <cell r="GB15">
            <v>574</v>
          </cell>
          <cell r="GC15">
            <v>585</v>
          </cell>
        </row>
        <row r="16">
          <cell r="GB16">
            <v>581</v>
          </cell>
          <cell r="GC16">
            <v>586</v>
          </cell>
        </row>
        <row r="19">
          <cell r="FN19">
            <v>10463</v>
          </cell>
          <cell r="FO19">
            <v>9841</v>
          </cell>
          <cell r="GB19">
            <v>11008</v>
          </cell>
          <cell r="GC19">
            <v>10141</v>
          </cell>
        </row>
        <row r="22">
          <cell r="GC22">
            <v>574220</v>
          </cell>
        </row>
        <row r="23">
          <cell r="GC23">
            <v>580360</v>
          </cell>
        </row>
        <row r="27">
          <cell r="GC27">
            <v>24599</v>
          </cell>
        </row>
        <row r="28">
          <cell r="GC28">
            <v>24318</v>
          </cell>
        </row>
        <row r="32">
          <cell r="GB32">
            <v>87230</v>
          </cell>
          <cell r="GC32">
            <v>84747</v>
          </cell>
        </row>
        <row r="33">
          <cell r="GB33">
            <v>82653</v>
          </cell>
          <cell r="GC33">
            <v>84302</v>
          </cell>
        </row>
        <row r="37">
          <cell r="GB37">
            <v>2573</v>
          </cell>
          <cell r="GC37">
            <v>2264</v>
          </cell>
        </row>
        <row r="38">
          <cell r="GB38">
            <v>2135</v>
          </cell>
          <cell r="GC38">
            <v>2288</v>
          </cell>
        </row>
        <row r="41">
          <cell r="FN41">
            <v>1348275</v>
          </cell>
          <cell r="FO41">
            <v>1334585</v>
          </cell>
          <cell r="GB41">
            <v>1398155</v>
          </cell>
          <cell r="GC41">
            <v>1323629</v>
          </cell>
        </row>
        <row r="47">
          <cell r="GC47">
            <v>3672279</v>
          </cell>
        </row>
        <row r="48">
          <cell r="GC48">
            <v>1458677</v>
          </cell>
        </row>
        <row r="52">
          <cell r="GC52">
            <v>2379839</v>
          </cell>
        </row>
        <row r="53">
          <cell r="GC53">
            <v>1724409</v>
          </cell>
        </row>
        <row r="57">
          <cell r="GC57"/>
        </row>
        <row r="58">
          <cell r="GC58"/>
        </row>
        <row r="70">
          <cell r="GC70">
            <v>348796</v>
          </cell>
        </row>
        <row r="71">
          <cell r="GC71">
            <v>231564</v>
          </cell>
        </row>
        <row r="73">
          <cell r="GC73">
            <v>50666</v>
          </cell>
        </row>
        <row r="74">
          <cell r="GC74">
            <v>33636</v>
          </cell>
        </row>
      </sheetData>
      <sheetData sheetId="14"/>
      <sheetData sheetId="15">
        <row r="4">
          <cell r="GC4">
            <v>94</v>
          </cell>
        </row>
        <row r="5">
          <cell r="GC5">
            <v>93</v>
          </cell>
        </row>
        <row r="8">
          <cell r="GC8"/>
        </row>
        <row r="9">
          <cell r="GC9"/>
        </row>
        <row r="19">
          <cell r="FN19">
            <v>248</v>
          </cell>
          <cell r="FO19">
            <v>222</v>
          </cell>
          <cell r="GB19">
            <v>212</v>
          </cell>
          <cell r="GC19">
            <v>187</v>
          </cell>
        </row>
        <row r="22">
          <cell r="GC22">
            <v>15976</v>
          </cell>
        </row>
        <row r="23">
          <cell r="GC23">
            <v>16619</v>
          </cell>
        </row>
        <row r="27">
          <cell r="GC27">
            <v>126</v>
          </cell>
        </row>
        <row r="28">
          <cell r="GC28">
            <v>137</v>
          </cell>
        </row>
        <row r="41">
          <cell r="FN41">
            <v>38319</v>
          </cell>
          <cell r="FO41">
            <v>35163</v>
          </cell>
          <cell r="GB41">
            <v>34670</v>
          </cell>
          <cell r="GC41">
            <v>32595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</sheetData>
      <sheetData sheetId="16"/>
      <sheetData sheetId="17">
        <row r="8">
          <cell r="GC8"/>
        </row>
        <row r="9">
          <cell r="GC9"/>
        </row>
        <row r="15">
          <cell r="GB15">
            <v>4</v>
          </cell>
          <cell r="GC15"/>
        </row>
        <row r="16">
          <cell r="GB16">
            <v>4</v>
          </cell>
          <cell r="GC16"/>
        </row>
        <row r="19">
          <cell r="FN19">
            <v>10</v>
          </cell>
          <cell r="FO19">
            <v>0</v>
          </cell>
          <cell r="GB19">
            <v>8</v>
          </cell>
          <cell r="GC19">
            <v>0</v>
          </cell>
        </row>
        <row r="32">
          <cell r="GB32">
            <v>585</v>
          </cell>
          <cell r="GC32"/>
        </row>
        <row r="33">
          <cell r="GB33">
            <v>515</v>
          </cell>
          <cell r="GC33"/>
        </row>
        <row r="37">
          <cell r="GB37">
            <v>10</v>
          </cell>
          <cell r="GC37"/>
        </row>
        <row r="38">
          <cell r="GB38">
            <v>5</v>
          </cell>
          <cell r="GC38"/>
        </row>
        <row r="41">
          <cell r="FN41">
            <v>1523</v>
          </cell>
          <cell r="FO41">
            <v>0</v>
          </cell>
          <cell r="GB41">
            <v>1100</v>
          </cell>
          <cell r="GC41">
            <v>0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</sheetData>
      <sheetData sheetId="18">
        <row r="4">
          <cell r="GC4">
            <v>70</v>
          </cell>
        </row>
        <row r="5">
          <cell r="GC5">
            <v>70</v>
          </cell>
        </row>
        <row r="8">
          <cell r="GC8"/>
        </row>
        <row r="9">
          <cell r="GC9"/>
        </row>
        <row r="19">
          <cell r="FN19">
            <v>0</v>
          </cell>
          <cell r="FO19">
            <v>0</v>
          </cell>
          <cell r="GB19">
            <v>172</v>
          </cell>
          <cell r="GC19">
            <v>140</v>
          </cell>
        </row>
        <row r="22">
          <cell r="GC22">
            <v>6644</v>
          </cell>
        </row>
        <row r="23">
          <cell r="GC23">
            <v>6438</v>
          </cell>
        </row>
        <row r="27">
          <cell r="GC27">
            <v>164</v>
          </cell>
        </row>
        <row r="28">
          <cell r="GC28">
            <v>175</v>
          </cell>
        </row>
        <row r="41">
          <cell r="FN41">
            <v>0</v>
          </cell>
          <cell r="FO41">
            <v>0</v>
          </cell>
          <cell r="GB41">
            <v>14226</v>
          </cell>
          <cell r="GC41">
            <v>13082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</sheetData>
      <sheetData sheetId="19">
        <row r="4">
          <cell r="GC4">
            <v>216</v>
          </cell>
        </row>
        <row r="5">
          <cell r="GC5">
            <v>216</v>
          </cell>
        </row>
        <row r="8">
          <cell r="GC8"/>
        </row>
        <row r="9">
          <cell r="GC9"/>
        </row>
        <row r="19">
          <cell r="FN19">
            <v>458</v>
          </cell>
          <cell r="FO19">
            <v>564</v>
          </cell>
          <cell r="GB19">
            <v>408</v>
          </cell>
          <cell r="GC19">
            <v>432</v>
          </cell>
        </row>
        <row r="22">
          <cell r="GC22">
            <v>28244</v>
          </cell>
        </row>
        <row r="23">
          <cell r="GC23">
            <v>27498</v>
          </cell>
        </row>
        <row r="27">
          <cell r="GC27">
            <v>947</v>
          </cell>
        </row>
        <row r="28">
          <cell r="GC28">
            <v>1090</v>
          </cell>
        </row>
        <row r="41">
          <cell r="FN41">
            <v>57814</v>
          </cell>
          <cell r="FO41">
            <v>70680</v>
          </cell>
          <cell r="GB41">
            <v>51340</v>
          </cell>
          <cell r="GC41">
            <v>55742</v>
          </cell>
        </row>
        <row r="47">
          <cell r="GC47">
            <v>24976</v>
          </cell>
        </row>
        <row r="48">
          <cell r="GC48">
            <v>47144</v>
          </cell>
        </row>
        <row r="52">
          <cell r="GC52">
            <v>4221</v>
          </cell>
        </row>
        <row r="53">
          <cell r="GC53">
            <v>73424</v>
          </cell>
        </row>
        <row r="57">
          <cell r="GC57"/>
        </row>
        <row r="58">
          <cell r="GC58"/>
        </row>
      </sheetData>
      <sheetData sheetId="20">
        <row r="4">
          <cell r="GC4"/>
        </row>
        <row r="5">
          <cell r="GC5"/>
        </row>
        <row r="8">
          <cell r="GC8"/>
        </row>
        <row r="9">
          <cell r="GC9"/>
        </row>
        <row r="15">
          <cell r="GB15">
            <v>17</v>
          </cell>
          <cell r="GC15">
            <v>14</v>
          </cell>
        </row>
        <row r="16">
          <cell r="GB16">
            <v>17</v>
          </cell>
          <cell r="GC16">
            <v>14</v>
          </cell>
        </row>
        <row r="19">
          <cell r="FN19">
            <v>28</v>
          </cell>
          <cell r="FO19">
            <v>24</v>
          </cell>
          <cell r="GB19">
            <v>34</v>
          </cell>
          <cell r="GC19">
            <v>28</v>
          </cell>
        </row>
        <row r="22">
          <cell r="GC22"/>
        </row>
        <row r="23">
          <cell r="GC23"/>
        </row>
        <row r="27">
          <cell r="GC27"/>
        </row>
        <row r="28">
          <cell r="GC28"/>
        </row>
        <row r="32">
          <cell r="GB32">
            <v>4395</v>
          </cell>
          <cell r="GC32">
            <v>2287</v>
          </cell>
        </row>
        <row r="33">
          <cell r="GB33">
            <v>2970</v>
          </cell>
          <cell r="GC33">
            <v>3199</v>
          </cell>
        </row>
        <row r="37">
          <cell r="GB37">
            <v>8</v>
          </cell>
          <cell r="GC37">
            <v>9</v>
          </cell>
        </row>
        <row r="38">
          <cell r="GB38">
            <v>15</v>
          </cell>
          <cell r="GC38">
            <v>3</v>
          </cell>
        </row>
        <row r="41">
          <cell r="FN41">
            <v>5979</v>
          </cell>
          <cell r="FO41">
            <v>4084</v>
          </cell>
          <cell r="GB41">
            <v>7365</v>
          </cell>
          <cell r="GC41">
            <v>5486</v>
          </cell>
        </row>
        <row r="47">
          <cell r="GC47">
            <v>518445</v>
          </cell>
        </row>
        <row r="48">
          <cell r="GC48"/>
        </row>
        <row r="52">
          <cell r="GC52">
            <v>234300</v>
          </cell>
        </row>
        <row r="53">
          <cell r="GC53"/>
        </row>
        <row r="57">
          <cell r="GC57"/>
        </row>
        <row r="58">
          <cell r="GC58"/>
        </row>
      </sheetData>
      <sheetData sheetId="21"/>
      <sheetData sheetId="22">
        <row r="19">
          <cell r="FN19">
            <v>0</v>
          </cell>
          <cell r="FO19">
            <v>0</v>
          </cell>
          <cell r="GB19">
            <v>0</v>
          </cell>
          <cell r="GC19">
            <v>0</v>
          </cell>
        </row>
        <row r="41">
          <cell r="FN41">
            <v>0</v>
          </cell>
          <cell r="FO41">
            <v>0</v>
          </cell>
          <cell r="GB41">
            <v>0</v>
          </cell>
          <cell r="GC41">
            <v>0</v>
          </cell>
        </row>
      </sheetData>
      <sheetData sheetId="23">
        <row r="4">
          <cell r="GC4">
            <v>581</v>
          </cell>
        </row>
        <row r="5">
          <cell r="GC5">
            <v>574</v>
          </cell>
        </row>
        <row r="8">
          <cell r="GC8"/>
        </row>
        <row r="9">
          <cell r="GC9"/>
        </row>
        <row r="19">
          <cell r="FN19">
            <v>1254</v>
          </cell>
          <cell r="FO19">
            <v>1167</v>
          </cell>
          <cell r="GB19">
            <v>1244</v>
          </cell>
          <cell r="GC19">
            <v>1155</v>
          </cell>
        </row>
        <row r="22">
          <cell r="GC22">
            <v>65557</v>
          </cell>
        </row>
        <row r="23">
          <cell r="GC23">
            <v>66200</v>
          </cell>
        </row>
        <row r="27">
          <cell r="GC27">
            <v>1452</v>
          </cell>
        </row>
        <row r="28">
          <cell r="GC28">
            <v>1561</v>
          </cell>
        </row>
        <row r="41">
          <cell r="FN41">
            <v>146732</v>
          </cell>
          <cell r="FO41">
            <v>140011</v>
          </cell>
          <cell r="GB41">
            <v>131632</v>
          </cell>
          <cell r="GC41">
            <v>131757</v>
          </cell>
        </row>
        <row r="47">
          <cell r="GC47">
            <v>244148</v>
          </cell>
        </row>
        <row r="48">
          <cell r="GC48"/>
        </row>
        <row r="52">
          <cell r="GC52">
            <v>71669</v>
          </cell>
        </row>
        <row r="53">
          <cell r="GC53"/>
        </row>
        <row r="57">
          <cell r="GC57"/>
        </row>
        <row r="58">
          <cell r="GC58"/>
        </row>
        <row r="70">
          <cell r="GC70">
            <v>65685</v>
          </cell>
        </row>
        <row r="71">
          <cell r="GC71">
            <v>515</v>
          </cell>
        </row>
        <row r="73">
          <cell r="GC73"/>
        </row>
        <row r="74">
          <cell r="GC74"/>
        </row>
      </sheetData>
      <sheetData sheetId="24">
        <row r="4">
          <cell r="GC4">
            <v>311</v>
          </cell>
        </row>
        <row r="5">
          <cell r="GC5">
            <v>311</v>
          </cell>
        </row>
        <row r="8">
          <cell r="GC8"/>
        </row>
        <row r="9">
          <cell r="GC9"/>
        </row>
        <row r="19">
          <cell r="FN19">
            <v>752</v>
          </cell>
          <cell r="FO19">
            <v>686</v>
          </cell>
          <cell r="GB19">
            <v>678</v>
          </cell>
          <cell r="GC19">
            <v>622</v>
          </cell>
        </row>
        <row r="22">
          <cell r="GC22">
            <v>44083</v>
          </cell>
        </row>
        <row r="23">
          <cell r="GC23">
            <v>47796</v>
          </cell>
        </row>
        <row r="27">
          <cell r="GC27">
            <v>268</v>
          </cell>
        </row>
        <row r="28">
          <cell r="GC28">
            <v>302</v>
          </cell>
        </row>
        <row r="41">
          <cell r="FN41">
            <v>93848</v>
          </cell>
          <cell r="FO41">
            <v>93520</v>
          </cell>
          <cell r="GB41">
            <v>95231</v>
          </cell>
          <cell r="GC41">
            <v>91879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  <row r="73">
          <cell r="GC73"/>
        </row>
        <row r="74">
          <cell r="GC74"/>
        </row>
      </sheetData>
      <sheetData sheetId="25"/>
      <sheetData sheetId="26"/>
      <sheetData sheetId="27">
        <row r="15">
          <cell r="GB15"/>
          <cell r="GC15"/>
        </row>
        <row r="16">
          <cell r="GB16"/>
          <cell r="GC16"/>
        </row>
        <row r="19">
          <cell r="FN19">
            <v>0</v>
          </cell>
          <cell r="FO19">
            <v>0</v>
          </cell>
          <cell r="GB19">
            <v>0</v>
          </cell>
          <cell r="GC19">
            <v>0</v>
          </cell>
        </row>
        <row r="32">
          <cell r="GB32"/>
          <cell r="GC32"/>
        </row>
        <row r="33">
          <cell r="GB33"/>
          <cell r="GC33"/>
        </row>
        <row r="37">
          <cell r="GB37"/>
          <cell r="GC37"/>
        </row>
        <row r="38">
          <cell r="GB38"/>
          <cell r="GC38"/>
        </row>
        <row r="41">
          <cell r="FN41">
            <v>0</v>
          </cell>
          <cell r="FO41">
            <v>0</v>
          </cell>
          <cell r="GB41">
            <v>0</v>
          </cell>
          <cell r="GC41">
            <v>0</v>
          </cell>
        </row>
      </sheetData>
      <sheetData sheetId="28">
        <row r="19">
          <cell r="FN19">
            <v>0</v>
          </cell>
          <cell r="FO19">
            <v>0</v>
          </cell>
          <cell r="GB19">
            <v>0</v>
          </cell>
          <cell r="GC19">
            <v>0</v>
          </cell>
        </row>
        <row r="41">
          <cell r="FN41">
            <v>0</v>
          </cell>
          <cell r="FO41">
            <v>0</v>
          </cell>
          <cell r="GB41">
            <v>0</v>
          </cell>
          <cell r="GC41">
            <v>0</v>
          </cell>
        </row>
      </sheetData>
      <sheetData sheetId="29">
        <row r="4">
          <cell r="GC4">
            <v>28</v>
          </cell>
        </row>
        <row r="5">
          <cell r="GC5">
            <v>28</v>
          </cell>
        </row>
        <row r="8">
          <cell r="GC8"/>
        </row>
        <row r="9">
          <cell r="GC9"/>
        </row>
        <row r="19">
          <cell r="FN19">
            <v>12</v>
          </cell>
          <cell r="FO19">
            <v>38</v>
          </cell>
          <cell r="GB19">
            <v>2</v>
          </cell>
          <cell r="GC19">
            <v>56</v>
          </cell>
        </row>
        <row r="22">
          <cell r="GC22">
            <v>1924</v>
          </cell>
        </row>
        <row r="23">
          <cell r="GC23">
            <v>1992</v>
          </cell>
        </row>
        <row r="27">
          <cell r="GC27">
            <v>78</v>
          </cell>
        </row>
        <row r="28">
          <cell r="GC28">
            <v>66</v>
          </cell>
        </row>
        <row r="41">
          <cell r="FN41">
            <v>722</v>
          </cell>
          <cell r="FO41">
            <v>2182</v>
          </cell>
          <cell r="GB41">
            <v>46</v>
          </cell>
          <cell r="GC41">
            <v>3916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</sheetData>
      <sheetData sheetId="30">
        <row r="4">
          <cell r="GC4"/>
        </row>
        <row r="5">
          <cell r="GC5"/>
        </row>
        <row r="8">
          <cell r="GC8"/>
        </row>
        <row r="9">
          <cell r="GC9"/>
        </row>
        <row r="15">
          <cell r="GB15"/>
          <cell r="GC15"/>
        </row>
        <row r="16">
          <cell r="GB16"/>
          <cell r="GC16"/>
        </row>
        <row r="19">
          <cell r="FN19">
            <v>212</v>
          </cell>
          <cell r="FO19">
            <v>226</v>
          </cell>
          <cell r="GB19">
            <v>0</v>
          </cell>
          <cell r="GC19">
            <v>0</v>
          </cell>
        </row>
        <row r="22">
          <cell r="GC22"/>
        </row>
        <row r="23">
          <cell r="GC23"/>
        </row>
        <row r="27">
          <cell r="GC27"/>
        </row>
        <row r="28">
          <cell r="GC28"/>
        </row>
        <row r="32">
          <cell r="GB32"/>
          <cell r="GC32"/>
        </row>
        <row r="33">
          <cell r="GB33"/>
          <cell r="GC33"/>
        </row>
        <row r="37">
          <cell r="GB37"/>
          <cell r="GC37"/>
        </row>
        <row r="38">
          <cell r="GB38"/>
          <cell r="GC38"/>
        </row>
        <row r="41">
          <cell r="FN41">
            <v>10387</v>
          </cell>
          <cell r="FO41">
            <v>11697</v>
          </cell>
          <cell r="GB41">
            <v>0</v>
          </cell>
          <cell r="GC41">
            <v>0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BG58"/>
        </row>
        <row r="73">
          <cell r="GC73"/>
        </row>
        <row r="74">
          <cell r="GC74"/>
        </row>
      </sheetData>
      <sheetData sheetId="31"/>
      <sheetData sheetId="32"/>
      <sheetData sheetId="33"/>
      <sheetData sheetId="34">
        <row r="19">
          <cell r="FN19">
            <v>0</v>
          </cell>
          <cell r="FO19">
            <v>2</v>
          </cell>
          <cell r="GB19">
            <v>0</v>
          </cell>
          <cell r="GC19">
            <v>0</v>
          </cell>
        </row>
        <row r="41">
          <cell r="FN41">
            <v>0</v>
          </cell>
          <cell r="FO41">
            <v>0</v>
          </cell>
          <cell r="GB41">
            <v>0</v>
          </cell>
          <cell r="GC41">
            <v>0</v>
          </cell>
        </row>
      </sheetData>
      <sheetData sheetId="35"/>
      <sheetData sheetId="36">
        <row r="4">
          <cell r="GC4">
            <v>11</v>
          </cell>
        </row>
        <row r="5">
          <cell r="GC5">
            <v>11</v>
          </cell>
        </row>
        <row r="8">
          <cell r="GC8"/>
        </row>
        <row r="9">
          <cell r="GC9"/>
        </row>
        <row r="19">
          <cell r="FN19">
            <v>12</v>
          </cell>
          <cell r="FO19">
            <v>14</v>
          </cell>
          <cell r="GB19">
            <v>28</v>
          </cell>
          <cell r="GC19">
            <v>22</v>
          </cell>
        </row>
        <row r="22">
          <cell r="GC22">
            <v>262</v>
          </cell>
        </row>
        <row r="23">
          <cell r="GC23">
            <v>374</v>
          </cell>
        </row>
        <row r="27">
          <cell r="GC27">
            <v>12</v>
          </cell>
        </row>
        <row r="28">
          <cell r="GC28">
            <v>3</v>
          </cell>
        </row>
        <row r="41">
          <cell r="FN41">
            <v>487</v>
          </cell>
          <cell r="FO41">
            <v>453</v>
          </cell>
          <cell r="GB41">
            <v>672</v>
          </cell>
          <cell r="GC41">
            <v>636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BG58"/>
        </row>
      </sheetData>
      <sheetData sheetId="37"/>
      <sheetData sheetId="38">
        <row r="4">
          <cell r="GC4">
            <v>73</v>
          </cell>
        </row>
        <row r="5">
          <cell r="GC5">
            <v>72</v>
          </cell>
        </row>
        <row r="8">
          <cell r="GC8"/>
        </row>
        <row r="9">
          <cell r="GC9"/>
        </row>
        <row r="15">
          <cell r="GB15">
            <v>22</v>
          </cell>
          <cell r="GC15">
            <v>20</v>
          </cell>
        </row>
        <row r="16">
          <cell r="GB16">
            <v>23</v>
          </cell>
          <cell r="GC16">
            <v>21</v>
          </cell>
        </row>
        <row r="19">
          <cell r="FN19">
            <v>602</v>
          </cell>
          <cell r="FO19">
            <v>578</v>
          </cell>
          <cell r="GB19">
            <v>289</v>
          </cell>
          <cell r="GC19">
            <v>186</v>
          </cell>
        </row>
        <row r="22">
          <cell r="GC22">
            <v>4131</v>
          </cell>
        </row>
        <row r="23">
          <cell r="GC23">
            <v>4024</v>
          </cell>
        </row>
        <row r="27">
          <cell r="GC27">
            <v>147</v>
          </cell>
        </row>
        <row r="28">
          <cell r="GC28">
            <v>160</v>
          </cell>
        </row>
        <row r="32">
          <cell r="GB32">
            <v>1113</v>
          </cell>
          <cell r="GC32">
            <v>1097</v>
          </cell>
        </row>
        <row r="33">
          <cell r="GB33">
            <v>1359</v>
          </cell>
          <cell r="GC33">
            <v>1277</v>
          </cell>
        </row>
        <row r="37">
          <cell r="GB37">
            <v>19</v>
          </cell>
          <cell r="GC37">
            <v>24</v>
          </cell>
        </row>
        <row r="38">
          <cell r="GB38">
            <v>5</v>
          </cell>
          <cell r="GC38">
            <v>16</v>
          </cell>
        </row>
        <row r="41">
          <cell r="FN41">
            <v>32883</v>
          </cell>
          <cell r="FO41">
            <v>32413</v>
          </cell>
          <cell r="GB41">
            <v>15935</v>
          </cell>
          <cell r="GC41">
            <v>10529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BK58"/>
        </row>
        <row r="70">
          <cell r="GC70">
            <v>1984</v>
          </cell>
        </row>
        <row r="71">
          <cell r="GC71">
            <v>2040</v>
          </cell>
        </row>
        <row r="73">
          <cell r="GC73">
            <v>630</v>
          </cell>
        </row>
        <row r="74">
          <cell r="GC74">
            <v>647</v>
          </cell>
        </row>
      </sheetData>
      <sheetData sheetId="39">
        <row r="4">
          <cell r="GC4">
            <v>2</v>
          </cell>
        </row>
        <row r="5">
          <cell r="GC5">
            <v>2</v>
          </cell>
        </row>
        <row r="8">
          <cell r="GC8"/>
        </row>
        <row r="9">
          <cell r="GC9"/>
        </row>
        <row r="19">
          <cell r="FN19">
            <v>42</v>
          </cell>
          <cell r="FO19">
            <v>38</v>
          </cell>
          <cell r="GB19">
            <v>16</v>
          </cell>
          <cell r="GC19">
            <v>4</v>
          </cell>
        </row>
        <row r="22">
          <cell r="GC22">
            <v>137</v>
          </cell>
        </row>
        <row r="23">
          <cell r="GC23">
            <v>129</v>
          </cell>
        </row>
        <row r="27">
          <cell r="GC27">
            <v>2</v>
          </cell>
        </row>
        <row r="28">
          <cell r="GC28">
            <v>2</v>
          </cell>
        </row>
        <row r="41">
          <cell r="FN41">
            <v>2732</v>
          </cell>
          <cell r="FO41">
            <v>2495</v>
          </cell>
          <cell r="GB41">
            <v>997</v>
          </cell>
          <cell r="GC41">
            <v>266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AJ57"/>
        </row>
        <row r="58">
          <cell r="AJ58"/>
        </row>
      </sheetData>
      <sheetData sheetId="40">
        <row r="4">
          <cell r="GC4"/>
        </row>
        <row r="5">
          <cell r="GC5"/>
        </row>
        <row r="8">
          <cell r="GC8"/>
        </row>
        <row r="9">
          <cell r="GC9"/>
        </row>
        <row r="19">
          <cell r="FN19">
            <v>65</v>
          </cell>
          <cell r="FO19">
            <v>78</v>
          </cell>
          <cell r="GB19">
            <v>12</v>
          </cell>
          <cell r="GC19">
            <v>0</v>
          </cell>
        </row>
        <row r="22">
          <cell r="GC22"/>
        </row>
        <row r="23">
          <cell r="GC23"/>
        </row>
        <row r="27">
          <cell r="GC27"/>
        </row>
        <row r="28">
          <cell r="GC28"/>
        </row>
        <row r="41">
          <cell r="FN41">
            <v>3640</v>
          </cell>
          <cell r="FO41">
            <v>5251</v>
          </cell>
          <cell r="GB41">
            <v>819</v>
          </cell>
          <cell r="GC41">
            <v>0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BF58"/>
        </row>
      </sheetData>
      <sheetData sheetId="41">
        <row r="4">
          <cell r="GC4">
            <v>96</v>
          </cell>
        </row>
        <row r="5">
          <cell r="GC5">
            <v>96</v>
          </cell>
        </row>
        <row r="8">
          <cell r="GC8"/>
        </row>
        <row r="9">
          <cell r="GC9"/>
        </row>
        <row r="19">
          <cell r="FN19">
            <v>216</v>
          </cell>
          <cell r="FO19">
            <v>262</v>
          </cell>
          <cell r="GB19">
            <v>282</v>
          </cell>
          <cell r="GC19">
            <v>192</v>
          </cell>
        </row>
        <row r="22">
          <cell r="GC22">
            <v>5949</v>
          </cell>
        </row>
        <row r="23">
          <cell r="GC23">
            <v>6452</v>
          </cell>
        </row>
        <row r="27">
          <cell r="GC27">
            <v>187</v>
          </cell>
        </row>
        <row r="28">
          <cell r="GC28">
            <v>189</v>
          </cell>
        </row>
        <row r="41">
          <cell r="FN41">
            <v>13139</v>
          </cell>
          <cell r="FO41">
            <v>15549</v>
          </cell>
          <cell r="GB41">
            <v>17818</v>
          </cell>
          <cell r="GC41">
            <v>12401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</sheetData>
      <sheetData sheetId="42"/>
      <sheetData sheetId="43"/>
      <sheetData sheetId="44">
        <row r="4">
          <cell r="GC4">
            <v>759</v>
          </cell>
        </row>
        <row r="5">
          <cell r="GC5">
            <v>759</v>
          </cell>
        </row>
        <row r="8">
          <cell r="GC8">
            <v>1</v>
          </cell>
        </row>
        <row r="9">
          <cell r="GC9">
            <v>1</v>
          </cell>
        </row>
        <row r="15">
          <cell r="GB15">
            <v>81</v>
          </cell>
          <cell r="GC15">
            <v>57</v>
          </cell>
        </row>
        <row r="16">
          <cell r="GB16">
            <v>80</v>
          </cell>
          <cell r="GC16">
            <v>57</v>
          </cell>
        </row>
        <row r="19">
          <cell r="FN19">
            <v>2156</v>
          </cell>
          <cell r="FO19">
            <v>2030</v>
          </cell>
          <cell r="GB19">
            <v>2100</v>
          </cell>
          <cell r="GC19">
            <v>1634</v>
          </cell>
        </row>
        <row r="22">
          <cell r="GC22">
            <v>60601</v>
          </cell>
        </row>
        <row r="23">
          <cell r="GC23">
            <v>42586</v>
          </cell>
        </row>
        <row r="27">
          <cell r="GC27">
            <v>2560</v>
          </cell>
        </row>
        <row r="28">
          <cell r="GC28">
            <v>1664</v>
          </cell>
        </row>
        <row r="32">
          <cell r="GB32">
            <v>4708</v>
          </cell>
          <cell r="GC32">
            <v>3190</v>
          </cell>
        </row>
        <row r="33">
          <cell r="GB33">
            <v>4966</v>
          </cell>
          <cell r="GC33">
            <v>3571</v>
          </cell>
        </row>
        <row r="37">
          <cell r="GB37">
            <v>89</v>
          </cell>
          <cell r="GC37">
            <v>62</v>
          </cell>
        </row>
        <row r="38">
          <cell r="GB38">
            <v>68</v>
          </cell>
          <cell r="GC38">
            <v>52</v>
          </cell>
        </row>
        <row r="41">
          <cell r="FN41">
            <v>114265</v>
          </cell>
          <cell r="FO41">
            <v>112882</v>
          </cell>
          <cell r="GB41">
            <v>114963</v>
          </cell>
          <cell r="GC41">
            <v>109948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  <row r="70">
          <cell r="GC70">
            <v>20314</v>
          </cell>
        </row>
        <row r="71">
          <cell r="GC71">
            <v>22272</v>
          </cell>
        </row>
        <row r="73">
          <cell r="GC73">
            <v>1703</v>
          </cell>
        </row>
        <row r="74">
          <cell r="GC74">
            <v>1868</v>
          </cell>
        </row>
      </sheetData>
      <sheetData sheetId="45">
        <row r="4">
          <cell r="GC4"/>
        </row>
        <row r="5">
          <cell r="GC5"/>
        </row>
        <row r="8">
          <cell r="GC8"/>
        </row>
        <row r="9">
          <cell r="GC9"/>
        </row>
        <row r="19">
          <cell r="FN19">
            <v>50</v>
          </cell>
          <cell r="FO19">
            <v>60</v>
          </cell>
          <cell r="GB19">
            <v>0</v>
          </cell>
          <cell r="GC19">
            <v>0</v>
          </cell>
        </row>
        <row r="22">
          <cell r="GC22"/>
        </row>
        <row r="23">
          <cell r="GC23"/>
        </row>
        <row r="27">
          <cell r="GC27"/>
        </row>
        <row r="28">
          <cell r="GC28"/>
        </row>
        <row r="41">
          <cell r="FN41">
            <v>1731</v>
          </cell>
          <cell r="FO41">
            <v>2492</v>
          </cell>
          <cell r="GB41">
            <v>0</v>
          </cell>
          <cell r="GC41">
            <v>0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BG58"/>
        </row>
      </sheetData>
      <sheetData sheetId="46">
        <row r="4">
          <cell r="GC4">
            <v>145</v>
          </cell>
        </row>
        <row r="5">
          <cell r="GC5">
            <v>144</v>
          </cell>
        </row>
        <row r="8">
          <cell r="GC8"/>
        </row>
        <row r="9">
          <cell r="GC9"/>
        </row>
        <row r="19">
          <cell r="FN19">
            <v>377</v>
          </cell>
          <cell r="FO19">
            <v>379</v>
          </cell>
          <cell r="GB19">
            <v>293</v>
          </cell>
          <cell r="GC19">
            <v>289</v>
          </cell>
        </row>
        <row r="22">
          <cell r="GC22">
            <v>6949</v>
          </cell>
        </row>
        <row r="23">
          <cell r="GC23">
            <v>7172</v>
          </cell>
        </row>
        <row r="27">
          <cell r="GC27">
            <v>277</v>
          </cell>
        </row>
        <row r="28">
          <cell r="GC28">
            <v>274</v>
          </cell>
        </row>
        <row r="41">
          <cell r="FN41">
            <v>19544</v>
          </cell>
          <cell r="FO41">
            <v>19784</v>
          </cell>
          <cell r="GB41">
            <v>12747</v>
          </cell>
          <cell r="GC41">
            <v>14121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</sheetData>
      <sheetData sheetId="47">
        <row r="4">
          <cell r="GC4">
            <v>211</v>
          </cell>
        </row>
        <row r="5">
          <cell r="GC5">
            <v>211</v>
          </cell>
        </row>
        <row r="8">
          <cell r="GC8"/>
        </row>
        <row r="9">
          <cell r="GC9"/>
        </row>
        <row r="19">
          <cell r="FN19">
            <v>388</v>
          </cell>
          <cell r="FO19">
            <v>350</v>
          </cell>
          <cell r="GB19">
            <v>438</v>
          </cell>
          <cell r="GC19">
            <v>422</v>
          </cell>
        </row>
        <row r="22">
          <cell r="GC22">
            <v>12082</v>
          </cell>
        </row>
        <row r="23">
          <cell r="GC23">
            <v>12255</v>
          </cell>
        </row>
        <row r="27">
          <cell r="GC27">
            <v>488</v>
          </cell>
        </row>
        <row r="28">
          <cell r="GC28">
            <v>436</v>
          </cell>
        </row>
        <row r="41">
          <cell r="FN41">
            <v>24560</v>
          </cell>
          <cell r="FO41">
            <v>21276</v>
          </cell>
          <cell r="GB41">
            <v>25465</v>
          </cell>
          <cell r="GC41">
            <v>24337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</sheetData>
      <sheetData sheetId="48">
        <row r="8">
          <cell r="GC8"/>
        </row>
        <row r="9">
          <cell r="GC9"/>
        </row>
        <row r="15">
          <cell r="GB15">
            <v>78</v>
          </cell>
          <cell r="GC15">
            <v>65</v>
          </cell>
        </row>
        <row r="16">
          <cell r="GB16">
            <v>78</v>
          </cell>
          <cell r="GC16">
            <v>65</v>
          </cell>
        </row>
        <row r="19">
          <cell r="FN19">
            <v>162</v>
          </cell>
          <cell r="FO19">
            <v>148</v>
          </cell>
          <cell r="GB19">
            <v>156</v>
          </cell>
          <cell r="GC19">
            <v>130</v>
          </cell>
        </row>
        <row r="32">
          <cell r="GB32">
            <v>3712</v>
          </cell>
          <cell r="GC32">
            <v>3611</v>
          </cell>
        </row>
        <row r="33">
          <cell r="GB33">
            <v>3782</v>
          </cell>
          <cell r="GC33">
            <v>3248</v>
          </cell>
        </row>
        <row r="37">
          <cell r="GB37">
            <v>24</v>
          </cell>
          <cell r="GC37">
            <v>23</v>
          </cell>
        </row>
        <row r="38">
          <cell r="GB38">
            <v>43</v>
          </cell>
          <cell r="GC38">
            <v>31</v>
          </cell>
        </row>
        <row r="41">
          <cell r="FN41">
            <v>7735</v>
          </cell>
          <cell r="FO41">
            <v>7342</v>
          </cell>
          <cell r="GB41">
            <v>7494</v>
          </cell>
          <cell r="GC41">
            <v>6859</v>
          </cell>
        </row>
        <row r="47">
          <cell r="GC47">
            <v>1415</v>
          </cell>
        </row>
        <row r="48">
          <cell r="GC48"/>
        </row>
        <row r="52">
          <cell r="GC52">
            <v>1058</v>
          </cell>
        </row>
        <row r="53">
          <cell r="GC53"/>
        </row>
      </sheetData>
      <sheetData sheetId="49">
        <row r="4">
          <cell r="GC4">
            <v>3019</v>
          </cell>
        </row>
        <row r="5">
          <cell r="GC5">
            <v>3002</v>
          </cell>
        </row>
        <row r="8">
          <cell r="GC8"/>
        </row>
        <row r="9">
          <cell r="GC9">
            <v>11</v>
          </cell>
        </row>
        <row r="15">
          <cell r="GB15">
            <v>191</v>
          </cell>
          <cell r="GC15">
            <v>148</v>
          </cell>
        </row>
        <row r="16">
          <cell r="GB16">
            <v>188</v>
          </cell>
          <cell r="GC16">
            <v>149</v>
          </cell>
        </row>
        <row r="19">
          <cell r="FN19">
            <v>6516</v>
          </cell>
          <cell r="FO19">
            <v>6406</v>
          </cell>
          <cell r="GB19">
            <v>7193</v>
          </cell>
          <cell r="GC19">
            <v>6329</v>
          </cell>
        </row>
        <row r="22">
          <cell r="GC22">
            <v>125727</v>
          </cell>
        </row>
        <row r="23">
          <cell r="GC23">
            <v>145460</v>
          </cell>
        </row>
        <row r="27">
          <cell r="GC27">
            <v>5276</v>
          </cell>
        </row>
        <row r="28">
          <cell r="GC28">
            <v>5895</v>
          </cell>
        </row>
        <row r="32">
          <cell r="GB32">
            <v>12102</v>
          </cell>
          <cell r="GC32">
            <v>9006</v>
          </cell>
        </row>
        <row r="33">
          <cell r="GB33">
            <v>11189</v>
          </cell>
          <cell r="GC33">
            <v>9223</v>
          </cell>
        </row>
        <row r="37">
          <cell r="GB37">
            <v>118</v>
          </cell>
          <cell r="GC37">
            <v>98</v>
          </cell>
        </row>
        <row r="38">
          <cell r="GB38">
            <v>110</v>
          </cell>
          <cell r="GC38">
            <v>94</v>
          </cell>
        </row>
        <row r="41">
          <cell r="FN41">
            <v>286592</v>
          </cell>
          <cell r="FO41">
            <v>307779</v>
          </cell>
          <cell r="GB41">
            <v>324103</v>
          </cell>
          <cell r="GC41">
            <v>289416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  <row r="70">
          <cell r="GC70">
            <v>51784</v>
          </cell>
        </row>
        <row r="71">
          <cell r="GC71">
            <v>93676</v>
          </cell>
        </row>
        <row r="73">
          <cell r="GC73">
            <v>3283</v>
          </cell>
        </row>
        <row r="74">
          <cell r="GC74">
            <v>5940</v>
          </cell>
        </row>
      </sheetData>
      <sheetData sheetId="50">
        <row r="4">
          <cell r="GC4">
            <v>82</v>
          </cell>
        </row>
        <row r="5">
          <cell r="GC5">
            <v>82</v>
          </cell>
        </row>
        <row r="8">
          <cell r="GC8"/>
        </row>
        <row r="9">
          <cell r="GC9"/>
        </row>
        <row r="19">
          <cell r="FN19">
            <v>200</v>
          </cell>
          <cell r="FO19">
            <v>142</v>
          </cell>
          <cell r="GB19">
            <v>164</v>
          </cell>
          <cell r="GC19">
            <v>164</v>
          </cell>
        </row>
        <row r="22">
          <cell r="GC22">
            <v>5414</v>
          </cell>
        </row>
        <row r="23">
          <cell r="GC23">
            <v>5214</v>
          </cell>
        </row>
        <row r="27">
          <cell r="GC27">
            <v>161</v>
          </cell>
        </row>
        <row r="28">
          <cell r="GC28">
            <v>174</v>
          </cell>
        </row>
        <row r="41">
          <cell r="FN41">
            <v>13680</v>
          </cell>
          <cell r="FO41">
            <v>9737</v>
          </cell>
          <cell r="GB41">
            <v>10659</v>
          </cell>
          <cell r="GC41">
            <v>10628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</sheetData>
      <sheetData sheetId="51"/>
      <sheetData sheetId="52">
        <row r="4">
          <cell r="GC4"/>
        </row>
        <row r="5">
          <cell r="GC5"/>
        </row>
        <row r="8">
          <cell r="GC8"/>
        </row>
        <row r="9">
          <cell r="GC9"/>
        </row>
        <row r="19">
          <cell r="FN19">
            <v>44</v>
          </cell>
          <cell r="FO19">
            <v>48</v>
          </cell>
          <cell r="GB19">
            <v>0</v>
          </cell>
          <cell r="GC19">
            <v>0</v>
          </cell>
        </row>
        <row r="22">
          <cell r="GC22"/>
        </row>
        <row r="23">
          <cell r="GC23"/>
        </row>
        <row r="27">
          <cell r="GC27"/>
        </row>
        <row r="28">
          <cell r="GC28"/>
        </row>
        <row r="41">
          <cell r="FN41">
            <v>2634</v>
          </cell>
          <cell r="FO41">
            <v>3110</v>
          </cell>
          <cell r="GB41">
            <v>0</v>
          </cell>
          <cell r="GC41">
            <v>0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</sheetData>
      <sheetData sheetId="53">
        <row r="4">
          <cell r="GC4">
            <v>54</v>
          </cell>
        </row>
        <row r="5">
          <cell r="GC5">
            <v>54</v>
          </cell>
        </row>
        <row r="8">
          <cell r="GC8"/>
        </row>
        <row r="9">
          <cell r="GC9"/>
        </row>
        <row r="19">
          <cell r="FN19">
            <v>120</v>
          </cell>
          <cell r="FO19">
            <v>86</v>
          </cell>
          <cell r="GB19">
            <v>112</v>
          </cell>
          <cell r="GC19">
            <v>108</v>
          </cell>
        </row>
        <row r="22">
          <cell r="GC22">
            <v>3466</v>
          </cell>
        </row>
        <row r="23">
          <cell r="GC23">
            <v>3553</v>
          </cell>
        </row>
        <row r="27">
          <cell r="GC27">
            <v>83</v>
          </cell>
        </row>
        <row r="28">
          <cell r="GC28">
            <v>108</v>
          </cell>
        </row>
        <row r="41">
          <cell r="FN41">
            <v>7126</v>
          </cell>
          <cell r="FO41">
            <v>5696</v>
          </cell>
          <cell r="GB41">
            <v>6705</v>
          </cell>
          <cell r="GC41">
            <v>7019</v>
          </cell>
        </row>
        <row r="47">
          <cell r="GC47">
            <v>1374</v>
          </cell>
        </row>
        <row r="48">
          <cell r="GC48"/>
        </row>
        <row r="52">
          <cell r="GC52">
            <v>40</v>
          </cell>
        </row>
        <row r="53">
          <cell r="GC53"/>
        </row>
        <row r="57">
          <cell r="GC57"/>
        </row>
        <row r="58">
          <cell r="GC58"/>
        </row>
      </sheetData>
      <sheetData sheetId="54">
        <row r="4">
          <cell r="GC4"/>
        </row>
        <row r="5">
          <cell r="GC5"/>
        </row>
        <row r="8">
          <cell r="GC8"/>
        </row>
        <row r="9">
          <cell r="GC9"/>
        </row>
        <row r="19">
          <cell r="FN19">
            <v>0</v>
          </cell>
          <cell r="FO19">
            <v>0</v>
          </cell>
          <cell r="GB19">
            <v>0</v>
          </cell>
          <cell r="GC19">
            <v>0</v>
          </cell>
        </row>
        <row r="22">
          <cell r="GC22"/>
        </row>
        <row r="23">
          <cell r="GC23"/>
        </row>
        <row r="27">
          <cell r="GC27"/>
        </row>
        <row r="28">
          <cell r="GC28"/>
        </row>
        <row r="41">
          <cell r="FN41">
            <v>0</v>
          </cell>
          <cell r="FO41">
            <v>0</v>
          </cell>
          <cell r="GB41">
            <v>0</v>
          </cell>
          <cell r="GC41">
            <v>0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BG58"/>
        </row>
      </sheetData>
      <sheetData sheetId="55">
        <row r="4">
          <cell r="GC4">
            <v>72</v>
          </cell>
        </row>
        <row r="5">
          <cell r="GC5">
            <v>72</v>
          </cell>
        </row>
        <row r="8">
          <cell r="GC8"/>
        </row>
        <row r="9">
          <cell r="GC9"/>
        </row>
        <row r="19">
          <cell r="FN19">
            <v>30</v>
          </cell>
          <cell r="FO19">
            <v>40</v>
          </cell>
          <cell r="GB19">
            <v>170</v>
          </cell>
          <cell r="GC19">
            <v>144</v>
          </cell>
        </row>
        <row r="22">
          <cell r="GC22">
            <v>3789</v>
          </cell>
        </row>
        <row r="23">
          <cell r="GC23">
            <v>3738</v>
          </cell>
        </row>
        <row r="27">
          <cell r="GC27">
            <v>123</v>
          </cell>
        </row>
        <row r="28">
          <cell r="GC28">
            <v>168</v>
          </cell>
        </row>
        <row r="41">
          <cell r="FN41">
            <v>1815</v>
          </cell>
          <cell r="FO41">
            <v>2390</v>
          </cell>
          <cell r="GB41">
            <v>8679</v>
          </cell>
          <cell r="GC41">
            <v>7527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BH58"/>
        </row>
        <row r="70">
          <cell r="GC70">
            <v>1768</v>
          </cell>
        </row>
        <row r="71">
          <cell r="GC71">
            <v>1970</v>
          </cell>
        </row>
        <row r="73">
          <cell r="GC73"/>
        </row>
        <row r="74">
          <cell r="GC74"/>
        </row>
      </sheetData>
      <sheetData sheetId="56"/>
      <sheetData sheetId="57"/>
      <sheetData sheetId="58"/>
      <sheetData sheetId="59">
        <row r="4">
          <cell r="GC4"/>
        </row>
        <row r="5">
          <cell r="GC5"/>
        </row>
        <row r="15">
          <cell r="GB15"/>
          <cell r="GC15"/>
        </row>
        <row r="16">
          <cell r="GB16"/>
          <cell r="GC16"/>
        </row>
        <row r="22">
          <cell r="GC22"/>
        </row>
        <row r="23">
          <cell r="GC23"/>
        </row>
        <row r="32">
          <cell r="GB32"/>
          <cell r="GC32"/>
        </row>
        <row r="33">
          <cell r="GB33"/>
          <cell r="GC33"/>
        </row>
        <row r="37">
          <cell r="GB37"/>
          <cell r="GC37"/>
        </row>
        <row r="38">
          <cell r="GB38"/>
          <cell r="GC38"/>
        </row>
      </sheetData>
      <sheetData sheetId="60">
        <row r="4">
          <cell r="GC4"/>
        </row>
        <row r="5">
          <cell r="GC5"/>
        </row>
        <row r="15">
          <cell r="GC15"/>
        </row>
        <row r="16">
          <cell r="GC16"/>
        </row>
        <row r="22">
          <cell r="GC22"/>
        </row>
        <row r="23">
          <cell r="GC23"/>
        </row>
        <row r="32">
          <cell r="GC32"/>
        </row>
        <row r="33">
          <cell r="GC33"/>
        </row>
      </sheetData>
      <sheetData sheetId="61">
        <row r="4">
          <cell r="GC4"/>
        </row>
        <row r="5">
          <cell r="GC5"/>
        </row>
        <row r="8">
          <cell r="GC8">
            <v>4</v>
          </cell>
        </row>
        <row r="9">
          <cell r="GC9">
            <v>4</v>
          </cell>
        </row>
        <row r="15">
          <cell r="GB15"/>
          <cell r="GC15"/>
        </row>
        <row r="16">
          <cell r="GB16"/>
          <cell r="GC16"/>
        </row>
        <row r="23">
          <cell r="GC23">
            <v>212</v>
          </cell>
        </row>
        <row r="32">
          <cell r="GB32"/>
          <cell r="GC32">
            <v>212</v>
          </cell>
        </row>
        <row r="33">
          <cell r="GB33"/>
          <cell r="GC33"/>
        </row>
        <row r="37">
          <cell r="GB37"/>
          <cell r="GC37"/>
        </row>
        <row r="38">
          <cell r="GB38"/>
          <cell r="GC38"/>
        </row>
      </sheetData>
      <sheetData sheetId="62">
        <row r="4">
          <cell r="GC4"/>
        </row>
        <row r="5">
          <cell r="GC5"/>
        </row>
        <row r="15">
          <cell r="GB15"/>
          <cell r="GC15"/>
        </row>
        <row r="16">
          <cell r="GB16"/>
          <cell r="GC16"/>
        </row>
        <row r="22">
          <cell r="GC22"/>
        </row>
        <row r="23">
          <cell r="GC23"/>
        </row>
        <row r="32">
          <cell r="GB32"/>
          <cell r="GC32"/>
        </row>
        <row r="33">
          <cell r="GB33"/>
          <cell r="GC33"/>
        </row>
        <row r="37">
          <cell r="GB37"/>
          <cell r="GC37"/>
        </row>
        <row r="38">
          <cell r="GB38"/>
          <cell r="GC38"/>
        </row>
      </sheetData>
      <sheetData sheetId="63">
        <row r="4">
          <cell r="GC4">
            <v>28</v>
          </cell>
        </row>
        <row r="5">
          <cell r="GC5">
            <v>28</v>
          </cell>
        </row>
        <row r="12">
          <cell r="FN12">
            <v>0</v>
          </cell>
          <cell r="FO12">
            <v>0</v>
          </cell>
          <cell r="GB12">
            <v>56</v>
          </cell>
          <cell r="GC12">
            <v>56</v>
          </cell>
        </row>
        <row r="19">
          <cell r="FO19">
            <v>0</v>
          </cell>
          <cell r="GC19">
            <v>56</v>
          </cell>
        </row>
        <row r="47">
          <cell r="GC47">
            <v>1305360</v>
          </cell>
        </row>
        <row r="48">
          <cell r="GC48"/>
        </row>
        <row r="52">
          <cell r="GC52">
            <v>760045</v>
          </cell>
        </row>
        <row r="53">
          <cell r="GC53"/>
        </row>
        <row r="57">
          <cell r="GC57"/>
        </row>
        <row r="58">
          <cell r="GC58"/>
        </row>
        <row r="64">
          <cell r="FN64">
            <v>0</v>
          </cell>
          <cell r="FO64">
            <v>0</v>
          </cell>
          <cell r="GB64">
            <v>2282192</v>
          </cell>
          <cell r="GC64">
            <v>2065405</v>
          </cell>
        </row>
      </sheetData>
      <sheetData sheetId="64"/>
      <sheetData sheetId="65">
        <row r="4">
          <cell r="GC4">
            <v>1</v>
          </cell>
        </row>
        <row r="5">
          <cell r="GC5"/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</sheetData>
      <sheetData sheetId="66">
        <row r="12">
          <cell r="FN12">
            <v>42</v>
          </cell>
          <cell r="FO12">
            <v>40</v>
          </cell>
          <cell r="GB12">
            <v>0</v>
          </cell>
          <cell r="GC12">
            <v>0</v>
          </cell>
        </row>
        <row r="19">
          <cell r="FO19">
            <v>40</v>
          </cell>
          <cell r="GC19">
            <v>0</v>
          </cell>
        </row>
        <row r="64">
          <cell r="FN64">
            <v>1155517</v>
          </cell>
          <cell r="FO64">
            <v>1092417</v>
          </cell>
          <cell r="GB64">
            <v>0</v>
          </cell>
          <cell r="GC64">
            <v>0</v>
          </cell>
        </row>
      </sheetData>
      <sheetData sheetId="67">
        <row r="4">
          <cell r="GC4">
            <v>1</v>
          </cell>
        </row>
        <row r="5">
          <cell r="GC5">
            <v>1</v>
          </cell>
        </row>
        <row r="12">
          <cell r="FN12">
            <v>0</v>
          </cell>
          <cell r="FO12">
            <v>0</v>
          </cell>
        </row>
        <row r="19">
          <cell r="FO19">
            <v>0</v>
          </cell>
          <cell r="GC19">
            <v>2</v>
          </cell>
        </row>
        <row r="47">
          <cell r="GC47"/>
        </row>
        <row r="48">
          <cell r="GC48"/>
        </row>
        <row r="52">
          <cell r="GC52">
            <v>18552</v>
          </cell>
        </row>
        <row r="53">
          <cell r="GC53"/>
        </row>
        <row r="57">
          <cell r="GC57"/>
        </row>
        <row r="58">
          <cell r="GC58"/>
        </row>
        <row r="64">
          <cell r="FN64">
            <v>0</v>
          </cell>
          <cell r="FO64">
            <v>0</v>
          </cell>
          <cell r="GB64">
            <v>0</v>
          </cell>
          <cell r="GC64">
            <v>18552</v>
          </cell>
        </row>
      </sheetData>
      <sheetData sheetId="68"/>
      <sheetData sheetId="69">
        <row r="4">
          <cell r="GC4">
            <v>20</v>
          </cell>
        </row>
        <row r="5">
          <cell r="GC5">
            <v>20</v>
          </cell>
        </row>
        <row r="12">
          <cell r="FN12">
            <v>0</v>
          </cell>
          <cell r="FO12">
            <v>0</v>
          </cell>
        </row>
        <row r="19">
          <cell r="FO19">
            <v>0</v>
          </cell>
          <cell r="GC19">
            <v>40</v>
          </cell>
        </row>
        <row r="47">
          <cell r="GC47">
            <v>588882</v>
          </cell>
        </row>
        <row r="48">
          <cell r="GC48"/>
        </row>
        <row r="52">
          <cell r="GC52">
            <v>405005</v>
          </cell>
        </row>
        <row r="53">
          <cell r="GC53"/>
        </row>
        <row r="57">
          <cell r="GC57"/>
        </row>
        <row r="58">
          <cell r="GC58"/>
        </row>
        <row r="64">
          <cell r="FN64">
            <v>0</v>
          </cell>
          <cell r="FO64">
            <v>0</v>
          </cell>
          <cell r="GB64">
            <v>1210246</v>
          </cell>
          <cell r="GC64">
            <v>993887</v>
          </cell>
        </row>
      </sheetData>
      <sheetData sheetId="70"/>
      <sheetData sheetId="71"/>
      <sheetData sheetId="72">
        <row r="4">
          <cell r="GC4">
            <v>37</v>
          </cell>
        </row>
        <row r="5">
          <cell r="GC5">
            <v>37</v>
          </cell>
        </row>
        <row r="12">
          <cell r="FN12">
            <v>0</v>
          </cell>
          <cell r="FO12">
            <v>0</v>
          </cell>
          <cell r="GB12">
            <v>85</v>
          </cell>
          <cell r="GC12">
            <v>74</v>
          </cell>
        </row>
        <row r="15">
          <cell r="GC15"/>
        </row>
        <row r="19">
          <cell r="FO19">
            <v>0</v>
          </cell>
          <cell r="GC19">
            <v>74</v>
          </cell>
        </row>
        <row r="47">
          <cell r="GC47">
            <v>67002</v>
          </cell>
        </row>
        <row r="48">
          <cell r="GC48"/>
        </row>
        <row r="52">
          <cell r="GC52">
            <v>27244</v>
          </cell>
        </row>
        <row r="53">
          <cell r="GC53"/>
        </row>
        <row r="57">
          <cell r="GC57"/>
        </row>
        <row r="58">
          <cell r="GC58"/>
        </row>
        <row r="64">
          <cell r="FN64">
            <v>0</v>
          </cell>
          <cell r="FO64">
            <v>0</v>
          </cell>
          <cell r="GB64">
            <v>104772</v>
          </cell>
          <cell r="GC64">
            <v>94246</v>
          </cell>
        </row>
      </sheetData>
      <sheetData sheetId="73">
        <row r="12">
          <cell r="FN12">
            <v>0</v>
          </cell>
          <cell r="FO12">
            <v>0</v>
          </cell>
          <cell r="GB12">
            <v>0</v>
          </cell>
          <cell r="GC12">
            <v>0</v>
          </cell>
        </row>
        <row r="15">
          <cell r="GC15"/>
        </row>
        <row r="16">
          <cell r="GC16"/>
        </row>
        <row r="19">
          <cell r="FO19">
            <v>0</v>
          </cell>
          <cell r="GC19">
            <v>0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  <row r="64">
          <cell r="FN64">
            <v>0</v>
          </cell>
          <cell r="FO64">
            <v>0</v>
          </cell>
          <cell r="GB64">
            <v>0</v>
          </cell>
          <cell r="GC64">
            <v>0</v>
          </cell>
        </row>
      </sheetData>
      <sheetData sheetId="74">
        <row r="4">
          <cell r="GC4">
            <v>119</v>
          </cell>
        </row>
        <row r="5">
          <cell r="GC5">
            <v>119</v>
          </cell>
        </row>
        <row r="12">
          <cell r="FN12">
            <v>258</v>
          </cell>
          <cell r="FO12">
            <v>242</v>
          </cell>
          <cell r="GB12">
            <v>268</v>
          </cell>
          <cell r="GC12">
            <v>238</v>
          </cell>
        </row>
        <row r="15">
          <cell r="GC15"/>
        </row>
        <row r="19">
          <cell r="FO19">
            <v>242</v>
          </cell>
          <cell r="GC19">
            <v>238</v>
          </cell>
        </row>
        <row r="47">
          <cell r="GC47">
            <v>7937813</v>
          </cell>
        </row>
        <row r="48">
          <cell r="GC48"/>
        </row>
        <row r="52">
          <cell r="GC52">
            <v>7466573</v>
          </cell>
        </row>
        <row r="53">
          <cell r="GC53"/>
        </row>
        <row r="57">
          <cell r="GC57"/>
        </row>
        <row r="58">
          <cell r="GC58"/>
        </row>
        <row r="64">
          <cell r="FN64">
            <v>16987230</v>
          </cell>
          <cell r="FO64">
            <v>15694855</v>
          </cell>
          <cell r="GB64">
            <v>16852041</v>
          </cell>
          <cell r="GC64">
            <v>15404386</v>
          </cell>
        </row>
      </sheetData>
      <sheetData sheetId="75">
        <row r="4">
          <cell r="GC4">
            <v>19</v>
          </cell>
        </row>
        <row r="5">
          <cell r="GC5">
            <v>19</v>
          </cell>
        </row>
        <row r="12">
          <cell r="FN12">
            <v>38</v>
          </cell>
          <cell r="FO12">
            <v>38</v>
          </cell>
          <cell r="GB12">
            <v>0</v>
          </cell>
          <cell r="GC12">
            <v>38</v>
          </cell>
        </row>
        <row r="19">
          <cell r="FO19">
            <v>38</v>
          </cell>
          <cell r="GC19">
            <v>38</v>
          </cell>
        </row>
        <row r="47">
          <cell r="GC47">
            <v>124630</v>
          </cell>
        </row>
        <row r="48">
          <cell r="GC48"/>
        </row>
        <row r="52">
          <cell r="GC52">
            <v>42816</v>
          </cell>
        </row>
        <row r="53">
          <cell r="GC53"/>
        </row>
        <row r="57">
          <cell r="GC57"/>
        </row>
        <row r="58">
          <cell r="GC58"/>
        </row>
        <row r="64">
          <cell r="FN64">
            <v>135846</v>
          </cell>
          <cell r="FO64">
            <v>119854</v>
          </cell>
          <cell r="GB64">
            <v>0</v>
          </cell>
          <cell r="GC64">
            <v>167446</v>
          </cell>
        </row>
      </sheetData>
      <sheetData sheetId="76">
        <row r="4">
          <cell r="GC4">
            <v>14</v>
          </cell>
        </row>
        <row r="5">
          <cell r="GC5">
            <v>14</v>
          </cell>
        </row>
        <row r="12">
          <cell r="FN12">
            <v>38</v>
          </cell>
          <cell r="FO12">
            <v>52</v>
          </cell>
          <cell r="GB12">
            <v>37</v>
          </cell>
          <cell r="GC12">
            <v>28</v>
          </cell>
        </row>
        <row r="15">
          <cell r="GC15"/>
        </row>
        <row r="19">
          <cell r="FO19">
            <v>52</v>
          </cell>
          <cell r="GC19">
            <v>28</v>
          </cell>
        </row>
        <row r="47">
          <cell r="GC47">
            <v>14360</v>
          </cell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  <row r="64">
          <cell r="FN64">
            <v>23766</v>
          </cell>
          <cell r="FO64">
            <v>18968</v>
          </cell>
          <cell r="GB64">
            <v>17952</v>
          </cell>
          <cell r="GC64">
            <v>14360</v>
          </cell>
        </row>
      </sheetData>
      <sheetData sheetId="77">
        <row r="4">
          <cell r="GC4">
            <v>123</v>
          </cell>
        </row>
        <row r="5">
          <cell r="GC5">
            <v>123</v>
          </cell>
        </row>
        <row r="12">
          <cell r="FN12">
            <v>198</v>
          </cell>
          <cell r="FO12">
            <v>184</v>
          </cell>
          <cell r="GB12">
            <v>244</v>
          </cell>
          <cell r="GC12">
            <v>246</v>
          </cell>
        </row>
        <row r="15">
          <cell r="GC15"/>
        </row>
        <row r="16">
          <cell r="GC16"/>
        </row>
        <row r="19">
          <cell r="FO19">
            <v>216</v>
          </cell>
          <cell r="GC19">
            <v>246</v>
          </cell>
        </row>
        <row r="47">
          <cell r="GC47">
            <v>4865713</v>
          </cell>
        </row>
        <row r="48">
          <cell r="GC48">
            <v>2817</v>
          </cell>
        </row>
        <row r="52">
          <cell r="GC52">
            <v>4505467</v>
          </cell>
        </row>
        <row r="53">
          <cell r="GC53">
            <v>464082</v>
          </cell>
        </row>
        <row r="57">
          <cell r="GC57"/>
        </row>
        <row r="58">
          <cell r="GC58"/>
        </row>
        <row r="64">
          <cell r="FN64">
            <v>10765966</v>
          </cell>
          <cell r="FO64">
            <v>9812321</v>
          </cell>
          <cell r="GB64">
            <v>10457590</v>
          </cell>
          <cell r="GC64">
            <v>9838079</v>
          </cell>
        </row>
      </sheetData>
      <sheetData sheetId="78"/>
      <sheetData sheetId="79"/>
      <sheetData sheetId="80"/>
      <sheetData sheetId="81">
        <row r="4">
          <cell r="GC4">
            <v>175</v>
          </cell>
        </row>
        <row r="5">
          <cell r="GC5">
            <v>175</v>
          </cell>
        </row>
        <row r="12">
          <cell r="FN12">
            <v>614</v>
          </cell>
          <cell r="FO12">
            <v>520</v>
          </cell>
          <cell r="GB12">
            <v>398</v>
          </cell>
          <cell r="GC12">
            <v>350</v>
          </cell>
        </row>
        <row r="19">
          <cell r="FO19">
            <v>520</v>
          </cell>
          <cell r="GC19">
            <v>350</v>
          </cell>
        </row>
      </sheetData>
      <sheetData sheetId="82">
        <row r="4">
          <cell r="GC4">
            <v>3</v>
          </cell>
        </row>
        <row r="5">
          <cell r="GC5"/>
        </row>
        <row r="12">
          <cell r="FN12">
            <v>0</v>
          </cell>
          <cell r="FO12">
            <v>2</v>
          </cell>
          <cell r="GB12">
            <v>0</v>
          </cell>
          <cell r="GC12">
            <v>3</v>
          </cell>
        </row>
        <row r="19">
          <cell r="FO19">
            <v>2</v>
          </cell>
          <cell r="GC19">
            <v>3</v>
          </cell>
        </row>
        <row r="47">
          <cell r="GC47">
            <v>4835</v>
          </cell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  <row r="64">
          <cell r="FN64">
            <v>0</v>
          </cell>
          <cell r="FO64">
            <v>3414</v>
          </cell>
          <cell r="GB64">
            <v>0</v>
          </cell>
          <cell r="GC64">
            <v>4835</v>
          </cell>
        </row>
      </sheetData>
      <sheetData sheetId="83">
        <row r="4">
          <cell r="GC4"/>
        </row>
        <row r="5">
          <cell r="GC5"/>
        </row>
        <row r="8">
          <cell r="GC8"/>
        </row>
        <row r="9">
          <cell r="GC9"/>
        </row>
        <row r="12">
          <cell r="FN12">
            <v>48</v>
          </cell>
          <cell r="FO12">
            <v>1</v>
          </cell>
          <cell r="GB12">
            <v>0</v>
          </cell>
          <cell r="GC12">
            <v>0</v>
          </cell>
        </row>
        <row r="19">
          <cell r="FO19">
            <v>1</v>
          </cell>
          <cell r="GC19">
            <v>0</v>
          </cell>
        </row>
        <row r="47">
          <cell r="GC47"/>
        </row>
        <row r="48">
          <cell r="GC48"/>
        </row>
        <row r="52">
          <cell r="GC52"/>
        </row>
        <row r="53">
          <cell r="GC53"/>
        </row>
        <row r="57">
          <cell r="GC57"/>
        </row>
        <row r="58">
          <cell r="GC58"/>
        </row>
        <row r="64">
          <cell r="FN64">
            <v>91916</v>
          </cell>
          <cell r="FO64">
            <v>14442</v>
          </cell>
          <cell r="GB64">
            <v>0</v>
          </cell>
          <cell r="GC64">
            <v>0</v>
          </cell>
        </row>
      </sheetData>
      <sheetData sheetId="84">
        <row r="4">
          <cell r="GC4">
            <v>32</v>
          </cell>
        </row>
        <row r="5">
          <cell r="GC5">
            <v>32</v>
          </cell>
        </row>
      </sheetData>
      <sheetData sheetId="85">
        <row r="4">
          <cell r="GC4">
            <v>657</v>
          </cell>
        </row>
        <row r="5">
          <cell r="GC5">
            <v>657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268837</v>
          </cell>
          <cell r="I21">
            <v>2415973</v>
          </cell>
          <cell r="N21">
            <v>2684810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D7" sqref="D7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1.71093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25">
        <v>43497</v>
      </c>
      <c r="B2" s="10"/>
      <c r="C2" s="10"/>
      <c r="D2" s="447" t="s">
        <v>213</v>
      </c>
      <c r="E2" s="447" t="s">
        <v>197</v>
      </c>
      <c r="F2" s="5"/>
      <c r="G2" s="5"/>
      <c r="H2" s="5"/>
      <c r="I2" s="5"/>
      <c r="J2" s="5"/>
    </row>
    <row r="3" spans="1:14" ht="13.5" thickBot="1" x14ac:dyDescent="0.25">
      <c r="A3" s="331"/>
      <c r="B3" s="5" t="s">
        <v>0</v>
      </c>
      <c r="C3" s="5" t="s">
        <v>1</v>
      </c>
      <c r="D3" s="448"/>
      <c r="E3" s="449"/>
      <c r="F3" s="5" t="s">
        <v>2</v>
      </c>
      <c r="G3" s="5" t="s">
        <v>214</v>
      </c>
      <c r="H3" s="5" t="s">
        <v>198</v>
      </c>
      <c r="I3" s="5" t="s">
        <v>2</v>
      </c>
    </row>
    <row r="4" spans="1:14" ht="12.75" customHeight="1" x14ac:dyDescent="0.25">
      <c r="A4" s="49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2" t="s">
        <v>4</v>
      </c>
      <c r="B5" s="254">
        <f>'Major Airline Stats'!K4</f>
        <v>1010431</v>
      </c>
      <c r="C5" s="10">
        <f>'Major Airline Stats'!K5</f>
        <v>1029538</v>
      </c>
      <c r="D5" s="2">
        <f>'Major Airline Stats'!K6</f>
        <v>2039969</v>
      </c>
      <c r="E5" s="2">
        <f>'[1]Monthly Summary'!D5</f>
        <v>2062235</v>
      </c>
      <c r="F5" s="3">
        <f>(D5-E5)/E5</f>
        <v>-1.0797023617579955E-2</v>
      </c>
      <c r="G5" s="2">
        <f>+D5+'[2]Monthly Summary'!G5</f>
        <v>4133106</v>
      </c>
      <c r="H5" s="2">
        <f>'[1]Monthly Summary'!G5</f>
        <v>4110800</v>
      </c>
      <c r="I5" s="67">
        <f>(G5-H5)/H5</f>
        <v>5.4261944147124645E-3</v>
      </c>
      <c r="J5" s="2"/>
    </row>
    <row r="6" spans="1:14" x14ac:dyDescent="0.2">
      <c r="A6" s="52" t="s">
        <v>5</v>
      </c>
      <c r="B6" s="254">
        <f>'Regional Major'!M5</f>
        <v>247335</v>
      </c>
      <c r="C6" s="254">
        <f>'Regional Major'!M6</f>
        <v>250268</v>
      </c>
      <c r="D6" s="2">
        <f>B6+C6</f>
        <v>497603</v>
      </c>
      <c r="E6" s="2">
        <f>'[1]Monthly Summary'!D6</f>
        <v>562528</v>
      </c>
      <c r="F6" s="3">
        <f>(D6-E6)/E6</f>
        <v>-0.11541647704647591</v>
      </c>
      <c r="G6" s="2">
        <f>+D6+'[2]Monthly Summary'!G6</f>
        <v>1044705</v>
      </c>
      <c r="H6" s="2">
        <f>'[1]Monthly Summary'!G6</f>
        <v>1106200</v>
      </c>
      <c r="I6" s="67">
        <f>(G6-H6)/H6</f>
        <v>-5.5591213162176821E-2</v>
      </c>
      <c r="K6" s="2"/>
    </row>
    <row r="7" spans="1:14" x14ac:dyDescent="0.2">
      <c r="A7" s="52" t="s">
        <v>6</v>
      </c>
      <c r="B7" s="2">
        <f>Charter!G5</f>
        <v>212</v>
      </c>
      <c r="C7" s="254">
        <f>Charter!G6</f>
        <v>212</v>
      </c>
      <c r="D7" s="2">
        <f>B7+C7</f>
        <v>424</v>
      </c>
      <c r="E7" s="2">
        <f>'[1]Monthly Summary'!D7</f>
        <v>1547</v>
      </c>
      <c r="F7" s="3">
        <f>(D7-E7)/E7</f>
        <v>-0.72592113768584354</v>
      </c>
      <c r="G7" s="2">
        <f>+D7+'[2]Monthly Summary'!G7</f>
        <v>479</v>
      </c>
      <c r="H7" s="2">
        <f>'[1]Monthly Summary'!G7</f>
        <v>1941</v>
      </c>
      <c r="I7" s="67">
        <f>(G7-H7)/H7</f>
        <v>-0.75321998969603299</v>
      </c>
      <c r="K7" s="2"/>
    </row>
    <row r="8" spans="1:14" x14ac:dyDescent="0.2">
      <c r="A8" s="54" t="s">
        <v>7</v>
      </c>
      <c r="B8" s="121">
        <f>SUM(B5:B7)</f>
        <v>1257978</v>
      </c>
      <c r="C8" s="121">
        <f>SUM(C5:C7)</f>
        <v>1280018</v>
      </c>
      <c r="D8" s="121">
        <f>SUM(D5:D7)</f>
        <v>2537996</v>
      </c>
      <c r="E8" s="121">
        <f>SUM(E5:E7)</f>
        <v>2626310</v>
      </c>
      <c r="F8" s="73">
        <f>(D8-E8)/E8</f>
        <v>-3.3626647273170343E-2</v>
      </c>
      <c r="G8" s="121">
        <f>SUM(G5:G7)</f>
        <v>5178290</v>
      </c>
      <c r="H8" s="121">
        <f>SUM(H5:H7)</f>
        <v>5218941</v>
      </c>
      <c r="I8" s="72">
        <f>(G8-H8)/H8</f>
        <v>-7.7891281008924994E-3</v>
      </c>
    </row>
    <row r="9" spans="1:14" x14ac:dyDescent="0.2">
      <c r="A9" s="52"/>
      <c r="B9" s="97"/>
      <c r="C9" s="97"/>
      <c r="D9" s="97"/>
      <c r="E9" s="97"/>
      <c r="F9" s="4"/>
      <c r="G9" s="97"/>
      <c r="H9" s="97"/>
      <c r="I9" s="67"/>
    </row>
    <row r="10" spans="1:14" x14ac:dyDescent="0.2">
      <c r="A10" s="52" t="s">
        <v>8</v>
      </c>
      <c r="B10" s="255">
        <f>'Major Airline Stats'!K9+'Regional Major'!M10</f>
        <v>43418</v>
      </c>
      <c r="C10" s="255">
        <f>'Major Airline Stats'!K10+'Regional Major'!M11</f>
        <v>43597</v>
      </c>
      <c r="D10" s="98">
        <f>SUM(B10:C10)</f>
        <v>87015</v>
      </c>
      <c r="E10" s="98">
        <f>'[1]Monthly Summary'!D10</f>
        <v>85063</v>
      </c>
      <c r="F10" s="74">
        <f>(D10-E10)/E10</f>
        <v>2.2947697588845913E-2</v>
      </c>
      <c r="G10" s="2">
        <f>+D10+'[2]Monthly Summary'!G10</f>
        <v>183562</v>
      </c>
      <c r="H10" s="98">
        <f>'[1]Monthly Summary'!G10</f>
        <v>177242</v>
      </c>
      <c r="I10" s="77">
        <f>(G10-H10)/H10</f>
        <v>3.5657462678146262E-2</v>
      </c>
      <c r="J10" s="193"/>
    </row>
    <row r="11" spans="1:14" ht="15.75" thickBot="1" x14ac:dyDescent="0.3">
      <c r="A11" s="53" t="s">
        <v>13</v>
      </c>
      <c r="B11" s="234">
        <f>B10+B8</f>
        <v>1301396</v>
      </c>
      <c r="C11" s="234">
        <f>C10+C8</f>
        <v>1323615</v>
      </c>
      <c r="D11" s="234">
        <f>D10+D8</f>
        <v>2625011</v>
      </c>
      <c r="E11" s="234">
        <f>E10+E8</f>
        <v>2711373</v>
      </c>
      <c r="F11" s="75">
        <f>(D11-E11)/E11</f>
        <v>-3.1851759237847395E-2</v>
      </c>
      <c r="G11" s="234">
        <f>G8+G10</f>
        <v>5361852</v>
      </c>
      <c r="H11" s="234">
        <f>H8+H10</f>
        <v>5396183</v>
      </c>
      <c r="I11" s="78">
        <f>(G11-H11)/H11</f>
        <v>-6.362089647441534E-3</v>
      </c>
    </row>
    <row r="12" spans="1:14" ht="15" x14ac:dyDescent="0.25">
      <c r="A12" s="8"/>
      <c r="B12" s="101"/>
      <c r="C12" s="101"/>
      <c r="D12" s="101"/>
      <c r="E12" s="101"/>
      <c r="F12" s="236"/>
      <c r="G12" s="101"/>
      <c r="H12" s="101"/>
      <c r="I12" s="237"/>
      <c r="K12" s="97"/>
    </row>
    <row r="13" spans="1:14" ht="16.5" customHeight="1" x14ac:dyDescent="0.2">
      <c r="B13" s="10"/>
      <c r="C13" s="10"/>
      <c r="D13" s="447" t="s">
        <v>213</v>
      </c>
      <c r="E13" s="447" t="s">
        <v>197</v>
      </c>
      <c r="F13" s="5"/>
      <c r="G13" s="5"/>
      <c r="H13" s="5"/>
      <c r="I13" s="5"/>
    </row>
    <row r="14" spans="1:14" ht="13.5" thickBot="1" x14ac:dyDescent="0.25">
      <c r="A14" s="9"/>
      <c r="B14" s="5" t="s">
        <v>194</v>
      </c>
      <c r="C14" s="5" t="s">
        <v>195</v>
      </c>
      <c r="D14" s="448"/>
      <c r="E14" s="449"/>
      <c r="F14" s="5" t="s">
        <v>2</v>
      </c>
      <c r="G14" s="5" t="s">
        <v>214</v>
      </c>
      <c r="H14" s="5" t="s">
        <v>198</v>
      </c>
      <c r="I14" s="5" t="s">
        <v>2</v>
      </c>
    </row>
    <row r="15" spans="1:14" ht="15" x14ac:dyDescent="0.25">
      <c r="A15" s="46" t="s">
        <v>9</v>
      </c>
      <c r="B15" s="30"/>
      <c r="C15" s="30"/>
      <c r="D15" s="30"/>
      <c r="E15" s="30"/>
      <c r="F15" s="31"/>
      <c r="G15" s="30"/>
      <c r="H15" s="30"/>
      <c r="I15" s="224"/>
    </row>
    <row r="16" spans="1:14" x14ac:dyDescent="0.2">
      <c r="A16" s="52" t="s">
        <v>4</v>
      </c>
      <c r="B16" s="263">
        <f>'Major Airline Stats'!K15+'Major Airline Stats'!K19</f>
        <v>7966</v>
      </c>
      <c r="C16" s="263">
        <f>'Major Airline Stats'!K16+'Major Airline Stats'!K20</f>
        <v>7951</v>
      </c>
      <c r="D16" s="32">
        <f t="shared" ref="D16:D21" si="0">SUM(B16:C16)</f>
        <v>15917</v>
      </c>
      <c r="E16" s="2">
        <f>'[1]Monthly Summary'!D16</f>
        <v>16029</v>
      </c>
      <c r="F16" s="76">
        <f t="shared" ref="F16:F22" si="1">(D16-E16)/E16</f>
        <v>-6.9873354544887391E-3</v>
      </c>
      <c r="G16" s="2">
        <f>+D16+'[2]Monthly Summary'!G16</f>
        <v>32971</v>
      </c>
      <c r="H16" s="2">
        <f>'[1]Monthly Summary'!G16</f>
        <v>32744</v>
      </c>
      <c r="I16" s="225">
        <f t="shared" ref="I16:I22" si="2">(G16-H16)/H16</f>
        <v>6.9325677986806743E-3</v>
      </c>
      <c r="N16" s="97"/>
    </row>
    <row r="17" spans="1:12" x14ac:dyDescent="0.2">
      <c r="A17" s="52" t="s">
        <v>5</v>
      </c>
      <c r="B17" s="32">
        <f>'Regional Major'!M15+'Regional Major'!M18</f>
        <v>4843</v>
      </c>
      <c r="C17" s="32">
        <f>'Regional Major'!M16+'Regional Major'!M19</f>
        <v>4837</v>
      </c>
      <c r="D17" s="32">
        <f>SUM(B17:C17)</f>
        <v>9680</v>
      </c>
      <c r="E17" s="2">
        <f>'[1]Monthly Summary'!D17</f>
        <v>10925</v>
      </c>
      <c r="F17" s="76">
        <f t="shared" si="1"/>
        <v>-0.11395881006864989</v>
      </c>
      <c r="G17" s="2">
        <f>+D17+'[2]Monthly Summary'!G17</f>
        <v>20935</v>
      </c>
      <c r="H17" s="2">
        <f>'[1]Monthly Summary'!G17</f>
        <v>22129</v>
      </c>
      <c r="I17" s="225">
        <f t="shared" si="2"/>
        <v>-5.3956346875141219E-2</v>
      </c>
    </row>
    <row r="18" spans="1:12" x14ac:dyDescent="0.2">
      <c r="A18" s="52" t="s">
        <v>10</v>
      </c>
      <c r="B18" s="32">
        <f>Charter!G10</f>
        <v>8</v>
      </c>
      <c r="C18" s="32">
        <f>Charter!G11</f>
        <v>8</v>
      </c>
      <c r="D18" s="32">
        <f t="shared" si="0"/>
        <v>16</v>
      </c>
      <c r="E18" s="2">
        <f>'[1]Monthly Summary'!D18</f>
        <v>8</v>
      </c>
      <c r="F18" s="76">
        <f t="shared" si="1"/>
        <v>1</v>
      </c>
      <c r="G18" s="2">
        <f>+D18+'[2]Monthly Summary'!G18</f>
        <v>17</v>
      </c>
      <c r="H18" s="2">
        <f>'[1]Monthly Summary'!G18</f>
        <v>12</v>
      </c>
      <c r="I18" s="225">
        <f t="shared" si="2"/>
        <v>0.41666666666666669</v>
      </c>
    </row>
    <row r="19" spans="1:12" x14ac:dyDescent="0.2">
      <c r="A19" s="52" t="s">
        <v>11</v>
      </c>
      <c r="B19" s="32">
        <f>Cargo!P4</f>
        <v>540</v>
      </c>
      <c r="C19" s="32">
        <f>Cargo!P5</f>
        <v>536</v>
      </c>
      <c r="D19" s="32">
        <f t="shared" si="0"/>
        <v>1076</v>
      </c>
      <c r="E19" s="2">
        <f>'[1]Monthly Summary'!D19</f>
        <v>1110</v>
      </c>
      <c r="F19" s="76">
        <f t="shared" si="1"/>
        <v>-3.063063063063063E-2</v>
      </c>
      <c r="G19" s="2">
        <f>+D19+'[2]Monthly Summary'!G19</f>
        <v>2241</v>
      </c>
      <c r="H19" s="2">
        <f>'[1]Monthly Summary'!G19</f>
        <v>2380</v>
      </c>
      <c r="I19" s="225">
        <f t="shared" si="2"/>
        <v>-5.8403361344537816E-2</v>
      </c>
    </row>
    <row r="20" spans="1:12" x14ac:dyDescent="0.2">
      <c r="A20" s="52" t="s">
        <v>152</v>
      </c>
      <c r="B20" s="32">
        <f>'[3]General Avation'!$GC$4</f>
        <v>657</v>
      </c>
      <c r="C20" s="32">
        <f>'[3]General Avation'!$GC$5</f>
        <v>657</v>
      </c>
      <c r="D20" s="32">
        <f t="shared" si="0"/>
        <v>1314</v>
      </c>
      <c r="E20" s="2">
        <f>'[1]Monthly Summary'!D20</f>
        <v>1965</v>
      </c>
      <c r="F20" s="76">
        <f t="shared" si="1"/>
        <v>-0.33129770992366414</v>
      </c>
      <c r="G20" s="2">
        <f>+D20+'[2]Monthly Summary'!G20</f>
        <v>2695</v>
      </c>
      <c r="H20" s="2">
        <f>'[1]Monthly Summary'!G20</f>
        <v>3506</v>
      </c>
      <c r="I20" s="225">
        <f t="shared" si="2"/>
        <v>-0.23131774101540217</v>
      </c>
    </row>
    <row r="21" spans="1:12" ht="12.75" customHeight="1" x14ac:dyDescent="0.2">
      <c r="A21" s="52" t="s">
        <v>12</v>
      </c>
      <c r="B21" s="11">
        <f>'[3]Military '!$GC$4</f>
        <v>32</v>
      </c>
      <c r="C21" s="11">
        <f>'[3]Military '!$GC$5</f>
        <v>32</v>
      </c>
      <c r="D21" s="11">
        <f t="shared" si="0"/>
        <v>64</v>
      </c>
      <c r="E21" s="98">
        <f>'[1]Monthly Summary'!D21</f>
        <v>122</v>
      </c>
      <c r="F21" s="223">
        <f t="shared" si="1"/>
        <v>-0.47540983606557374</v>
      </c>
      <c r="G21" s="2">
        <f>+D21+'[2]Monthly Summary'!G21</f>
        <v>142</v>
      </c>
      <c r="H21" s="98">
        <f>'[1]Monthly Summary'!G21</f>
        <v>204</v>
      </c>
      <c r="I21" s="226">
        <f t="shared" si="2"/>
        <v>-0.30392156862745096</v>
      </c>
    </row>
    <row r="22" spans="1:12" ht="15.75" thickBot="1" x14ac:dyDescent="0.3">
      <c r="A22" s="53" t="s">
        <v>28</v>
      </c>
      <c r="B22" s="235">
        <f>SUM(B16:B21)</f>
        <v>14046</v>
      </c>
      <c r="C22" s="235">
        <f>SUM(C16:C21)</f>
        <v>14021</v>
      </c>
      <c r="D22" s="235">
        <f>SUM(D16:D21)</f>
        <v>28067</v>
      </c>
      <c r="E22" s="235">
        <f>SUM(E16:E21)</f>
        <v>30159</v>
      </c>
      <c r="F22" s="232">
        <f t="shared" si="1"/>
        <v>-6.9365695149043408E-2</v>
      </c>
      <c r="G22" s="235">
        <f>SUM(G16:G21)</f>
        <v>59001</v>
      </c>
      <c r="H22" s="235">
        <f>SUM(H16:H21)</f>
        <v>60975</v>
      </c>
      <c r="I22" s="233">
        <f t="shared" si="2"/>
        <v>-3.2373923739237392E-2</v>
      </c>
    </row>
    <row r="23" spans="1:12" x14ac:dyDescent="0.2">
      <c r="B23" s="97"/>
      <c r="C23" s="97"/>
      <c r="L23" s="2"/>
    </row>
    <row r="24" spans="1:12" ht="12.75" customHeight="1" x14ac:dyDescent="0.2">
      <c r="B24" s="10"/>
      <c r="C24" s="10"/>
      <c r="D24" s="447" t="s">
        <v>213</v>
      </c>
      <c r="E24" s="447" t="s">
        <v>197</v>
      </c>
      <c r="F24" s="5"/>
      <c r="G24" s="5"/>
      <c r="H24" s="5"/>
      <c r="I24" s="5"/>
    </row>
    <row r="25" spans="1:12" ht="13.5" thickBot="1" x14ac:dyDescent="0.25">
      <c r="B25" s="5" t="s">
        <v>0</v>
      </c>
      <c r="C25" s="5" t="s">
        <v>1</v>
      </c>
      <c r="D25" s="448"/>
      <c r="E25" s="449"/>
      <c r="F25" s="5" t="s">
        <v>2</v>
      </c>
      <c r="G25" s="5" t="s">
        <v>214</v>
      </c>
      <c r="H25" s="5" t="s">
        <v>198</v>
      </c>
      <c r="I25" s="5" t="s">
        <v>2</v>
      </c>
    </row>
    <row r="26" spans="1:12" ht="15" x14ac:dyDescent="0.25">
      <c r="A26" s="50" t="s">
        <v>128</v>
      </c>
      <c r="B26" s="36"/>
      <c r="C26" s="36"/>
      <c r="D26" s="36"/>
      <c r="E26" s="36"/>
      <c r="F26" s="36"/>
      <c r="G26" s="36"/>
      <c r="H26" s="36"/>
      <c r="I26" s="37"/>
    </row>
    <row r="27" spans="1:12" x14ac:dyDescent="0.2">
      <c r="A27" s="47" t="s">
        <v>15</v>
      </c>
      <c r="B27" s="14">
        <f>(Cargo!P16+'Major Airline Stats'!K28+'Regional Major'!M25)*0.00045359237</f>
        <v>8810.1073659999402</v>
      </c>
      <c r="C27" s="14">
        <f>(Cargo!P21+'Major Airline Stats'!K33+'Regional Major'!M30)*0.00045359237</f>
        <v>7237.2903379807794</v>
      </c>
      <c r="D27" s="14">
        <f>(SUM(B27:C27)+('Cargo Summary'!E17*0.00045359237))</f>
        <v>16047.39770398072</v>
      </c>
      <c r="E27" s="2">
        <f>'[1]Monthly Summary'!D27</f>
        <v>15478.279893265419</v>
      </c>
      <c r="F27" s="79">
        <f>(D27-E27)/E27</f>
        <v>3.6768802130456593E-2</v>
      </c>
      <c r="G27" s="2">
        <f>+D27+'[2]Monthly Summary'!G27</f>
        <v>32940.098808884191</v>
      </c>
      <c r="H27" s="2">
        <f>'[1]Monthly Summary'!G27</f>
        <v>31643.955436462598</v>
      </c>
      <c r="I27" s="81">
        <f>(G27-H27)/H27</f>
        <v>4.0960219875928565E-2</v>
      </c>
    </row>
    <row r="28" spans="1:12" x14ac:dyDescent="0.2">
      <c r="A28" s="47" t="s">
        <v>16</v>
      </c>
      <c r="B28" s="14">
        <f>(Cargo!P17+'Major Airline Stats'!K29+'Regional Major'!M26)*0.00045359237</f>
        <v>784.31609240676994</v>
      </c>
      <c r="C28" s="14">
        <f>(Cargo!P22+'Major Airline Stats'!K34+'Regional Major'!M31)*0.00045359237</f>
        <v>1235.5075979923599</v>
      </c>
      <c r="D28" s="14">
        <f>SUM(B28:C28)</f>
        <v>2019.8236903991299</v>
      </c>
      <c r="E28" s="2">
        <f>'[1]Monthly Summary'!D28</f>
        <v>1782.7119077205898</v>
      </c>
      <c r="F28" s="79">
        <f>(D28-E28)/E28</f>
        <v>0.13300622588072339</v>
      </c>
      <c r="G28" s="2">
        <f>+D28+'[2]Monthly Summary'!G28</f>
        <v>4212.0011415890094</v>
      </c>
      <c r="H28" s="2">
        <f>'[1]Monthly Summary'!G28</f>
        <v>3859.3494032393296</v>
      </c>
      <c r="I28" s="81">
        <f>(G28-H28)/H28</f>
        <v>9.1375955246157034E-2</v>
      </c>
    </row>
    <row r="29" spans="1:12" ht="15.75" thickBot="1" x14ac:dyDescent="0.3">
      <c r="A29" s="48" t="s">
        <v>62</v>
      </c>
      <c r="B29" s="39">
        <f>SUM(B27:B28)</f>
        <v>9594.4234584067108</v>
      </c>
      <c r="C29" s="39">
        <f>SUM(C27:C28)</f>
        <v>8472.7979359731398</v>
      </c>
      <c r="D29" s="39">
        <f>SUM(D27:D28)</f>
        <v>18067.221394379849</v>
      </c>
      <c r="E29" s="39">
        <f>SUM(E27:E28)</f>
        <v>17260.991800986008</v>
      </c>
      <c r="F29" s="80">
        <f>(D29-E29)/E29</f>
        <v>4.6708184714379257E-2</v>
      </c>
      <c r="G29" s="39">
        <f>SUM(G27:G28)</f>
        <v>37152.099950473203</v>
      </c>
      <c r="H29" s="39">
        <f>SUM(H27:H28)</f>
        <v>35503.30483970193</v>
      </c>
      <c r="I29" s="82">
        <f>(G29-H29)/H29</f>
        <v>4.6440609352160662E-2</v>
      </c>
    </row>
    <row r="30" spans="1:12" ht="4.5" customHeight="1" thickBot="1" x14ac:dyDescent="0.3">
      <c r="A30" s="44"/>
      <c r="B30" s="332"/>
      <c r="C30" s="332"/>
      <c r="D30" s="332"/>
      <c r="E30" s="332"/>
      <c r="F30" s="236"/>
      <c r="G30" s="332"/>
      <c r="H30" s="332"/>
      <c r="I30" s="236"/>
    </row>
    <row r="31" spans="1:12" ht="13.5" thickBot="1" x14ac:dyDescent="0.25">
      <c r="B31" s="446" t="s">
        <v>148</v>
      </c>
      <c r="C31" s="445"/>
      <c r="D31" s="446" t="s">
        <v>155</v>
      </c>
      <c r="E31" s="445"/>
      <c r="F31" s="354"/>
      <c r="G31" s="355"/>
    </row>
    <row r="32" spans="1:12" x14ac:dyDescent="0.2">
      <c r="A32" s="336" t="s">
        <v>149</v>
      </c>
      <c r="B32" s="337">
        <f>C8-B33</f>
        <v>884794</v>
      </c>
      <c r="C32" s="338">
        <f>B32/C8</f>
        <v>0.69123559199948748</v>
      </c>
      <c r="D32" s="339">
        <f>+B32+'[2]Monthly Summary'!$D$32</f>
        <v>1767708</v>
      </c>
      <c r="E32" s="340">
        <f>+D32/D34</f>
        <v>0.67540533879962017</v>
      </c>
      <c r="G32" s="2"/>
      <c r="I32" s="353"/>
    </row>
    <row r="33" spans="1:14" ht="13.5" thickBot="1" x14ac:dyDescent="0.25">
      <c r="A33" s="341" t="s">
        <v>150</v>
      </c>
      <c r="B33" s="342">
        <f>'Major Airline Stats'!K51+'Regional Major'!M45</f>
        <v>395224</v>
      </c>
      <c r="C33" s="343">
        <f>+B33/C8</f>
        <v>0.30876440800051247</v>
      </c>
      <c r="D33" s="344">
        <f>+B33+'[2]Monthly Summary'!$D$33</f>
        <v>849547</v>
      </c>
      <c r="E33" s="345">
        <f>+D33/D34</f>
        <v>0.32459466120037977</v>
      </c>
      <c r="I33" s="353"/>
    </row>
    <row r="34" spans="1:14" ht="13.5" thickBot="1" x14ac:dyDescent="0.25">
      <c r="B34" s="267"/>
      <c r="D34" s="346">
        <f>SUM(D32:D33)</f>
        <v>2617255</v>
      </c>
    </row>
    <row r="35" spans="1:14" ht="13.5" thickBot="1" x14ac:dyDescent="0.25">
      <c r="B35" s="444" t="s">
        <v>226</v>
      </c>
      <c r="C35" s="445"/>
      <c r="D35" s="446" t="s">
        <v>215</v>
      </c>
      <c r="E35" s="445"/>
    </row>
    <row r="36" spans="1:14" x14ac:dyDescent="0.2">
      <c r="A36" s="336" t="s">
        <v>149</v>
      </c>
      <c r="B36" s="337">
        <f>'[1]Monthly Summary'!$B$32</f>
        <v>901324</v>
      </c>
      <c r="C36" s="338">
        <f>+B36/B38</f>
        <v>0.67538127341160747</v>
      </c>
      <c r="D36" s="339">
        <f>'[1]Monthly Summary'!$D$32</f>
        <v>1750784</v>
      </c>
      <c r="E36" s="340">
        <f>+D36/D38</f>
        <v>0.66478509148472686</v>
      </c>
    </row>
    <row r="37" spans="1:14" ht="13.5" thickBot="1" x14ac:dyDescent="0.25">
      <c r="A37" s="341" t="s">
        <v>150</v>
      </c>
      <c r="B37" s="342">
        <f>'[1]Monthly Summary'!$B$33</f>
        <v>433217</v>
      </c>
      <c r="C37" s="345">
        <f>+B37/B38</f>
        <v>0.32461872658839258</v>
      </c>
      <c r="D37" s="344">
        <f>'[1]Monthly Summary'!$D$33</f>
        <v>882825</v>
      </c>
      <c r="E37" s="345">
        <f>+D37/D38</f>
        <v>0.33521490851527314</v>
      </c>
      <c r="M37" s="1"/>
    </row>
    <row r="38" spans="1:14" x14ac:dyDescent="0.2">
      <c r="B38" s="358">
        <f>+SUM(B36:B37)</f>
        <v>1334541</v>
      </c>
      <c r="D38" s="346">
        <f>SUM(D36:D37)</f>
        <v>2633609</v>
      </c>
    </row>
    <row r="39" spans="1:14" x14ac:dyDescent="0.2">
      <c r="A39" s="350" t="s">
        <v>151</v>
      </c>
    </row>
    <row r="40" spans="1:14" x14ac:dyDescent="0.2">
      <c r="A40" s="194" t="s">
        <v>153</v>
      </c>
      <c r="I40" s="2"/>
    </row>
    <row r="41" spans="1:14" x14ac:dyDescent="0.2">
      <c r="N41" s="351"/>
    </row>
    <row r="42" spans="1:14" x14ac:dyDescent="0.2">
      <c r="G42" s="2"/>
      <c r="N42" s="351"/>
    </row>
    <row r="43" spans="1:14" x14ac:dyDescent="0.2">
      <c r="B43" s="267"/>
      <c r="J43" s="2"/>
      <c r="N43" s="351"/>
    </row>
    <row r="44" spans="1:14" x14ac:dyDescent="0.2">
      <c r="B44" s="267"/>
      <c r="N44" s="351"/>
    </row>
    <row r="45" spans="1:14" x14ac:dyDescent="0.2">
      <c r="J45" s="2"/>
      <c r="N45" s="351"/>
    </row>
    <row r="46" spans="1:14" x14ac:dyDescent="0.2">
      <c r="B46" s="2"/>
      <c r="F46" s="267"/>
    </row>
    <row r="47" spans="1:14" x14ac:dyDescent="0.2">
      <c r="N47" s="351"/>
    </row>
    <row r="51" spans="12:12" x14ac:dyDescent="0.2">
      <c r="L51" s="35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4" priority="13" stopIfTrue="1">
      <formula>"*.*"</formula>
    </cfRule>
  </conditionalFormatting>
  <conditionalFormatting sqref="B13:C13 I13:I14">
    <cfRule type="expression" dxfId="3" priority="8" stopIfTrue="1">
      <formula>"*.*"</formula>
    </cfRule>
  </conditionalFormatting>
  <conditionalFormatting sqref="B24:C24 I24:I25">
    <cfRule type="expression" dxfId="2" priority="7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February 2019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37"/>
  <sheetViews>
    <sheetView zoomScaleNormal="100" zoomScaleSheetLayoutView="100" workbookViewId="0">
      <selection activeCell="O23" activeCellId="1" sqref="O18 O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3" width="11.28515625" customWidth="1"/>
    <col min="14" max="14" width="8.5703125" bestFit="1" customWidth="1"/>
    <col min="15" max="15" width="13.85546875" customWidth="1"/>
  </cols>
  <sheetData>
    <row r="1" spans="1:15" ht="39" thickBot="1" x14ac:dyDescent="0.25">
      <c r="A1" s="325">
        <v>43497</v>
      </c>
      <c r="B1" s="5" t="s">
        <v>18</v>
      </c>
      <c r="C1" s="146" t="s">
        <v>207</v>
      </c>
      <c r="D1" s="364" t="s">
        <v>161</v>
      </c>
      <c r="E1" s="146" t="s">
        <v>168</v>
      </c>
      <c r="F1" s="146" t="s">
        <v>167</v>
      </c>
      <c r="G1" s="146" t="s">
        <v>49</v>
      </c>
      <c r="H1" s="146" t="s">
        <v>115</v>
      </c>
      <c r="I1" s="146" t="s">
        <v>201</v>
      </c>
      <c r="J1" s="146" t="s">
        <v>196</v>
      </c>
      <c r="K1" s="146" t="s">
        <v>208</v>
      </c>
      <c r="L1" s="146" t="s">
        <v>166</v>
      </c>
      <c r="M1" s="146" t="s">
        <v>160</v>
      </c>
      <c r="N1" s="146" t="s">
        <v>142</v>
      </c>
      <c r="O1" s="146" t="s">
        <v>21</v>
      </c>
    </row>
    <row r="2" spans="1:15" ht="15" x14ac:dyDescent="0.25">
      <c r="A2" s="481" t="s">
        <v>143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3"/>
    </row>
    <row r="3" spans="1:15" x14ac:dyDescent="0.2">
      <c r="A3" s="47" t="s">
        <v>29</v>
      </c>
      <c r="O3" s="40"/>
    </row>
    <row r="4" spans="1:15" x14ac:dyDescent="0.2">
      <c r="A4" s="47" t="s">
        <v>30</v>
      </c>
      <c r="B4" s="13">
        <f>[3]Delta!$GC$32</f>
        <v>84747</v>
      </c>
      <c r="C4" s="13">
        <f>'[3]Atlantic Southeast'!$GC$32</f>
        <v>0</v>
      </c>
      <c r="D4" s="13">
        <f>[3]Pinnacle!$GC$32</f>
        <v>3190</v>
      </c>
      <c r="E4" s="13">
        <f>'[3]Sky West'!$GC$32</f>
        <v>9006</v>
      </c>
      <c r="F4" s="13">
        <f>'[3]Go Jet'!$GC$32</f>
        <v>1097</v>
      </c>
      <c r="G4" s="13">
        <f>'[3]Sun Country'!$GC$32</f>
        <v>29015</v>
      </c>
      <c r="H4" s="13">
        <f>[3]Icelandair!$GC$32</f>
        <v>0</v>
      </c>
      <c r="I4" s="13">
        <f>[3]KLM!$GC$32</f>
        <v>2287</v>
      </c>
      <c r="J4" s="13">
        <f>'[3]Air Georgian'!$GC$32</f>
        <v>0</v>
      </c>
      <c r="K4" s="13">
        <f>'[3]Sky Regional'!$GC$32</f>
        <v>3611</v>
      </c>
      <c r="L4" s="13">
        <f>[3]Condor!$GC$32</f>
        <v>0</v>
      </c>
      <c r="M4" s="13">
        <f>'[3]Air France'!$GC$32</f>
        <v>0</v>
      </c>
      <c r="N4" s="13">
        <f>'[3]Charter Misc'!$GC$32+[3]Ryan!$GC$32+[3]Omni!$GC$32</f>
        <v>212</v>
      </c>
      <c r="O4" s="242">
        <f>SUM(B4:N4)</f>
        <v>133165</v>
      </c>
    </row>
    <row r="5" spans="1:15" x14ac:dyDescent="0.2">
      <c r="A5" s="47" t="s">
        <v>31</v>
      </c>
      <c r="B5" s="7">
        <f>[3]Delta!$GC$33</f>
        <v>84302</v>
      </c>
      <c r="C5" s="7">
        <f>'[3]Atlantic Southeast'!$GC$33</f>
        <v>0</v>
      </c>
      <c r="D5" s="7">
        <f>[3]Pinnacle!$GC$33</f>
        <v>3571</v>
      </c>
      <c r="E5" s="7">
        <f>'[3]Sky West'!$GC$33</f>
        <v>9223</v>
      </c>
      <c r="F5" s="7">
        <f>'[3]Go Jet'!$GC$33</f>
        <v>1277</v>
      </c>
      <c r="G5" s="7">
        <f>'[3]Sun Country'!$GC$33</f>
        <v>31523</v>
      </c>
      <c r="H5" s="7">
        <f>[3]Icelandair!$GC$33</f>
        <v>0</v>
      </c>
      <c r="I5" s="7">
        <f>[3]KLM!$GC$33</f>
        <v>3199</v>
      </c>
      <c r="J5" s="7">
        <f>'[3]Air Georgian'!$GC$33</f>
        <v>0</v>
      </c>
      <c r="K5" s="7">
        <f>'[3]Sky Regional'!$GC$33</f>
        <v>3248</v>
      </c>
      <c r="L5" s="7">
        <f>[3]Condor!$GC$33</f>
        <v>0</v>
      </c>
      <c r="M5" s="7">
        <f>'[3]Air France'!$GC$33</f>
        <v>0</v>
      </c>
      <c r="N5" s="7">
        <f>'[3]Charter Misc'!$GC$33++[3]Ryan!$GC$33+[3]Omni!$GC$33</f>
        <v>0</v>
      </c>
      <c r="O5" s="243">
        <f>SUM(B5:N5)</f>
        <v>136343</v>
      </c>
    </row>
    <row r="6" spans="1:15" ht="15" x14ac:dyDescent="0.25">
      <c r="A6" s="45" t="s">
        <v>7</v>
      </c>
      <c r="B6" s="25">
        <f t="shared" ref="B6:N6" si="0">SUM(B4:B5)</f>
        <v>169049</v>
      </c>
      <c r="C6" s="25">
        <f t="shared" si="0"/>
        <v>0</v>
      </c>
      <c r="D6" s="25">
        <f t="shared" si="0"/>
        <v>6761</v>
      </c>
      <c r="E6" s="25">
        <f t="shared" si="0"/>
        <v>18229</v>
      </c>
      <c r="F6" s="25">
        <f t="shared" ref="F6" si="1">SUM(F4:F5)</f>
        <v>2374</v>
      </c>
      <c r="G6" s="25">
        <f t="shared" si="0"/>
        <v>60538</v>
      </c>
      <c r="H6" s="25">
        <f t="shared" si="0"/>
        <v>0</v>
      </c>
      <c r="I6" s="25">
        <f t="shared" ref="I6" si="2">SUM(I4:I5)</f>
        <v>5486</v>
      </c>
      <c r="J6" s="25">
        <f t="shared" si="0"/>
        <v>0</v>
      </c>
      <c r="K6" s="25">
        <f t="shared" ref="K6" si="3">SUM(K4:K5)</f>
        <v>6859</v>
      </c>
      <c r="L6" s="25">
        <f t="shared" ref="L6" si="4">SUM(L4:L5)</f>
        <v>0</v>
      </c>
      <c r="M6" s="25">
        <f t="shared" si="0"/>
        <v>0</v>
      </c>
      <c r="N6" s="25">
        <f t="shared" si="0"/>
        <v>212</v>
      </c>
      <c r="O6" s="244">
        <f>SUM(B6:N6)</f>
        <v>269508</v>
      </c>
    </row>
    <row r="7" spans="1:15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242"/>
    </row>
    <row r="8" spans="1:15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242">
        <f>SUM(B8:N8)</f>
        <v>0</v>
      </c>
    </row>
    <row r="9" spans="1:15" x14ac:dyDescent="0.2">
      <c r="A9" s="47" t="s">
        <v>30</v>
      </c>
      <c r="B9" s="13">
        <f>[3]Delta!$GC$37</f>
        <v>2264</v>
      </c>
      <c r="C9" s="13">
        <f>'[3]Atlantic Southeast'!$GC$37</f>
        <v>0</v>
      </c>
      <c r="D9" s="13">
        <f>[3]Pinnacle!$GC$37</f>
        <v>62</v>
      </c>
      <c r="E9" s="13">
        <f>'[3]Sky West'!$GC$37</f>
        <v>98</v>
      </c>
      <c r="F9" s="13">
        <f>'[3]Go Jet'!$GC$37</f>
        <v>24</v>
      </c>
      <c r="G9" s="13">
        <f>'[3]Sun Country'!$GC$37</f>
        <v>177</v>
      </c>
      <c r="H9" s="13">
        <f>[3]Icelandair!$GC$37</f>
        <v>0</v>
      </c>
      <c r="I9" s="13">
        <f>[3]KLM!$GC$37</f>
        <v>9</v>
      </c>
      <c r="J9" s="13">
        <f>'[3]Air Georgian'!$GC$37</f>
        <v>0</v>
      </c>
      <c r="K9" s="13">
        <f>'[3]Sky Regional'!$GC$37</f>
        <v>23</v>
      </c>
      <c r="L9" s="13">
        <f>[3]Condor!$GC$37</f>
        <v>0</v>
      </c>
      <c r="M9" s="13">
        <f>'[3]Air France'!$GC$37</f>
        <v>0</v>
      </c>
      <c r="N9" s="13">
        <f>'[3]Charter Misc'!$GC$37+[3]Ryan!$GC$37+[3]Omni!$GC$37</f>
        <v>0</v>
      </c>
      <c r="O9" s="242">
        <f>SUM(B9:N9)</f>
        <v>2657</v>
      </c>
    </row>
    <row r="10" spans="1:15" x14ac:dyDescent="0.2">
      <c r="A10" s="47" t="s">
        <v>33</v>
      </c>
      <c r="B10" s="7">
        <f>[3]Delta!$GC$38</f>
        <v>2288</v>
      </c>
      <c r="C10" s="7">
        <f>'[3]Atlantic Southeast'!$GC$38</f>
        <v>0</v>
      </c>
      <c r="D10" s="7">
        <f>[3]Pinnacle!$GC$38</f>
        <v>52</v>
      </c>
      <c r="E10" s="7">
        <f>'[3]Sky West'!$GC$38</f>
        <v>94</v>
      </c>
      <c r="F10" s="7">
        <f>'[3]Go Jet'!$GC$38</f>
        <v>16</v>
      </c>
      <c r="G10" s="7">
        <f>'[3]Sun Country'!$GC$38</f>
        <v>233</v>
      </c>
      <c r="H10" s="7">
        <f>[3]Icelandair!$GC$38</f>
        <v>0</v>
      </c>
      <c r="I10" s="7">
        <f>[3]KLM!$GC$38</f>
        <v>3</v>
      </c>
      <c r="J10" s="7">
        <f>'[3]Air Georgian'!$GC$38</f>
        <v>0</v>
      </c>
      <c r="K10" s="7">
        <f>'[3]Sky Regional'!$GC$38</f>
        <v>31</v>
      </c>
      <c r="L10" s="7">
        <f>[3]Condor!$GC$38</f>
        <v>0</v>
      </c>
      <c r="M10" s="7">
        <f>'[3]Air France'!$GC$38</f>
        <v>0</v>
      </c>
      <c r="N10" s="7">
        <f>'[3]Charter Misc'!$GC$38+[3]Ryan!$GC$38+[3]Omni!$GC$38</f>
        <v>0</v>
      </c>
      <c r="O10" s="243">
        <f>SUM(B10:N10)</f>
        <v>2717</v>
      </c>
    </row>
    <row r="11" spans="1:15" ht="15.75" thickBot="1" x14ac:dyDescent="0.3">
      <c r="A11" s="48" t="s">
        <v>34</v>
      </c>
      <c r="B11" s="245">
        <f t="shared" ref="B11:G11" si="5">SUM(B9:B10)</f>
        <v>4552</v>
      </c>
      <c r="C11" s="245">
        <f t="shared" si="5"/>
        <v>0</v>
      </c>
      <c r="D11" s="245">
        <f t="shared" si="5"/>
        <v>114</v>
      </c>
      <c r="E11" s="245">
        <f t="shared" si="5"/>
        <v>192</v>
      </c>
      <c r="F11" s="245">
        <f t="shared" ref="F11" si="6">SUM(F9:F10)</f>
        <v>40</v>
      </c>
      <c r="G11" s="245">
        <f t="shared" si="5"/>
        <v>410</v>
      </c>
      <c r="H11" s="245">
        <f t="shared" ref="H11:N11" si="7">SUM(H9:H10)</f>
        <v>0</v>
      </c>
      <c r="I11" s="245">
        <f t="shared" ref="I11" si="8">SUM(I9:I10)</f>
        <v>12</v>
      </c>
      <c r="J11" s="245">
        <f t="shared" si="7"/>
        <v>0</v>
      </c>
      <c r="K11" s="245">
        <f t="shared" ref="K11" si="9">SUM(K9:K10)</f>
        <v>54</v>
      </c>
      <c r="L11" s="245">
        <f t="shared" si="7"/>
        <v>0</v>
      </c>
      <c r="M11" s="245">
        <f t="shared" si="7"/>
        <v>0</v>
      </c>
      <c r="N11" s="245">
        <f t="shared" si="7"/>
        <v>0</v>
      </c>
      <c r="O11" s="246">
        <f>SUM(B11:N11)</f>
        <v>5374</v>
      </c>
    </row>
    <row r="12" spans="1:15" ht="15" x14ac:dyDescent="0.25">
      <c r="A12" s="330"/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7"/>
    </row>
    <row r="13" spans="1:15" ht="39" thickBot="1" x14ac:dyDescent="0.25">
      <c r="B13" s="5" t="s">
        <v>18</v>
      </c>
      <c r="C13" s="146" t="s">
        <v>207</v>
      </c>
      <c r="D13" s="364" t="s">
        <v>161</v>
      </c>
      <c r="E13" s="5" t="s">
        <v>99</v>
      </c>
      <c r="F13" s="146" t="s">
        <v>167</v>
      </c>
      <c r="G13" s="5" t="s">
        <v>141</v>
      </c>
      <c r="H13" s="5" t="s">
        <v>115</v>
      </c>
      <c r="I13" s="146" t="s">
        <v>201</v>
      </c>
      <c r="J13" s="146" t="s">
        <v>196</v>
      </c>
      <c r="K13" s="146" t="s">
        <v>208</v>
      </c>
      <c r="L13" s="146" t="s">
        <v>166</v>
      </c>
      <c r="M13" s="5" t="s">
        <v>160</v>
      </c>
      <c r="N13" s="5" t="s">
        <v>142</v>
      </c>
      <c r="O13" s="146" t="s">
        <v>144</v>
      </c>
    </row>
    <row r="14" spans="1:15" ht="15" x14ac:dyDescent="0.25">
      <c r="A14" s="484" t="s">
        <v>145</v>
      </c>
      <c r="B14" s="485"/>
      <c r="C14" s="485"/>
      <c r="D14" s="485"/>
      <c r="E14" s="485"/>
      <c r="F14" s="485"/>
      <c r="G14" s="485"/>
      <c r="H14" s="485"/>
      <c r="I14" s="485"/>
      <c r="J14" s="485"/>
      <c r="K14" s="485"/>
      <c r="L14" s="485"/>
      <c r="M14" s="485"/>
      <c r="N14" s="485"/>
      <c r="O14" s="486"/>
    </row>
    <row r="15" spans="1:15" x14ac:dyDescent="0.2">
      <c r="A15" s="47" t="s">
        <v>29</v>
      </c>
      <c r="O15" s="40"/>
    </row>
    <row r="16" spans="1:15" x14ac:dyDescent="0.2">
      <c r="A16" s="47" t="s">
        <v>30</v>
      </c>
      <c r="B16" s="13">
        <f>SUM([3]Delta!$GB$32:$GC$32)</f>
        <v>171977</v>
      </c>
      <c r="C16" s="13">
        <f>SUM('[3]Atlantic Southeast'!$GB$32:$GC$32)</f>
        <v>0</v>
      </c>
      <c r="D16" s="13">
        <f>SUM([3]Pinnacle!$GB$32:$GC$32)</f>
        <v>7898</v>
      </c>
      <c r="E16" s="13">
        <f>SUM('[3]Sky West'!$GB$32:$GC$32)</f>
        <v>21108</v>
      </c>
      <c r="F16" s="13">
        <f>SUM('[3]Go Jet'!$GB$32:$GC$32)</f>
        <v>2210</v>
      </c>
      <c r="G16" s="13">
        <f>SUM('[3]Sun Country'!$GB$32:$GC$32)</f>
        <v>49226</v>
      </c>
      <c r="H16" s="13">
        <f>SUM([3]Icelandair!$GB$32:$GC$32)</f>
        <v>585</v>
      </c>
      <c r="I16" s="13">
        <f>SUM([3]KLM!$GB$32:$GC$32)</f>
        <v>6682</v>
      </c>
      <c r="J16" s="13">
        <f>SUM('[3]Air Georgian'!$GB$32:$GC$32)</f>
        <v>0</v>
      </c>
      <c r="K16" s="13">
        <f>SUM('[3]Sky Regional'!$GB$32:$GC$32)</f>
        <v>7323</v>
      </c>
      <c r="L16" s="13">
        <f>SUM([3]Condor!$GB$32:$GC$32)</f>
        <v>0</v>
      </c>
      <c r="M16" s="13">
        <f>SUM('[3]Air France'!$GB$32:$GC$32)</f>
        <v>0</v>
      </c>
      <c r="N16" s="13">
        <f>SUM('[3]Charter Misc'!$GB$32:$GC$32)+SUM([3]Ryan!$GB$32:$GC$32)+SUM([3]Omni!$GB$32:$GC$32)</f>
        <v>212</v>
      </c>
      <c r="O16" s="242">
        <f>SUM(B16:N16)</f>
        <v>267221</v>
      </c>
    </row>
    <row r="17" spans="1:18" x14ac:dyDescent="0.2">
      <c r="A17" s="47" t="s">
        <v>31</v>
      </c>
      <c r="B17" s="7">
        <f>SUM([3]Delta!$GB$33:$GC$33)</f>
        <v>166955</v>
      </c>
      <c r="C17" s="7">
        <f>SUM('[3]Atlantic Southeast'!$GB$33:$GC$33)</f>
        <v>0</v>
      </c>
      <c r="D17" s="7">
        <f>SUM([3]Pinnacle!$GB$33:$GC$33)</f>
        <v>8537</v>
      </c>
      <c r="E17" s="7">
        <f>SUM('[3]Sky West'!$GB$33:$GC$33)</f>
        <v>20412</v>
      </c>
      <c r="F17" s="7">
        <f>SUM('[3]Go Jet'!$GB$33:$GC$33)</f>
        <v>2636</v>
      </c>
      <c r="G17" s="7">
        <f>SUM('[3]Sun Country'!$GB$33:$GC$33)</f>
        <v>51063</v>
      </c>
      <c r="H17" s="7">
        <f>SUM([3]Icelandair!$GB$33:$GC$33)</f>
        <v>515</v>
      </c>
      <c r="I17" s="7">
        <f>SUM([3]KLM!$GB$33:$GC$33)</f>
        <v>6169</v>
      </c>
      <c r="J17" s="7">
        <f>SUM('[3]Air Georgian'!$GB$33:$GC$33)</f>
        <v>0</v>
      </c>
      <c r="K17" s="7">
        <f>SUM('[3]Sky Regional'!$GB$33:$GC$33)</f>
        <v>7030</v>
      </c>
      <c r="L17" s="7">
        <f>SUM([3]Condor!$GB$33:$GC$33)</f>
        <v>0</v>
      </c>
      <c r="M17" s="7">
        <f>SUM('[3]Air France'!$GB$33:$GC$33)</f>
        <v>0</v>
      </c>
      <c r="N17" s="7">
        <f>SUM('[3]Charter Misc'!$GB$33:$GC$33)++SUM([3]Ryan!$GB$33:$GC$33)+SUM([3]Omni!$GB$33:$GC$33)</f>
        <v>0</v>
      </c>
      <c r="O17" s="243">
        <f>SUM(B17:N17)</f>
        <v>263317</v>
      </c>
    </row>
    <row r="18" spans="1:18" ht="15" x14ac:dyDescent="0.25">
      <c r="A18" s="45" t="s">
        <v>7</v>
      </c>
      <c r="B18" s="25">
        <f t="shared" ref="B18:N18" si="10">SUM(B16:B17)</f>
        <v>338932</v>
      </c>
      <c r="C18" s="25">
        <f t="shared" si="10"/>
        <v>0</v>
      </c>
      <c r="D18" s="25">
        <f t="shared" si="10"/>
        <v>16435</v>
      </c>
      <c r="E18" s="25">
        <f t="shared" si="10"/>
        <v>41520</v>
      </c>
      <c r="F18" s="25">
        <f t="shared" ref="F18" si="11">SUM(F16:F17)</f>
        <v>4846</v>
      </c>
      <c r="G18" s="25">
        <f t="shared" si="10"/>
        <v>100289</v>
      </c>
      <c r="H18" s="25">
        <f t="shared" si="10"/>
        <v>1100</v>
      </c>
      <c r="I18" s="25">
        <f t="shared" ref="I18" si="12">SUM(I16:I17)</f>
        <v>12851</v>
      </c>
      <c r="J18" s="25">
        <f t="shared" si="10"/>
        <v>0</v>
      </c>
      <c r="K18" s="25">
        <f t="shared" ref="K18" si="13">SUM(K16:K17)</f>
        <v>14353</v>
      </c>
      <c r="L18" s="25">
        <f t="shared" ref="L18" si="14">SUM(L16:L17)</f>
        <v>0</v>
      </c>
      <c r="M18" s="25">
        <f t="shared" si="10"/>
        <v>0</v>
      </c>
      <c r="N18" s="25">
        <f t="shared" si="10"/>
        <v>212</v>
      </c>
      <c r="O18" s="244">
        <f>SUM(B18:N18)</f>
        <v>530538</v>
      </c>
      <c r="R18" s="267"/>
    </row>
    <row r="19" spans="1:18" x14ac:dyDescent="0.2">
      <c r="A19" s="47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42"/>
      <c r="R19" s="97"/>
    </row>
    <row r="20" spans="1:18" x14ac:dyDescent="0.2">
      <c r="A20" s="47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42">
        <f>SUM(B20:N20)</f>
        <v>0</v>
      </c>
    </row>
    <row r="21" spans="1:18" x14ac:dyDescent="0.2">
      <c r="A21" s="47" t="s">
        <v>30</v>
      </c>
      <c r="B21" s="13">
        <f>SUM([3]Delta!$GB$37:$GC$37)</f>
        <v>4837</v>
      </c>
      <c r="C21" s="13">
        <f>SUM('[3]Atlantic Southeast'!$GB$37:$GC$37)</f>
        <v>0</v>
      </c>
      <c r="D21" s="13">
        <f>SUM([3]Pinnacle!$GB$37:$GC$37)</f>
        <v>151</v>
      </c>
      <c r="E21" s="13">
        <f>SUM('[3]Sky West'!$GB$37:$GC$37)</f>
        <v>216</v>
      </c>
      <c r="F21" s="13">
        <f>SUM('[3]Go Jet'!$GB$37:$GC$37)</f>
        <v>43</v>
      </c>
      <c r="G21" s="13">
        <f>SUM('[3]Sun Country'!$GB$37:$GC$37)</f>
        <v>383</v>
      </c>
      <c r="H21" s="13">
        <f>SUM([3]Icelandair!$GB$37:$GC$37)</f>
        <v>10</v>
      </c>
      <c r="I21" s="13">
        <f>SUM([3]KLM!$GB$37:$GC$37)</f>
        <v>17</v>
      </c>
      <c r="J21" s="13">
        <f>SUM('[3]Air Georgian'!$GB$37:$GC$37)</f>
        <v>0</v>
      </c>
      <c r="K21" s="13">
        <f>SUM('[3]Sky Regional'!$GB$37:$GC$37)</f>
        <v>47</v>
      </c>
      <c r="L21" s="13">
        <f>SUM([3]Condor!$GB$37:$GC$37)</f>
        <v>0</v>
      </c>
      <c r="M21" s="13">
        <f>SUM('[3]Air France'!$GB$37:$GC$37)</f>
        <v>0</v>
      </c>
      <c r="N21" s="13">
        <f>SUM('[3]Charter Misc'!$GB$37:$GC$37)++SUM([3]Ryan!$GB$37:$GC$37)+SUM([3]Omni!$GB$37:$GC$37)</f>
        <v>0</v>
      </c>
      <c r="O21" s="242">
        <f>SUM(B21:N21)</f>
        <v>5704</v>
      </c>
    </row>
    <row r="22" spans="1:18" x14ac:dyDescent="0.2">
      <c r="A22" s="47" t="s">
        <v>33</v>
      </c>
      <c r="B22" s="7">
        <f>SUM([3]Delta!$GB$38:$GC$38)</f>
        <v>4423</v>
      </c>
      <c r="C22" s="7">
        <f>SUM('[3]Atlantic Southeast'!$GB$38:$GC$38)</f>
        <v>0</v>
      </c>
      <c r="D22" s="7">
        <f>SUM([3]Pinnacle!$GB$38:$GC$38)</f>
        <v>120</v>
      </c>
      <c r="E22" s="7">
        <f>SUM('[3]Sky West'!$GB$38:$GC$38)</f>
        <v>204</v>
      </c>
      <c r="F22" s="7">
        <f>SUM('[3]Go Jet'!$GB$38:$GC$38)</f>
        <v>21</v>
      </c>
      <c r="G22" s="7">
        <f>SUM('[3]Sun Country'!$GB$38:$GC$38)</f>
        <v>486</v>
      </c>
      <c r="H22" s="7">
        <f>SUM([3]Icelandair!$GB$38:$GC$38)</f>
        <v>5</v>
      </c>
      <c r="I22" s="7">
        <f>SUM([3]KLM!$GB$38:$GC$38)</f>
        <v>18</v>
      </c>
      <c r="J22" s="7">
        <f>SUM('[3]Air Georgian'!$GB$38:$GC$38)</f>
        <v>0</v>
      </c>
      <c r="K22" s="7">
        <f>SUM('[3]Sky Regional'!$GB$38:$GC$38)</f>
        <v>74</v>
      </c>
      <c r="L22" s="7">
        <f>SUM([3]Condor!$GB$38:$GC$38)</f>
        <v>0</v>
      </c>
      <c r="M22" s="7">
        <f>SUM('[3]Air France'!$GB$38:$GC$38)</f>
        <v>0</v>
      </c>
      <c r="N22" s="7">
        <f>SUM('[3]Charter Misc'!$GB$38:$GC$38)++SUM([3]Ryan!$GB$38:$GC$38)+SUM([3]Omni!$GB$38:$GC$38)</f>
        <v>0</v>
      </c>
      <c r="O22" s="243">
        <f>SUM(B22:N22)</f>
        <v>5351</v>
      </c>
    </row>
    <row r="23" spans="1:18" ht="15.75" thickBot="1" x14ac:dyDescent="0.3">
      <c r="A23" s="48" t="s">
        <v>34</v>
      </c>
      <c r="B23" s="245">
        <f t="shared" ref="B23:N23" si="15">SUM(B21:B22)</f>
        <v>9260</v>
      </c>
      <c r="C23" s="245">
        <f t="shared" si="15"/>
        <v>0</v>
      </c>
      <c r="D23" s="245">
        <f t="shared" si="15"/>
        <v>271</v>
      </c>
      <c r="E23" s="245">
        <f t="shared" si="15"/>
        <v>420</v>
      </c>
      <c r="F23" s="245">
        <f t="shared" ref="F23" si="16">SUM(F21:F22)</f>
        <v>64</v>
      </c>
      <c r="G23" s="245">
        <f t="shared" si="15"/>
        <v>869</v>
      </c>
      <c r="H23" s="245">
        <f t="shared" si="15"/>
        <v>15</v>
      </c>
      <c r="I23" s="245">
        <f t="shared" ref="I23" si="17">SUM(I21:I22)</f>
        <v>35</v>
      </c>
      <c r="J23" s="245">
        <f t="shared" si="15"/>
        <v>0</v>
      </c>
      <c r="K23" s="245">
        <f t="shared" ref="K23" si="18">SUM(K21:K22)</f>
        <v>121</v>
      </c>
      <c r="L23" s="245">
        <f t="shared" ref="L23" si="19">SUM(L21:L22)</f>
        <v>0</v>
      </c>
      <c r="M23" s="245">
        <f t="shared" si="15"/>
        <v>0</v>
      </c>
      <c r="N23" s="245">
        <f t="shared" si="15"/>
        <v>0</v>
      </c>
      <c r="O23" s="246">
        <f>SUM(B23:N23)</f>
        <v>11055</v>
      </c>
    </row>
    <row r="25" spans="1:18" ht="39" thickBot="1" x14ac:dyDescent="0.25">
      <c r="B25" s="5" t="s">
        <v>18</v>
      </c>
      <c r="C25" s="146" t="s">
        <v>207</v>
      </c>
      <c r="D25" s="364" t="s">
        <v>161</v>
      </c>
      <c r="E25" s="5" t="s">
        <v>99</v>
      </c>
      <c r="F25" s="146" t="s">
        <v>167</v>
      </c>
      <c r="G25" s="5" t="s">
        <v>141</v>
      </c>
      <c r="H25" s="5" t="s">
        <v>115</v>
      </c>
      <c r="I25" s="146" t="s">
        <v>201</v>
      </c>
      <c r="J25" s="146" t="s">
        <v>196</v>
      </c>
      <c r="K25" s="146" t="s">
        <v>208</v>
      </c>
      <c r="L25" s="146" t="s">
        <v>166</v>
      </c>
      <c r="M25" s="5" t="s">
        <v>160</v>
      </c>
      <c r="N25" s="5" t="s">
        <v>142</v>
      </c>
      <c r="O25" s="146" t="s">
        <v>21</v>
      </c>
    </row>
    <row r="26" spans="1:18" ht="15" x14ac:dyDescent="0.25">
      <c r="A26" s="487" t="s">
        <v>146</v>
      </c>
      <c r="B26" s="488"/>
      <c r="C26" s="488"/>
      <c r="D26" s="488"/>
      <c r="E26" s="488"/>
      <c r="F26" s="488"/>
      <c r="G26" s="488"/>
      <c r="H26" s="488"/>
      <c r="I26" s="488"/>
      <c r="J26" s="488"/>
      <c r="K26" s="488"/>
      <c r="L26" s="488"/>
      <c r="M26" s="488"/>
      <c r="N26" s="488"/>
      <c r="O26" s="489"/>
    </row>
    <row r="27" spans="1:18" x14ac:dyDescent="0.2">
      <c r="A27" s="47" t="s">
        <v>22</v>
      </c>
      <c r="B27" s="13">
        <f>[3]Delta!$GC$15</f>
        <v>585</v>
      </c>
      <c r="C27" s="13">
        <f>'[3]Atlantic Southeast'!$GC$15</f>
        <v>0</v>
      </c>
      <c r="D27" s="13">
        <f>[3]Pinnacle!$GC$15</f>
        <v>57</v>
      </c>
      <c r="E27" s="13">
        <f>'[3]Sky West'!$GC$15</f>
        <v>148</v>
      </c>
      <c r="F27" s="13">
        <f>'[3]Go Jet'!$GC$15</f>
        <v>20</v>
      </c>
      <c r="G27" s="13">
        <f>'[3]Sun Country'!$GC$15</f>
        <v>217</v>
      </c>
      <c r="H27" s="13">
        <f>[3]Icelandair!$GC$15</f>
        <v>0</v>
      </c>
      <c r="I27" s="13">
        <f>[3]KLM!$GC$15</f>
        <v>14</v>
      </c>
      <c r="J27" s="13">
        <f>'[3]Air Georgian'!$GC$15</f>
        <v>0</v>
      </c>
      <c r="K27" s="13">
        <f>'[3]Sky Regional'!$GC$15</f>
        <v>65</v>
      </c>
      <c r="L27" s="13">
        <f>[3]Condor!$GC$15</f>
        <v>0</v>
      </c>
      <c r="M27" s="13">
        <f>'[3]Air France'!$GC$15</f>
        <v>0</v>
      </c>
      <c r="N27" s="13">
        <f>'[3]Charter Misc'!$GC$15+[3]Ryan!$GC$15+[3]Omni!$GC$15</f>
        <v>0</v>
      </c>
      <c r="O27" s="242">
        <f>SUM(B27:N27)</f>
        <v>1106</v>
      </c>
    </row>
    <row r="28" spans="1:18" x14ac:dyDescent="0.2">
      <c r="A28" s="47" t="s">
        <v>23</v>
      </c>
      <c r="B28" s="13">
        <f>[3]Delta!$GC$16</f>
        <v>586</v>
      </c>
      <c r="C28" s="13">
        <f>'[3]Atlantic Southeast'!$GC$16</f>
        <v>0</v>
      </c>
      <c r="D28" s="13">
        <f>[3]Pinnacle!$GC$16</f>
        <v>57</v>
      </c>
      <c r="E28" s="13">
        <f>'[3]Sky West'!$GC$16</f>
        <v>149</v>
      </c>
      <c r="F28" s="13">
        <f>'[3]Go Jet'!$GC$16</f>
        <v>21</v>
      </c>
      <c r="G28" s="13">
        <f>'[3]Sun Country'!$GC$16</f>
        <v>219</v>
      </c>
      <c r="H28" s="13">
        <f>[3]Icelandair!$GC$16</f>
        <v>0</v>
      </c>
      <c r="I28" s="13">
        <f>[3]KLM!$GC$16</f>
        <v>14</v>
      </c>
      <c r="J28" s="13">
        <f>'[3]Air Georgian'!$GC$16</f>
        <v>0</v>
      </c>
      <c r="K28" s="13">
        <f>'[3]Sky Regional'!$GC$16</f>
        <v>65</v>
      </c>
      <c r="L28" s="13">
        <f>[3]Condor!$GC$16</f>
        <v>0</v>
      </c>
      <c r="M28" s="13">
        <f>'[3]Air France'!$GC$16</f>
        <v>0</v>
      </c>
      <c r="N28" s="13">
        <f>'[3]Charter Misc'!$GC$16+[3]Ryan!$GC$16+[3]Omni!$GC$16</f>
        <v>0</v>
      </c>
      <c r="O28" s="242">
        <f>SUM(B28:N28)</f>
        <v>1111</v>
      </c>
    </row>
    <row r="29" spans="1:18" x14ac:dyDescent="0.2">
      <c r="A29" s="4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42"/>
    </row>
    <row r="30" spans="1:18" ht="15.75" thickBot="1" x14ac:dyDescent="0.3">
      <c r="A30" s="48" t="s">
        <v>28</v>
      </c>
      <c r="B30" s="328">
        <f t="shared" ref="B30:J30" si="20">SUM(B27:B28)</f>
        <v>1171</v>
      </c>
      <c r="C30" s="328">
        <f t="shared" si="20"/>
        <v>0</v>
      </c>
      <c r="D30" s="328">
        <f t="shared" si="20"/>
        <v>114</v>
      </c>
      <c r="E30" s="328">
        <f>SUM(E27:E28)</f>
        <v>297</v>
      </c>
      <c r="F30" s="328">
        <f>SUM(F27:F28)</f>
        <v>41</v>
      </c>
      <c r="G30" s="328">
        <f t="shared" si="20"/>
        <v>436</v>
      </c>
      <c r="H30" s="328">
        <f t="shared" si="20"/>
        <v>0</v>
      </c>
      <c r="I30" s="328">
        <f t="shared" ref="I30" si="21">SUM(I27:I28)</f>
        <v>28</v>
      </c>
      <c r="J30" s="328">
        <f t="shared" si="20"/>
        <v>0</v>
      </c>
      <c r="K30" s="328">
        <f t="shared" ref="K30" si="22">SUM(K27:K28)</f>
        <v>130</v>
      </c>
      <c r="L30" s="328">
        <f>SUM(L27:L28)</f>
        <v>0</v>
      </c>
      <c r="M30" s="328">
        <f>SUM(M27:M28)</f>
        <v>0</v>
      </c>
      <c r="N30" s="328">
        <f>SUM(N27:N28)</f>
        <v>0</v>
      </c>
      <c r="O30" s="329">
        <f>SUM(B30:N30)</f>
        <v>2217</v>
      </c>
    </row>
    <row r="31" spans="1:18" ht="15" x14ac:dyDescent="0.25">
      <c r="A31" s="330"/>
    </row>
    <row r="32" spans="1:18" ht="39" thickBot="1" x14ac:dyDescent="0.25">
      <c r="B32" s="5" t="s">
        <v>18</v>
      </c>
      <c r="C32" s="146" t="s">
        <v>207</v>
      </c>
      <c r="D32" s="364" t="s">
        <v>161</v>
      </c>
      <c r="E32" s="5" t="s">
        <v>99</v>
      </c>
      <c r="F32" s="146" t="s">
        <v>167</v>
      </c>
      <c r="G32" s="5" t="s">
        <v>141</v>
      </c>
      <c r="H32" s="5" t="s">
        <v>115</v>
      </c>
      <c r="I32" s="146" t="s">
        <v>201</v>
      </c>
      <c r="J32" s="146" t="s">
        <v>196</v>
      </c>
      <c r="K32" s="146" t="s">
        <v>208</v>
      </c>
      <c r="L32" s="146" t="s">
        <v>166</v>
      </c>
      <c r="M32" s="5" t="s">
        <v>160</v>
      </c>
      <c r="N32" s="5" t="s">
        <v>142</v>
      </c>
      <c r="O32" s="146" t="s">
        <v>144</v>
      </c>
    </row>
    <row r="33" spans="1:15" ht="15" x14ac:dyDescent="0.25">
      <c r="A33" s="490" t="s">
        <v>147</v>
      </c>
      <c r="B33" s="491"/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2"/>
    </row>
    <row r="34" spans="1:15" x14ac:dyDescent="0.2">
      <c r="A34" s="47" t="s">
        <v>22</v>
      </c>
      <c r="B34" s="13">
        <f>SUM([3]Delta!$GB$15:$GC$15)</f>
        <v>1159</v>
      </c>
      <c r="C34" s="13">
        <f>SUM('[3]Atlantic Southeast'!$GB$15:$GC$15)</f>
        <v>0</v>
      </c>
      <c r="D34" s="13">
        <f>SUM([3]Pinnacle!$GB$15:$GC$15)</f>
        <v>138</v>
      </c>
      <c r="E34" s="13">
        <f>SUM('[3]Sky West'!$GB$15:$GC$15)</f>
        <v>339</v>
      </c>
      <c r="F34" s="13">
        <f>SUM('[3]Go Jet'!$GB$15:$GC$15)</f>
        <v>42</v>
      </c>
      <c r="G34" s="13">
        <f>SUM('[3]Sun Country'!$GB$15:$GC$15)</f>
        <v>377</v>
      </c>
      <c r="H34" s="13">
        <f>SUM([3]Icelandair!$GB$15:$GC$15)</f>
        <v>4</v>
      </c>
      <c r="I34" s="13">
        <f>SUM([3]KLM!$GB$15:$GC$15)</f>
        <v>31</v>
      </c>
      <c r="J34" s="13">
        <f>SUM('[3]Air Georgian'!$GB$15:$GC$15)</f>
        <v>0</v>
      </c>
      <c r="K34" s="13">
        <f>SUM('[3]Sky Regional'!$GB$15:$GC$15)</f>
        <v>143</v>
      </c>
      <c r="L34" s="13">
        <f>SUM([3]Condor!$GB$15:$GC$15)</f>
        <v>0</v>
      </c>
      <c r="M34" s="13">
        <f>SUM('[3]Air France'!$GB$15:$GC$15)</f>
        <v>0</v>
      </c>
      <c r="N34" s="13">
        <f>SUM('[3]Charter Misc'!$GB$15:$GC$15)+SUM([3]Ryan!$GB$15:$GC$15)+SUM([3]Omni!$GB$15:$GC$15)</f>
        <v>0</v>
      </c>
      <c r="O34" s="242">
        <f>SUM(B34:N34)</f>
        <v>2233</v>
      </c>
    </row>
    <row r="35" spans="1:15" x14ac:dyDescent="0.2">
      <c r="A35" s="47" t="s">
        <v>23</v>
      </c>
      <c r="B35" s="13">
        <f>SUM([3]Delta!$GB$16:$GC$16)</f>
        <v>1167</v>
      </c>
      <c r="C35" s="13">
        <f>SUM('[3]Atlantic Southeast'!$GB$16:$GC$16)</f>
        <v>0</v>
      </c>
      <c r="D35" s="13">
        <f>SUM([3]Pinnacle!$GB$16:$GC$16)</f>
        <v>137</v>
      </c>
      <c r="E35" s="13">
        <f>SUM('[3]Sky West'!$GB$16:$GC$16)</f>
        <v>337</v>
      </c>
      <c r="F35" s="13">
        <f>SUM('[3]Go Jet'!$GB$16:$GC$16)</f>
        <v>44</v>
      </c>
      <c r="G35" s="13">
        <f>SUM('[3]Sun Country'!$GB$16:$GC$16)</f>
        <v>380</v>
      </c>
      <c r="H35" s="13">
        <f>SUM([3]Icelandair!$GB$16:$GC$16)</f>
        <v>4</v>
      </c>
      <c r="I35" s="13">
        <f>SUM([3]KLM!$GB$16:$GC$16)</f>
        <v>31</v>
      </c>
      <c r="J35" s="13">
        <f>SUM('[3]Air Georgian'!$GB$16:$GC$16)</f>
        <v>0</v>
      </c>
      <c r="K35" s="13">
        <f>SUM('[3]Sky Regional'!$GB$16:$GC$16)</f>
        <v>143</v>
      </c>
      <c r="L35" s="13">
        <f>SUM([3]Condor!$GB$16:$GC$16)</f>
        <v>0</v>
      </c>
      <c r="M35" s="13">
        <f>SUM('[3]Air France'!$GB$16:$GC$16)</f>
        <v>0</v>
      </c>
      <c r="N35" s="13">
        <f>SUM('[3]Charter Misc'!$GB$16:$GC$16)+SUM([3]Ryan!$GB$16:$GC$16)+SUM([3]Omni!$GB$16:$GC$16)</f>
        <v>0</v>
      </c>
      <c r="O35" s="242">
        <f>SUM(B35:N35)</f>
        <v>2243</v>
      </c>
    </row>
    <row r="36" spans="1:15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42"/>
    </row>
    <row r="37" spans="1:15" ht="15.75" thickBot="1" x14ac:dyDescent="0.3">
      <c r="A37" s="48" t="s">
        <v>28</v>
      </c>
      <c r="B37" s="328">
        <f t="shared" ref="B37:J37" si="23">+SUM(B34:B35)</f>
        <v>2326</v>
      </c>
      <c r="C37" s="328">
        <f t="shared" si="23"/>
        <v>0</v>
      </c>
      <c r="D37" s="328">
        <f t="shared" si="23"/>
        <v>275</v>
      </c>
      <c r="E37" s="328">
        <f>+SUM(E34:E35)</f>
        <v>676</v>
      </c>
      <c r="F37" s="328">
        <f>+SUM(F34:F35)</f>
        <v>86</v>
      </c>
      <c r="G37" s="328">
        <f t="shared" si="23"/>
        <v>757</v>
      </c>
      <c r="H37" s="328">
        <f t="shared" si="23"/>
        <v>8</v>
      </c>
      <c r="I37" s="328">
        <f t="shared" ref="I37" si="24">+SUM(I34:I35)</f>
        <v>62</v>
      </c>
      <c r="J37" s="328">
        <f t="shared" si="23"/>
        <v>0</v>
      </c>
      <c r="K37" s="328">
        <f t="shared" ref="K37" si="25">+SUM(K34:K35)</f>
        <v>286</v>
      </c>
      <c r="L37" s="328">
        <f>+SUM(L34:L35)</f>
        <v>0</v>
      </c>
      <c r="M37" s="328">
        <f>+SUM(M34:M35)</f>
        <v>0</v>
      </c>
      <c r="N37" s="328">
        <f>+SUM(N34:N35)</f>
        <v>0</v>
      </c>
      <c r="O37" s="329">
        <f>SUM(B37:N37)</f>
        <v>4476</v>
      </c>
    </row>
  </sheetData>
  <mergeCells count="4">
    <mergeCell ref="A2:O2"/>
    <mergeCell ref="A14:O14"/>
    <mergeCell ref="A26:O26"/>
    <mergeCell ref="A33:O33"/>
  </mergeCells>
  <phoneticPr fontId="6" type="noConversion"/>
  <pageMargins left="0.75" right="0.75" top="1" bottom="1" header="0.5" footer="0.5"/>
  <pageSetup scale="65" orientation="landscape" r:id="rId1"/>
  <headerFooter alignWithMargins="0">
    <oddHeader>&amp;LSchedule 9&amp;CMinneapolis-St. Paul International Airport
&amp;"Arial,Bold"International Detail&amp;"Arial,Regular"
&amp;"Arial,Bold"February 2019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706"/>
  <sheetViews>
    <sheetView topLeftCell="E1" zoomScaleNormal="100" zoomScaleSheetLayoutView="85" workbookViewId="0">
      <selection activeCell="M12" sqref="M12"/>
    </sheetView>
  </sheetViews>
  <sheetFormatPr defaultRowHeight="12.75" x14ac:dyDescent="0.2"/>
  <cols>
    <col min="1" max="1" width="3.42578125" customWidth="1"/>
    <col min="2" max="2" width="14.42578125" bestFit="1" customWidth="1"/>
    <col min="3" max="4" width="9" style="2" bestFit="1" customWidth="1"/>
    <col min="5" max="5" width="8.85546875" style="3" bestFit="1" customWidth="1"/>
    <col min="6" max="6" width="8.5703125" style="192" bestFit="1" customWidth="1"/>
    <col min="7" max="7" width="8.5703125" style="2" bestFit="1" customWidth="1"/>
    <col min="8" max="8" width="8.85546875" style="3" bestFit="1" customWidth="1"/>
    <col min="9" max="9" width="8.7109375" style="3" bestFit="1" customWidth="1"/>
    <col min="10" max="10" width="4.140625" style="3" customWidth="1"/>
    <col min="11" max="11" width="14.42578125" style="196" bestFit="1" customWidth="1"/>
    <col min="12" max="13" width="14" style="2" bestFit="1" customWidth="1"/>
    <col min="14" max="14" width="11.7109375" style="3" customWidth="1"/>
    <col min="15" max="16" width="9.71093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8" s="9" customFormat="1" ht="26.25" thickBot="1" x14ac:dyDescent="0.25">
      <c r="A1" s="496" t="s">
        <v>134</v>
      </c>
      <c r="B1" s="497"/>
      <c r="C1" s="383" t="s">
        <v>221</v>
      </c>
      <c r="D1" s="384" t="s">
        <v>202</v>
      </c>
      <c r="E1" s="229" t="s">
        <v>97</v>
      </c>
      <c r="F1" s="228" t="s">
        <v>222</v>
      </c>
      <c r="G1" s="384" t="s">
        <v>203</v>
      </c>
      <c r="H1" s="227" t="s">
        <v>98</v>
      </c>
      <c r="I1" s="229" t="s">
        <v>139</v>
      </c>
      <c r="J1" s="502" t="s">
        <v>138</v>
      </c>
      <c r="K1" s="503"/>
      <c r="L1" s="381" t="s">
        <v>223</v>
      </c>
      <c r="M1" s="382" t="s">
        <v>204</v>
      </c>
      <c r="N1" s="298" t="s">
        <v>98</v>
      </c>
      <c r="O1" s="418" t="s">
        <v>224</v>
      </c>
      <c r="P1" s="230" t="s">
        <v>205</v>
      </c>
      <c r="Q1" s="415" t="s">
        <v>98</v>
      </c>
      <c r="R1" s="419" t="s">
        <v>206</v>
      </c>
    </row>
    <row r="2" spans="1:18" s="9" customFormat="1" ht="13.5" customHeight="1" thickBot="1" x14ac:dyDescent="0.25">
      <c r="A2" s="498">
        <v>43497</v>
      </c>
      <c r="B2" s="499"/>
      <c r="C2" s="500" t="s">
        <v>9</v>
      </c>
      <c r="D2" s="501"/>
      <c r="E2" s="501"/>
      <c r="F2" s="501"/>
      <c r="G2" s="501"/>
      <c r="H2" s="501"/>
      <c r="I2" s="385"/>
      <c r="J2" s="498">
        <f>+A2</f>
        <v>43497</v>
      </c>
      <c r="K2" s="499"/>
      <c r="L2" s="493" t="s">
        <v>140</v>
      </c>
      <c r="M2" s="494"/>
      <c r="N2" s="494"/>
      <c r="O2" s="494"/>
      <c r="P2" s="494"/>
      <c r="Q2" s="494"/>
      <c r="R2" s="495"/>
    </row>
    <row r="3" spans="1:18" x14ac:dyDescent="0.2">
      <c r="A3" s="299"/>
      <c r="B3" s="300"/>
      <c r="C3" s="301"/>
      <c r="D3" s="302"/>
      <c r="E3" s="303"/>
      <c r="F3" s="356"/>
      <c r="G3" s="302"/>
      <c r="H3" s="413"/>
      <c r="I3" s="303"/>
      <c r="J3" s="304"/>
      <c r="K3" s="300"/>
      <c r="L3" s="310"/>
      <c r="N3" s="67"/>
      <c r="O3" s="299"/>
      <c r="P3" s="305"/>
      <c r="Q3" s="305"/>
      <c r="R3" s="300"/>
    </row>
    <row r="4" spans="1:18" ht="14.1" customHeight="1" x14ac:dyDescent="0.2">
      <c r="A4" s="306" t="s">
        <v>100</v>
      </c>
      <c r="B4" s="40"/>
      <c r="C4" s="307">
        <f>SUM(C5:C7)</f>
        <v>130</v>
      </c>
      <c r="D4" s="150">
        <f>SUM(D5:D7)</f>
        <v>148</v>
      </c>
      <c r="E4" s="309">
        <f>(C4-D4)/D4</f>
        <v>-0.12162162162162163</v>
      </c>
      <c r="F4" s="307">
        <f>SUM(F5:F7)</f>
        <v>286</v>
      </c>
      <c r="G4" s="150">
        <f>SUM(G5:G7)</f>
        <v>310</v>
      </c>
      <c r="H4" s="308">
        <f>(F4-G4)/G4</f>
        <v>-7.7419354838709681E-2</v>
      </c>
      <c r="I4" s="309">
        <f>F4/$F$67</f>
        <v>5.3055318517419214E-3</v>
      </c>
      <c r="J4" s="306" t="s">
        <v>100</v>
      </c>
      <c r="K4" s="40"/>
      <c r="L4" s="307">
        <f>SUM(L5:L7)</f>
        <v>6859</v>
      </c>
      <c r="M4" s="150">
        <f>SUM(M5:M7)</f>
        <v>7342</v>
      </c>
      <c r="N4" s="309">
        <f>(L4-M4)/M4</f>
        <v>-6.5785889403432302E-2</v>
      </c>
      <c r="O4" s="307">
        <f>SUM(O5:O7)</f>
        <v>14353</v>
      </c>
      <c r="P4" s="150">
        <f>SUM(P5:P7)</f>
        <v>15077</v>
      </c>
      <c r="Q4" s="308">
        <f>(O4-P4)/P4</f>
        <v>-4.8020163162432843E-2</v>
      </c>
      <c r="R4" s="309">
        <f>O4/$O$67</f>
        <v>2.7720208404671395E-3</v>
      </c>
    </row>
    <row r="5" spans="1:18" ht="14.1" customHeight="1" x14ac:dyDescent="0.2">
      <c r="A5" s="306"/>
      <c r="B5" s="365" t="s">
        <v>100</v>
      </c>
      <c r="C5" s="310">
        <f>+[3]AirCanada!$GC$19</f>
        <v>0</v>
      </c>
      <c r="D5" s="2">
        <f>+[3]AirCanada!$FO$19</f>
        <v>0</v>
      </c>
      <c r="E5" s="67" t="e">
        <f>(C5-D5)/D5</f>
        <v>#DIV/0!</v>
      </c>
      <c r="F5" s="254">
        <f>SUM([3]AirCanada!$GB$19:$GC$19)</f>
        <v>0</v>
      </c>
      <c r="G5" s="254">
        <f>SUM([3]AirCanada!$FN$19:$FO$19)</f>
        <v>0</v>
      </c>
      <c r="H5" s="370" t="e">
        <f>(F5-G5)/G5</f>
        <v>#DIV/0!</v>
      </c>
      <c r="I5" s="67">
        <f>F5/$F$67</f>
        <v>0</v>
      </c>
      <c r="J5" s="306"/>
      <c r="K5" s="365" t="s">
        <v>100</v>
      </c>
      <c r="L5" s="369">
        <f>+[3]AirCanada!$GC$41</f>
        <v>0</v>
      </c>
      <c r="M5" s="254">
        <f>+[3]AirCanada!$FO$41</f>
        <v>0</v>
      </c>
      <c r="N5" s="371" t="e">
        <f>(L5-M5)/M5</f>
        <v>#DIV/0!</v>
      </c>
      <c r="O5" s="369">
        <f>SUM([3]AirCanada!$GB$41:$GC$41)</f>
        <v>0</v>
      </c>
      <c r="P5" s="254">
        <f>SUM([3]AirCanada!$FN$41:$FO$41)</f>
        <v>0</v>
      </c>
      <c r="Q5" s="370" t="e">
        <f>(O5-P5)/P5</f>
        <v>#DIV/0!</v>
      </c>
      <c r="R5" s="371">
        <f>O5/$O$67</f>
        <v>0</v>
      </c>
    </row>
    <row r="6" spans="1:18" ht="14.1" customHeight="1" x14ac:dyDescent="0.2">
      <c r="A6" s="306"/>
      <c r="B6" s="365" t="s">
        <v>169</v>
      </c>
      <c r="C6" s="310">
        <f>'[3]Air Georgian'!$GC$19</f>
        <v>0</v>
      </c>
      <c r="D6" s="2">
        <f>'[3]Air Georgian'!$FO$19</f>
        <v>0</v>
      </c>
      <c r="E6" s="67" t="e">
        <f>(C6-D6)/D6</f>
        <v>#DIV/0!</v>
      </c>
      <c r="F6" s="254">
        <f>SUM('[3]Air Georgian'!$GB$19:$GC$19)</f>
        <v>0</v>
      </c>
      <c r="G6" s="254">
        <f>SUM('[3]Air Georgian'!$FN$19:$FO$19)</f>
        <v>0</v>
      </c>
      <c r="H6" s="370" t="e">
        <f>(F6-G6)/G6</f>
        <v>#DIV/0!</v>
      </c>
      <c r="I6" s="67">
        <f>F6/$F$67</f>
        <v>0</v>
      </c>
      <c r="J6" s="306"/>
      <c r="K6" s="365" t="s">
        <v>169</v>
      </c>
      <c r="L6" s="310">
        <f>'[3]Air Georgian'!$GC$41</f>
        <v>0</v>
      </c>
      <c r="M6" s="2">
        <f>'[3]Air Georgian'!$FO$41</f>
        <v>0</v>
      </c>
      <c r="N6" s="67" t="e">
        <f>(L6-M6)/M6</f>
        <v>#DIV/0!</v>
      </c>
      <c r="O6" s="310">
        <f>SUM('[3]Air Georgian'!$GB$41:$GC$41)</f>
        <v>0</v>
      </c>
      <c r="P6" s="2">
        <f>SUM('[3]Air Georgian'!$FN$41:$FO$41)</f>
        <v>0</v>
      </c>
      <c r="Q6" s="3" t="e">
        <f>(O6-P6)/P6</f>
        <v>#DIV/0!</v>
      </c>
      <c r="R6" s="67">
        <f>O6/$O$67</f>
        <v>0</v>
      </c>
    </row>
    <row r="7" spans="1:18" ht="14.1" customHeight="1" x14ac:dyDescent="0.2">
      <c r="A7" s="306"/>
      <c r="B7" s="365" t="s">
        <v>199</v>
      </c>
      <c r="C7" s="310">
        <f>'[3]Sky Regional'!$GC$19</f>
        <v>130</v>
      </c>
      <c r="D7" s="2">
        <f>'[3]Sky Regional'!$FO$19</f>
        <v>148</v>
      </c>
      <c r="E7" s="67">
        <f>(C7-D7)/D7</f>
        <v>-0.12162162162162163</v>
      </c>
      <c r="F7" s="254">
        <f>SUM('[3]Sky Regional'!$GB$19:$GC$19)</f>
        <v>286</v>
      </c>
      <c r="G7" s="254">
        <f>SUM('[3]Sky Regional'!$FN$19:$FO$19)</f>
        <v>310</v>
      </c>
      <c r="H7" s="370">
        <f>(F7-G7)/G7</f>
        <v>-7.7419354838709681E-2</v>
      </c>
      <c r="I7" s="67">
        <f>F7/$F$67</f>
        <v>5.3055318517419214E-3</v>
      </c>
      <c r="J7" s="306"/>
      <c r="K7" s="365" t="s">
        <v>199</v>
      </c>
      <c r="L7" s="310">
        <f>'[3]Sky Regional'!$GC$41</f>
        <v>6859</v>
      </c>
      <c r="M7" s="2">
        <f>'[3]Sky Regional'!$FO$41</f>
        <v>7342</v>
      </c>
      <c r="N7" s="67">
        <f>(L7-M7)/M7</f>
        <v>-6.5785889403432302E-2</v>
      </c>
      <c r="O7" s="310">
        <f>SUM('[3]Sky Regional'!$GB$41:$GC$41)</f>
        <v>14353</v>
      </c>
      <c r="P7" s="2">
        <f>SUM('[3]Sky Regional'!$FN$41:$FO$41)</f>
        <v>15077</v>
      </c>
      <c r="Q7" s="3">
        <f>(O7-P7)/P7</f>
        <v>-4.8020163162432843E-2</v>
      </c>
      <c r="R7" s="67">
        <f>O7/$O$67</f>
        <v>2.7720208404671395E-3</v>
      </c>
    </row>
    <row r="8" spans="1:18" ht="14.1" customHeight="1" x14ac:dyDescent="0.2">
      <c r="A8" s="306"/>
      <c r="B8" s="40"/>
      <c r="C8" s="307"/>
      <c r="D8" s="150"/>
      <c r="E8" s="309"/>
      <c r="F8" s="150"/>
      <c r="G8" s="150"/>
      <c r="H8" s="308"/>
      <c r="I8" s="309"/>
      <c r="J8" s="306"/>
      <c r="K8" s="40"/>
      <c r="L8" s="310"/>
      <c r="N8" s="67"/>
      <c r="O8" s="310"/>
      <c r="P8" s="2"/>
      <c r="Q8" s="3"/>
      <c r="R8" s="67"/>
    </row>
    <row r="9" spans="1:18" ht="14.1" customHeight="1" x14ac:dyDescent="0.2">
      <c r="A9" s="306" t="s">
        <v>183</v>
      </c>
      <c r="B9" s="40"/>
      <c r="C9" s="307">
        <f>'[3]Air Choice One'!$GC$19</f>
        <v>162</v>
      </c>
      <c r="D9" s="150">
        <f>'[3]Air Choice One'!$FO$19</f>
        <v>210</v>
      </c>
      <c r="E9" s="309">
        <f>(C9-D9)/D9</f>
        <v>-0.22857142857142856</v>
      </c>
      <c r="F9" s="150">
        <f>SUM('[3]Air Choice One'!$GB$19:$GC$19)</f>
        <v>362</v>
      </c>
      <c r="G9" s="150">
        <f>SUM('[3]Air Choice One'!$FN$19:$FO$19)</f>
        <v>458</v>
      </c>
      <c r="H9" s="308">
        <f>(F9-G9)/G9</f>
        <v>-0.20960698689956331</v>
      </c>
      <c r="I9" s="309">
        <f>F9/$F$67</f>
        <v>6.7153934626943195E-3</v>
      </c>
      <c r="J9" s="306" t="s">
        <v>183</v>
      </c>
      <c r="K9" s="40"/>
      <c r="L9" s="307">
        <f>'[3]Air Choice One'!$GC$41</f>
        <v>753</v>
      </c>
      <c r="M9" s="150">
        <f>'[3]Air Choice One'!$FO$41</f>
        <v>755</v>
      </c>
      <c r="N9" s="309">
        <f>(L9-M9)/M9</f>
        <v>-2.6490066225165563E-3</v>
      </c>
      <c r="O9" s="307">
        <f>SUM('[3]Air Choice One'!$GB$41:$GC$41)</f>
        <v>1483</v>
      </c>
      <c r="P9" s="150">
        <f>SUM('[3]Air Choice One'!$FN$41:$FO$41)</f>
        <v>1715</v>
      </c>
      <c r="Q9" s="308">
        <f>(O9-P9)/P9</f>
        <v>-0.13527696793002916</v>
      </c>
      <c r="R9" s="309">
        <f>O9/$O$67</f>
        <v>2.8641447128912201E-4</v>
      </c>
    </row>
    <row r="10" spans="1:18" ht="14.1" customHeight="1" x14ac:dyDescent="0.2">
      <c r="A10" s="306"/>
      <c r="B10" s="40"/>
      <c r="C10" s="307"/>
      <c r="D10" s="150"/>
      <c r="E10" s="309"/>
      <c r="F10" s="150"/>
      <c r="G10" s="150"/>
      <c r="H10" s="308"/>
      <c r="I10" s="309"/>
      <c r="J10" s="306"/>
      <c r="K10" s="40"/>
      <c r="L10" s="310"/>
      <c r="N10" s="67"/>
      <c r="O10" s="310"/>
      <c r="P10" s="2"/>
      <c r="Q10" s="3"/>
      <c r="R10" s="67"/>
    </row>
    <row r="11" spans="1:18" ht="14.1" customHeight="1" x14ac:dyDescent="0.2">
      <c r="A11" s="306" t="s">
        <v>160</v>
      </c>
      <c r="B11" s="40"/>
      <c r="C11" s="307">
        <f>'[3]Air France'!$GC$19</f>
        <v>0</v>
      </c>
      <c r="D11" s="150">
        <f>'[3]Air France'!$FO$19</f>
        <v>0</v>
      </c>
      <c r="E11" s="309" t="e">
        <f>(C11-D11)/D11</f>
        <v>#DIV/0!</v>
      </c>
      <c r="F11" s="150">
        <f>SUM('[3]Air France'!$GB$19:$GC$19)</f>
        <v>0</v>
      </c>
      <c r="G11" s="150">
        <f>SUM('[3]Air France'!$FN$19:$FO$19)</f>
        <v>0</v>
      </c>
      <c r="H11" s="308" t="e">
        <f>(F11-G11)/G11</f>
        <v>#DIV/0!</v>
      </c>
      <c r="I11" s="309">
        <f>F11/$F$67</f>
        <v>0</v>
      </c>
      <c r="J11" s="306" t="s">
        <v>160</v>
      </c>
      <c r="K11" s="40"/>
      <c r="L11" s="307">
        <f>'[3]Air France'!$GC$41</f>
        <v>0</v>
      </c>
      <c r="M11" s="150">
        <f>'[3]Air France'!$FO$41</f>
        <v>0</v>
      </c>
      <c r="N11" s="309" t="e">
        <f>(L11-M11)/M11</f>
        <v>#DIV/0!</v>
      </c>
      <c r="O11" s="307">
        <f>SUM('[3]Air France'!$GB$41:$GC$41)</f>
        <v>0</v>
      </c>
      <c r="P11" s="150">
        <f>SUM('[3]Air France'!$FN$41:$FO$41)</f>
        <v>0</v>
      </c>
      <c r="Q11" s="308" t="e">
        <f>(O11-P11)/P11</f>
        <v>#DIV/0!</v>
      </c>
      <c r="R11" s="309">
        <f>O11/$O$67</f>
        <v>0</v>
      </c>
    </row>
    <row r="12" spans="1:18" ht="14.1" customHeight="1" x14ac:dyDescent="0.2">
      <c r="A12" s="306"/>
      <c r="B12" s="40"/>
      <c r="C12" s="307"/>
      <c r="D12" s="150"/>
      <c r="E12" s="309"/>
      <c r="F12" s="150"/>
      <c r="G12" s="150"/>
      <c r="H12" s="308"/>
      <c r="I12" s="309"/>
      <c r="J12" s="306"/>
      <c r="K12" s="40"/>
      <c r="L12" s="310"/>
      <c r="N12" s="67"/>
      <c r="O12" s="310"/>
      <c r="P12" s="2"/>
      <c r="Q12" s="3"/>
      <c r="R12" s="67"/>
    </row>
    <row r="13" spans="1:18" ht="14.1" customHeight="1" x14ac:dyDescent="0.2">
      <c r="A13" s="306" t="s">
        <v>130</v>
      </c>
      <c r="B13" s="40"/>
      <c r="C13" s="307">
        <f>SUM(C14:C16)</f>
        <v>222</v>
      </c>
      <c r="D13" s="150">
        <f>SUM(D14:D16)</f>
        <v>278</v>
      </c>
      <c r="E13" s="309">
        <f>(C13-D13)/D13</f>
        <v>-0.20143884892086331</v>
      </c>
      <c r="F13" s="150">
        <f>SUM(F14:F16)</f>
        <v>473</v>
      </c>
      <c r="G13" s="150">
        <f>SUM(G14:G16)</f>
        <v>583</v>
      </c>
      <c r="H13" s="308">
        <f>(F13-G13)/G13</f>
        <v>-0.18867924528301888</v>
      </c>
      <c r="I13" s="309">
        <f>F13/$F$67</f>
        <v>8.7745334471116387E-3</v>
      </c>
      <c r="J13" s="306" t="s">
        <v>130</v>
      </c>
      <c r="K13" s="40"/>
      <c r="L13" s="307">
        <f>SUM(L14:L16)</f>
        <v>22241</v>
      </c>
      <c r="M13" s="150">
        <f>SUM(M14:M16)</f>
        <v>26156</v>
      </c>
      <c r="N13" s="309">
        <f>(L13-M13)/M13</f>
        <v>-0.14967884997706071</v>
      </c>
      <c r="O13" s="307">
        <f>SUM(O14:O16)</f>
        <v>46749</v>
      </c>
      <c r="P13" s="150">
        <f>SUM(P14:P16)</f>
        <v>52737</v>
      </c>
      <c r="Q13" s="308">
        <f>(O13-P13)/P13</f>
        <v>-0.11354457022583765</v>
      </c>
      <c r="R13" s="309">
        <f>O13/$O$67</f>
        <v>9.0287188929839262E-3</v>
      </c>
    </row>
    <row r="14" spans="1:18" ht="14.1" customHeight="1" x14ac:dyDescent="0.2">
      <c r="A14" s="306"/>
      <c r="B14" s="365" t="s">
        <v>130</v>
      </c>
      <c r="C14" s="369">
        <f>[3]Alaska!$GC$19</f>
        <v>114</v>
      </c>
      <c r="D14" s="254">
        <f>[3]Alaska!$FO$19</f>
        <v>114</v>
      </c>
      <c r="E14" s="371">
        <f>(C14-D14)/D14</f>
        <v>0</v>
      </c>
      <c r="F14" s="254">
        <f>SUM([3]Alaska!$GB$19:$GC$19)</f>
        <v>241</v>
      </c>
      <c r="G14" s="254">
        <f>SUM([3]Alaska!$FN$19:$FO$19)</f>
        <v>234</v>
      </c>
      <c r="H14" s="370">
        <f>(F14-G14)/G14</f>
        <v>2.9914529914529916E-2</v>
      </c>
      <c r="I14" s="371">
        <f>F14/$F$67</f>
        <v>4.4707453715727378E-3</v>
      </c>
      <c r="J14" s="306"/>
      <c r="K14" s="365" t="s">
        <v>130</v>
      </c>
      <c r="L14" s="369">
        <f>[3]Alaska!$GC$41</f>
        <v>15222</v>
      </c>
      <c r="M14" s="254">
        <f>[3]Alaska!$FO$41</f>
        <v>15209</v>
      </c>
      <c r="N14" s="371">
        <f>(L14-M14)/M14</f>
        <v>8.5475705174567691E-4</v>
      </c>
      <c r="O14" s="369">
        <f>SUM([3]Alaska!$GB$41:$GC$41)</f>
        <v>32206</v>
      </c>
      <c r="P14" s="254">
        <f>SUM([3]Alaska!$FN$41:$FO$41)</f>
        <v>31024</v>
      </c>
      <c r="Q14" s="370">
        <f>(O14-P14)/P14</f>
        <v>3.8099535843218152E-2</v>
      </c>
      <c r="R14" s="371">
        <f>O14/$O$67</f>
        <v>6.2200030089935689E-3</v>
      </c>
    </row>
    <row r="15" spans="1:18" ht="14.1" customHeight="1" x14ac:dyDescent="0.2">
      <c r="A15" s="306"/>
      <c r="B15" s="365" t="s">
        <v>99</v>
      </c>
      <c r="C15" s="310">
        <f>'[3]Sky West_AS'!$GC$19</f>
        <v>108</v>
      </c>
      <c r="D15" s="2">
        <f>'[3]Sky West_AS'!$FO$19</f>
        <v>86</v>
      </c>
      <c r="E15" s="67">
        <f>(C15-D15)/D15</f>
        <v>0.2558139534883721</v>
      </c>
      <c r="F15" s="2">
        <f>SUM('[3]Sky West_AS'!$GB$19:$GC$19)</f>
        <v>220</v>
      </c>
      <c r="G15" s="2">
        <f>SUM('[3]Sky West_AS'!$FN$19:$FO$19)</f>
        <v>206</v>
      </c>
      <c r="H15" s="3">
        <f>(F15-G15)/G15</f>
        <v>6.7961165048543687E-2</v>
      </c>
      <c r="I15" s="67">
        <f>F15/$F$67</f>
        <v>4.0811783474937859E-3</v>
      </c>
      <c r="J15" s="306"/>
      <c r="K15" s="365" t="s">
        <v>99</v>
      </c>
      <c r="L15" s="310">
        <f>'[3]Sky West_AS'!$GC$41</f>
        <v>7019</v>
      </c>
      <c r="M15" s="2">
        <f>'[3]Sky West_AS'!$FO$41</f>
        <v>5696</v>
      </c>
      <c r="N15" s="67">
        <f>(L15-M15)/M15</f>
        <v>0.2322682584269663</v>
      </c>
      <c r="O15" s="310">
        <f>SUM('[3]Sky West_AS'!$GB$41:$GC$41)</f>
        <v>13724</v>
      </c>
      <c r="P15" s="2">
        <f>SUM('[3]Sky West_AS'!$FN$41:$FO$41)</f>
        <v>12822</v>
      </c>
      <c r="Q15" s="3">
        <f>(O15-P15)/P15</f>
        <v>7.0347839650600527E-2</v>
      </c>
      <c r="R15" s="371">
        <f>O15/$O$67</f>
        <v>2.6505409332244841E-3</v>
      </c>
    </row>
    <row r="16" spans="1:18" ht="14.1" customHeight="1" x14ac:dyDescent="0.2">
      <c r="A16" s="306"/>
      <c r="B16" s="365" t="s">
        <v>200</v>
      </c>
      <c r="C16" s="310">
        <f>[3]Horizon_AS!$GC$19</f>
        <v>0</v>
      </c>
      <c r="D16" s="2">
        <f>[3]Horizon_AS!$FO$19</f>
        <v>78</v>
      </c>
      <c r="E16" s="67">
        <f>(C16-D16)/D16</f>
        <v>-1</v>
      </c>
      <c r="F16" s="2">
        <f>SUM([3]Horizon_AS!$GB$19:$GC$19)</f>
        <v>12</v>
      </c>
      <c r="G16" s="2">
        <f>SUM([3]Horizon_AS!$FN$19:$FO$19)</f>
        <v>143</v>
      </c>
      <c r="H16" s="3">
        <f>(F16-G16)/G16</f>
        <v>-0.91608391608391604</v>
      </c>
      <c r="I16" s="67">
        <f>F16/$F$67</f>
        <v>2.2260972804511556E-4</v>
      </c>
      <c r="J16" s="306"/>
      <c r="K16" s="365" t="s">
        <v>200</v>
      </c>
      <c r="L16" s="310">
        <f>[3]Horizon_AS!$GC$41</f>
        <v>0</v>
      </c>
      <c r="M16" s="2">
        <f>[3]Horizon_AS!$FO$41</f>
        <v>5251</v>
      </c>
      <c r="N16" s="67">
        <f>(L16-M16)/M16</f>
        <v>-1</v>
      </c>
      <c r="O16" s="310">
        <f>SUM([3]Horizon_AS!$GB$41:$GC$41)</f>
        <v>819</v>
      </c>
      <c r="P16" s="2">
        <f>SUM([3]Horizon_AS!$FN$41:$FO$41)</f>
        <v>8891</v>
      </c>
      <c r="Q16" s="3">
        <f>(O16-P16)/P16</f>
        <v>-0.90788437746035322</v>
      </c>
      <c r="R16" s="371">
        <f>O16/$O$67</f>
        <v>1.5817495076587385E-4</v>
      </c>
    </row>
    <row r="17" spans="1:20" ht="14.1" customHeight="1" x14ac:dyDescent="0.2">
      <c r="A17" s="306"/>
      <c r="B17" s="40"/>
      <c r="C17" s="307"/>
      <c r="D17" s="165"/>
      <c r="E17" s="309"/>
      <c r="F17" s="165"/>
      <c r="G17" s="165"/>
      <c r="H17" s="308"/>
      <c r="I17" s="309"/>
      <c r="J17" s="306"/>
      <c r="K17" s="40"/>
      <c r="L17" s="141"/>
      <c r="M17" s="97"/>
      <c r="N17" s="67"/>
      <c r="O17" s="141"/>
      <c r="P17" s="97"/>
      <c r="Q17" s="3"/>
      <c r="R17" s="67"/>
    </row>
    <row r="18" spans="1:20" ht="14.1" customHeight="1" x14ac:dyDescent="0.2">
      <c r="A18" s="306" t="s">
        <v>17</v>
      </c>
      <c r="B18" s="311"/>
      <c r="C18" s="307">
        <f>SUM(C19:C25)</f>
        <v>1491</v>
      </c>
      <c r="D18" s="150">
        <f>SUM(D19:D25)</f>
        <v>1604</v>
      </c>
      <c r="E18" s="309">
        <f t="shared" ref="E18:E25" si="0">(C18-D18)/D18</f>
        <v>-7.0448877805486282E-2</v>
      </c>
      <c r="F18" s="307">
        <f>SUM(F19:F25)</f>
        <v>3086</v>
      </c>
      <c r="G18" s="150">
        <f>SUM(G19:G25)</f>
        <v>3227</v>
      </c>
      <c r="H18" s="308">
        <f t="shared" ref="H18:H25" si="1">(F18-G18)/G18</f>
        <v>-4.3693833281685773E-2</v>
      </c>
      <c r="I18" s="309">
        <f t="shared" ref="I18:I25" si="2">F18/$F$67</f>
        <v>5.7247801728935552E-2</v>
      </c>
      <c r="J18" s="306" t="s">
        <v>17</v>
      </c>
      <c r="K18" s="311"/>
      <c r="L18" s="307">
        <f>SUM(L19:L25)</f>
        <v>153831</v>
      </c>
      <c r="M18" s="150">
        <f>SUM(M19:M25)</f>
        <v>162571</v>
      </c>
      <c r="N18" s="309">
        <f t="shared" ref="N18:N25" si="3">(L18-M18)/M18</f>
        <v>-5.3761125908064783E-2</v>
      </c>
      <c r="O18" s="307">
        <f>SUM(O19:O25)</f>
        <v>311808</v>
      </c>
      <c r="P18" s="150">
        <f>SUM(P19:P25)</f>
        <v>325163</v>
      </c>
      <c r="Q18" s="308">
        <f t="shared" ref="Q18:Q25" si="4">(O18-P18)/P18</f>
        <v>-4.1071708650738246E-2</v>
      </c>
      <c r="R18" s="309">
        <f t="shared" ref="R18:R25" si="5">O18/$O$67</f>
        <v>6.0220042794146021E-2</v>
      </c>
    </row>
    <row r="19" spans="1:20" ht="14.1" customHeight="1" x14ac:dyDescent="0.2">
      <c r="A19" s="38"/>
      <c r="B19" s="40" t="s">
        <v>17</v>
      </c>
      <c r="C19" s="310">
        <f>[3]American!$GC$19</f>
        <v>1146</v>
      </c>
      <c r="D19" s="2">
        <f>[3]American!$FO$19</f>
        <v>1079</v>
      </c>
      <c r="E19" s="67">
        <f t="shared" si="0"/>
        <v>6.2094531974050043E-2</v>
      </c>
      <c r="F19" s="2">
        <f>SUM([3]American!$GB$19:$GC$19)</f>
        <v>2446</v>
      </c>
      <c r="G19" s="2">
        <f>SUM([3]American!$FN$19:$FO$19)</f>
        <v>2219</v>
      </c>
      <c r="H19" s="3">
        <f t="shared" si="1"/>
        <v>0.10229833258224426</v>
      </c>
      <c r="I19" s="67">
        <f t="shared" si="2"/>
        <v>4.5375282899862722E-2</v>
      </c>
      <c r="J19" s="38"/>
      <c r="K19" s="40" t="s">
        <v>17</v>
      </c>
      <c r="L19" s="310">
        <f>[3]American!$GC$41</f>
        <v>135794</v>
      </c>
      <c r="M19" s="2">
        <f>[3]American!$FO$41</f>
        <v>135003</v>
      </c>
      <c r="N19" s="67">
        <f t="shared" si="3"/>
        <v>5.8591290563913398E-3</v>
      </c>
      <c r="O19" s="310">
        <f>SUM([3]American!$GB$41:$GC$41)</f>
        <v>280978</v>
      </c>
      <c r="P19" s="2">
        <f>SUM([3]American!$FN$41:$FO$41)</f>
        <v>272964</v>
      </c>
      <c r="Q19" s="3">
        <f t="shared" si="4"/>
        <v>2.9359182895913015E-2</v>
      </c>
      <c r="R19" s="67">
        <f t="shared" si="5"/>
        <v>5.4265789152983759E-2</v>
      </c>
    </row>
    <row r="20" spans="1:20" ht="14.1" customHeight="1" x14ac:dyDescent="0.2">
      <c r="A20" s="38"/>
      <c r="B20" s="365" t="s">
        <v>170</v>
      </c>
      <c r="C20" s="310">
        <f>'[3]American Eagle'!$GC$19</f>
        <v>56</v>
      </c>
      <c r="D20" s="2">
        <f>'[3]American Eagle'!$FO$19</f>
        <v>38</v>
      </c>
      <c r="E20" s="67">
        <f t="shared" si="0"/>
        <v>0.47368421052631576</v>
      </c>
      <c r="F20" s="2">
        <f>SUM('[3]American Eagle'!$GB$19:$GC$19)</f>
        <v>58</v>
      </c>
      <c r="G20" s="2">
        <f>SUM('[3]American Eagle'!$FN$19:$FO$19)</f>
        <v>50</v>
      </c>
      <c r="H20" s="3">
        <f t="shared" si="1"/>
        <v>0.16</v>
      </c>
      <c r="I20" s="67">
        <f t="shared" si="2"/>
        <v>1.0759470188847252E-3</v>
      </c>
      <c r="J20" s="38"/>
      <c r="K20" s="365" t="s">
        <v>170</v>
      </c>
      <c r="L20" s="310">
        <f>'[3]American Eagle'!$GC$41</f>
        <v>3916</v>
      </c>
      <c r="M20" s="2">
        <f>'[3]American Eagle'!$FO$41</f>
        <v>2182</v>
      </c>
      <c r="N20" s="67">
        <f t="shared" si="3"/>
        <v>0.79468377635197063</v>
      </c>
      <c r="O20" s="310">
        <f>SUM('[3]American Eagle'!$GB$41:$GC$41)</f>
        <v>3962</v>
      </c>
      <c r="P20" s="2">
        <f>SUM('[3]American Eagle'!$FN$41:$FO$41)</f>
        <v>2904</v>
      </c>
      <c r="Q20" s="3">
        <f t="shared" si="4"/>
        <v>0.36432506887052341</v>
      </c>
      <c r="R20" s="67">
        <f t="shared" si="5"/>
        <v>7.6518822336311618E-4</v>
      </c>
    </row>
    <row r="21" spans="1:20" ht="14.1" customHeight="1" x14ac:dyDescent="0.2">
      <c r="A21" s="38"/>
      <c r="B21" s="365" t="s">
        <v>52</v>
      </c>
      <c r="C21" s="310">
        <f>[3]Republic!$GC$19</f>
        <v>289</v>
      </c>
      <c r="D21" s="2">
        <f>[3]Republic!$FO$19</f>
        <v>379</v>
      </c>
      <c r="E21" s="67">
        <f t="shared" si="0"/>
        <v>-0.23746701846965698</v>
      </c>
      <c r="F21" s="2">
        <f>SUM([3]Republic!$GB$19:$GC$19)</f>
        <v>582</v>
      </c>
      <c r="G21" s="2">
        <f>SUM([3]Republic!$FN$19:$FO$19)</f>
        <v>756</v>
      </c>
      <c r="H21" s="3">
        <f t="shared" si="1"/>
        <v>-0.23015873015873015</v>
      </c>
      <c r="I21" s="67">
        <f t="shared" si="2"/>
        <v>1.0796571810188105E-2</v>
      </c>
      <c r="J21" s="38"/>
      <c r="K21" s="312" t="s">
        <v>52</v>
      </c>
      <c r="L21" s="310">
        <f>[3]Republic!$GC$41</f>
        <v>14121</v>
      </c>
      <c r="M21" s="2">
        <f>[3]Republic!$FO$41</f>
        <v>19784</v>
      </c>
      <c r="N21" s="67">
        <f t="shared" si="3"/>
        <v>-0.28624140719773555</v>
      </c>
      <c r="O21" s="310">
        <f>SUM([3]Republic!$GB$41:$GC$41)</f>
        <v>26868</v>
      </c>
      <c r="P21" s="2">
        <f>SUM([3]Republic!$FN$41:$FO$41)</f>
        <v>39328</v>
      </c>
      <c r="Q21" s="3">
        <f t="shared" si="4"/>
        <v>-0.31682262001627337</v>
      </c>
      <c r="R21" s="67">
        <f t="shared" si="5"/>
        <v>5.189065417799143E-3</v>
      </c>
    </row>
    <row r="22" spans="1:20" ht="14.1" customHeight="1" x14ac:dyDescent="0.2">
      <c r="A22" s="38"/>
      <c r="B22" s="365" t="s">
        <v>187</v>
      </c>
      <c r="C22" s="310">
        <f>[3]PSA!$GC$19</f>
        <v>0</v>
      </c>
      <c r="D22" s="2">
        <f>[3]PSA!$FO$19</f>
        <v>60</v>
      </c>
      <c r="E22" s="67">
        <f t="shared" si="0"/>
        <v>-1</v>
      </c>
      <c r="F22" s="2">
        <f>SUM([3]PSA!$GB$19:$GC$19)</f>
        <v>0</v>
      </c>
      <c r="G22" s="2">
        <f>SUM([3]PSA!$FN$19:$FO$19)</f>
        <v>110</v>
      </c>
      <c r="H22" s="3">
        <f t="shared" si="1"/>
        <v>-1</v>
      </c>
      <c r="I22" s="67">
        <f t="shared" si="2"/>
        <v>0</v>
      </c>
      <c r="J22" s="38"/>
      <c r="K22" s="365" t="s">
        <v>187</v>
      </c>
      <c r="L22" s="310">
        <f>[3]PSA!$GC$41</f>
        <v>0</v>
      </c>
      <c r="M22" s="2">
        <f>[3]PSA!$FO$41</f>
        <v>2492</v>
      </c>
      <c r="N22" s="67">
        <f t="shared" si="3"/>
        <v>-1</v>
      </c>
      <c r="O22" s="310">
        <f>SUM([3]PSA!$GB$41:$GC$41)</f>
        <v>0</v>
      </c>
      <c r="P22" s="2">
        <f>SUM([3]PSA!$FN$41:$FO$41)</f>
        <v>4223</v>
      </c>
      <c r="Q22" s="3">
        <f t="shared" si="4"/>
        <v>-1</v>
      </c>
      <c r="R22" s="67">
        <f t="shared" si="5"/>
        <v>0</v>
      </c>
    </row>
    <row r="23" spans="1:20" ht="14.1" customHeight="1" x14ac:dyDescent="0.2">
      <c r="A23" s="38"/>
      <c r="B23" s="365" t="s">
        <v>99</v>
      </c>
      <c r="C23" s="310">
        <f>'[3]Sky West_AA'!$GC$19</f>
        <v>0</v>
      </c>
      <c r="D23" s="2">
        <f>'[3]Sky West_AA'!$FO$19</f>
        <v>48</v>
      </c>
      <c r="E23" s="67">
        <f>(C23-D23)/D23</f>
        <v>-1</v>
      </c>
      <c r="F23" s="2">
        <f>SUM('[3]Sky West_AA'!$GB$19:$GC$19)</f>
        <v>0</v>
      </c>
      <c r="G23" s="2">
        <f>SUM('[3]Sky West_AA'!$FN$19:$FO$19)</f>
        <v>92</v>
      </c>
      <c r="H23" s="3">
        <f>(F23-G23)/G23</f>
        <v>-1</v>
      </c>
      <c r="I23" s="67">
        <f t="shared" si="2"/>
        <v>0</v>
      </c>
      <c r="J23" s="38"/>
      <c r="K23" s="365" t="s">
        <v>99</v>
      </c>
      <c r="L23" s="310">
        <f>'[3]Sky West_AA'!$GC$41</f>
        <v>0</v>
      </c>
      <c r="M23" s="2">
        <f>'[3]Sky West_AA'!$FO$41</f>
        <v>3110</v>
      </c>
      <c r="N23" s="67">
        <f>(L23-M23)/M23</f>
        <v>-1</v>
      </c>
      <c r="O23" s="310">
        <f>SUM('[3]Sky West_AA'!$GB$41:$GC$41)</f>
        <v>0</v>
      </c>
      <c r="P23" s="2">
        <f>SUM('[3]Sky West_AA'!$FN$41:$FO$41)</f>
        <v>5744</v>
      </c>
      <c r="Q23" s="3">
        <f>(O23-P23)/P23</f>
        <v>-1</v>
      </c>
      <c r="R23" s="371">
        <f t="shared" si="5"/>
        <v>0</v>
      </c>
    </row>
    <row r="24" spans="1:20" ht="14.1" customHeight="1" x14ac:dyDescent="0.2">
      <c r="A24" s="38"/>
      <c r="B24" s="365" t="s">
        <v>51</v>
      </c>
      <c r="C24" s="310">
        <f>[3]MESA!$GC$19</f>
        <v>0</v>
      </c>
      <c r="D24" s="2">
        <f>[3]MESA!$FO$19</f>
        <v>0</v>
      </c>
      <c r="E24" s="67" t="e">
        <f t="shared" si="0"/>
        <v>#DIV/0!</v>
      </c>
      <c r="F24" s="2">
        <f>SUM([3]MESA!$GB$19:$GC$19)</f>
        <v>0</v>
      </c>
      <c r="G24" s="2">
        <f>SUM([3]MESA!$FN$19:$FO$19)</f>
        <v>0</v>
      </c>
      <c r="H24" s="3" t="e">
        <f t="shared" si="1"/>
        <v>#DIV/0!</v>
      </c>
      <c r="I24" s="67">
        <f t="shared" si="2"/>
        <v>0</v>
      </c>
      <c r="J24" s="38"/>
      <c r="K24" s="365" t="s">
        <v>51</v>
      </c>
      <c r="L24" s="310">
        <f>[3]MESA!$GC$41</f>
        <v>0</v>
      </c>
      <c r="M24" s="2">
        <f>[3]MESA!$FO$41</f>
        <v>0</v>
      </c>
      <c r="N24" s="67" t="e">
        <f t="shared" si="3"/>
        <v>#DIV/0!</v>
      </c>
      <c r="O24" s="310">
        <f>SUM([3]MESA!$GB$41:$GC$41)</f>
        <v>0</v>
      </c>
      <c r="P24" s="2">
        <f>SUM([3]MESA!$FN$41:$FO$41)</f>
        <v>0</v>
      </c>
      <c r="Q24" s="3" t="e">
        <f t="shared" si="4"/>
        <v>#DIV/0!</v>
      </c>
      <c r="R24" s="67">
        <f t="shared" si="5"/>
        <v>0</v>
      </c>
    </row>
    <row r="25" spans="1:20" ht="14.1" customHeight="1" x14ac:dyDescent="0.2">
      <c r="A25" s="38"/>
      <c r="B25" s="365" t="s">
        <v>50</v>
      </c>
      <c r="C25" s="310">
        <f>'[3]Air Wisconsin'!$GC$19</f>
        <v>0</v>
      </c>
      <c r="D25" s="2">
        <f>'[3]Air Wisconsin'!$FO$19</f>
        <v>0</v>
      </c>
      <c r="E25" s="67" t="e">
        <f t="shared" si="0"/>
        <v>#DIV/0!</v>
      </c>
      <c r="F25" s="2">
        <f>SUM('[3]Air Wisconsin'!$GB$19:$GC$19)</f>
        <v>0</v>
      </c>
      <c r="G25" s="2">
        <f>SUM('[3]Air Wisconsin'!$FN$19:$FO$19)</f>
        <v>0</v>
      </c>
      <c r="H25" s="352" t="e">
        <f t="shared" si="1"/>
        <v>#DIV/0!</v>
      </c>
      <c r="I25" s="67">
        <f t="shared" si="2"/>
        <v>0</v>
      </c>
      <c r="J25" s="38"/>
      <c r="K25" s="312" t="s">
        <v>50</v>
      </c>
      <c r="L25" s="310">
        <f>'[3]Air Wisconsin'!$GC$41</f>
        <v>0</v>
      </c>
      <c r="M25" s="2">
        <f>'[3]Air Wisconsin'!$FO$41</f>
        <v>0</v>
      </c>
      <c r="N25" s="67" t="e">
        <f t="shared" si="3"/>
        <v>#DIV/0!</v>
      </c>
      <c r="O25" s="310">
        <f>SUM('[3]Air Wisconsin'!$GB$41:$GC$41)</f>
        <v>0</v>
      </c>
      <c r="P25" s="2">
        <f>SUM('[3]Air Wisconsin'!$FN$41:$FO$41)</f>
        <v>0</v>
      </c>
      <c r="Q25" s="3" t="e">
        <f t="shared" si="4"/>
        <v>#DIV/0!</v>
      </c>
      <c r="R25" s="67">
        <f t="shared" si="5"/>
        <v>0</v>
      </c>
    </row>
    <row r="26" spans="1:20" ht="14.1" customHeight="1" x14ac:dyDescent="0.2">
      <c r="A26" s="38"/>
      <c r="B26" s="40"/>
      <c r="C26" s="310"/>
      <c r="E26" s="67"/>
      <c r="F26" s="2"/>
      <c r="I26" s="67"/>
      <c r="J26" s="38"/>
      <c r="K26" s="40"/>
      <c r="L26" s="310"/>
      <c r="N26" s="67"/>
      <c r="O26" s="310"/>
      <c r="P26" s="2"/>
      <c r="Q26" s="3"/>
      <c r="R26" s="67"/>
      <c r="T26" s="2"/>
    </row>
    <row r="27" spans="1:20" ht="14.1" customHeight="1" x14ac:dyDescent="0.2">
      <c r="A27" s="306" t="s">
        <v>184</v>
      </c>
      <c r="B27" s="40"/>
      <c r="C27" s="307">
        <f>'[3]Boutique Air'!$GC$19</f>
        <v>120</v>
      </c>
      <c r="D27" s="150">
        <f>'[3]Boutique Air'!$FO$19</f>
        <v>138</v>
      </c>
      <c r="E27" s="309">
        <f>(C27-D27)/D27</f>
        <v>-0.13043478260869565</v>
      </c>
      <c r="F27" s="150">
        <f>SUM('[3]Boutique Air'!$GB$19:$GC$19)</f>
        <v>264</v>
      </c>
      <c r="G27" s="150">
        <f>SUM('[3]Boutique Air'!$FN$19:$FO$19)</f>
        <v>296</v>
      </c>
      <c r="H27" s="308">
        <f>(F27-G27)/G27</f>
        <v>-0.10810810810810811</v>
      </c>
      <c r="I27" s="309">
        <f>F27/$F$67</f>
        <v>4.8974140169925429E-3</v>
      </c>
      <c r="J27" s="306" t="s">
        <v>184</v>
      </c>
      <c r="K27" s="40"/>
      <c r="L27" s="307">
        <f>'[3]Boutique Air'!$GC$41</f>
        <v>465</v>
      </c>
      <c r="M27" s="150">
        <f>'[3]Boutique Air'!$FO$41</f>
        <v>682</v>
      </c>
      <c r="N27" s="309">
        <f>(L27-M27)/M27</f>
        <v>-0.31818181818181818</v>
      </c>
      <c r="O27" s="307">
        <f>SUM('[3]Boutique Air'!$GB$41:$GC$41)</f>
        <v>1068</v>
      </c>
      <c r="P27" s="150">
        <f>SUM('[3]Boutique Air'!$FN$41:$FO$41)</f>
        <v>1484</v>
      </c>
      <c r="Q27" s="308">
        <f>(O27-P27)/P27</f>
        <v>-0.28032345013477089</v>
      </c>
      <c r="R27" s="309">
        <f>O27/$O$67</f>
        <v>2.0626477096209189E-4</v>
      </c>
      <c r="T27" s="2"/>
    </row>
    <row r="28" spans="1:20" ht="14.1" customHeight="1" x14ac:dyDescent="0.2">
      <c r="A28" s="38"/>
      <c r="B28" s="40"/>
      <c r="C28" s="310"/>
      <c r="E28" s="67"/>
      <c r="F28" s="2"/>
      <c r="I28" s="67"/>
      <c r="J28" s="38"/>
      <c r="K28" s="40"/>
      <c r="L28" s="310"/>
      <c r="N28" s="67"/>
      <c r="O28" s="310"/>
      <c r="P28" s="2"/>
      <c r="Q28" s="3"/>
      <c r="R28" s="67"/>
      <c r="T28" s="2"/>
    </row>
    <row r="29" spans="1:20" ht="14.1" customHeight="1" x14ac:dyDescent="0.2">
      <c r="A29" s="306" t="s">
        <v>166</v>
      </c>
      <c r="B29" s="40"/>
      <c r="C29" s="307">
        <f>[3]Condor!$GC$19</f>
        <v>0</v>
      </c>
      <c r="D29" s="150">
        <f>[3]Condor!$FO$19</f>
        <v>0</v>
      </c>
      <c r="E29" s="309" t="e">
        <f>(C29-D29)/D29</f>
        <v>#DIV/0!</v>
      </c>
      <c r="F29" s="150">
        <f>SUM([3]Condor!$GB$19:$GC$19)</f>
        <v>0</v>
      </c>
      <c r="G29" s="150">
        <f>SUM([3]Condor!$FN$19:$FO$19)</f>
        <v>0</v>
      </c>
      <c r="H29" s="308" t="e">
        <f>(F29-G29)/G29</f>
        <v>#DIV/0!</v>
      </c>
      <c r="I29" s="309">
        <f>F29/$F$67</f>
        <v>0</v>
      </c>
      <c r="J29" s="306" t="s">
        <v>166</v>
      </c>
      <c r="K29" s="40"/>
      <c r="L29" s="307">
        <f>[3]Condor!$GC$41</f>
        <v>0</v>
      </c>
      <c r="M29" s="150">
        <f>[3]Condor!$FO$41</f>
        <v>0</v>
      </c>
      <c r="N29" s="309" t="e">
        <f>(L29-M29)/M29</f>
        <v>#DIV/0!</v>
      </c>
      <c r="O29" s="307">
        <f>SUM([3]Condor!$GB$41:$GC$41)</f>
        <v>0</v>
      </c>
      <c r="P29" s="150">
        <f>SUM([3]Condor!$FN$41:$FO$41)</f>
        <v>0</v>
      </c>
      <c r="Q29" s="308" t="e">
        <f>(O29-P29)/P29</f>
        <v>#DIV/0!</v>
      </c>
      <c r="R29" s="309">
        <f>O29/$O$67</f>
        <v>0</v>
      </c>
      <c r="T29" s="2"/>
    </row>
    <row r="30" spans="1:20" ht="14.1" customHeight="1" x14ac:dyDescent="0.2">
      <c r="A30" s="38"/>
      <c r="B30" s="40"/>
      <c r="C30" s="310"/>
      <c r="E30" s="67"/>
      <c r="F30" s="2"/>
      <c r="I30" s="67"/>
      <c r="J30" s="38"/>
      <c r="K30" s="40"/>
      <c r="L30" s="310"/>
      <c r="N30" s="67"/>
      <c r="O30" s="310"/>
      <c r="P30" s="2"/>
      <c r="Q30" s="3"/>
      <c r="R30" s="67"/>
      <c r="T30" s="2"/>
    </row>
    <row r="31" spans="1:20" ht="14.1" customHeight="1" x14ac:dyDescent="0.2">
      <c r="A31" s="306" t="s">
        <v>18</v>
      </c>
      <c r="B31" s="311"/>
      <c r="C31" s="307">
        <f>SUM(C32:C38)</f>
        <v>18434</v>
      </c>
      <c r="D31" s="150">
        <f>SUM(D32:D38)</f>
        <v>19123</v>
      </c>
      <c r="E31" s="309">
        <f t="shared" ref="E31:E38" si="6">(C31-D31)/D31</f>
        <v>-3.6029911624745073E-2</v>
      </c>
      <c r="F31" s="165">
        <f>SUM(F32:F38)</f>
        <v>39194</v>
      </c>
      <c r="G31" s="165">
        <f>SUM(G32:G38)</f>
        <v>39102</v>
      </c>
      <c r="H31" s="308">
        <f>(F31-G31)/G31</f>
        <v>2.3528208275791522E-3</v>
      </c>
      <c r="I31" s="309">
        <f t="shared" ref="I31:I38" si="7">F31/$F$67</f>
        <v>0.72708047341668836</v>
      </c>
      <c r="J31" s="306" t="s">
        <v>18</v>
      </c>
      <c r="K31" s="311"/>
      <c r="L31" s="307">
        <f>SUM(L32:L38)</f>
        <v>1741049</v>
      </c>
      <c r="M31" s="150">
        <f>SUM(M32:M38)</f>
        <v>1801746</v>
      </c>
      <c r="N31" s="309">
        <f t="shared" ref="N31:N38" si="8">(L31-M31)/M31</f>
        <v>-3.3687878313591373E-2</v>
      </c>
      <c r="O31" s="307">
        <f>SUM(O32:O38)</f>
        <v>3602884</v>
      </c>
      <c r="P31" s="150">
        <f>SUM(P32:P38)</f>
        <v>3595963</v>
      </c>
      <c r="Q31" s="308">
        <f t="shared" ref="Q31:Q38" si="9">(O31-P31)/P31</f>
        <v>1.924658290421787E-3</v>
      </c>
      <c r="R31" s="309">
        <f t="shared" ref="R31:R38" si="10">O31/$O$67</f>
        <v>0.69583150099530477</v>
      </c>
      <c r="S31" s="353"/>
    </row>
    <row r="32" spans="1:20" ht="14.1" customHeight="1" x14ac:dyDescent="0.2">
      <c r="A32" s="38"/>
      <c r="B32" s="40" t="s">
        <v>18</v>
      </c>
      <c r="C32" s="310">
        <f>[3]Delta!$GC$19</f>
        <v>10141</v>
      </c>
      <c r="D32" s="2">
        <f>[3]Delta!$FO$19</f>
        <v>9841</v>
      </c>
      <c r="E32" s="67">
        <f t="shared" si="6"/>
        <v>3.04847068387359E-2</v>
      </c>
      <c r="F32" s="2">
        <f>SUM([3]Delta!$GB$19:$GC$19)</f>
        <v>21149</v>
      </c>
      <c r="G32" s="2">
        <f>SUM([3]Delta!$FN$19:$FO$19)</f>
        <v>20304</v>
      </c>
      <c r="H32" s="3">
        <f t="shared" ref="H32:H38" si="11">(F32-G32)/G32</f>
        <v>4.1617415287628051E-2</v>
      </c>
      <c r="I32" s="67">
        <f t="shared" si="7"/>
        <v>0.39233109486884576</v>
      </c>
      <c r="J32" s="38"/>
      <c r="K32" s="40" t="s">
        <v>18</v>
      </c>
      <c r="L32" s="310">
        <f>[3]Delta!$GC$41</f>
        <v>1323629</v>
      </c>
      <c r="M32" s="2">
        <f>[3]Delta!$FO$41</f>
        <v>1334585</v>
      </c>
      <c r="N32" s="67">
        <f t="shared" si="8"/>
        <v>-8.2092935257027464E-3</v>
      </c>
      <c r="O32" s="310">
        <f>SUM([3]Delta!$GB$41:$GC$41)</f>
        <v>2721784</v>
      </c>
      <c r="P32" s="2">
        <f>SUM([3]Delta!$FN$41:$FO$41)</f>
        <v>2682860</v>
      </c>
      <c r="Q32" s="3">
        <f t="shared" si="9"/>
        <v>1.4508397754634979E-2</v>
      </c>
      <c r="R32" s="67">
        <f t="shared" si="10"/>
        <v>0.525663064951579</v>
      </c>
      <c r="T32" s="2"/>
    </row>
    <row r="33" spans="1:21" ht="14.1" customHeight="1" x14ac:dyDescent="0.2">
      <c r="A33" s="38"/>
      <c r="B33" s="312" t="s">
        <v>119</v>
      </c>
      <c r="C33" s="310">
        <f>[3]Compass!$GC$19</f>
        <v>0</v>
      </c>
      <c r="D33" s="2">
        <f>[3]Compass!$FO$19</f>
        <v>2</v>
      </c>
      <c r="E33" s="67">
        <f t="shared" si="6"/>
        <v>-1</v>
      </c>
      <c r="F33" s="2">
        <f>SUM([3]Compass!$GB$19:$GC$19)</f>
        <v>0</v>
      </c>
      <c r="G33" s="2">
        <f>SUM([3]Compass!$FN$19:$FO$19)</f>
        <v>2</v>
      </c>
      <c r="H33" s="3">
        <f t="shared" si="11"/>
        <v>-1</v>
      </c>
      <c r="I33" s="67">
        <f t="shared" si="7"/>
        <v>0</v>
      </c>
      <c r="J33" s="38"/>
      <c r="K33" s="312" t="s">
        <v>119</v>
      </c>
      <c r="L33" s="310">
        <f>[3]Compass!$GC$41</f>
        <v>0</v>
      </c>
      <c r="M33" s="2">
        <f>[3]Compass!$FO$41</f>
        <v>0</v>
      </c>
      <c r="N33" s="67" t="e">
        <f t="shared" si="8"/>
        <v>#DIV/0!</v>
      </c>
      <c r="O33" s="310">
        <f>SUM([3]Compass!$GB$41:$GC$41)</f>
        <v>0</v>
      </c>
      <c r="P33" s="2">
        <f>SUM([3]Compass!$FN$41:$FO$41)</f>
        <v>0</v>
      </c>
      <c r="Q33" s="3" t="e">
        <f t="shared" si="9"/>
        <v>#DIV/0!</v>
      </c>
      <c r="R33" s="67">
        <f t="shared" si="10"/>
        <v>0</v>
      </c>
      <c r="S33" s="2"/>
      <c r="T33" s="2"/>
    </row>
    <row r="34" spans="1:21" ht="14.1" customHeight="1" x14ac:dyDescent="0.2">
      <c r="A34" s="38"/>
      <c r="B34" s="40" t="s">
        <v>162</v>
      </c>
      <c r="C34" s="310">
        <f>[3]Pinnacle!$GC$19</f>
        <v>1634</v>
      </c>
      <c r="D34" s="2">
        <f>[3]Pinnacle!$FO$19</f>
        <v>2030</v>
      </c>
      <c r="E34" s="67">
        <f t="shared" si="6"/>
        <v>-0.19507389162561575</v>
      </c>
      <c r="F34" s="2">
        <f>SUM([3]Pinnacle!$GB$19:$GC$19)</f>
        <v>3734</v>
      </c>
      <c r="G34" s="2">
        <f>SUM([3]Pinnacle!$FN$19:$FO$19)</f>
        <v>4186</v>
      </c>
      <c r="H34" s="3">
        <f t="shared" si="11"/>
        <v>-0.10797897754419493</v>
      </c>
      <c r="I34" s="67">
        <f t="shared" si="7"/>
        <v>6.9268727043371794E-2</v>
      </c>
      <c r="J34" s="38"/>
      <c r="K34" s="40" t="s">
        <v>162</v>
      </c>
      <c r="L34" s="310">
        <f>[3]Pinnacle!$GC$41</f>
        <v>109948</v>
      </c>
      <c r="M34" s="2">
        <f>[3]Pinnacle!$FO$41</f>
        <v>112882</v>
      </c>
      <c r="N34" s="67">
        <f t="shared" si="8"/>
        <v>-2.5991743590652185E-2</v>
      </c>
      <c r="O34" s="310">
        <f>SUM([3]Pinnacle!$GB$41:$GC$41)</f>
        <v>224911</v>
      </c>
      <c r="P34" s="2">
        <f>SUM([3]Pinnacle!$FN$41:$FO$41)</f>
        <v>227147</v>
      </c>
      <c r="Q34" s="3">
        <f t="shared" si="9"/>
        <v>-9.8438456153944354E-3</v>
      </c>
      <c r="R34" s="67">
        <f t="shared" si="10"/>
        <v>4.3437468072897986E-2</v>
      </c>
    </row>
    <row r="35" spans="1:21" ht="14.1" customHeight="1" x14ac:dyDescent="0.2">
      <c r="A35" s="38"/>
      <c r="B35" s="40" t="s">
        <v>158</v>
      </c>
      <c r="C35" s="310">
        <f>'[3]Go Jet'!$GC$19</f>
        <v>186</v>
      </c>
      <c r="D35" s="2">
        <f>'[3]Go Jet'!$FO$19</f>
        <v>578</v>
      </c>
      <c r="E35" s="67">
        <f t="shared" si="6"/>
        <v>-0.67820069204152245</v>
      </c>
      <c r="F35" s="2">
        <f>SUM('[3]Go Jet'!$GB$19:$GC$19)</f>
        <v>475</v>
      </c>
      <c r="G35" s="2">
        <f>SUM('[3]Go Jet'!$FN$19:$FO$19)</f>
        <v>1180</v>
      </c>
      <c r="H35" s="3">
        <f>(F35-G35)/G35</f>
        <v>-0.59745762711864403</v>
      </c>
      <c r="I35" s="67">
        <f t="shared" si="7"/>
        <v>8.8116350684524919E-3</v>
      </c>
      <c r="J35" s="38"/>
      <c r="K35" s="40" t="s">
        <v>158</v>
      </c>
      <c r="L35" s="310">
        <f>'[3]Go Jet'!$GC$41</f>
        <v>10529</v>
      </c>
      <c r="M35" s="2">
        <f>'[3]Go Jet'!$FO$41</f>
        <v>32413</v>
      </c>
      <c r="N35" s="67">
        <f t="shared" si="8"/>
        <v>-0.67516120075278441</v>
      </c>
      <c r="O35" s="310">
        <f>SUM('[3]Go Jet'!$GB$41:$GC$41)</f>
        <v>26464</v>
      </c>
      <c r="P35" s="2">
        <f>SUM('[3]Go Jet'!$FN$41:$FO$41)</f>
        <v>65296</v>
      </c>
      <c r="Q35" s="3">
        <f>(O35-P35)/P35</f>
        <v>-0.59470717961284003</v>
      </c>
      <c r="R35" s="67">
        <f t="shared" si="10"/>
        <v>5.1110401673603E-3</v>
      </c>
      <c r="S35" s="285"/>
      <c r="T35" s="193"/>
    </row>
    <row r="36" spans="1:21" ht="14.1" customHeight="1" x14ac:dyDescent="0.2">
      <c r="A36" s="38"/>
      <c r="B36" s="40" t="s">
        <v>99</v>
      </c>
      <c r="C36" s="310">
        <f>'[3]Sky West'!$GC$19</f>
        <v>6329</v>
      </c>
      <c r="D36" s="2">
        <f>'[3]Sky West'!$FO$19</f>
        <v>6406</v>
      </c>
      <c r="E36" s="67">
        <f t="shared" si="6"/>
        <v>-1.2019981267561661E-2</v>
      </c>
      <c r="F36" s="2">
        <f>SUM('[3]Sky West'!$GB$19:$GC$19)</f>
        <v>13522</v>
      </c>
      <c r="G36" s="2">
        <f>SUM('[3]Sky West'!$FN$19:$FO$19)</f>
        <v>12922</v>
      </c>
      <c r="H36" s="3">
        <f t="shared" si="11"/>
        <v>4.6432440798637981E-2</v>
      </c>
      <c r="I36" s="67">
        <f t="shared" si="7"/>
        <v>0.2508440618855044</v>
      </c>
      <c r="J36" s="38"/>
      <c r="K36" s="40" t="s">
        <v>99</v>
      </c>
      <c r="L36" s="310">
        <f>'[3]Sky West'!$GC$41</f>
        <v>289416</v>
      </c>
      <c r="M36" s="2">
        <f>'[3]Sky West'!$FO$41</f>
        <v>307779</v>
      </c>
      <c r="N36" s="67">
        <f t="shared" si="8"/>
        <v>-5.9662939966664393E-2</v>
      </c>
      <c r="O36" s="310">
        <f>SUM('[3]Sky West'!$GB$41:$GC$41)</f>
        <v>613519</v>
      </c>
      <c r="P36" s="2">
        <f>SUM('[3]Sky West'!$FN$41:$FO$41)</f>
        <v>594371</v>
      </c>
      <c r="Q36" s="3">
        <f t="shared" si="9"/>
        <v>3.2215569063766568E-2</v>
      </c>
      <c r="R36" s="67">
        <f t="shared" si="10"/>
        <v>0.118490033722745</v>
      </c>
    </row>
    <row r="37" spans="1:21" ht="14.1" customHeight="1" x14ac:dyDescent="0.2">
      <c r="A37" s="38"/>
      <c r="B37" s="40" t="s">
        <v>133</v>
      </c>
      <c r="C37" s="310">
        <f>'[3]Shuttle America_Delta'!$GC$19</f>
        <v>144</v>
      </c>
      <c r="D37" s="2">
        <f>'[3]Shuttle America_Delta'!$FO$19</f>
        <v>40</v>
      </c>
      <c r="E37" s="67">
        <f t="shared" si="6"/>
        <v>2.6</v>
      </c>
      <c r="F37" s="2">
        <f>SUM('[3]Shuttle America_Delta'!$GB$19:$GC$19)</f>
        <v>314</v>
      </c>
      <c r="G37" s="2">
        <f>SUM('[3]Shuttle America_Delta'!$FN$19:$FO$19)</f>
        <v>70</v>
      </c>
      <c r="H37" s="3">
        <f t="shared" si="11"/>
        <v>3.4857142857142858</v>
      </c>
      <c r="I37" s="67">
        <f t="shared" si="7"/>
        <v>5.8249545505138578E-3</v>
      </c>
      <c r="J37" s="38"/>
      <c r="K37" s="40" t="s">
        <v>133</v>
      </c>
      <c r="L37" s="310">
        <f>'[3]Shuttle America_Delta'!$GC$41</f>
        <v>7527</v>
      </c>
      <c r="M37" s="2">
        <f>'[3]Shuttle America_Delta'!$FO$41</f>
        <v>2390</v>
      </c>
      <c r="N37" s="67">
        <f t="shared" si="8"/>
        <v>2.1493723849372386</v>
      </c>
      <c r="O37" s="310">
        <f>SUM('[3]Shuttle America_Delta'!$GB$41:$GC$41)</f>
        <v>16206</v>
      </c>
      <c r="P37" s="2">
        <f>SUM('[3]Shuttle America_Delta'!$FN$41:$FO$41)</f>
        <v>4205</v>
      </c>
      <c r="Q37" s="3">
        <f t="shared" si="9"/>
        <v>2.8539833531510106</v>
      </c>
      <c r="R37" s="67">
        <f t="shared" si="10"/>
        <v>3.1298940807225292E-3</v>
      </c>
    </row>
    <row r="38" spans="1:21" ht="14.1" customHeight="1" x14ac:dyDescent="0.2">
      <c r="A38" s="38"/>
      <c r="B38" s="365" t="s">
        <v>171</v>
      </c>
      <c r="C38" s="310">
        <f>'[3]Atlantic Southeast'!$GC$19</f>
        <v>0</v>
      </c>
      <c r="D38" s="2">
        <f>'[3]Atlantic Southeast'!$FO$19</f>
        <v>226</v>
      </c>
      <c r="E38" s="67">
        <f t="shared" si="6"/>
        <v>-1</v>
      </c>
      <c r="F38" s="2">
        <f>SUM('[3]Atlantic Southeast'!$GB$19:$GC$19)</f>
        <v>0</v>
      </c>
      <c r="G38" s="2">
        <f>SUM('[3]Atlantic Southeast'!$FN$19:$FO$19)</f>
        <v>438</v>
      </c>
      <c r="H38" s="3">
        <f t="shared" si="11"/>
        <v>-1</v>
      </c>
      <c r="I38" s="67">
        <f t="shared" si="7"/>
        <v>0</v>
      </c>
      <c r="J38" s="38"/>
      <c r="K38" s="365" t="s">
        <v>171</v>
      </c>
      <c r="L38" s="310">
        <f>'[3]Atlantic Southeast'!$GC$41</f>
        <v>0</v>
      </c>
      <c r="M38" s="2">
        <f>'[3]Atlantic Southeast'!$FO$41</f>
        <v>11697</v>
      </c>
      <c r="N38" s="67">
        <f t="shared" si="8"/>
        <v>-1</v>
      </c>
      <c r="O38" s="310">
        <f>SUM('[3]Atlantic Southeast'!$GB$41:$GC$41)</f>
        <v>0</v>
      </c>
      <c r="P38" s="2">
        <f>SUM('[3]Atlantic Southeast'!$FN$41:$FO$41)</f>
        <v>22084</v>
      </c>
      <c r="Q38" s="3">
        <f t="shared" si="9"/>
        <v>-1</v>
      </c>
      <c r="R38" s="67">
        <f t="shared" si="10"/>
        <v>0</v>
      </c>
      <c r="S38" s="284"/>
    </row>
    <row r="39" spans="1:21" ht="14.1" customHeight="1" x14ac:dyDescent="0.2">
      <c r="A39" s="38"/>
      <c r="B39" s="365"/>
      <c r="C39" s="310"/>
      <c r="E39" s="67"/>
      <c r="F39" s="2"/>
      <c r="I39" s="67"/>
      <c r="J39" s="38"/>
      <c r="K39" s="365"/>
      <c r="L39" s="310"/>
      <c r="N39" s="67"/>
      <c r="O39" s="310"/>
      <c r="P39" s="2"/>
      <c r="Q39" s="3"/>
      <c r="R39" s="67"/>
      <c r="S39" s="284"/>
    </row>
    <row r="40" spans="1:21" ht="14.1" customHeight="1" x14ac:dyDescent="0.2">
      <c r="A40" s="306" t="s">
        <v>47</v>
      </c>
      <c r="B40" s="40"/>
      <c r="C40" s="307">
        <f>[3]Frontier!$GC$19</f>
        <v>187</v>
      </c>
      <c r="D40" s="150">
        <f>[3]Frontier!$FO$19</f>
        <v>222</v>
      </c>
      <c r="E40" s="309">
        <f>(C40-D40)/D40</f>
        <v>-0.15765765765765766</v>
      </c>
      <c r="F40" s="150">
        <f>SUM([3]Frontier!$GB$19:$GC$19)</f>
        <v>399</v>
      </c>
      <c r="G40" s="150">
        <f>SUM([3]Frontier!$FN$19:$FO$19)</f>
        <v>470</v>
      </c>
      <c r="H40" s="308">
        <f>(F40-G40)/G40</f>
        <v>-0.15106382978723404</v>
      </c>
      <c r="I40" s="309">
        <f>F40/$F$67</f>
        <v>7.4017734575000929E-3</v>
      </c>
      <c r="J40" s="306" t="s">
        <v>47</v>
      </c>
      <c r="K40" s="40"/>
      <c r="L40" s="307">
        <f>[3]Frontier!$GC$41</f>
        <v>32595</v>
      </c>
      <c r="M40" s="150">
        <f>[3]Frontier!$FO$41</f>
        <v>35163</v>
      </c>
      <c r="N40" s="309">
        <f>(L40-M40)/M40</f>
        <v>-7.30313113215596E-2</v>
      </c>
      <c r="O40" s="307">
        <f>SUM([3]Frontier!$GB$41:$GC$41)</f>
        <v>67265</v>
      </c>
      <c r="P40" s="150">
        <f>SUM([3]Frontier!$FN$41:$FO$41)</f>
        <v>73482</v>
      </c>
      <c r="Q40" s="308">
        <f>(O40-P40)/P40</f>
        <v>-8.4605753790043814E-2</v>
      </c>
      <c r="R40" s="309">
        <f>O40/$O$67</f>
        <v>1.2991011066259467E-2</v>
      </c>
      <c r="S40" s="399"/>
      <c r="U40" s="2"/>
    </row>
    <row r="41" spans="1:21" ht="14.1" customHeight="1" x14ac:dyDescent="0.2">
      <c r="A41" s="306"/>
      <c r="B41" s="40"/>
      <c r="C41" s="307"/>
      <c r="D41" s="150"/>
      <c r="E41" s="309"/>
      <c r="F41" s="150"/>
      <c r="G41" s="150"/>
      <c r="H41" s="308"/>
      <c r="I41" s="309"/>
      <c r="J41" s="306"/>
      <c r="K41" s="40"/>
      <c r="L41" s="310"/>
      <c r="N41" s="67"/>
      <c r="O41" s="310"/>
      <c r="P41" s="2"/>
      <c r="Q41" s="3"/>
      <c r="R41" s="67"/>
      <c r="S41" s="399"/>
    </row>
    <row r="42" spans="1:21" ht="14.1" customHeight="1" x14ac:dyDescent="0.2">
      <c r="A42" s="306" t="s">
        <v>48</v>
      </c>
      <c r="B42" s="40"/>
      <c r="C42" s="307">
        <f>[3]Icelandair!$GC$19</f>
        <v>0</v>
      </c>
      <c r="D42" s="150">
        <f>[3]Icelandair!$FO$19</f>
        <v>0</v>
      </c>
      <c r="E42" s="309" t="e">
        <f>(C42-D42)/D42</f>
        <v>#DIV/0!</v>
      </c>
      <c r="F42" s="150">
        <f>SUM([3]Icelandair!$GB$19:$GC$19)</f>
        <v>8</v>
      </c>
      <c r="G42" s="150">
        <f>SUM([3]Icelandair!$FN$19:$FO$19)</f>
        <v>10</v>
      </c>
      <c r="H42" s="308">
        <f>(F42-G42)/G42</f>
        <v>-0.2</v>
      </c>
      <c r="I42" s="309">
        <f>F42/$F$67</f>
        <v>1.4840648536341039E-4</v>
      </c>
      <c r="J42" s="306" t="s">
        <v>48</v>
      </c>
      <c r="K42" s="40"/>
      <c r="L42" s="307">
        <f>[3]Icelandair!$GC$41</f>
        <v>0</v>
      </c>
      <c r="M42" s="150">
        <f>[3]Icelandair!$FO$41</f>
        <v>0</v>
      </c>
      <c r="N42" s="309" t="e">
        <f>(L42-M42)/M42</f>
        <v>#DIV/0!</v>
      </c>
      <c r="O42" s="307">
        <f>SUM([3]Icelandair!$GB$41:$GC$41)</f>
        <v>1100</v>
      </c>
      <c r="P42" s="150">
        <f>SUM([3]Icelandair!$FN$41:$FO$41)</f>
        <v>1523</v>
      </c>
      <c r="Q42" s="308">
        <f>(O42-P42)/P42</f>
        <v>-0.27774130006565989</v>
      </c>
      <c r="R42" s="309">
        <f>O42/$O$67</f>
        <v>2.1244498881863396E-4</v>
      </c>
    </row>
    <row r="43" spans="1:21" ht="14.1" customHeight="1" x14ac:dyDescent="0.2">
      <c r="A43" s="306"/>
      <c r="B43" s="40"/>
      <c r="C43" s="307"/>
      <c r="D43" s="150"/>
      <c r="E43" s="309"/>
      <c r="F43" s="150"/>
      <c r="G43" s="150"/>
      <c r="H43" s="308"/>
      <c r="I43" s="309"/>
      <c r="J43" s="306"/>
      <c r="K43" s="40"/>
      <c r="L43" s="310"/>
      <c r="N43" s="67"/>
      <c r="O43" s="310"/>
      <c r="P43" s="2"/>
      <c r="Q43" s="3"/>
      <c r="R43" s="67"/>
    </row>
    <row r="44" spans="1:21" ht="14.1" customHeight="1" x14ac:dyDescent="0.2">
      <c r="A44" s="306" t="s">
        <v>216</v>
      </c>
      <c r="B44" s="40"/>
      <c r="C44" s="307">
        <f>'[3]Jet Blue'!$GC$19</f>
        <v>140</v>
      </c>
      <c r="D44" s="150">
        <f>'[3]Jet Blue'!$FO$19</f>
        <v>0</v>
      </c>
      <c r="E44" s="309" t="e">
        <f>(C44-D44)/D44</f>
        <v>#DIV/0!</v>
      </c>
      <c r="F44" s="150">
        <f>SUM('[3]Jet Blue'!$GB$19:$GC$19)</f>
        <v>312</v>
      </c>
      <c r="G44" s="150">
        <f>SUM('[3]Jet Blue'!$FN$19:$FO$19)</f>
        <v>0</v>
      </c>
      <c r="H44" s="308" t="e">
        <f>(F44-G44)/G44</f>
        <v>#DIV/0!</v>
      </c>
      <c r="I44" s="309">
        <f>F44/$F$67</f>
        <v>5.7878529291730046E-3</v>
      </c>
      <c r="J44" s="306" t="s">
        <v>216</v>
      </c>
      <c r="K44" s="40"/>
      <c r="L44" s="307">
        <f>'[3]Jet Blue'!$GC$41</f>
        <v>13082</v>
      </c>
      <c r="M44" s="150">
        <f>'[3]Jet Blue'!$FO$41</f>
        <v>0</v>
      </c>
      <c r="N44" s="309" t="e">
        <f>(L44-M44)/M44</f>
        <v>#DIV/0!</v>
      </c>
      <c r="O44" s="307">
        <f>SUM('[3]Jet Blue'!$GB$41:$GC$41)</f>
        <v>27308</v>
      </c>
      <c r="P44" s="150">
        <f>SUM('[3]Jet Blue'!$FN$41:$FO$41)</f>
        <v>0</v>
      </c>
      <c r="Q44" s="308" t="e">
        <f>(O44-P44)/P44</f>
        <v>#DIV/0!</v>
      </c>
      <c r="R44" s="309">
        <f>O44/$O$67</f>
        <v>5.2740434133265969E-3</v>
      </c>
    </row>
    <row r="45" spans="1:21" ht="14.1" customHeight="1" x14ac:dyDescent="0.2">
      <c r="A45" s="306"/>
      <c r="B45" s="40"/>
      <c r="C45" s="307"/>
      <c r="D45" s="150"/>
      <c r="E45" s="309"/>
      <c r="F45" s="150"/>
      <c r="G45" s="150"/>
      <c r="H45" s="308"/>
      <c r="I45" s="309"/>
      <c r="J45" s="306"/>
      <c r="K45" s="40"/>
      <c r="L45" s="310"/>
      <c r="N45" s="67"/>
      <c r="O45" s="310"/>
      <c r="P45" s="2"/>
      <c r="Q45" s="3"/>
      <c r="R45" s="67"/>
    </row>
    <row r="46" spans="1:21" ht="14.1" customHeight="1" x14ac:dyDescent="0.2">
      <c r="A46" s="306" t="s">
        <v>201</v>
      </c>
      <c r="B46" s="40"/>
      <c r="C46" s="307">
        <f>[3]KLM!$GC$19</f>
        <v>28</v>
      </c>
      <c r="D46" s="150">
        <f>[3]KLM!$FO$19</f>
        <v>24</v>
      </c>
      <c r="E46" s="309">
        <f>(C46-D46)/D46</f>
        <v>0.16666666666666666</v>
      </c>
      <c r="F46" s="150">
        <f>SUM([3]KLM!$GB$19:$GC$19)</f>
        <v>62</v>
      </c>
      <c r="G46" s="150">
        <f>SUM([3]KLM!$FN$19:$FO$19)</f>
        <v>52</v>
      </c>
      <c r="H46" s="308">
        <f>(F46-G46)/G46</f>
        <v>0.19230769230769232</v>
      </c>
      <c r="I46" s="309">
        <f>F46/$F$67</f>
        <v>1.1501502615664304E-3</v>
      </c>
      <c r="J46" s="306" t="s">
        <v>201</v>
      </c>
      <c r="K46" s="40"/>
      <c r="L46" s="307">
        <f>[3]KLM!$GC$41</f>
        <v>5486</v>
      </c>
      <c r="M46" s="150">
        <f>[3]KLM!$FO$41</f>
        <v>4084</v>
      </c>
      <c r="N46" s="309">
        <f>(L46-M46)/M46</f>
        <v>0.34329089128305584</v>
      </c>
      <c r="O46" s="307">
        <f>SUM([3]KLM!$GB$41:$GC$41)</f>
        <v>12851</v>
      </c>
      <c r="P46" s="150">
        <f>SUM([3]KLM!$FN$41:$FO$41)</f>
        <v>10063</v>
      </c>
      <c r="Q46" s="308">
        <f>(O46-P46)/P46</f>
        <v>0.27705455629533937</v>
      </c>
      <c r="R46" s="309">
        <f>O46/$O$67</f>
        <v>2.4819368648256956E-3</v>
      </c>
    </row>
    <row r="47" spans="1:21" ht="14.1" customHeight="1" x14ac:dyDescent="0.2">
      <c r="A47" s="306"/>
      <c r="B47" s="40"/>
      <c r="C47" s="307"/>
      <c r="D47" s="150"/>
      <c r="E47" s="309"/>
      <c r="F47" s="150"/>
      <c r="G47" s="150"/>
      <c r="H47" s="308"/>
      <c r="I47" s="309"/>
      <c r="J47" s="306"/>
      <c r="K47" s="40"/>
      <c r="L47" s="310"/>
      <c r="N47" s="67"/>
      <c r="O47" s="310"/>
      <c r="P47" s="2"/>
      <c r="Q47" s="3"/>
      <c r="R47" s="67"/>
    </row>
    <row r="48" spans="1:21" ht="14.1" customHeight="1" x14ac:dyDescent="0.2">
      <c r="A48" s="306" t="s">
        <v>131</v>
      </c>
      <c r="B48" s="40"/>
      <c r="C48" s="307">
        <f>SUM(C49:C49)</f>
        <v>1155</v>
      </c>
      <c r="D48" s="150">
        <f>SUM(D49:D49)</f>
        <v>1167</v>
      </c>
      <c r="E48" s="309">
        <f>(C48-D48)/D48</f>
        <v>-1.0282776349614395E-2</v>
      </c>
      <c r="F48" s="307">
        <f>SUM(F49:F49)</f>
        <v>2399</v>
      </c>
      <c r="G48" s="150">
        <f>SUM(G49:G49)</f>
        <v>2421</v>
      </c>
      <c r="H48" s="308">
        <f>(F48-G48)/G48</f>
        <v>-9.0871540685667079E-3</v>
      </c>
      <c r="I48" s="309">
        <f>F48/$F$67</f>
        <v>4.4503394798352691E-2</v>
      </c>
      <c r="J48" s="306" t="s">
        <v>131</v>
      </c>
      <c r="K48" s="40"/>
      <c r="L48" s="307">
        <f>SUM(L49:L49)</f>
        <v>131757</v>
      </c>
      <c r="M48" s="150">
        <f>SUM(M49:M49)</f>
        <v>140011</v>
      </c>
      <c r="N48" s="309">
        <f>(L48-M48)/M48</f>
        <v>-5.8952510874145603E-2</v>
      </c>
      <c r="O48" s="307">
        <f>SUM(O49:O49)</f>
        <v>263389</v>
      </c>
      <c r="P48" s="150">
        <f>SUM(P49:P49)</f>
        <v>286743</v>
      </c>
      <c r="Q48" s="308">
        <f>(O48-P48)/P48</f>
        <v>-8.1445754560704187E-2</v>
      </c>
      <c r="R48" s="309">
        <f>O48/$O$67</f>
        <v>5.0868793781773801E-2</v>
      </c>
    </row>
    <row r="49" spans="1:20" ht="14.1" customHeight="1" x14ac:dyDescent="0.2">
      <c r="A49" s="306"/>
      <c r="B49" s="40" t="s">
        <v>131</v>
      </c>
      <c r="C49" s="369">
        <f>[3]Southwest!$GC$19</f>
        <v>1155</v>
      </c>
      <c r="D49" s="254">
        <f>[3]Southwest!$FO$19</f>
        <v>1167</v>
      </c>
      <c r="E49" s="371">
        <f>(C49-D49)/D49</f>
        <v>-1.0282776349614395E-2</v>
      </c>
      <c r="F49" s="254">
        <f>SUM([3]Southwest!$GB$19:$GC$19)</f>
        <v>2399</v>
      </c>
      <c r="G49" s="254">
        <f>SUM([3]Southwest!$FN$19:$FO$19)</f>
        <v>2421</v>
      </c>
      <c r="H49" s="370">
        <f>(F49-G49)/G49</f>
        <v>-9.0871540685667079E-3</v>
      </c>
      <c r="I49" s="371">
        <f>F49/$F$67</f>
        <v>4.4503394798352691E-2</v>
      </c>
      <c r="J49" s="306"/>
      <c r="K49" s="40" t="s">
        <v>131</v>
      </c>
      <c r="L49" s="369">
        <f>[3]Southwest!$GC$41</f>
        <v>131757</v>
      </c>
      <c r="M49" s="254">
        <f>[3]Southwest!$FO$41</f>
        <v>140011</v>
      </c>
      <c r="N49" s="371">
        <f>(L49-M49)/M49</f>
        <v>-5.8952510874145603E-2</v>
      </c>
      <c r="O49" s="369">
        <f>SUM([3]Southwest!$GB$41:$GC$41)</f>
        <v>263389</v>
      </c>
      <c r="P49" s="254">
        <f>SUM([3]Southwest!$FN$41:$FO$41)</f>
        <v>286743</v>
      </c>
      <c r="Q49" s="370">
        <f>(O49-P49)/P49</f>
        <v>-8.1445754560704187E-2</v>
      </c>
      <c r="R49" s="371">
        <f>O49/$O$67</f>
        <v>5.0868793781773801E-2</v>
      </c>
    </row>
    <row r="50" spans="1:20" ht="14.1" customHeight="1" x14ac:dyDescent="0.2">
      <c r="A50" s="306"/>
      <c r="B50" s="40"/>
      <c r="C50" s="307"/>
      <c r="D50" s="150"/>
      <c r="E50" s="309"/>
      <c r="F50" s="150"/>
      <c r="G50" s="150"/>
      <c r="H50" s="308"/>
      <c r="I50" s="309"/>
      <c r="J50" s="306"/>
      <c r="K50" s="40"/>
      <c r="L50" s="310"/>
      <c r="N50" s="67"/>
      <c r="O50" s="310"/>
      <c r="P50" s="2"/>
      <c r="Q50" s="3"/>
      <c r="R50" s="67"/>
    </row>
    <row r="51" spans="1:20" ht="14.1" customHeight="1" x14ac:dyDescent="0.2">
      <c r="A51" s="306" t="s">
        <v>159</v>
      </c>
      <c r="B51" s="40"/>
      <c r="C51" s="307">
        <f>[3]Spirit!$GC$19</f>
        <v>622</v>
      </c>
      <c r="D51" s="150">
        <f>[3]Spirit!$FO$19</f>
        <v>686</v>
      </c>
      <c r="E51" s="309">
        <f>(C51-D51)/D51</f>
        <v>-9.3294460641399415E-2</v>
      </c>
      <c r="F51" s="150">
        <f>SUM([3]Spirit!$GB$19:$GC$19)</f>
        <v>1300</v>
      </c>
      <c r="G51" s="150">
        <f>SUM([3]Spirit!$FN$19:$FO$19)</f>
        <v>1438</v>
      </c>
      <c r="H51" s="308">
        <f>(F51-G51)/G51</f>
        <v>-9.5966620305980535E-2</v>
      </c>
      <c r="I51" s="309">
        <f>F51/$F$67</f>
        <v>2.4116053871554188E-2</v>
      </c>
      <c r="J51" s="306" t="s">
        <v>159</v>
      </c>
      <c r="K51" s="40"/>
      <c r="L51" s="307">
        <f>[3]Spirit!$GC$41</f>
        <v>91879</v>
      </c>
      <c r="M51" s="150">
        <f>[3]Spirit!$FO$41</f>
        <v>93520</v>
      </c>
      <c r="N51" s="309">
        <f>(L51-M51)/M51</f>
        <v>-1.754704875962361E-2</v>
      </c>
      <c r="O51" s="307">
        <f>SUM([3]Spirit!$GB$41:$GC$41)</f>
        <v>187110</v>
      </c>
      <c r="P51" s="150">
        <f>SUM([3]Spirit!$FN$41:$FO$41)</f>
        <v>187368</v>
      </c>
      <c r="Q51" s="308">
        <f>(O51-P51)/P51</f>
        <v>-1.3769693864480593E-3</v>
      </c>
      <c r="R51" s="309">
        <f>O51/$O$67</f>
        <v>3.6136892598049641E-2</v>
      </c>
    </row>
    <row r="52" spans="1:20" ht="14.1" customHeight="1" x14ac:dyDescent="0.2">
      <c r="A52" s="306"/>
      <c r="B52" s="40"/>
      <c r="C52" s="307"/>
      <c r="D52" s="150"/>
      <c r="E52" s="309"/>
      <c r="F52" s="150"/>
      <c r="G52" s="150"/>
      <c r="H52" s="308"/>
      <c r="I52" s="309"/>
      <c r="J52" s="306"/>
      <c r="K52" s="40"/>
      <c r="L52" s="310"/>
      <c r="N52" s="67"/>
      <c r="O52" s="310"/>
      <c r="P52" s="2"/>
      <c r="Q52" s="3"/>
      <c r="R52" s="67">
        <f>O52/$O$67</f>
        <v>0</v>
      </c>
    </row>
    <row r="53" spans="1:20" ht="14.1" customHeight="1" x14ac:dyDescent="0.2">
      <c r="A53" s="306" t="s">
        <v>49</v>
      </c>
      <c r="B53" s="40"/>
      <c r="C53" s="307">
        <f>'[3]Sun Country'!$GC$19</f>
        <v>1670</v>
      </c>
      <c r="D53" s="150">
        <f>'[3]Sun Country'!$FO$19</f>
        <v>1984</v>
      </c>
      <c r="E53" s="309">
        <f>(C53-D53)/D53</f>
        <v>-0.15826612903225806</v>
      </c>
      <c r="F53" s="150">
        <f>SUM('[3]Sun Country'!$GB$19:$GC$19)</f>
        <v>3189</v>
      </c>
      <c r="G53" s="150">
        <f>SUM('[3]Sun Country'!$FN$19:$FO$19)</f>
        <v>3820</v>
      </c>
      <c r="H53" s="308">
        <f>(F53-G53)/G53</f>
        <v>-0.16518324607329843</v>
      </c>
      <c r="I53" s="309">
        <f>F53/$F$67</f>
        <v>5.9158535227989466E-2</v>
      </c>
      <c r="J53" s="306" t="s">
        <v>49</v>
      </c>
      <c r="K53" s="40"/>
      <c r="L53" s="307">
        <f>'[3]Sun Country'!$GC$41</f>
        <v>233565</v>
      </c>
      <c r="M53" s="150">
        <f>'[3]Sun Country'!$FO$41</f>
        <v>232543</v>
      </c>
      <c r="N53" s="309">
        <f>(L53-M53)/M53</f>
        <v>4.3948861070855711E-3</v>
      </c>
      <c r="O53" s="307">
        <f>SUM('[3]Sun Country'!$GB$41:$GC$41)</f>
        <v>429482</v>
      </c>
      <c r="P53" s="150">
        <f>SUM('[3]Sun Country'!$FN$41:$FO$41)</f>
        <v>433080</v>
      </c>
      <c r="Q53" s="308">
        <f>(O53-P53)/P53</f>
        <v>-8.3079338690311266E-3</v>
      </c>
      <c r="R53" s="309">
        <f>O53/$O$67</f>
        <v>8.294663517073142E-2</v>
      </c>
    </row>
    <row r="54" spans="1:20" ht="14.1" customHeight="1" x14ac:dyDescent="0.2">
      <c r="A54" s="306"/>
      <c r="B54" s="40"/>
      <c r="C54" s="307"/>
      <c r="D54" s="150"/>
      <c r="E54" s="309"/>
      <c r="F54" s="150"/>
      <c r="G54" s="150"/>
      <c r="H54" s="308"/>
      <c r="I54" s="309"/>
      <c r="J54" s="306"/>
      <c r="K54" s="40"/>
      <c r="L54" s="310"/>
      <c r="N54" s="67"/>
      <c r="O54" s="310"/>
      <c r="P54" s="2"/>
      <c r="Q54" s="3"/>
      <c r="R54" s="67"/>
    </row>
    <row r="55" spans="1:20" ht="14.1" customHeight="1" x14ac:dyDescent="0.2">
      <c r="A55" s="306" t="s">
        <v>19</v>
      </c>
      <c r="B55" s="311"/>
      <c r="C55" s="307">
        <f>SUM(C56:C62)</f>
        <v>1236</v>
      </c>
      <c r="D55" s="150">
        <f>SUM(D56:D62)</f>
        <v>1370</v>
      </c>
      <c r="E55" s="309">
        <f t="shared" ref="E55:E62" si="12">(C55-D55)/D55</f>
        <v>-9.7810218978102187E-2</v>
      </c>
      <c r="F55" s="150">
        <f>SUM(F56:F62)</f>
        <v>2572</v>
      </c>
      <c r="G55" s="150">
        <f>SUM(G56:G62)</f>
        <v>2686</v>
      </c>
      <c r="H55" s="308">
        <f t="shared" ref="H55:H62" si="13">(F55-G55)/G55</f>
        <v>-4.244229337304542E-2</v>
      </c>
      <c r="I55" s="309">
        <f t="shared" ref="I55:I62" si="14">F55/$F$67</f>
        <v>4.7712685044336435E-2</v>
      </c>
      <c r="J55" s="306" t="s">
        <v>19</v>
      </c>
      <c r="K55" s="311"/>
      <c r="L55" s="307">
        <f>SUM(L56:L62)</f>
        <v>104010</v>
      </c>
      <c r="M55" s="150">
        <f>SUM(M56:M62)</f>
        <v>120190</v>
      </c>
      <c r="N55" s="309">
        <f t="shared" ref="N55:N62" si="15">(L55-M55)/M55</f>
        <v>-0.13462018470754639</v>
      </c>
      <c r="O55" s="307">
        <f>SUM(O56:O62)</f>
        <v>210961</v>
      </c>
      <c r="P55" s="150">
        <f>SUM(P56:P62)</f>
        <v>232602</v>
      </c>
      <c r="Q55" s="308">
        <f t="shared" ref="Q55:Q62" si="16">(O55-P55)/P55</f>
        <v>-9.3038752891204723E-2</v>
      </c>
      <c r="R55" s="309">
        <f t="shared" ref="R55:R62" si="17">O55/$O$67</f>
        <v>4.0743279351061673E-2</v>
      </c>
    </row>
    <row r="56" spans="1:20" ht="14.1" customHeight="1" x14ac:dyDescent="0.2">
      <c r="A56" s="38"/>
      <c r="B56" s="365" t="s">
        <v>19</v>
      </c>
      <c r="C56" s="310">
        <f>[3]United!$GC$19</f>
        <v>432</v>
      </c>
      <c r="D56" s="2">
        <f>[3]United!$FO$19+[3]Continental!$FO$19</f>
        <v>564</v>
      </c>
      <c r="E56" s="67">
        <f t="shared" si="12"/>
        <v>-0.23404255319148937</v>
      </c>
      <c r="F56" s="2">
        <f>SUM([3]United!$GB$19:$GC$19)</f>
        <v>840</v>
      </c>
      <c r="G56" s="2">
        <f>SUM([3]United!$FN$19:$FO$19)+SUM([3]Continental!$FN$19:$FO$19)</f>
        <v>1022</v>
      </c>
      <c r="H56" s="3">
        <f t="shared" si="13"/>
        <v>-0.17808219178082191</v>
      </c>
      <c r="I56" s="67">
        <f t="shared" si="14"/>
        <v>1.558268096315809E-2</v>
      </c>
      <c r="J56" s="38"/>
      <c r="K56" s="365" t="s">
        <v>19</v>
      </c>
      <c r="L56" s="310">
        <f>[3]United!$GC$41</f>
        <v>55742</v>
      </c>
      <c r="M56" s="2">
        <f>[3]United!$FO$41+[3]Continental!$FO$41</f>
        <v>70680</v>
      </c>
      <c r="N56" s="67">
        <f t="shared" si="15"/>
        <v>-0.21134691567628749</v>
      </c>
      <c r="O56" s="310">
        <f>SUM([3]United!$GB$41:$GC$41)</f>
        <v>107082</v>
      </c>
      <c r="P56" s="2">
        <f>SUM([3]United!$FN$41:$FO$41)+SUM([3]Continental!$FN$41:$FO$41)</f>
        <v>128494</v>
      </c>
      <c r="Q56" s="3">
        <f t="shared" si="16"/>
        <v>-0.16663813096331345</v>
      </c>
      <c r="R56" s="67">
        <f t="shared" si="17"/>
        <v>2.0680940266069966E-2</v>
      </c>
    </row>
    <row r="57" spans="1:20" ht="14.1" customHeight="1" x14ac:dyDescent="0.2">
      <c r="A57" s="38"/>
      <c r="B57" s="365" t="s">
        <v>171</v>
      </c>
      <c r="C57" s="310">
        <f>'[3]Continental Express'!$GC$19</f>
        <v>22</v>
      </c>
      <c r="D57" s="2">
        <f>'[3]Continental Express'!$FO$19</f>
        <v>14</v>
      </c>
      <c r="E57" s="67">
        <f t="shared" si="12"/>
        <v>0.5714285714285714</v>
      </c>
      <c r="F57" s="2">
        <f>SUM('[3]Continental Express'!$GB$19:$GC$19)</f>
        <v>50</v>
      </c>
      <c r="G57" s="2">
        <f>SUM('[3]Continental Express'!$FN$19:$FO$19)</f>
        <v>26</v>
      </c>
      <c r="H57" s="3">
        <f t="shared" si="13"/>
        <v>0.92307692307692313</v>
      </c>
      <c r="I57" s="67">
        <f t="shared" si="14"/>
        <v>9.2754053352131483E-4</v>
      </c>
      <c r="J57" s="38"/>
      <c r="K57" s="365" t="s">
        <v>171</v>
      </c>
      <c r="L57" s="310">
        <f>'[3]Continental Express'!$GC$41</f>
        <v>636</v>
      </c>
      <c r="M57" s="2">
        <f>'[3]Continental Express'!$FO$41</f>
        <v>453</v>
      </c>
      <c r="N57" s="67">
        <f t="shared" si="15"/>
        <v>0.40397350993377484</v>
      </c>
      <c r="O57" s="310">
        <f>SUM('[3]Continental Express'!$GB$41:$GC$41)</f>
        <v>1308</v>
      </c>
      <c r="P57" s="2">
        <f>SUM('[3]Continental Express'!$FN$41:$FO$41)</f>
        <v>940</v>
      </c>
      <c r="Q57" s="3">
        <f t="shared" si="16"/>
        <v>0.39148936170212767</v>
      </c>
      <c r="R57" s="67">
        <f t="shared" si="17"/>
        <v>2.5261640488615747E-4</v>
      </c>
    </row>
    <row r="58" spans="1:20" ht="14.1" customHeight="1" x14ac:dyDescent="0.2">
      <c r="A58" s="38"/>
      <c r="B58" s="40" t="s">
        <v>158</v>
      </c>
      <c r="C58" s="310">
        <f>'[3]Go Jet_UA'!$GC$19</f>
        <v>4</v>
      </c>
      <c r="D58" s="2">
        <f>'[3]Go Jet_UA'!$FO$19</f>
        <v>38</v>
      </c>
      <c r="E58" s="67">
        <f t="shared" si="12"/>
        <v>-0.89473684210526316</v>
      </c>
      <c r="F58" s="2">
        <f>SUM('[3]Go Jet_UA'!$GB$19:$GC$19)</f>
        <v>20</v>
      </c>
      <c r="G58" s="2">
        <f>SUM('[3]Go Jet_UA'!$FN$19:$FO$19)</f>
        <v>80</v>
      </c>
      <c r="H58" s="3">
        <f t="shared" si="13"/>
        <v>-0.75</v>
      </c>
      <c r="I58" s="67">
        <f t="shared" si="14"/>
        <v>3.7101621340852593E-4</v>
      </c>
      <c r="J58" s="38"/>
      <c r="K58" s="40" t="s">
        <v>158</v>
      </c>
      <c r="L58" s="310">
        <f>'[3]Go Jet_UA'!$GC$41</f>
        <v>266</v>
      </c>
      <c r="M58" s="2">
        <f>'[3]Go Jet_UA'!$FO$41</f>
        <v>2495</v>
      </c>
      <c r="N58" s="67">
        <f t="shared" si="15"/>
        <v>-0.89338677354709417</v>
      </c>
      <c r="O58" s="310">
        <f>SUM('[3]Go Jet_UA'!$GB$41:$GC$41)</f>
        <v>1263</v>
      </c>
      <c r="P58" s="2">
        <f>SUM('[3]Go Jet_UA'!$FN$41:$FO$41)</f>
        <v>5227</v>
      </c>
      <c r="Q58" s="3">
        <f t="shared" si="16"/>
        <v>-0.7583700019131433</v>
      </c>
      <c r="R58" s="67">
        <f t="shared" si="17"/>
        <v>2.439254735253952E-4</v>
      </c>
    </row>
    <row r="59" spans="1:20" ht="14.1" customHeight="1" x14ac:dyDescent="0.2">
      <c r="A59" s="38"/>
      <c r="B59" s="40" t="s">
        <v>51</v>
      </c>
      <c r="C59" s="310">
        <f>[3]MESA_UA!$GC$19</f>
        <v>192</v>
      </c>
      <c r="D59" s="2">
        <f>[3]MESA_UA!$FO$19</f>
        <v>262</v>
      </c>
      <c r="E59" s="67">
        <f t="shared" si="12"/>
        <v>-0.26717557251908397</v>
      </c>
      <c r="F59" s="2">
        <f>SUM([3]MESA_UA!$GB$19:$GC$19)</f>
        <v>474</v>
      </c>
      <c r="G59" s="2">
        <f>SUM([3]MESA_UA!$FN$19:$FO$19)</f>
        <v>478</v>
      </c>
      <c r="H59" s="3">
        <f>(F59-G59)/G59</f>
        <v>-8.368200836820083E-3</v>
      </c>
      <c r="I59" s="67">
        <f t="shared" si="14"/>
        <v>8.7930842577820644E-3</v>
      </c>
      <c r="J59" s="38"/>
      <c r="K59" s="40" t="s">
        <v>51</v>
      </c>
      <c r="L59" s="310">
        <f>[3]MESA_UA!$GC$41</f>
        <v>12401</v>
      </c>
      <c r="M59" s="2">
        <f>[3]MESA_UA!$FO$41</f>
        <v>15549</v>
      </c>
      <c r="N59" s="67">
        <f t="shared" si="15"/>
        <v>-0.2024567496302013</v>
      </c>
      <c r="O59" s="310">
        <f>SUM([3]MESA_UA!$GB$41:$GC$41)</f>
        <v>30219</v>
      </c>
      <c r="P59" s="2">
        <f>SUM([3]MESA_UA!$FN$41:$FO$41)</f>
        <v>28688</v>
      </c>
      <c r="Q59" s="3">
        <f t="shared" si="16"/>
        <v>5.3367261572783042E-2</v>
      </c>
      <c r="R59" s="67">
        <f t="shared" si="17"/>
        <v>5.8362501064639092E-3</v>
      </c>
    </row>
    <row r="60" spans="1:20" ht="14.1" customHeight="1" x14ac:dyDescent="0.2">
      <c r="A60" s="38"/>
      <c r="B60" s="365" t="s">
        <v>52</v>
      </c>
      <c r="C60" s="310">
        <f>[3]Republic_UA!$GC$19</f>
        <v>422</v>
      </c>
      <c r="D60" s="2">
        <f>[3]Republic_UA!$FO$19</f>
        <v>350</v>
      </c>
      <c r="E60" s="67">
        <f t="shared" si="12"/>
        <v>0.20571428571428571</v>
      </c>
      <c r="F60" s="2">
        <f>SUM([3]Republic_UA!$GB$19:$GC$19)</f>
        <v>860</v>
      </c>
      <c r="G60" s="2">
        <f>SUM([3]Republic_UA!$FN$19:$FO$19)</f>
        <v>738</v>
      </c>
      <c r="H60" s="3">
        <f t="shared" ref="H60" si="18">(F60-G60)/G60</f>
        <v>0.16531165311653118</v>
      </c>
      <c r="I60" s="67">
        <f t="shared" si="14"/>
        <v>1.5953697176566615E-2</v>
      </c>
      <c r="J60" s="38"/>
      <c r="K60" s="365" t="s">
        <v>52</v>
      </c>
      <c r="L60" s="310">
        <f>[3]Republic_UA!$GC$41</f>
        <v>24337</v>
      </c>
      <c r="M60" s="2">
        <f>[3]Republic_UA!$FO$41</f>
        <v>21276</v>
      </c>
      <c r="N60" s="67">
        <f t="shared" si="15"/>
        <v>0.1438710283887949</v>
      </c>
      <c r="O60" s="310">
        <f>SUM([3]Republic_UA!$GB$41:$GC$41)</f>
        <v>49802</v>
      </c>
      <c r="P60" s="2">
        <f>SUM([3]Republic_UA!$FN$41:$FO$41)</f>
        <v>45836</v>
      </c>
      <c r="Q60" s="3">
        <f t="shared" si="16"/>
        <v>8.6525874858190063E-2</v>
      </c>
      <c r="R60" s="67">
        <f t="shared" si="17"/>
        <v>9.6183503028596448E-3</v>
      </c>
    </row>
    <row r="61" spans="1:20" ht="14.1" customHeight="1" x14ac:dyDescent="0.2">
      <c r="A61" s="38"/>
      <c r="B61" s="40" t="s">
        <v>99</v>
      </c>
      <c r="C61" s="310">
        <f>'[3]Sky West_UA'!$GC$19</f>
        <v>164</v>
      </c>
      <c r="D61" s="2">
        <f>'[3]Sky West_UA'!$FO$19+'[3]Sky West_CO'!$FO$19</f>
        <v>142</v>
      </c>
      <c r="E61" s="67">
        <f t="shared" si="12"/>
        <v>0.15492957746478872</v>
      </c>
      <c r="F61" s="2">
        <f>SUM('[3]Sky West_UA'!$GB$19:$GC$19)</f>
        <v>328</v>
      </c>
      <c r="G61" s="2">
        <f>SUM('[3]Sky West_UA'!$FN$19:$FO$19)+SUM('[3]Sky West_CO'!$FN$19:$FO$19)</f>
        <v>342</v>
      </c>
      <c r="H61" s="3">
        <f t="shared" si="13"/>
        <v>-4.0935672514619881E-2</v>
      </c>
      <c r="I61" s="67">
        <f t="shared" si="14"/>
        <v>6.084665899899826E-3</v>
      </c>
      <c r="J61" s="38"/>
      <c r="K61" s="40" t="s">
        <v>99</v>
      </c>
      <c r="L61" s="310">
        <f>'[3]Sky West_UA'!$GC$41</f>
        <v>10628</v>
      </c>
      <c r="M61" s="2">
        <f>'[3]Sky West_UA'!$FO$41+'[3]Sky West_CO'!$FO$41</f>
        <v>9737</v>
      </c>
      <c r="N61" s="67">
        <f t="shared" si="15"/>
        <v>9.1506624216904586E-2</v>
      </c>
      <c r="O61" s="310">
        <f>SUM('[3]Sky West_UA'!$GB$41:$GC$41)</f>
        <v>21287</v>
      </c>
      <c r="P61" s="2">
        <f>SUM('[3]Sky West_UA'!$FN$41:$FO$41)+SUM('[3]Sky West_CO'!$FN$41:$FO$41)</f>
        <v>23417</v>
      </c>
      <c r="Q61" s="3">
        <f t="shared" si="16"/>
        <v>-9.0959559294529618E-2</v>
      </c>
      <c r="R61" s="67">
        <f t="shared" si="17"/>
        <v>4.1111967972566011E-3</v>
      </c>
    </row>
    <row r="62" spans="1:20" ht="14.1" customHeight="1" x14ac:dyDescent="0.2">
      <c r="A62" s="38"/>
      <c r="B62" s="312" t="s">
        <v>133</v>
      </c>
      <c r="C62" s="310">
        <f>'[3]Shuttle America'!$GC$19</f>
        <v>0</v>
      </c>
      <c r="D62" s="2">
        <f>'[3]Shuttle America'!$FO$19</f>
        <v>0</v>
      </c>
      <c r="E62" s="67" t="e">
        <f t="shared" si="12"/>
        <v>#DIV/0!</v>
      </c>
      <c r="F62" s="2">
        <f>SUM('[3]Shuttle America'!$GB$19:$GC$19)</f>
        <v>0</v>
      </c>
      <c r="G62" s="2">
        <f>SUM('[3]Shuttle America'!$FN$19:$FO$19)</f>
        <v>0</v>
      </c>
      <c r="H62" s="3" t="e">
        <f t="shared" si="13"/>
        <v>#DIV/0!</v>
      </c>
      <c r="I62" s="67">
        <f t="shared" si="14"/>
        <v>0</v>
      </c>
      <c r="J62" s="38"/>
      <c r="K62" s="312" t="s">
        <v>133</v>
      </c>
      <c r="L62" s="310">
        <f>'[3]Shuttle America'!$GC$41</f>
        <v>0</v>
      </c>
      <c r="M62" s="2">
        <f>'[3]Shuttle America'!$FO$41</f>
        <v>0</v>
      </c>
      <c r="N62" s="67" t="e">
        <f t="shared" si="15"/>
        <v>#DIV/0!</v>
      </c>
      <c r="O62" s="310">
        <f>SUM('[3]Shuttle America'!$GB$41:$GC$41)</f>
        <v>0</v>
      </c>
      <c r="P62" s="2">
        <f>SUM('[3]Shuttle America'!$FN$41:$FO$41)</f>
        <v>0</v>
      </c>
      <c r="Q62" s="3" t="e">
        <f t="shared" si="16"/>
        <v>#DIV/0!</v>
      </c>
      <c r="R62" s="67">
        <f t="shared" si="17"/>
        <v>0</v>
      </c>
    </row>
    <row r="63" spans="1:20" ht="14.1" customHeight="1" thickBot="1" x14ac:dyDescent="0.25">
      <c r="A63" s="367"/>
      <c r="B63" s="368"/>
      <c r="C63" s="313"/>
      <c r="D63" s="315"/>
      <c r="E63" s="316"/>
      <c r="F63" s="315"/>
      <c r="G63" s="315"/>
      <c r="H63" s="314"/>
      <c r="I63" s="316"/>
      <c r="J63" s="367"/>
      <c r="K63" s="368"/>
      <c r="L63" s="313"/>
      <c r="M63" s="315"/>
      <c r="N63" s="316"/>
      <c r="O63" s="313"/>
      <c r="P63" s="315"/>
      <c r="Q63" s="314"/>
      <c r="R63" s="401"/>
    </row>
    <row r="64" spans="1:20" s="194" customFormat="1" ht="14.1" customHeight="1" thickBot="1" x14ac:dyDescent="0.25">
      <c r="B64" s="193"/>
      <c r="C64" s="150"/>
      <c r="D64" s="150"/>
      <c r="E64" s="308"/>
      <c r="F64" s="366"/>
      <c r="G64" s="150"/>
      <c r="H64" s="308"/>
      <c r="I64" s="308"/>
      <c r="J64" s="317"/>
      <c r="K64" s="193"/>
      <c r="L64" s="318"/>
      <c r="M64" s="319"/>
      <c r="N64" s="317"/>
      <c r="S64"/>
      <c r="T64"/>
    </row>
    <row r="65" spans="2:18" ht="14.1" customHeight="1" x14ac:dyDescent="0.2">
      <c r="B65" s="320" t="s">
        <v>135</v>
      </c>
      <c r="C65" s="375">
        <f>+C67-C66</f>
        <v>15917</v>
      </c>
      <c r="D65" s="375">
        <f>+D67-D66</f>
        <v>16029</v>
      </c>
      <c r="E65" s="376">
        <f>(C65-D65)/D65</f>
        <v>-6.9873354544887391E-3</v>
      </c>
      <c r="F65" s="375">
        <f>+F67-F66</f>
        <v>32971</v>
      </c>
      <c r="G65" s="375">
        <f>+G67-G66</f>
        <v>32744</v>
      </c>
      <c r="H65" s="376">
        <f>(F65-G65)/G65</f>
        <v>6.9325677986806743E-3</v>
      </c>
      <c r="I65" s="425">
        <f>F65/$F$67</f>
        <v>0.61163877861462546</v>
      </c>
      <c r="K65" s="320" t="s">
        <v>135</v>
      </c>
      <c r="L65" s="375">
        <f>+L67-L66</f>
        <v>2039969</v>
      </c>
      <c r="M65" s="375">
        <f>+M67-M66</f>
        <v>2062235</v>
      </c>
      <c r="N65" s="376">
        <f>(L65-M65)/M65</f>
        <v>-1.0797023617579955E-2</v>
      </c>
      <c r="O65" s="375">
        <f>+O67-O66</f>
        <v>4133106</v>
      </c>
      <c r="P65" s="375">
        <f>+P67-P66</f>
        <v>4110800</v>
      </c>
      <c r="Q65" s="416">
        <f>(O65-P65)/P65</f>
        <v>5.4261944147124645E-3</v>
      </c>
      <c r="R65" s="420">
        <f>+O65/O67</f>
        <v>0.79823423450566278</v>
      </c>
    </row>
    <row r="66" spans="2:18" ht="14.1" customHeight="1" x14ac:dyDescent="0.2">
      <c r="B66" s="193" t="s">
        <v>136</v>
      </c>
      <c r="C66" s="377">
        <f>C62+C38+C36+C34+C33+C37+C20+C61+C58+C35+C57+C59+C25+C24+C21+C15+C6+C60+C22+C23+C7+C16</f>
        <v>9680</v>
      </c>
      <c r="D66" s="377">
        <f>D62+D38+D36+D34+D33+D37+D20+D61+D58+D35+D57+D59+D25+D24+D21+D15+D6+D60+D22+D23+D7+D16</f>
        <v>10925</v>
      </c>
      <c r="E66" s="321">
        <f>(C66-D66)/D66</f>
        <v>-0.11395881006864989</v>
      </c>
      <c r="F66" s="377">
        <f>F62+F38+F36+F34+F33+F37+F20+F61+F58+F35+F57+F59+F25+F24+F21+F15+F6+F60+F22+F23+F7+F16</f>
        <v>20935</v>
      </c>
      <c r="G66" s="377">
        <f>G62+G38+G36+G34+G33+G37+G20+G61+G58+G35+G57+G59+G25+G24+G21+G15+G6+G60+G22+G23+G7+G16</f>
        <v>22129</v>
      </c>
      <c r="H66" s="321">
        <f>(F66-G66)/G66</f>
        <v>-5.3956346875141219E-2</v>
      </c>
      <c r="I66" s="426">
        <f>F66/$F$67</f>
        <v>0.38836122138537454</v>
      </c>
      <c r="K66" s="193" t="s">
        <v>136</v>
      </c>
      <c r="L66" s="377">
        <f>L62+L38+L36+L34+L33+L37+L20+L61+L58+L35+L57+L59+L25+L24+L21+L15+L6+L60+L22+L23+L7+L16</f>
        <v>497603</v>
      </c>
      <c r="M66" s="377">
        <f>M62+M38+M36+M34+M33+M37+M20+M61+M58+M35+M57+M59+M25+M24+M21+M15+M6+M60+M22+M23+M7+M16</f>
        <v>562528</v>
      </c>
      <c r="N66" s="321">
        <f>(L66-M66)/M66</f>
        <v>-0.11541647704647591</v>
      </c>
      <c r="O66" s="377">
        <f>O62+O38+O36+O34+O33+O37+O20+O61+O58+O35+O57+O59+O25+O24+O21+O15+O6+O60+O22+O23+O7+O16</f>
        <v>1044705</v>
      </c>
      <c r="P66" s="377">
        <f>P62+P38+P36+P34+P33+P37+P20+P61+P58+P35+P57+P59+P25+P24+P21+P15+P6+P60+P22+P23+P7+P16</f>
        <v>1106200</v>
      </c>
      <c r="Q66" s="414">
        <f>(O66-P66)/P66</f>
        <v>-5.5591213162176821E-2</v>
      </c>
      <c r="R66" s="421">
        <f>+O66/O67</f>
        <v>0.20176576549433728</v>
      </c>
    </row>
    <row r="67" spans="2:18" ht="14.1" customHeight="1" thickBot="1" x14ac:dyDescent="0.25">
      <c r="B67" s="193" t="s">
        <v>137</v>
      </c>
      <c r="C67" s="378">
        <f>C55+C53+C48+C42+C40+C31+C18+C13+C4+C51+C29+C27+C9+C46+C11+C44</f>
        <v>25597</v>
      </c>
      <c r="D67" s="378">
        <f>D55+D53+D48+D42+D40+D31+D18+D13+D4+D51+D29+D27+D9+D46+D11+D44</f>
        <v>26954</v>
      </c>
      <c r="E67" s="379">
        <f>(C67-D67)/D67</f>
        <v>-5.0345032277213028E-2</v>
      </c>
      <c r="F67" s="378">
        <f>F55+F53+F48+F42+F40+F31+F18+F13+F4+F51+F29+F27+F9+F46+F11+F44</f>
        <v>53906</v>
      </c>
      <c r="G67" s="378">
        <f>G55+G53+G48+G42+G40+G31+G18+G13+G4+G51+G29+G27+G9+G46+G11+G44</f>
        <v>54873</v>
      </c>
      <c r="H67" s="379">
        <f>(F67-G67)/G67</f>
        <v>-1.7622510159823593E-2</v>
      </c>
      <c r="I67" s="427">
        <f>+H67/H67</f>
        <v>1</v>
      </c>
      <c r="K67" s="193" t="s">
        <v>137</v>
      </c>
      <c r="L67" s="378">
        <f>L55+L53+L48+L42+L40+L31+L18+L13+L4+L51+L29+L27+L9+L46+L11+L44</f>
        <v>2537572</v>
      </c>
      <c r="M67" s="378">
        <f>M55+M53+M48+M42+M40+M31+M18+M13+M4+M51+M29+M27+M9+M46+M11+M44</f>
        <v>2624763</v>
      </c>
      <c r="N67" s="379">
        <f>(L67-M67)/M67</f>
        <v>-3.321861821429211E-2</v>
      </c>
      <c r="O67" s="378">
        <f>O55+O53+O48+O42+O40+O31+O18+O13+O4+O51+O29+O27+O9+O46+O11+O44</f>
        <v>5177811</v>
      </c>
      <c r="P67" s="378">
        <f>P55+P53+P48+P42+P40+P31+P18+P13+P4+P51+P29+P27+P9+P46+P11+P44</f>
        <v>5217000</v>
      </c>
      <c r="Q67" s="417">
        <f>(O67-P67)/P67</f>
        <v>-7.5117883841288096E-3</v>
      </c>
      <c r="R67" s="422">
        <f>+O67/O67</f>
        <v>1</v>
      </c>
    </row>
    <row r="68" spans="2:18" x14ac:dyDescent="0.2">
      <c r="D68" s="3"/>
      <c r="F68" s="2"/>
      <c r="G68"/>
      <c r="H68"/>
      <c r="I68"/>
      <c r="J68"/>
      <c r="K68"/>
      <c r="M68"/>
      <c r="N68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F71" s="2"/>
      <c r="H71"/>
      <c r="I71"/>
      <c r="J71"/>
      <c r="K71"/>
      <c r="N71"/>
      <c r="O71" s="2"/>
      <c r="P71" s="2"/>
    </row>
    <row r="72" spans="2:18" x14ac:dyDescent="0.2">
      <c r="D72" s="3"/>
      <c r="F72"/>
      <c r="G72"/>
      <c r="H72"/>
      <c r="I72"/>
      <c r="J72"/>
      <c r="K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F139" s="195"/>
      <c r="K139"/>
    </row>
    <row r="140" spans="4:14" x14ac:dyDescent="0.2">
      <c r="F140" s="195"/>
      <c r="K140"/>
    </row>
    <row r="141" spans="4:14" x14ac:dyDescent="0.2">
      <c r="F141" s="195"/>
      <c r="K141"/>
    </row>
    <row r="142" spans="4:14" x14ac:dyDescent="0.2">
      <c r="F142" s="195"/>
      <c r="K142"/>
    </row>
    <row r="143" spans="4:14" x14ac:dyDescent="0.2">
      <c r="F143" s="195"/>
      <c r="K143"/>
    </row>
    <row r="144" spans="4:14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  <row r="4666" spans="6:11" x14ac:dyDescent="0.2">
      <c r="F4666" s="195"/>
      <c r="K4666"/>
    </row>
    <row r="4667" spans="6:11" x14ac:dyDescent="0.2">
      <c r="F4667" s="195"/>
      <c r="K4667"/>
    </row>
    <row r="4668" spans="6:11" x14ac:dyDescent="0.2">
      <c r="F4668" s="195"/>
      <c r="K4668"/>
    </row>
    <row r="4669" spans="6:11" x14ac:dyDescent="0.2">
      <c r="F4669" s="195"/>
      <c r="K4669"/>
    </row>
    <row r="4670" spans="6:11" x14ac:dyDescent="0.2">
      <c r="F4670" s="195"/>
      <c r="K4670"/>
    </row>
    <row r="4671" spans="6:11" x14ac:dyDescent="0.2">
      <c r="F4671" s="195"/>
      <c r="K4671"/>
    </row>
    <row r="4672" spans="6:11" x14ac:dyDescent="0.2">
      <c r="F4672" s="195"/>
      <c r="K4672"/>
    </row>
    <row r="4673" spans="6:11" x14ac:dyDescent="0.2">
      <c r="F4673" s="195"/>
      <c r="K4673"/>
    </row>
    <row r="4674" spans="6:11" x14ac:dyDescent="0.2">
      <c r="F4674" s="195"/>
      <c r="K4674"/>
    </row>
    <row r="4675" spans="6:11" x14ac:dyDescent="0.2">
      <c r="F4675" s="195"/>
      <c r="K4675"/>
    </row>
    <row r="4676" spans="6:11" x14ac:dyDescent="0.2">
      <c r="F4676" s="195"/>
      <c r="K4676"/>
    </row>
    <row r="4677" spans="6:11" x14ac:dyDescent="0.2">
      <c r="F4677" s="195"/>
      <c r="K4677"/>
    </row>
    <row r="4678" spans="6:11" x14ac:dyDescent="0.2">
      <c r="F4678" s="195"/>
      <c r="K4678"/>
    </row>
    <row r="4679" spans="6:11" x14ac:dyDescent="0.2">
      <c r="F4679" s="195"/>
      <c r="K4679"/>
    </row>
    <row r="4680" spans="6:11" x14ac:dyDescent="0.2">
      <c r="F4680" s="195"/>
      <c r="K4680"/>
    </row>
    <row r="4681" spans="6:11" x14ac:dyDescent="0.2">
      <c r="F4681" s="195"/>
      <c r="K4681"/>
    </row>
    <row r="4682" spans="6:11" x14ac:dyDescent="0.2">
      <c r="F4682" s="195"/>
      <c r="K4682"/>
    </row>
    <row r="4683" spans="6:11" x14ac:dyDescent="0.2">
      <c r="F4683" s="195"/>
      <c r="K4683"/>
    </row>
    <row r="4684" spans="6:11" x14ac:dyDescent="0.2">
      <c r="F4684" s="195"/>
      <c r="K4684"/>
    </row>
    <row r="4685" spans="6:11" x14ac:dyDescent="0.2">
      <c r="F4685" s="195"/>
      <c r="K4685"/>
    </row>
    <row r="4686" spans="6:11" x14ac:dyDescent="0.2">
      <c r="F4686" s="195"/>
      <c r="K4686"/>
    </row>
    <row r="4687" spans="6:11" x14ac:dyDescent="0.2">
      <c r="F4687" s="195"/>
      <c r="K4687"/>
    </row>
    <row r="4688" spans="6:11" x14ac:dyDescent="0.2">
      <c r="F4688" s="195"/>
      <c r="K4688"/>
    </row>
    <row r="4689" spans="6:11" x14ac:dyDescent="0.2">
      <c r="F4689" s="195"/>
      <c r="K4689"/>
    </row>
    <row r="4690" spans="6:11" x14ac:dyDescent="0.2">
      <c r="F4690" s="195"/>
      <c r="K4690"/>
    </row>
    <row r="4691" spans="6:11" x14ac:dyDescent="0.2">
      <c r="F4691" s="195"/>
      <c r="K4691"/>
    </row>
    <row r="4692" spans="6:11" x14ac:dyDescent="0.2">
      <c r="F4692" s="195"/>
      <c r="K4692"/>
    </row>
    <row r="4693" spans="6:11" x14ac:dyDescent="0.2">
      <c r="F4693" s="195"/>
      <c r="K4693"/>
    </row>
    <row r="4694" spans="6:11" x14ac:dyDescent="0.2">
      <c r="F4694" s="195"/>
      <c r="K4694"/>
    </row>
    <row r="4695" spans="6:11" x14ac:dyDescent="0.2">
      <c r="F4695" s="195"/>
      <c r="K4695"/>
    </row>
    <row r="4696" spans="6:11" x14ac:dyDescent="0.2">
      <c r="F4696" s="195"/>
      <c r="K4696"/>
    </row>
    <row r="4697" spans="6:11" x14ac:dyDescent="0.2">
      <c r="F4697" s="195"/>
      <c r="K4697"/>
    </row>
    <row r="4698" spans="6:11" x14ac:dyDescent="0.2">
      <c r="F4698" s="195"/>
      <c r="K4698"/>
    </row>
    <row r="4699" spans="6:11" x14ac:dyDescent="0.2">
      <c r="F4699" s="195"/>
      <c r="K4699"/>
    </row>
    <row r="4700" spans="6:11" x14ac:dyDescent="0.2">
      <c r="F4700" s="195"/>
      <c r="K4700"/>
    </row>
    <row r="4701" spans="6:11" x14ac:dyDescent="0.2">
      <c r="F4701" s="195"/>
      <c r="K4701"/>
    </row>
    <row r="4702" spans="6:11" x14ac:dyDescent="0.2">
      <c r="F4702" s="195"/>
      <c r="K4702"/>
    </row>
    <row r="4703" spans="6:11" x14ac:dyDescent="0.2">
      <c r="F4703" s="195"/>
      <c r="K4703"/>
    </row>
    <row r="4704" spans="6:11" x14ac:dyDescent="0.2">
      <c r="F4704" s="195"/>
      <c r="K4704"/>
    </row>
    <row r="4705" spans="6:11" x14ac:dyDescent="0.2">
      <c r="F4705" s="195"/>
      <c r="K4705"/>
    </row>
    <row r="4706" spans="6:11" x14ac:dyDescent="0.2">
      <c r="F4706" s="195"/>
      <c r="K4706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4" fitToWidth="2" orientation="portrait" r:id="rId1"/>
  <headerFooter alignWithMargins="0">
    <oddHeader>&amp;L
Schedule 10
&amp;CMinneapolis-St. Paul International Airport
&amp;"Arial,Bold"&amp;A
February 2019</oddHeader>
    <oddFooter>&amp;LPrinted on &amp;D&amp;RPage &amp;P of &amp;N</oddFooter>
  </headerFooter>
  <colBreaks count="1" manualBreakCount="1">
    <brk id="9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F7" sqref="F7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25">
        <v>43497</v>
      </c>
      <c r="B1" s="374" t="s">
        <v>17</v>
      </c>
      <c r="C1" s="374" t="s">
        <v>18</v>
      </c>
      <c r="D1" s="374" t="s">
        <v>19</v>
      </c>
      <c r="E1" s="374" t="s">
        <v>159</v>
      </c>
      <c r="F1" s="374" t="s">
        <v>166</v>
      </c>
      <c r="G1" s="374" t="s">
        <v>160</v>
      </c>
      <c r="H1" s="429" t="s">
        <v>216</v>
      </c>
      <c r="I1" s="429" t="s">
        <v>201</v>
      </c>
      <c r="J1" s="374" t="s">
        <v>20</v>
      </c>
      <c r="K1" s="373" t="s">
        <v>21</v>
      </c>
    </row>
    <row r="2" spans="1:20" ht="15" x14ac:dyDescent="0.25">
      <c r="A2" s="49" t="s">
        <v>3</v>
      </c>
      <c r="B2" s="43"/>
      <c r="C2" s="43"/>
      <c r="D2" s="43"/>
      <c r="E2" s="43"/>
      <c r="F2" s="43"/>
      <c r="G2" s="43"/>
      <c r="H2" s="428"/>
      <c r="I2" s="428"/>
      <c r="J2" s="43"/>
      <c r="K2" s="241"/>
    </row>
    <row r="3" spans="1:20" x14ac:dyDescent="0.2">
      <c r="A3" s="47" t="s">
        <v>29</v>
      </c>
      <c r="K3" s="40"/>
    </row>
    <row r="4" spans="1:20" x14ac:dyDescent="0.2">
      <c r="A4" s="47" t="s">
        <v>30</v>
      </c>
      <c r="B4" s="13">
        <f>[3]American!$GC$22</f>
        <v>68070</v>
      </c>
      <c r="C4" s="13">
        <f>[3]Delta!$GC$22+[3]Delta!$GC$32</f>
        <v>658967</v>
      </c>
      <c r="D4" s="13">
        <f>[3]United!$GC$22</f>
        <v>28244</v>
      </c>
      <c r="E4" s="13">
        <f>[3]Spirit!$GC$22</f>
        <v>44083</v>
      </c>
      <c r="F4" s="13">
        <f>[3]Condor!$GC$22</f>
        <v>0</v>
      </c>
      <c r="G4" s="13">
        <f>'[3]Air France'!$GC$22</f>
        <v>0</v>
      </c>
      <c r="H4" s="13">
        <f>'[3]Jet Blue'!$GC$22</f>
        <v>6644</v>
      </c>
      <c r="I4" s="13">
        <f>[3]KLM!$GC$22+[3]KLM!$GC$32</f>
        <v>2287</v>
      </c>
      <c r="J4" s="13">
        <f>'Other Major Airline Stats'!I5</f>
        <v>202136</v>
      </c>
      <c r="K4" s="242">
        <f>SUM(B4:J4)</f>
        <v>1010431</v>
      </c>
    </row>
    <row r="5" spans="1:20" x14ac:dyDescent="0.2">
      <c r="A5" s="47" t="s">
        <v>31</v>
      </c>
      <c r="B5" s="7">
        <f>[3]American!$GC$23</f>
        <v>67724</v>
      </c>
      <c r="C5" s="7">
        <f>[3]Delta!$GC$23+[3]Delta!$GC$33</f>
        <v>664662</v>
      </c>
      <c r="D5" s="7">
        <f>[3]United!$GC$23</f>
        <v>27498</v>
      </c>
      <c r="E5" s="7">
        <f>[3]Spirit!$GC$23</f>
        <v>47796</v>
      </c>
      <c r="F5" s="7">
        <f>[3]Condor!$GC$23</f>
        <v>0</v>
      </c>
      <c r="G5" s="7">
        <f>'[3]Air France'!$GC$23</f>
        <v>0</v>
      </c>
      <c r="H5" s="7">
        <f>'[3]Jet Blue'!$GC$23</f>
        <v>6438</v>
      </c>
      <c r="I5" s="7">
        <f>[3]KLM!$GC$23+[3]KLM!$GC$33</f>
        <v>3199</v>
      </c>
      <c r="J5" s="7">
        <f>'Other Major Airline Stats'!I6</f>
        <v>212221</v>
      </c>
      <c r="K5" s="243">
        <f>SUM(B5:J5)</f>
        <v>1029538</v>
      </c>
      <c r="M5" s="267"/>
      <c r="N5" s="267"/>
      <c r="O5" s="267"/>
      <c r="P5" s="267"/>
      <c r="Q5" s="267"/>
      <c r="R5" s="267"/>
      <c r="S5" s="267"/>
      <c r="T5" s="267"/>
    </row>
    <row r="6" spans="1:20" ht="15" x14ac:dyDescent="0.25">
      <c r="A6" s="45" t="s">
        <v>7</v>
      </c>
      <c r="B6" s="25">
        <f t="shared" ref="B6:J6" si="0">SUM(B4:B5)</f>
        <v>135794</v>
      </c>
      <c r="C6" s="25">
        <f t="shared" si="0"/>
        <v>1323629</v>
      </c>
      <c r="D6" s="25">
        <f t="shared" si="0"/>
        <v>55742</v>
      </c>
      <c r="E6" s="25">
        <f t="shared" si="0"/>
        <v>91879</v>
      </c>
      <c r="F6" s="25">
        <f t="shared" ref="F6:I6" si="1">SUM(F4:F5)</f>
        <v>0</v>
      </c>
      <c r="G6" s="25">
        <f t="shared" si="1"/>
        <v>0</v>
      </c>
      <c r="H6" s="25">
        <f t="shared" ref="H6" si="2">SUM(H4:H5)</f>
        <v>13082</v>
      </c>
      <c r="I6" s="25">
        <f t="shared" si="1"/>
        <v>5486</v>
      </c>
      <c r="J6" s="25">
        <f t="shared" si="0"/>
        <v>414357</v>
      </c>
      <c r="K6" s="244">
        <f>SUM(B6:J6)</f>
        <v>2039969</v>
      </c>
    </row>
    <row r="7" spans="1:20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242"/>
    </row>
    <row r="8" spans="1:20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42">
        <f>SUM(B8:J8)</f>
        <v>0</v>
      </c>
    </row>
    <row r="9" spans="1:20" x14ac:dyDescent="0.2">
      <c r="A9" s="47" t="s">
        <v>30</v>
      </c>
      <c r="B9" s="13">
        <f>[3]American!$GC$27</f>
        <v>2272</v>
      </c>
      <c r="C9" s="13">
        <f>[3]Delta!$GC$27+[3]Delta!$GC$37</f>
        <v>26863</v>
      </c>
      <c r="D9" s="13">
        <f>[3]United!$GC$27</f>
        <v>947</v>
      </c>
      <c r="E9" s="13">
        <f>[3]Spirit!$GC$27</f>
        <v>268</v>
      </c>
      <c r="F9" s="13">
        <f>[3]Condor!$GC$27</f>
        <v>0</v>
      </c>
      <c r="G9" s="13">
        <f>'[3]Air France'!$GC$27</f>
        <v>0</v>
      </c>
      <c r="H9" s="13">
        <f>'[3]Jet Blue'!$GC$27</f>
        <v>164</v>
      </c>
      <c r="I9" s="13">
        <f>[3]KLM!$GC$27+[3]KLM!$GC$37</f>
        <v>9</v>
      </c>
      <c r="J9" s="13">
        <f>'Other Major Airline Stats'!I10</f>
        <v>3294</v>
      </c>
      <c r="K9" s="242">
        <f>SUM(B9:J9)</f>
        <v>33817</v>
      </c>
    </row>
    <row r="10" spans="1:20" x14ac:dyDescent="0.2">
      <c r="A10" s="47" t="s">
        <v>33</v>
      </c>
      <c r="B10" s="7">
        <f>[3]American!$GC$28</f>
        <v>2541</v>
      </c>
      <c r="C10" s="7">
        <f>[3]Delta!$GC$28+[3]Delta!$GC$38</f>
        <v>26606</v>
      </c>
      <c r="D10" s="7">
        <f>[3]United!$GC$28</f>
        <v>1090</v>
      </c>
      <c r="E10" s="7">
        <f>[3]Spirit!$GC$28</f>
        <v>302</v>
      </c>
      <c r="F10" s="7">
        <f>[3]Condor!$GC$28</f>
        <v>0</v>
      </c>
      <c r="G10" s="7">
        <f>'[3]Air France'!$GC$28</f>
        <v>0</v>
      </c>
      <c r="H10" s="7">
        <f>'[3]Jet Blue'!$GC$28</f>
        <v>175</v>
      </c>
      <c r="I10" s="7">
        <f>[3]KLM!$GC$28+[3]KLM!$GC$38</f>
        <v>3</v>
      </c>
      <c r="J10" s="7">
        <f>'Other Major Airline Stats'!I11</f>
        <v>3548</v>
      </c>
      <c r="K10" s="243">
        <f>SUM(B10:J10)</f>
        <v>34265</v>
      </c>
    </row>
    <row r="11" spans="1:20" ht="15.75" thickBot="1" x14ac:dyDescent="0.3">
      <c r="A11" s="48" t="s">
        <v>34</v>
      </c>
      <c r="B11" s="245">
        <f t="shared" ref="B11:J11" si="3">SUM(B9:B10)</f>
        <v>4813</v>
      </c>
      <c r="C11" s="245">
        <f t="shared" si="3"/>
        <v>53469</v>
      </c>
      <c r="D11" s="245">
        <f t="shared" si="3"/>
        <v>2037</v>
      </c>
      <c r="E11" s="245">
        <f t="shared" si="3"/>
        <v>570</v>
      </c>
      <c r="F11" s="245">
        <f t="shared" ref="F11:I11" si="4">SUM(F9:F10)</f>
        <v>0</v>
      </c>
      <c r="G11" s="245">
        <f t="shared" si="4"/>
        <v>0</v>
      </c>
      <c r="H11" s="245">
        <f t="shared" ref="H11" si="5">SUM(H9:H10)</f>
        <v>339</v>
      </c>
      <c r="I11" s="245">
        <f t="shared" si="4"/>
        <v>12</v>
      </c>
      <c r="J11" s="245">
        <f t="shared" si="3"/>
        <v>6842</v>
      </c>
      <c r="K11" s="246">
        <f>SUM(B11:J11)</f>
        <v>68082</v>
      </c>
    </row>
    <row r="13" spans="1:20" ht="13.5" thickBot="1" x14ac:dyDescent="0.25"/>
    <row r="14" spans="1:20" ht="15.75" thickTop="1" x14ac:dyDescent="0.25">
      <c r="A14" s="46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7" t="s">
        <v>22</v>
      </c>
      <c r="B15" s="13">
        <f>[3]American!$GC$4</f>
        <v>574</v>
      </c>
      <c r="C15" s="13">
        <f>[3]Delta!$GC$4+[3]Delta!$GC$15</f>
        <v>5067</v>
      </c>
      <c r="D15" s="13">
        <f>[3]United!$GC$4</f>
        <v>216</v>
      </c>
      <c r="E15" s="13">
        <f>[3]Spirit!$GC$4</f>
        <v>311</v>
      </c>
      <c r="F15" s="13">
        <f>[3]Condor!$GC$4</f>
        <v>0</v>
      </c>
      <c r="G15" s="13">
        <f>'[3]Air France'!$GC$4</f>
        <v>0</v>
      </c>
      <c r="H15" s="13">
        <f>'[3]Jet Blue'!$GC$4</f>
        <v>70</v>
      </c>
      <c r="I15" s="13">
        <f>[3]KLM!$GC$4+[3]KLM!$GC$15</f>
        <v>14</v>
      </c>
      <c r="J15" s="13">
        <f>'Other Major Airline Stats'!I16</f>
        <v>1645</v>
      </c>
      <c r="K15" s="18">
        <f>SUM(B15:J15)</f>
        <v>7897</v>
      </c>
    </row>
    <row r="16" spans="1:20" x14ac:dyDescent="0.2">
      <c r="A16" s="47" t="s">
        <v>23</v>
      </c>
      <c r="B16" s="7">
        <f>[3]American!$GC$5</f>
        <v>572</v>
      </c>
      <c r="C16" s="7">
        <f>[3]Delta!$GC$5+[3]Delta!$GC$16</f>
        <v>5064</v>
      </c>
      <c r="D16" s="7">
        <f>[3]United!$GC$5</f>
        <v>216</v>
      </c>
      <c r="E16" s="7">
        <f>[3]Spirit!$GC$5</f>
        <v>311</v>
      </c>
      <c r="F16" s="7">
        <f>[3]Condor!$GC$5</f>
        <v>0</v>
      </c>
      <c r="G16" s="7">
        <f>'[3]Air France'!$GC$5</f>
        <v>0</v>
      </c>
      <c r="H16" s="7">
        <f>'[3]Jet Blue'!$GC$5</f>
        <v>70</v>
      </c>
      <c r="I16" s="7">
        <f>[3]KLM!$GC$5+[3]KLM!$GC$16</f>
        <v>14</v>
      </c>
      <c r="J16" s="7">
        <f>'Other Major Airline Stats'!I17</f>
        <v>1640</v>
      </c>
      <c r="K16" s="24">
        <f>SUM(B16:J16)</f>
        <v>7887</v>
      </c>
    </row>
    <row r="17" spans="1:11" x14ac:dyDescent="0.2">
      <c r="A17" s="47" t="s">
        <v>24</v>
      </c>
      <c r="B17" s="249">
        <f t="shared" ref="B17:J17" si="6">SUM(B15:B16)</f>
        <v>1146</v>
      </c>
      <c r="C17" s="247">
        <f t="shared" si="6"/>
        <v>10131</v>
      </c>
      <c r="D17" s="247">
        <f t="shared" si="6"/>
        <v>432</v>
      </c>
      <c r="E17" s="247">
        <f t="shared" si="6"/>
        <v>622</v>
      </c>
      <c r="F17" s="247">
        <f t="shared" ref="F17:I17" si="7">SUM(F15:F16)</f>
        <v>0</v>
      </c>
      <c r="G17" s="247">
        <f t="shared" si="7"/>
        <v>0</v>
      </c>
      <c r="H17" s="247">
        <f t="shared" ref="H17" si="8">SUM(H15:H16)</f>
        <v>140</v>
      </c>
      <c r="I17" s="247">
        <f t="shared" si="7"/>
        <v>28</v>
      </c>
      <c r="J17" s="247">
        <f t="shared" si="6"/>
        <v>3285</v>
      </c>
      <c r="K17" s="248">
        <f>SUM(B17:J17)</f>
        <v>15784</v>
      </c>
    </row>
    <row r="18" spans="1:11" x14ac:dyDescent="0.2">
      <c r="A18" s="47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7" t="s">
        <v>25</v>
      </c>
      <c r="B19" s="13">
        <f>[3]American!$GC$8</f>
        <v>0</v>
      </c>
      <c r="C19" s="13">
        <f>[3]Delta!$GC$8</f>
        <v>5</v>
      </c>
      <c r="D19" s="13">
        <f>[3]United!$GC$8</f>
        <v>0</v>
      </c>
      <c r="E19" s="13">
        <f>[3]Spirit!$GC$8</f>
        <v>0</v>
      </c>
      <c r="F19" s="13">
        <f>[3]Condor!$GC$8</f>
        <v>0</v>
      </c>
      <c r="G19" s="13">
        <f>'[3]Air France'!$GC$8</f>
        <v>0</v>
      </c>
      <c r="H19" s="13">
        <f>'[3]Jet Blue'!$GC$8</f>
        <v>0</v>
      </c>
      <c r="I19" s="13">
        <f>[3]KLM!$GC$8</f>
        <v>0</v>
      </c>
      <c r="J19" s="13">
        <f>'Other Major Airline Stats'!I20</f>
        <v>64</v>
      </c>
      <c r="K19" s="18">
        <f>SUM(B19:J19)</f>
        <v>69</v>
      </c>
    </row>
    <row r="20" spans="1:11" x14ac:dyDescent="0.2">
      <c r="A20" s="47" t="s">
        <v>26</v>
      </c>
      <c r="B20" s="7">
        <f>[3]American!$GC$9</f>
        <v>0</v>
      </c>
      <c r="C20" s="7">
        <f>[3]Delta!$GC$9</f>
        <v>5</v>
      </c>
      <c r="D20" s="7">
        <f>[3]United!$GC$9</f>
        <v>0</v>
      </c>
      <c r="E20" s="7">
        <f>[3]Spirit!$GC$9</f>
        <v>0</v>
      </c>
      <c r="F20" s="7">
        <f>[3]Condor!$GC$9</f>
        <v>0</v>
      </c>
      <c r="G20" s="7">
        <f>'[3]Air France'!$GC$9</f>
        <v>0</v>
      </c>
      <c r="H20" s="7">
        <f>'[3]Jet Blue'!$GC$9</f>
        <v>0</v>
      </c>
      <c r="I20" s="7">
        <f>[3]KLM!$GC$9</f>
        <v>0</v>
      </c>
      <c r="J20" s="7">
        <f>'Other Major Airline Stats'!I21</f>
        <v>59</v>
      </c>
      <c r="K20" s="24">
        <f>SUM(B20:J20)</f>
        <v>64</v>
      </c>
    </row>
    <row r="21" spans="1:11" x14ac:dyDescent="0.2">
      <c r="A21" s="47" t="s">
        <v>27</v>
      </c>
      <c r="B21" s="249">
        <f t="shared" ref="B21:J21" si="9">SUM(B19:B20)</f>
        <v>0</v>
      </c>
      <c r="C21" s="247">
        <f t="shared" si="9"/>
        <v>10</v>
      </c>
      <c r="D21" s="247">
        <f t="shared" si="9"/>
        <v>0</v>
      </c>
      <c r="E21" s="247">
        <f t="shared" si="9"/>
        <v>0</v>
      </c>
      <c r="F21" s="247">
        <f t="shared" ref="F21:I21" si="10">SUM(F19:F20)</f>
        <v>0</v>
      </c>
      <c r="G21" s="247">
        <f t="shared" si="10"/>
        <v>0</v>
      </c>
      <c r="H21" s="247">
        <f t="shared" ref="H21" si="11">SUM(H19:H20)</f>
        <v>0</v>
      </c>
      <c r="I21" s="247">
        <f t="shared" si="10"/>
        <v>0</v>
      </c>
      <c r="J21" s="247">
        <f t="shared" si="9"/>
        <v>123</v>
      </c>
      <c r="K21" s="148">
        <f>SUM(B21:J21)</f>
        <v>133</v>
      </c>
    </row>
    <row r="22" spans="1:11" x14ac:dyDescent="0.2">
      <c r="A22" s="47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8" t="s">
        <v>28</v>
      </c>
      <c r="B23" s="19">
        <f t="shared" ref="B23:J23" si="12">B17+B21</f>
        <v>1146</v>
      </c>
      <c r="C23" s="19">
        <f t="shared" si="12"/>
        <v>10141</v>
      </c>
      <c r="D23" s="19">
        <f t="shared" si="12"/>
        <v>432</v>
      </c>
      <c r="E23" s="19">
        <f>E17+E21</f>
        <v>622</v>
      </c>
      <c r="F23" s="19">
        <f t="shared" ref="F23:I23" si="13">F17+F21</f>
        <v>0</v>
      </c>
      <c r="G23" s="19">
        <f t="shared" si="13"/>
        <v>0</v>
      </c>
      <c r="H23" s="19">
        <f t="shared" ref="H23" si="14">H17+H21</f>
        <v>140</v>
      </c>
      <c r="I23" s="19">
        <f t="shared" si="13"/>
        <v>28</v>
      </c>
      <c r="J23" s="19">
        <f t="shared" si="12"/>
        <v>3408</v>
      </c>
      <c r="K23" s="20">
        <f>SUM(B23:J23)</f>
        <v>15917</v>
      </c>
    </row>
    <row r="25" spans="1:11" ht="13.5" thickBot="1" x14ac:dyDescent="0.25">
      <c r="B25" s="357"/>
      <c r="C25" s="357"/>
      <c r="D25" s="357"/>
      <c r="E25" s="357"/>
      <c r="F25" s="357"/>
      <c r="G25" s="357"/>
      <c r="H25" s="357"/>
      <c r="I25" s="357"/>
      <c r="J25" s="357"/>
    </row>
    <row r="26" spans="1:11" ht="15.75" thickTop="1" x14ac:dyDescent="0.25">
      <c r="A26" s="50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7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7" t="s">
        <v>37</v>
      </c>
      <c r="B28" s="13">
        <f>[3]American!$GC$47</f>
        <v>22887</v>
      </c>
      <c r="C28" s="13">
        <f>[3]Delta!$GC$47</f>
        <v>3672279</v>
      </c>
      <c r="D28" s="13">
        <f>[3]United!$GC$47</f>
        <v>24976</v>
      </c>
      <c r="E28" s="13">
        <f>[3]Spirit!$GC$47</f>
        <v>0</v>
      </c>
      <c r="F28" s="13">
        <f>[3]Condor!$GC$47</f>
        <v>0</v>
      </c>
      <c r="G28" s="13">
        <f>'[3]Air France'!$GC$47</f>
        <v>0</v>
      </c>
      <c r="H28" s="13">
        <f>'[3]Jet Blue'!$GC$47</f>
        <v>0</v>
      </c>
      <c r="I28" s="13">
        <f>[3]KLM!$GC$47</f>
        <v>518445</v>
      </c>
      <c r="J28" s="13">
        <f>'Other Major Airline Stats'!I28</f>
        <v>272991</v>
      </c>
      <c r="K28" s="18">
        <f>SUM(B28:J28)</f>
        <v>4511578</v>
      </c>
    </row>
    <row r="29" spans="1:11" x14ac:dyDescent="0.2">
      <c r="A29" s="47" t="s">
        <v>38</v>
      </c>
      <c r="B29" s="7">
        <f>[3]American!$GC$48</f>
        <v>39751</v>
      </c>
      <c r="C29" s="7">
        <f>[3]Delta!$GC$48</f>
        <v>1458677</v>
      </c>
      <c r="D29" s="7">
        <f>[3]United!$GC$48</f>
        <v>47144</v>
      </c>
      <c r="E29" s="7">
        <f>[3]Spirit!$GC$48</f>
        <v>0</v>
      </c>
      <c r="F29" s="7">
        <f>[3]Condor!$GC$48</f>
        <v>0</v>
      </c>
      <c r="G29" s="7">
        <f>'[3]Air France'!$GC$48</f>
        <v>0</v>
      </c>
      <c r="H29" s="7">
        <f>'[3]Jet Blue'!$GC$48</f>
        <v>0</v>
      </c>
      <c r="I29" s="7">
        <f>[3]KLM!$GC$48</f>
        <v>0</v>
      </c>
      <c r="J29" s="7">
        <f>'Other Major Airline Stats'!I29</f>
        <v>180732</v>
      </c>
      <c r="K29" s="24">
        <f>SUM(B29:J29)</f>
        <v>1726304</v>
      </c>
    </row>
    <row r="30" spans="1:11" x14ac:dyDescent="0.2">
      <c r="A30" s="51" t="s">
        <v>39</v>
      </c>
      <c r="B30" s="249">
        <f t="shared" ref="B30:J30" si="15">SUM(B28:B29)</f>
        <v>62638</v>
      </c>
      <c r="C30" s="249">
        <f t="shared" si="15"/>
        <v>5130956</v>
      </c>
      <c r="D30" s="249">
        <f t="shared" si="15"/>
        <v>72120</v>
      </c>
      <c r="E30" s="249">
        <f t="shared" si="15"/>
        <v>0</v>
      </c>
      <c r="F30" s="249">
        <f t="shared" ref="F30:I30" si="16">SUM(F28:F29)</f>
        <v>0</v>
      </c>
      <c r="G30" s="249">
        <f t="shared" si="16"/>
        <v>0</v>
      </c>
      <c r="H30" s="249">
        <f t="shared" ref="H30" si="17">SUM(H28:H29)</f>
        <v>0</v>
      </c>
      <c r="I30" s="249">
        <f t="shared" si="16"/>
        <v>518445</v>
      </c>
      <c r="J30" s="249">
        <f t="shared" si="15"/>
        <v>453723</v>
      </c>
      <c r="K30" s="18">
        <f>SUM(B30:J30)</f>
        <v>6237882</v>
      </c>
    </row>
    <row r="31" spans="1:11" x14ac:dyDescent="0.2">
      <c r="A31" s="47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7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18">SUM(B32:J32)</f>
        <v>0</v>
      </c>
    </row>
    <row r="33" spans="1:11" x14ac:dyDescent="0.2">
      <c r="A33" s="47" t="s">
        <v>37</v>
      </c>
      <c r="B33" s="13">
        <f>[3]American!$GC$52</f>
        <v>8231</v>
      </c>
      <c r="C33" s="13">
        <f>[3]Delta!$GC$52</f>
        <v>2379839</v>
      </c>
      <c r="D33" s="13">
        <f>[3]United!$GC$52</f>
        <v>4221</v>
      </c>
      <c r="E33" s="13">
        <f>[3]Spirit!$GC$52</f>
        <v>0</v>
      </c>
      <c r="F33" s="13">
        <f>[3]Condor!$GC$52</f>
        <v>0</v>
      </c>
      <c r="G33" s="13">
        <f>'[3]Air France'!$GC$52</f>
        <v>0</v>
      </c>
      <c r="H33" s="13">
        <f>'[3]Jet Blue'!$GC$52</f>
        <v>0</v>
      </c>
      <c r="I33" s="13">
        <f>[3]KLM!$GC$52</f>
        <v>234300</v>
      </c>
      <c r="J33" s="13">
        <f>'Other Major Airline Stats'!I33</f>
        <v>102103</v>
      </c>
      <c r="K33" s="18">
        <f t="shared" si="18"/>
        <v>2728694</v>
      </c>
    </row>
    <row r="34" spans="1:11" x14ac:dyDescent="0.2">
      <c r="A34" s="47" t="s">
        <v>38</v>
      </c>
      <c r="B34" s="7">
        <f>[3]American!$GC$53</f>
        <v>65342</v>
      </c>
      <c r="C34" s="7">
        <f>[3]Delta!$GC$53</f>
        <v>1724409</v>
      </c>
      <c r="D34" s="7">
        <f>[3]United!$GC$53</f>
        <v>73424</v>
      </c>
      <c r="E34" s="7">
        <f>[3]Spirit!$GC$53</f>
        <v>0</v>
      </c>
      <c r="F34" s="7">
        <f>[3]Condor!$GC$53</f>
        <v>0</v>
      </c>
      <c r="G34" s="7">
        <f>'[3]Air France'!$GC$53</f>
        <v>0</v>
      </c>
      <c r="H34" s="7">
        <f>'[3]Jet Blue'!$GC$53</f>
        <v>0</v>
      </c>
      <c r="I34" s="7">
        <f>[3]KLM!$GC$53</f>
        <v>0</v>
      </c>
      <c r="J34" s="7">
        <f>'Other Major Airline Stats'!I34</f>
        <v>396571</v>
      </c>
      <c r="K34" s="24">
        <f t="shared" si="18"/>
        <v>2259746</v>
      </c>
    </row>
    <row r="35" spans="1:11" x14ac:dyDescent="0.2">
      <c r="A35" s="51" t="s">
        <v>41</v>
      </c>
      <c r="B35" s="249">
        <f t="shared" ref="B35:J35" si="19">SUM(B33:B34)</f>
        <v>73573</v>
      </c>
      <c r="C35" s="249">
        <f t="shared" si="19"/>
        <v>4104248</v>
      </c>
      <c r="D35" s="249">
        <f t="shared" si="19"/>
        <v>77645</v>
      </c>
      <c r="E35" s="249">
        <f t="shared" si="19"/>
        <v>0</v>
      </c>
      <c r="F35" s="249">
        <f t="shared" ref="F35:I35" si="20">SUM(F33:F34)</f>
        <v>0</v>
      </c>
      <c r="G35" s="249">
        <f t="shared" si="20"/>
        <v>0</v>
      </c>
      <c r="H35" s="249">
        <f t="shared" ref="H35" si="21">SUM(H33:H34)</f>
        <v>0</v>
      </c>
      <c r="I35" s="249">
        <f t="shared" si="20"/>
        <v>234300</v>
      </c>
      <c r="J35" s="249">
        <f t="shared" si="19"/>
        <v>498674</v>
      </c>
      <c r="K35" s="18">
        <f t="shared" si="18"/>
        <v>4988440</v>
      </c>
    </row>
    <row r="36" spans="1:11" hidden="1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18"/>
        <v>0</v>
      </c>
    </row>
    <row r="37" spans="1:11" hidden="1" x14ac:dyDescent="0.2">
      <c r="A37" s="47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18"/>
        <v>0</v>
      </c>
    </row>
    <row r="38" spans="1:11" hidden="1" x14ac:dyDescent="0.2">
      <c r="A38" s="47" t="s">
        <v>37</v>
      </c>
      <c r="B38" s="13">
        <f>[3]American!$GC$57</f>
        <v>0</v>
      </c>
      <c r="C38" s="13">
        <f>[3]Delta!$GC$57</f>
        <v>0</v>
      </c>
      <c r="D38" s="13">
        <f>[3]United!$GC$57</f>
        <v>0</v>
      </c>
      <c r="E38" s="13">
        <f>[3]Spirit!$GC$57</f>
        <v>0</v>
      </c>
      <c r="F38" s="13">
        <f>[3]Condor!$GC$57</f>
        <v>0</v>
      </c>
      <c r="G38" s="13">
        <f>'[3]Air France'!$GC$57</f>
        <v>0</v>
      </c>
      <c r="H38" s="13">
        <f>'[3]Jet Blue'!$GC$57</f>
        <v>0</v>
      </c>
      <c r="I38" s="13">
        <f>[3]KLM!$GC$57</f>
        <v>0</v>
      </c>
      <c r="J38" s="13">
        <f>'Other Major Airline Stats'!I38</f>
        <v>0</v>
      </c>
      <c r="K38" s="18">
        <f t="shared" si="18"/>
        <v>0</v>
      </c>
    </row>
    <row r="39" spans="1:11" hidden="1" x14ac:dyDescent="0.2">
      <c r="A39" s="47" t="s">
        <v>38</v>
      </c>
      <c r="B39" s="7">
        <f>[3]American!$GC$58</f>
        <v>0</v>
      </c>
      <c r="C39" s="7">
        <f>[3]Delta!$GC$58</f>
        <v>0</v>
      </c>
      <c r="D39" s="7">
        <f>[3]United!$GC$58</f>
        <v>0</v>
      </c>
      <c r="E39" s="7">
        <f>[3]Spirit!$GC$58</f>
        <v>0</v>
      </c>
      <c r="F39" s="7">
        <f>[3]Condor!$GC$58</f>
        <v>0</v>
      </c>
      <c r="G39" s="7">
        <f>'[3]Air France'!$GC$58</f>
        <v>0</v>
      </c>
      <c r="H39" s="7">
        <f>'[3]Jet Blue'!$GC$58</f>
        <v>0</v>
      </c>
      <c r="I39" s="7">
        <f>[3]KLM!$GC$58</f>
        <v>0</v>
      </c>
      <c r="J39" s="7">
        <f>'Other Major Airline Stats'!I39</f>
        <v>0</v>
      </c>
      <c r="K39" s="24">
        <f t="shared" si="18"/>
        <v>0</v>
      </c>
    </row>
    <row r="40" spans="1:11" hidden="1" x14ac:dyDescent="0.2">
      <c r="A40" s="51" t="s">
        <v>43</v>
      </c>
      <c r="B40" s="249">
        <f t="shared" ref="B40:J40" si="22">SUM(B38:B39)</f>
        <v>0</v>
      </c>
      <c r="C40" s="249">
        <f t="shared" si="22"/>
        <v>0</v>
      </c>
      <c r="D40" s="249">
        <f t="shared" si="22"/>
        <v>0</v>
      </c>
      <c r="E40" s="249">
        <f t="shared" si="22"/>
        <v>0</v>
      </c>
      <c r="F40" s="249">
        <f t="shared" ref="F40:I40" si="23">SUM(F38:F39)</f>
        <v>0</v>
      </c>
      <c r="G40" s="249">
        <f t="shared" si="23"/>
        <v>0</v>
      </c>
      <c r="H40" s="249">
        <f t="shared" ref="H40" si="24">SUM(H38:H39)</f>
        <v>0</v>
      </c>
      <c r="I40" s="249">
        <f t="shared" si="23"/>
        <v>0</v>
      </c>
      <c r="J40" s="249">
        <f t="shared" si="22"/>
        <v>0</v>
      </c>
      <c r="K40" s="18">
        <f t="shared" si="18"/>
        <v>0</v>
      </c>
    </row>
    <row r="41" spans="1:11" x14ac:dyDescent="0.2">
      <c r="A41" s="47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7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7" t="s">
        <v>45</v>
      </c>
      <c r="B43" s="13">
        <f t="shared" ref="B43:J44" si="25">B28+B33+B38</f>
        <v>31118</v>
      </c>
      <c r="C43" s="13">
        <f t="shared" si="25"/>
        <v>6052118</v>
      </c>
      <c r="D43" s="13">
        <f t="shared" si="25"/>
        <v>29197</v>
      </c>
      <c r="E43" s="13">
        <f>E28+E33+E38</f>
        <v>0</v>
      </c>
      <c r="F43" s="13">
        <f t="shared" ref="F43:I43" si="26">F28+F33+F38</f>
        <v>0</v>
      </c>
      <c r="G43" s="13">
        <f t="shared" si="26"/>
        <v>0</v>
      </c>
      <c r="H43" s="13">
        <f t="shared" ref="H43" si="27">H28+H33+H38</f>
        <v>0</v>
      </c>
      <c r="I43" s="13">
        <f t="shared" si="26"/>
        <v>752745</v>
      </c>
      <c r="J43" s="13">
        <f t="shared" si="25"/>
        <v>375094</v>
      </c>
      <c r="K43" s="18">
        <f>SUM(B43:J43)</f>
        <v>7240272</v>
      </c>
    </row>
    <row r="44" spans="1:11" x14ac:dyDescent="0.2">
      <c r="A44" s="47" t="s">
        <v>38</v>
      </c>
      <c r="B44" s="7">
        <f t="shared" si="25"/>
        <v>105093</v>
      </c>
      <c r="C44" s="7">
        <f t="shared" si="25"/>
        <v>3183086</v>
      </c>
      <c r="D44" s="7">
        <f t="shared" si="25"/>
        <v>120568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577303</v>
      </c>
      <c r="K44" s="18">
        <f>SUM(B44:J44)</f>
        <v>3986050</v>
      </c>
    </row>
    <row r="45" spans="1:11" ht="15.75" thickBot="1" x14ac:dyDescent="0.3">
      <c r="A45" s="48" t="s">
        <v>46</v>
      </c>
      <c r="B45" s="250">
        <f t="shared" ref="B45:J45" si="30">SUM(B43:B44)</f>
        <v>136211</v>
      </c>
      <c r="C45" s="250">
        <f t="shared" si="30"/>
        <v>9235204</v>
      </c>
      <c r="D45" s="250">
        <f t="shared" si="30"/>
        <v>149765</v>
      </c>
      <c r="E45" s="250">
        <f t="shared" si="30"/>
        <v>0</v>
      </c>
      <c r="F45" s="250">
        <f t="shared" ref="F45:I45" si="31">SUM(F43:F44)</f>
        <v>0</v>
      </c>
      <c r="G45" s="250">
        <f t="shared" si="31"/>
        <v>0</v>
      </c>
      <c r="H45" s="250">
        <f t="shared" ref="H45" si="32">SUM(H43:H44)</f>
        <v>0</v>
      </c>
      <c r="I45" s="250">
        <f t="shared" si="31"/>
        <v>752745</v>
      </c>
      <c r="J45" s="250">
        <f t="shared" si="30"/>
        <v>952397</v>
      </c>
      <c r="K45" s="251">
        <f>SUM(B45:J45)</f>
        <v>11226322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22" t="s">
        <v>123</v>
      </c>
      <c r="C47" s="276">
        <f>[3]Delta!$GC$70+[3]Delta!$GC$73</f>
        <v>399462</v>
      </c>
      <c r="D47" s="264"/>
      <c r="E47" s="264"/>
      <c r="F47" s="264"/>
      <c r="G47" s="264"/>
      <c r="H47" s="264"/>
      <c r="I47" s="264"/>
      <c r="J47" s="264"/>
      <c r="K47" s="265">
        <f>SUM(B47:J47)</f>
        <v>399462</v>
      </c>
    </row>
    <row r="48" spans="1:11" hidden="1" x14ac:dyDescent="0.2">
      <c r="A48" s="323" t="s">
        <v>124</v>
      </c>
      <c r="C48" s="276">
        <f>[3]Delta!$GC$71+[3]Delta!$GC$74</f>
        <v>265200</v>
      </c>
      <c r="D48" s="264"/>
      <c r="E48" s="264"/>
      <c r="F48" s="264"/>
      <c r="G48" s="264"/>
      <c r="H48" s="264"/>
      <c r="I48" s="264"/>
      <c r="J48" s="264"/>
      <c r="K48" s="265">
        <f>SUM(B48:J48)</f>
        <v>265200</v>
      </c>
    </row>
    <row r="49" spans="1:11" hidden="1" x14ac:dyDescent="0.2">
      <c r="A49" s="324" t="s">
        <v>125</v>
      </c>
      <c r="C49" s="277">
        <f>SUM(C47:C48)</f>
        <v>664662</v>
      </c>
      <c r="K49" s="265">
        <f>SUM(B49:J49)</f>
        <v>664662</v>
      </c>
    </row>
    <row r="50" spans="1:11" x14ac:dyDescent="0.2">
      <c r="A50" s="322" t="s">
        <v>123</v>
      </c>
      <c r="B50" s="333"/>
      <c r="C50" s="279">
        <f>[3]Delta!$GC$70+[3]Delta!$GC$73</f>
        <v>399462</v>
      </c>
      <c r="D50" s="333"/>
      <c r="E50" s="279">
        <f>[3]Spirit!$GC$70+[3]Spirit!$GC$73</f>
        <v>0</v>
      </c>
      <c r="F50" s="333"/>
      <c r="G50" s="333"/>
      <c r="H50" s="333"/>
      <c r="I50" s="333"/>
      <c r="J50" s="278">
        <f>'Other Major Airline Stats'!I48</f>
        <v>185668</v>
      </c>
      <c r="K50" s="268">
        <f>SUM(B50:J50)</f>
        <v>585130</v>
      </c>
    </row>
    <row r="51" spans="1:11" x14ac:dyDescent="0.2">
      <c r="A51" s="335" t="s">
        <v>124</v>
      </c>
      <c r="B51" s="333"/>
      <c r="C51" s="279">
        <f>[3]Delta!$GC$71+[3]Delta!$GC$74</f>
        <v>265200</v>
      </c>
      <c r="D51" s="333"/>
      <c r="E51" s="279">
        <f>[3]Spirit!$GC$71+[3]Spirit!$GC$74</f>
        <v>0</v>
      </c>
      <c r="F51" s="333"/>
      <c r="G51" s="333"/>
      <c r="H51" s="333"/>
      <c r="I51" s="333"/>
      <c r="J51" s="278">
        <f>+'Other Major Airline Stats'!I49</f>
        <v>1611</v>
      </c>
      <c r="K51" s="268">
        <f>SUM(B51:J51)</f>
        <v>266811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February 2019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topLeftCell="A11" zoomScaleNormal="100" workbookViewId="0">
      <selection activeCell="F58" sqref="F58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325">
        <v>43497</v>
      </c>
      <c r="B2" s="374" t="s">
        <v>47</v>
      </c>
      <c r="C2" s="373" t="s">
        <v>183</v>
      </c>
      <c r="D2" s="373" t="s">
        <v>184</v>
      </c>
      <c r="E2" s="374" t="s">
        <v>48</v>
      </c>
      <c r="F2" s="373" t="s">
        <v>131</v>
      </c>
      <c r="G2" s="373" t="s">
        <v>49</v>
      </c>
      <c r="H2" s="373" t="s">
        <v>130</v>
      </c>
      <c r="I2" s="146" t="s">
        <v>61</v>
      </c>
    </row>
    <row r="3" spans="1:12" ht="15.75" thickTop="1" x14ac:dyDescent="0.25">
      <c r="A3" s="49" t="s">
        <v>3</v>
      </c>
      <c r="B3" s="102"/>
      <c r="C3" s="102"/>
      <c r="D3" s="102"/>
      <c r="E3" s="102"/>
      <c r="F3" s="102"/>
      <c r="G3" s="102"/>
      <c r="H3" s="102"/>
      <c r="I3" s="125"/>
    </row>
    <row r="4" spans="1:12" x14ac:dyDescent="0.2">
      <c r="A4" s="47" t="s">
        <v>29</v>
      </c>
      <c r="B4" s="97"/>
      <c r="C4" s="97"/>
      <c r="D4" s="97"/>
      <c r="E4" s="97"/>
      <c r="F4" s="97"/>
      <c r="G4" s="97"/>
      <c r="H4" s="97"/>
      <c r="I4" s="126"/>
    </row>
    <row r="5" spans="1:12" x14ac:dyDescent="0.2">
      <c r="A5" s="47" t="s">
        <v>30</v>
      </c>
      <c r="B5" s="97">
        <f>[3]Frontier!$GC$22</f>
        <v>15976</v>
      </c>
      <c r="C5" s="97">
        <f>'[3]Air Choice One'!$GC$22</f>
        <v>336</v>
      </c>
      <c r="D5" s="97">
        <f>'[3]Boutique Air'!$GC$22</f>
        <v>244</v>
      </c>
      <c r="E5" s="97">
        <f>[3]Icelandair!$GC$32</f>
        <v>0</v>
      </c>
      <c r="F5" s="97">
        <f>[3]Southwest!$GC$22</f>
        <v>65557</v>
      </c>
      <c r="G5" s="97">
        <f>'[3]Sun Country'!$GC$22+'[3]Sun Country'!$GC$32</f>
        <v>112486</v>
      </c>
      <c r="H5" s="97">
        <f>[3]Alaska!$GC$22</f>
        <v>7537</v>
      </c>
      <c r="I5" s="120">
        <f>SUM(B5:H5)</f>
        <v>202136</v>
      </c>
      <c r="L5" s="97"/>
    </row>
    <row r="6" spans="1:12" x14ac:dyDescent="0.2">
      <c r="A6" s="47" t="s">
        <v>31</v>
      </c>
      <c r="B6" s="97">
        <f>[3]Frontier!$GC$23</f>
        <v>16619</v>
      </c>
      <c r="C6" s="97">
        <f>'[3]Air Choice One'!$GC$23</f>
        <v>417</v>
      </c>
      <c r="D6" s="97">
        <f>'[3]Boutique Air'!$GC$23</f>
        <v>221</v>
      </c>
      <c r="E6" s="97">
        <f>[3]Icelandair!$GC$33</f>
        <v>0</v>
      </c>
      <c r="F6" s="97">
        <f>[3]Southwest!$GC$23</f>
        <v>66200</v>
      </c>
      <c r="G6" s="97">
        <f>'[3]Sun Country'!$GC$23+'[3]Sun Country'!$GC$33</f>
        <v>121079</v>
      </c>
      <c r="H6" s="97">
        <f>[3]Alaska!$GC$23</f>
        <v>7685</v>
      </c>
      <c r="I6" s="120">
        <f>SUM(B6:H6)</f>
        <v>212221</v>
      </c>
    </row>
    <row r="7" spans="1:12" ht="15" x14ac:dyDescent="0.25">
      <c r="A7" s="45" t="s">
        <v>7</v>
      </c>
      <c r="B7" s="128">
        <f t="shared" ref="B7:H7" si="0">SUM(B5:B6)</f>
        <v>32595</v>
      </c>
      <c r="C7" s="128">
        <f t="shared" ref="C7:D7" si="1">SUM(C5:C6)</f>
        <v>753</v>
      </c>
      <c r="D7" s="128">
        <f t="shared" si="1"/>
        <v>465</v>
      </c>
      <c r="E7" s="128">
        <f t="shared" si="0"/>
        <v>0</v>
      </c>
      <c r="F7" s="128">
        <f t="shared" si="0"/>
        <v>131757</v>
      </c>
      <c r="G7" s="128">
        <f>SUM(G5:G6)</f>
        <v>233565</v>
      </c>
      <c r="H7" s="128">
        <f t="shared" si="0"/>
        <v>15222</v>
      </c>
      <c r="I7" s="129">
        <f>SUM(B7:H7)</f>
        <v>414357</v>
      </c>
    </row>
    <row r="8" spans="1:12" x14ac:dyDescent="0.2">
      <c r="A8" s="47"/>
      <c r="B8" s="127"/>
      <c r="C8" s="127"/>
      <c r="D8" s="127"/>
      <c r="E8" s="127"/>
      <c r="F8" s="127"/>
      <c r="G8" s="127"/>
      <c r="H8" s="127"/>
      <c r="I8" s="120"/>
    </row>
    <row r="9" spans="1:12" x14ac:dyDescent="0.2">
      <c r="A9" s="47" t="s">
        <v>32</v>
      </c>
      <c r="B9" s="127"/>
      <c r="C9" s="127"/>
      <c r="D9" s="127"/>
      <c r="E9" s="127"/>
      <c r="F9" s="127"/>
      <c r="G9" s="127"/>
      <c r="H9" s="127"/>
      <c r="I9" s="120"/>
    </row>
    <row r="10" spans="1:12" x14ac:dyDescent="0.2">
      <c r="A10" s="47" t="s">
        <v>30</v>
      </c>
      <c r="B10" s="127">
        <f>[3]Frontier!$GC$27</f>
        <v>126</v>
      </c>
      <c r="C10" s="127">
        <f>'[3]Air Choice One'!$GC$27</f>
        <v>0</v>
      </c>
      <c r="D10" s="127">
        <f>'[3]Boutique Air'!$GC$27</f>
        <v>0</v>
      </c>
      <c r="E10" s="127">
        <f>[3]Icelandair!$GC$37</f>
        <v>0</v>
      </c>
      <c r="F10" s="127">
        <f>[3]Southwest!$GC$27</f>
        <v>1452</v>
      </c>
      <c r="G10" s="127">
        <f>'[3]Sun Country'!$GC$27+'[3]Sun Country'!$GC$37</f>
        <v>1474</v>
      </c>
      <c r="H10" s="127">
        <f>[3]Alaska!$GC$27</f>
        <v>242</v>
      </c>
      <c r="I10" s="120">
        <f>SUM(B10:H10)</f>
        <v>3294</v>
      </c>
    </row>
    <row r="11" spans="1:12" x14ac:dyDescent="0.2">
      <c r="A11" s="47" t="s">
        <v>33</v>
      </c>
      <c r="B11" s="130">
        <f>[3]Frontier!$GC$28</f>
        <v>137</v>
      </c>
      <c r="C11" s="130">
        <f>'[3]Air Choice One'!$GC$28</f>
        <v>0</v>
      </c>
      <c r="D11" s="130">
        <f>'[3]Boutique Air'!$GC$28</f>
        <v>0</v>
      </c>
      <c r="E11" s="130">
        <f>[3]Icelandair!$GC$38</f>
        <v>0</v>
      </c>
      <c r="F11" s="130">
        <f>[3]Southwest!$GC$28</f>
        <v>1561</v>
      </c>
      <c r="G11" s="130">
        <f>'[3]Sun Country'!$GC$28+'[3]Sun Country'!$GC$38</f>
        <v>1571</v>
      </c>
      <c r="H11" s="130">
        <f>[3]Alaska!$GC$28</f>
        <v>279</v>
      </c>
      <c r="I11" s="120">
        <f>SUM(B11:H11)</f>
        <v>3548</v>
      </c>
    </row>
    <row r="12" spans="1:12" ht="15.75" thickBot="1" x14ac:dyDescent="0.3">
      <c r="A12" s="48" t="s">
        <v>34</v>
      </c>
      <c r="B12" s="123">
        <f t="shared" ref="B12:H12" si="2">SUM(B10:B11)</f>
        <v>263</v>
      </c>
      <c r="C12" s="123">
        <f t="shared" ref="C12:D12" si="3">SUM(C10:C11)</f>
        <v>0</v>
      </c>
      <c r="D12" s="123">
        <f t="shared" si="3"/>
        <v>0</v>
      </c>
      <c r="E12" s="123">
        <f t="shared" si="2"/>
        <v>0</v>
      </c>
      <c r="F12" s="123">
        <f t="shared" si="2"/>
        <v>3013</v>
      </c>
      <c r="G12" s="123">
        <f>SUM(G10:G11)</f>
        <v>3045</v>
      </c>
      <c r="H12" s="123">
        <f t="shared" si="2"/>
        <v>521</v>
      </c>
      <c r="I12" s="131">
        <f>SUM(B12:H12)</f>
        <v>6842</v>
      </c>
      <c r="L12" s="97"/>
    </row>
    <row r="13" spans="1:12" ht="15" x14ac:dyDescent="0.25">
      <c r="A13" s="44"/>
      <c r="B13" s="252"/>
      <c r="C13" s="252"/>
      <c r="D13" s="252"/>
      <c r="E13" s="252"/>
      <c r="F13" s="252"/>
      <c r="G13" s="252"/>
      <c r="H13" s="252"/>
      <c r="I13" s="253"/>
    </row>
    <row r="14" spans="1:12" ht="13.5" thickBot="1" x14ac:dyDescent="0.25"/>
    <row r="15" spans="1:12" ht="15.75" thickTop="1" x14ac:dyDescent="0.25">
      <c r="A15" s="46" t="s">
        <v>9</v>
      </c>
      <c r="B15" s="118"/>
      <c r="C15" s="118"/>
      <c r="D15" s="118"/>
      <c r="E15" s="118"/>
      <c r="F15" s="118"/>
      <c r="G15" s="118"/>
      <c r="H15" s="118"/>
      <c r="I15" s="119"/>
    </row>
    <row r="16" spans="1:12" x14ac:dyDescent="0.2">
      <c r="A16" s="47" t="s">
        <v>22</v>
      </c>
      <c r="B16" s="97">
        <f>[3]Frontier!$GC$4</f>
        <v>94</v>
      </c>
      <c r="C16" s="87">
        <f>'[3]Air Choice One'!$GC$4</f>
        <v>81</v>
      </c>
      <c r="D16" s="87">
        <f>'[3]Boutique Air'!$GC$4</f>
        <v>60</v>
      </c>
      <c r="E16" s="97">
        <f>[3]Icelandair!$GC$15</f>
        <v>0</v>
      </c>
      <c r="F16" s="87">
        <f>[3]Southwest!$GC$4</f>
        <v>581</v>
      </c>
      <c r="G16" s="97">
        <f>'[3]Sun Country'!$GC$4+'[3]Sun Country'!$GC$15</f>
        <v>772</v>
      </c>
      <c r="H16" s="97">
        <f>[3]Alaska!$GC$4</f>
        <v>57</v>
      </c>
      <c r="I16" s="120">
        <f>SUM(B16:H16)</f>
        <v>1645</v>
      </c>
    </row>
    <row r="17" spans="1:256" x14ac:dyDescent="0.2">
      <c r="A17" s="47" t="s">
        <v>23</v>
      </c>
      <c r="B17" s="97">
        <f>[3]Frontier!$GC$5</f>
        <v>93</v>
      </c>
      <c r="C17" s="87">
        <f>'[3]Air Choice One'!$GC$5</f>
        <v>81</v>
      </c>
      <c r="D17" s="87">
        <f>'[3]Boutique Air'!$GC$5</f>
        <v>60</v>
      </c>
      <c r="E17" s="97">
        <f>[3]Icelandair!$GC$16</f>
        <v>0</v>
      </c>
      <c r="F17" s="87">
        <f>[3]Southwest!$GC$5</f>
        <v>574</v>
      </c>
      <c r="G17" s="97">
        <f>'[3]Sun Country'!$GC$5+'[3]Sun Country'!$GC$16</f>
        <v>775</v>
      </c>
      <c r="H17" s="97">
        <f>[3]Alaska!$GC$5</f>
        <v>57</v>
      </c>
      <c r="I17" s="120">
        <f>SUM(B17:H17)</f>
        <v>1640</v>
      </c>
    </row>
    <row r="18" spans="1:256" x14ac:dyDescent="0.2">
      <c r="A18" s="51" t="s">
        <v>24</v>
      </c>
      <c r="B18" s="121">
        <f t="shared" ref="B18:H18" si="4">SUM(B16:B17)</f>
        <v>187</v>
      </c>
      <c r="C18" s="121">
        <f t="shared" ref="C18:D18" si="5">SUM(C16:C17)</f>
        <v>162</v>
      </c>
      <c r="D18" s="121">
        <f t="shared" si="5"/>
        <v>120</v>
      </c>
      <c r="E18" s="121">
        <f t="shared" si="4"/>
        <v>0</v>
      </c>
      <c r="F18" s="121">
        <f t="shared" si="4"/>
        <v>1155</v>
      </c>
      <c r="G18" s="121">
        <f t="shared" si="4"/>
        <v>1547</v>
      </c>
      <c r="H18" s="121">
        <f t="shared" si="4"/>
        <v>114</v>
      </c>
      <c r="I18" s="122">
        <f>SUM(B18:H18)</f>
        <v>3285</v>
      </c>
    </row>
    <row r="19" spans="1:256" x14ac:dyDescent="0.2">
      <c r="A19" s="51"/>
      <c r="B19" s="95"/>
      <c r="C19" s="95"/>
      <c r="D19" s="95"/>
      <c r="E19" s="95"/>
      <c r="F19" s="95"/>
      <c r="G19" s="95"/>
      <c r="H19" s="95"/>
      <c r="I19" s="120"/>
    </row>
    <row r="20" spans="1:256" x14ac:dyDescent="0.2">
      <c r="A20" s="47" t="s">
        <v>25</v>
      </c>
      <c r="B20" s="97">
        <f>[3]Frontier!$GC$8</f>
        <v>0</v>
      </c>
      <c r="C20" s="97">
        <f>'[3]Air Choice One'!$GC$8</f>
        <v>0</v>
      </c>
      <c r="D20" s="97">
        <f>'[3]Boutique Air'!$GC$8</f>
        <v>0</v>
      </c>
      <c r="E20" s="97">
        <f>[3]Icelandair!$GC$8</f>
        <v>0</v>
      </c>
      <c r="F20" s="97">
        <f>[3]Southwest!$GC$8</f>
        <v>0</v>
      </c>
      <c r="G20" s="97">
        <f>'[3]Sun Country'!$GC$8</f>
        <v>64</v>
      </c>
      <c r="H20" s="97">
        <f>[3]Alaska!$GC$8</f>
        <v>0</v>
      </c>
      <c r="I20" s="120">
        <f>SUM(B20:H20)</f>
        <v>64</v>
      </c>
    </row>
    <row r="21" spans="1:256" x14ac:dyDescent="0.2">
      <c r="A21" s="47" t="s">
        <v>26</v>
      </c>
      <c r="B21" s="97">
        <f>[3]Frontier!$GC$9</f>
        <v>0</v>
      </c>
      <c r="C21" s="97">
        <f>'[3]Air Choice One'!$GC$9</f>
        <v>0</v>
      </c>
      <c r="D21" s="97">
        <f>'[3]Boutique Air'!$GC$9</f>
        <v>0</v>
      </c>
      <c r="E21" s="97">
        <f>[3]Icelandair!$GC$9</f>
        <v>0</v>
      </c>
      <c r="F21" s="97">
        <f>[3]Southwest!$GC$9</f>
        <v>0</v>
      </c>
      <c r="G21" s="97">
        <f>'[3]Sun Country'!$GC$9</f>
        <v>59</v>
      </c>
      <c r="H21" s="97">
        <f>[3]Alaska!$GC$9</f>
        <v>0</v>
      </c>
      <c r="I21" s="120">
        <f>SUM(B21:H21)</f>
        <v>59</v>
      </c>
    </row>
    <row r="22" spans="1:256" x14ac:dyDescent="0.2">
      <c r="A22" s="51" t="s">
        <v>27</v>
      </c>
      <c r="B22" s="121">
        <f t="shared" ref="B22:H22" si="6">SUM(B20:B21)</f>
        <v>0</v>
      </c>
      <c r="C22" s="121">
        <f t="shared" ref="C22:D22" si="7">SUM(C20:C21)</f>
        <v>0</v>
      </c>
      <c r="D22" s="121">
        <f t="shared" si="7"/>
        <v>0</v>
      </c>
      <c r="E22" s="121">
        <f t="shared" si="6"/>
        <v>0</v>
      </c>
      <c r="F22" s="121">
        <f t="shared" si="6"/>
        <v>0</v>
      </c>
      <c r="G22" s="121">
        <f t="shared" si="6"/>
        <v>123</v>
      </c>
      <c r="H22" s="121">
        <f t="shared" si="6"/>
        <v>0</v>
      </c>
      <c r="I22" s="122">
        <f>SUM(B22:H22)</f>
        <v>123</v>
      </c>
    </row>
    <row r="23" spans="1:256" ht="15.75" thickBot="1" x14ac:dyDescent="0.3">
      <c r="A23" s="48" t="s">
        <v>28</v>
      </c>
      <c r="B23" s="123">
        <f t="shared" ref="B23:H23" si="8">B22+B18</f>
        <v>187</v>
      </c>
      <c r="C23" s="123">
        <f t="shared" ref="C23:D23" si="9">C22+C18</f>
        <v>162</v>
      </c>
      <c r="D23" s="123">
        <f t="shared" si="9"/>
        <v>120</v>
      </c>
      <c r="E23" s="123">
        <f t="shared" si="8"/>
        <v>0</v>
      </c>
      <c r="F23" s="123">
        <f t="shared" si="8"/>
        <v>1155</v>
      </c>
      <c r="G23" s="123">
        <f t="shared" si="8"/>
        <v>1670</v>
      </c>
      <c r="H23" s="123">
        <f t="shared" si="8"/>
        <v>114</v>
      </c>
      <c r="I23" s="124">
        <f>SUM(B23:H23)</f>
        <v>3408</v>
      </c>
    </row>
    <row r="24" spans="1:256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3.5" thickBot="1" x14ac:dyDescent="0.25">
      <c r="B25" s="357"/>
      <c r="C25" s="357"/>
      <c r="D25" s="357"/>
      <c r="E25" s="357"/>
      <c r="F25" s="357"/>
      <c r="G25" s="357"/>
      <c r="H25" s="357"/>
      <c r="I25" s="97"/>
    </row>
    <row r="26" spans="1:256" ht="15.75" thickTop="1" x14ac:dyDescent="0.25">
      <c r="A26" s="50" t="s">
        <v>35</v>
      </c>
      <c r="B26" s="132"/>
      <c r="C26" s="132"/>
      <c r="D26" s="132"/>
      <c r="E26" s="132"/>
      <c r="F26" s="132"/>
      <c r="G26" s="132"/>
      <c r="H26" s="132"/>
      <c r="I26" s="133"/>
    </row>
    <row r="27" spans="1:256" x14ac:dyDescent="0.2">
      <c r="A27" s="47" t="s">
        <v>36</v>
      </c>
      <c r="B27" s="134"/>
      <c r="C27" s="134"/>
      <c r="D27" s="134"/>
      <c r="E27" s="134"/>
      <c r="F27" s="134"/>
      <c r="G27" s="134"/>
      <c r="H27" s="134"/>
      <c r="I27" s="126"/>
    </row>
    <row r="28" spans="1:256" x14ac:dyDescent="0.2">
      <c r="A28" s="47" t="s">
        <v>37</v>
      </c>
      <c r="B28" s="97">
        <f>[3]Frontier!$GC$47</f>
        <v>0</v>
      </c>
      <c r="C28" s="97">
        <f>'[3]Air Choice One'!$GC$47</f>
        <v>0</v>
      </c>
      <c r="D28" s="97">
        <f>'[3]Boutique Air'!$GC$47</f>
        <v>0</v>
      </c>
      <c r="E28" s="97">
        <f>[3]Icelandair!$GC$47</f>
        <v>0</v>
      </c>
      <c r="F28" s="97">
        <f>[3]Southwest!$GC$47</f>
        <v>244148</v>
      </c>
      <c r="G28" s="97">
        <f>'[3]Sun Country'!$GC$47</f>
        <v>25815</v>
      </c>
      <c r="H28" s="97">
        <f>[3]Alaska!$GC$47</f>
        <v>3028</v>
      </c>
      <c r="I28" s="120">
        <f>SUM(B28:H28)</f>
        <v>272991</v>
      </c>
    </row>
    <row r="29" spans="1:256" x14ac:dyDescent="0.2">
      <c r="A29" s="47" t="s">
        <v>38</v>
      </c>
      <c r="B29" s="97">
        <f>[3]Frontier!$GC$48</f>
        <v>0</v>
      </c>
      <c r="C29" s="97">
        <f>'[3]Air Choice One'!$GC$48</f>
        <v>0</v>
      </c>
      <c r="D29" s="97">
        <f>'[3]Boutique Air'!$GC$48</f>
        <v>0</v>
      </c>
      <c r="E29" s="97">
        <f>[3]Icelandair!$GC$48</f>
        <v>0</v>
      </c>
      <c r="F29" s="97">
        <f>[3]Southwest!$GC$48</f>
        <v>0</v>
      </c>
      <c r="G29" s="97">
        <f>'[3]Sun Country'!$GC$48</f>
        <v>180624</v>
      </c>
      <c r="H29" s="97">
        <f>[3]Alaska!$GC$48</f>
        <v>108</v>
      </c>
      <c r="I29" s="120">
        <f>SUM(B29:H29)</f>
        <v>180732</v>
      </c>
    </row>
    <row r="30" spans="1:256" x14ac:dyDescent="0.2">
      <c r="A30" s="51" t="s">
        <v>39</v>
      </c>
      <c r="B30" s="135">
        <f t="shared" ref="B30:H30" si="10">SUM(B28:B29)</f>
        <v>0</v>
      </c>
      <c r="C30" s="135">
        <f t="shared" ref="C30:D30" si="11">SUM(C28:C29)</f>
        <v>0</v>
      </c>
      <c r="D30" s="135">
        <f t="shared" si="11"/>
        <v>0</v>
      </c>
      <c r="E30" s="135">
        <f t="shared" si="10"/>
        <v>0</v>
      </c>
      <c r="F30" s="135">
        <f t="shared" si="10"/>
        <v>244148</v>
      </c>
      <c r="G30" s="135">
        <f t="shared" si="10"/>
        <v>206439</v>
      </c>
      <c r="H30" s="135">
        <f t="shared" si="10"/>
        <v>3136</v>
      </c>
      <c r="I30" s="137">
        <f>SUM(B30:H30)</f>
        <v>453723</v>
      </c>
    </row>
    <row r="31" spans="1:256" x14ac:dyDescent="0.2">
      <c r="A31" s="47"/>
      <c r="B31" s="127"/>
      <c r="C31" s="127"/>
      <c r="D31" s="127"/>
      <c r="E31" s="127"/>
      <c r="F31" s="127"/>
      <c r="G31" s="127"/>
      <c r="H31" s="127"/>
      <c r="I31" s="120"/>
    </row>
    <row r="32" spans="1:256" x14ac:dyDescent="0.2">
      <c r="A32" s="47" t="s">
        <v>40</v>
      </c>
      <c r="B32" s="97"/>
      <c r="C32" s="97"/>
      <c r="D32" s="97"/>
      <c r="E32" s="97"/>
      <c r="F32" s="97"/>
      <c r="G32" s="97"/>
      <c r="H32" s="97"/>
      <c r="I32" s="120"/>
    </row>
    <row r="33" spans="1:9" x14ac:dyDescent="0.2">
      <c r="A33" s="47" t="s">
        <v>37</v>
      </c>
      <c r="B33" s="97">
        <f>[3]Frontier!$GC$52</f>
        <v>0</v>
      </c>
      <c r="C33" s="97">
        <f>'[3]Air Choice One'!$GC$52</f>
        <v>0</v>
      </c>
      <c r="D33" s="97">
        <f>'[3]Boutique Air'!$GC$52</f>
        <v>0</v>
      </c>
      <c r="E33" s="97">
        <f>[3]Icelandair!$GC$52</f>
        <v>0</v>
      </c>
      <c r="F33" s="97">
        <f>[3]Southwest!$GC$52</f>
        <v>71669</v>
      </c>
      <c r="G33" s="97">
        <f>'[3]Sun Country'!$GC$52</f>
        <v>24332</v>
      </c>
      <c r="H33" s="97">
        <f>[3]Alaska!$GC$52</f>
        <v>6102</v>
      </c>
      <c r="I33" s="120">
        <f>SUM(B33:H33)</f>
        <v>102103</v>
      </c>
    </row>
    <row r="34" spans="1:9" x14ac:dyDescent="0.2">
      <c r="A34" s="47" t="s">
        <v>38</v>
      </c>
      <c r="B34" s="97">
        <f>[3]Frontier!$GC$53</f>
        <v>0</v>
      </c>
      <c r="C34" s="97">
        <f>'[3]Air Choice One'!$GC$53</f>
        <v>0</v>
      </c>
      <c r="D34" s="97">
        <f>'[3]Boutique Air'!$GC$53</f>
        <v>0</v>
      </c>
      <c r="E34" s="97">
        <f>[3]Icelandair!$GC$53</f>
        <v>0</v>
      </c>
      <c r="F34" s="97">
        <f>[3]Southwest!$GC$53</f>
        <v>0</v>
      </c>
      <c r="G34" s="97">
        <f>'[3]Sun Country'!$GC$53</f>
        <v>388885</v>
      </c>
      <c r="H34" s="97">
        <f>[3]Alaska!$GC$53</f>
        <v>7686</v>
      </c>
      <c r="I34" s="136">
        <f>SUM(B34:H34)</f>
        <v>396571</v>
      </c>
    </row>
    <row r="35" spans="1:9" x14ac:dyDescent="0.2">
      <c r="A35" s="51" t="s">
        <v>41</v>
      </c>
      <c r="B35" s="121">
        <f t="shared" ref="B35:H35" si="12">SUM(B33:B34)</f>
        <v>0</v>
      </c>
      <c r="C35" s="121">
        <f t="shared" ref="C35:D35" si="13">SUM(C33:C34)</f>
        <v>0</v>
      </c>
      <c r="D35" s="121">
        <f t="shared" si="13"/>
        <v>0</v>
      </c>
      <c r="E35" s="121">
        <f t="shared" si="12"/>
        <v>0</v>
      </c>
      <c r="F35" s="121">
        <f t="shared" si="12"/>
        <v>71669</v>
      </c>
      <c r="G35" s="121">
        <f t="shared" si="12"/>
        <v>413217</v>
      </c>
      <c r="H35" s="121">
        <f t="shared" si="12"/>
        <v>13788</v>
      </c>
      <c r="I35" s="137">
        <f>SUM(B35:H35)</f>
        <v>498674</v>
      </c>
    </row>
    <row r="36" spans="1:9" hidden="1" x14ac:dyDescent="0.2">
      <c r="A36" s="47"/>
      <c r="B36" s="127"/>
      <c r="C36" s="127"/>
      <c r="D36" s="127"/>
      <c r="E36" s="127"/>
      <c r="F36" s="127"/>
      <c r="G36" s="127"/>
      <c r="H36" s="127"/>
      <c r="I36" s="120"/>
    </row>
    <row r="37" spans="1:9" hidden="1" x14ac:dyDescent="0.2">
      <c r="A37" s="47" t="s">
        <v>42</v>
      </c>
      <c r="B37" s="127"/>
      <c r="C37" s="127"/>
      <c r="D37" s="127"/>
      <c r="E37" s="127"/>
      <c r="F37" s="127"/>
      <c r="G37" s="127"/>
      <c r="H37" s="127"/>
      <c r="I37" s="120"/>
    </row>
    <row r="38" spans="1:9" hidden="1" x14ac:dyDescent="0.2">
      <c r="A38" s="47" t="s">
        <v>37</v>
      </c>
      <c r="B38" s="127">
        <f>[3]Frontier!$GC$57</f>
        <v>0</v>
      </c>
      <c r="C38" s="127">
        <f>'[3]Air Choice One'!$GC$57</f>
        <v>0</v>
      </c>
      <c r="D38" s="127">
        <f>'[3]Boutique Air'!$GC$57</f>
        <v>0</v>
      </c>
      <c r="E38" s="127">
        <f>[3]Icelandair!$GC$57</f>
        <v>0</v>
      </c>
      <c r="F38" s="127">
        <f>[3]Southwest!$GC$57</f>
        <v>0</v>
      </c>
      <c r="G38" s="127">
        <f>'[3]Sun Country'!$GC$57</f>
        <v>0</v>
      </c>
      <c r="H38" s="127">
        <f>[3]Alaska!$GC$57</f>
        <v>0</v>
      </c>
      <c r="I38" s="120">
        <f>SUM(B38:G38)</f>
        <v>0</v>
      </c>
    </row>
    <row r="39" spans="1:9" hidden="1" x14ac:dyDescent="0.2">
      <c r="A39" s="47" t="s">
        <v>38</v>
      </c>
      <c r="B39" s="130">
        <f>[3]Frontier!$GC$58</f>
        <v>0</v>
      </c>
      <c r="C39" s="130">
        <f>'[3]Air Choice One'!$GC$58</f>
        <v>0</v>
      </c>
      <c r="D39" s="130">
        <f>'[3]Boutique Air'!$GC$58</f>
        <v>0</v>
      </c>
      <c r="E39" s="130">
        <f>[3]Icelandair!$GC$58</f>
        <v>0</v>
      </c>
      <c r="F39" s="130">
        <f>[3]Southwest!$GC$58</f>
        <v>0</v>
      </c>
      <c r="G39" s="130">
        <f>'[3]Sun Country'!$GC$58</f>
        <v>0</v>
      </c>
      <c r="H39" s="130">
        <f>[3]Alaska!$GC$58</f>
        <v>0</v>
      </c>
      <c r="I39" s="136">
        <f>SUM(B39:G39)</f>
        <v>0</v>
      </c>
    </row>
    <row r="40" spans="1:9" hidden="1" x14ac:dyDescent="0.2">
      <c r="A40" s="51" t="s">
        <v>43</v>
      </c>
      <c r="B40" s="138">
        <f t="shared" ref="B40:H40" si="14">SUM(B38:B39)</f>
        <v>0</v>
      </c>
      <c r="C40" s="138">
        <f t="shared" ref="C40:D40" si="15">SUM(C38:C39)</f>
        <v>0</v>
      </c>
      <c r="D40" s="138">
        <f t="shared" si="15"/>
        <v>0</v>
      </c>
      <c r="E40" s="138">
        <f t="shared" si="14"/>
        <v>0</v>
      </c>
      <c r="F40" s="138">
        <f t="shared" si="14"/>
        <v>0</v>
      </c>
      <c r="G40" s="138">
        <f t="shared" si="14"/>
        <v>0</v>
      </c>
      <c r="H40" s="138">
        <f t="shared" si="14"/>
        <v>0</v>
      </c>
      <c r="I40" s="120">
        <f>SUM(B40:G40)</f>
        <v>0</v>
      </c>
    </row>
    <row r="41" spans="1:9" x14ac:dyDescent="0.2">
      <c r="A41" s="47"/>
      <c r="B41" s="127"/>
      <c r="C41" s="127"/>
      <c r="D41" s="127"/>
      <c r="E41" s="127"/>
      <c r="F41" s="127"/>
      <c r="G41" s="127"/>
      <c r="H41" s="127"/>
      <c r="I41" s="120"/>
    </row>
    <row r="42" spans="1:9" x14ac:dyDescent="0.2">
      <c r="A42" s="47" t="s">
        <v>44</v>
      </c>
      <c r="B42" s="127"/>
      <c r="C42" s="127"/>
      <c r="D42" s="127"/>
      <c r="E42" s="127"/>
      <c r="F42" s="127"/>
      <c r="G42" s="127"/>
      <c r="H42" s="127"/>
      <c r="I42" s="120"/>
    </row>
    <row r="43" spans="1:9" x14ac:dyDescent="0.2">
      <c r="A43" s="47" t="s">
        <v>45</v>
      </c>
      <c r="B43" s="127">
        <f t="shared" ref="B43:H43" si="16">B28+B33+B38</f>
        <v>0</v>
      </c>
      <c r="C43" s="127">
        <f t="shared" ref="C43:D43" si="17">C28+C33+C38</f>
        <v>0</v>
      </c>
      <c r="D43" s="127">
        <f t="shared" si="17"/>
        <v>0</v>
      </c>
      <c r="E43" s="127">
        <f t="shared" si="16"/>
        <v>0</v>
      </c>
      <c r="F43" s="127">
        <f t="shared" si="16"/>
        <v>315817</v>
      </c>
      <c r="G43" s="127">
        <f t="shared" si="16"/>
        <v>50147</v>
      </c>
      <c r="H43" s="127">
        <f t="shared" si="16"/>
        <v>9130</v>
      </c>
      <c r="I43" s="120">
        <f>SUM(B43:H43)</f>
        <v>375094</v>
      </c>
    </row>
    <row r="44" spans="1:9" x14ac:dyDescent="0.2">
      <c r="A44" s="47" t="s">
        <v>38</v>
      </c>
      <c r="B44" s="130">
        <f t="shared" ref="B44:H44" si="18">+B39+B34+B29</f>
        <v>0</v>
      </c>
      <c r="C44" s="130">
        <f t="shared" ref="C44:D44" si="19">+C39+C34+C29</f>
        <v>0</v>
      </c>
      <c r="D44" s="130">
        <f t="shared" si="19"/>
        <v>0</v>
      </c>
      <c r="E44" s="130">
        <f t="shared" si="18"/>
        <v>0</v>
      </c>
      <c r="F44" s="130">
        <f t="shared" si="18"/>
        <v>0</v>
      </c>
      <c r="G44" s="130">
        <f t="shared" si="18"/>
        <v>569509</v>
      </c>
      <c r="H44" s="130">
        <f t="shared" si="18"/>
        <v>7794</v>
      </c>
      <c r="I44" s="120">
        <f>SUM(B44:H44)</f>
        <v>577303</v>
      </c>
    </row>
    <row r="45" spans="1:9" ht="15.75" thickBot="1" x14ac:dyDescent="0.3">
      <c r="A45" s="48" t="s">
        <v>46</v>
      </c>
      <c r="B45" s="139">
        <f t="shared" ref="B45:H45" si="20">B43+B44</f>
        <v>0</v>
      </c>
      <c r="C45" s="139">
        <f t="shared" ref="C45:D45" si="21">C43+C44</f>
        <v>0</v>
      </c>
      <c r="D45" s="139">
        <f t="shared" si="21"/>
        <v>0</v>
      </c>
      <c r="E45" s="139">
        <f t="shared" si="20"/>
        <v>0</v>
      </c>
      <c r="F45" s="139">
        <f t="shared" si="20"/>
        <v>315817</v>
      </c>
      <c r="G45" s="139">
        <f t="shared" si="20"/>
        <v>619656</v>
      </c>
      <c r="H45" s="139">
        <f t="shared" si="20"/>
        <v>16924</v>
      </c>
      <c r="I45" s="140">
        <f>SUM(B45:H45)</f>
        <v>952397</v>
      </c>
    </row>
    <row r="48" spans="1:9" x14ac:dyDescent="0.2">
      <c r="A48" s="322" t="s">
        <v>123</v>
      </c>
      <c r="B48" s="333"/>
      <c r="C48" s="333"/>
      <c r="D48" s="333"/>
      <c r="F48" s="279">
        <f>[3]Southwest!$GC$70+[3]Southwest!$GC$73</f>
        <v>65685</v>
      </c>
      <c r="G48" s="279">
        <f>'[3]Sun Country'!$GC$70+'[3]Sun Country'!$GC$73</f>
        <v>119983</v>
      </c>
      <c r="H48" s="333"/>
      <c r="I48" s="268">
        <f>SUM(B48:H48)</f>
        <v>185668</v>
      </c>
    </row>
    <row r="49" spans="1:9" x14ac:dyDescent="0.2">
      <c r="A49" s="335" t="s">
        <v>124</v>
      </c>
      <c r="B49" s="333"/>
      <c r="C49" s="333"/>
      <c r="D49" s="333"/>
      <c r="F49" s="279">
        <f>[3]Southwest!$GC$71+[3]Southwest!$GC$74</f>
        <v>515</v>
      </c>
      <c r="G49" s="279">
        <f>'[3]Sun Country'!$GC$71+'[3]Sun Country'!$GC$74</f>
        <v>1096</v>
      </c>
      <c r="H49" s="333"/>
      <c r="I49" s="268">
        <f>SUM(B49:H49)</f>
        <v>1611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February 2019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G11" sqref="G11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x14ac:dyDescent="0.2">
      <c r="A1" s="331"/>
    </row>
    <row r="2" spans="1:13" ht="51.75" thickBot="1" x14ac:dyDescent="0.25">
      <c r="A2" s="325">
        <v>43497</v>
      </c>
      <c r="B2" s="372" t="s">
        <v>161</v>
      </c>
      <c r="C2" s="372" t="s">
        <v>164</v>
      </c>
      <c r="D2" s="372" t="s">
        <v>173</v>
      </c>
      <c r="E2" s="372" t="s">
        <v>172</v>
      </c>
      <c r="F2" s="372" t="s">
        <v>174</v>
      </c>
      <c r="G2" s="372" t="s">
        <v>212</v>
      </c>
      <c r="H2" s="372" t="s">
        <v>178</v>
      </c>
      <c r="I2" s="372" t="s">
        <v>185</v>
      </c>
      <c r="J2" s="372" t="s">
        <v>208</v>
      </c>
      <c r="K2" s="372" t="s">
        <v>177</v>
      </c>
      <c r="L2" s="12" t="s">
        <v>117</v>
      </c>
      <c r="M2" s="12" t="s">
        <v>21</v>
      </c>
    </row>
    <row r="3" spans="1:13" ht="15.75" thickTop="1" x14ac:dyDescent="0.25">
      <c r="A3" s="240" t="s">
        <v>3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4"/>
    </row>
    <row r="4" spans="1:13" x14ac:dyDescent="0.2">
      <c r="A4" s="47" t="s">
        <v>29</v>
      </c>
      <c r="B4" s="97"/>
      <c r="C4" s="89"/>
      <c r="D4" s="97"/>
      <c r="E4" s="97"/>
      <c r="F4" s="97"/>
      <c r="G4" s="97"/>
      <c r="H4" s="97"/>
      <c r="I4" s="97"/>
      <c r="J4" s="97"/>
      <c r="K4" s="97"/>
      <c r="L4" s="97"/>
      <c r="M4" s="90"/>
    </row>
    <row r="5" spans="1:13" x14ac:dyDescent="0.2">
      <c r="A5" s="47" t="s">
        <v>30</v>
      </c>
      <c r="B5" s="89">
        <f>[3]Pinnacle!$GC$22+[3]Pinnacle!$GC$32</f>
        <v>63791</v>
      </c>
      <c r="C5" s="89">
        <f>[3]MESA_UA!$GC$22</f>
        <v>5949</v>
      </c>
      <c r="D5" s="97">
        <f>'[3]Sky West'!$GC$22+'[3]Sky West'!$GC$32</f>
        <v>134733</v>
      </c>
      <c r="E5" s="97">
        <f>'[3]Sky West_UA'!$GC$22</f>
        <v>5414</v>
      </c>
      <c r="F5" s="97">
        <f>'[3]Sky West_AS'!$GC$22</f>
        <v>3466</v>
      </c>
      <c r="G5" s="97">
        <f>'[3]Sky West_AA'!$GC$22</f>
        <v>0</v>
      </c>
      <c r="H5" s="97">
        <f>[3]Republic!$GC$22</f>
        <v>6949</v>
      </c>
      <c r="I5" s="97">
        <f>[3]Republic_UA!$GC$22</f>
        <v>12082</v>
      </c>
      <c r="J5" s="97">
        <f>'[3]Sky Regional'!$GC$32</f>
        <v>3611</v>
      </c>
      <c r="K5" s="97">
        <f>'[3]American Eagle'!$GC$22</f>
        <v>1924</v>
      </c>
      <c r="L5" s="97">
        <f>'Other Regional'!J5</f>
        <v>9416</v>
      </c>
      <c r="M5" s="90">
        <f>SUM(B5:L5)</f>
        <v>247335</v>
      </c>
    </row>
    <row r="6" spans="1:13" s="6" customFormat="1" x14ac:dyDescent="0.2">
      <c r="A6" s="47" t="s">
        <v>31</v>
      </c>
      <c r="B6" s="89">
        <f>[3]Pinnacle!$GC$23+[3]Pinnacle!$GC$33</f>
        <v>46157</v>
      </c>
      <c r="C6" s="89">
        <f>[3]MESA_UA!$GC$23</f>
        <v>6452</v>
      </c>
      <c r="D6" s="97">
        <f>'[3]Sky West'!$GC$23+'[3]Sky West'!$GC$33</f>
        <v>154683</v>
      </c>
      <c r="E6" s="97">
        <f>'[3]Sky West_UA'!$GC$23</f>
        <v>5214</v>
      </c>
      <c r="F6" s="97">
        <f>'[3]Sky West_AS'!$GC$23</f>
        <v>3553</v>
      </c>
      <c r="G6" s="97">
        <f>'[3]Sky West_AA'!$GC$23</f>
        <v>0</v>
      </c>
      <c r="H6" s="97">
        <f>[3]Republic!$GC$23</f>
        <v>7172</v>
      </c>
      <c r="I6" s="97">
        <f>[3]Republic_UA!$GC$23</f>
        <v>12255</v>
      </c>
      <c r="J6" s="97">
        <f>'[3]Sky Regional'!$GC$33</f>
        <v>3248</v>
      </c>
      <c r="K6" s="97">
        <f>'[3]American Eagle'!$GC$23</f>
        <v>1992</v>
      </c>
      <c r="L6" s="97">
        <f>'Other Regional'!J6</f>
        <v>9542</v>
      </c>
      <c r="M6" s="94">
        <f>SUM(B6:L6)</f>
        <v>250268</v>
      </c>
    </row>
    <row r="7" spans="1:13" ht="15" thickBot="1" x14ac:dyDescent="0.25">
      <c r="A7" s="56" t="s">
        <v>7</v>
      </c>
      <c r="B7" s="107">
        <f>SUM(B5:B6)</f>
        <v>109948</v>
      </c>
      <c r="C7" s="107">
        <f t="shared" ref="C7:L7" si="0">SUM(C5:C6)</f>
        <v>12401</v>
      </c>
      <c r="D7" s="107">
        <f t="shared" si="0"/>
        <v>289416</v>
      </c>
      <c r="E7" s="107">
        <f t="shared" si="0"/>
        <v>10628</v>
      </c>
      <c r="F7" s="107">
        <f t="shared" ref="F7:G7" si="1">SUM(F5:F6)</f>
        <v>7019</v>
      </c>
      <c r="G7" s="107">
        <f t="shared" si="1"/>
        <v>0</v>
      </c>
      <c r="H7" s="107">
        <f t="shared" si="0"/>
        <v>14121</v>
      </c>
      <c r="I7" s="107">
        <f t="shared" si="0"/>
        <v>24337</v>
      </c>
      <c r="J7" s="107">
        <f t="shared" si="0"/>
        <v>6859</v>
      </c>
      <c r="K7" s="107">
        <f t="shared" si="0"/>
        <v>3916</v>
      </c>
      <c r="L7" s="107">
        <f t="shared" si="0"/>
        <v>18958</v>
      </c>
      <c r="M7" s="108">
        <f>SUM(B7:L7)</f>
        <v>497603</v>
      </c>
    </row>
    <row r="8" spans="1:13" ht="13.5" thickTop="1" x14ac:dyDescent="0.2">
      <c r="A8" s="47"/>
      <c r="B8" s="97"/>
      <c r="C8" s="89"/>
      <c r="D8" s="97"/>
      <c r="E8" s="97"/>
      <c r="F8" s="97"/>
      <c r="G8" s="97"/>
      <c r="H8" s="97"/>
      <c r="I8" s="97"/>
      <c r="J8" s="97"/>
      <c r="K8" s="97"/>
      <c r="L8" s="97"/>
      <c r="M8" s="109"/>
    </row>
    <row r="9" spans="1:13" s="6" customFormat="1" x14ac:dyDescent="0.2">
      <c r="A9" s="47" t="s">
        <v>32</v>
      </c>
      <c r="B9" s="97"/>
      <c r="C9" s="89"/>
      <c r="D9" s="97"/>
      <c r="E9" s="97"/>
      <c r="F9" s="97"/>
      <c r="G9" s="97"/>
      <c r="H9" s="97"/>
      <c r="I9" s="97"/>
      <c r="J9" s="97"/>
      <c r="K9" s="97"/>
      <c r="L9" s="97"/>
      <c r="M9" s="90"/>
    </row>
    <row r="10" spans="1:13" x14ac:dyDescent="0.2">
      <c r="A10" s="47" t="s">
        <v>30</v>
      </c>
      <c r="B10" s="89">
        <f>[3]Pinnacle!$GC$27+[3]Pinnacle!$GC$37</f>
        <v>2622</v>
      </c>
      <c r="C10" s="89">
        <f>[3]MESA_UA!$GC$27</f>
        <v>187</v>
      </c>
      <c r="D10" s="97">
        <f>'[3]Sky West'!$GC$27+'[3]Sky West'!$GC$37</f>
        <v>5374</v>
      </c>
      <c r="E10" s="97">
        <f>'[3]Sky West_UA'!$GC$27</f>
        <v>161</v>
      </c>
      <c r="F10" s="97">
        <f>'[3]Sky West_AS'!$GC$27</f>
        <v>83</v>
      </c>
      <c r="G10" s="97">
        <f>'[3]Sky West_AA'!$GC$27</f>
        <v>0</v>
      </c>
      <c r="H10" s="97">
        <f>[3]Republic!$GC$27</f>
        <v>277</v>
      </c>
      <c r="I10" s="97">
        <f>[3]Republic_UA!$GC$27</f>
        <v>488</v>
      </c>
      <c r="J10" s="97">
        <f>'[3]Sky Regional'!$GC$37</f>
        <v>23</v>
      </c>
      <c r="K10" s="97">
        <f>'[3]American Eagle'!$GC$27</f>
        <v>78</v>
      </c>
      <c r="L10" s="97">
        <f>'Other Regional'!J10</f>
        <v>308</v>
      </c>
      <c r="M10" s="90">
        <f>SUM(B10:L10)</f>
        <v>9601</v>
      </c>
    </row>
    <row r="11" spans="1:13" x14ac:dyDescent="0.2">
      <c r="A11" s="47" t="s">
        <v>33</v>
      </c>
      <c r="B11" s="89">
        <f>[3]Pinnacle!$GC$28+[3]Pinnacle!$GC$38</f>
        <v>1716</v>
      </c>
      <c r="C11" s="89">
        <f>[3]MESA_UA!$GC$28</f>
        <v>189</v>
      </c>
      <c r="D11" s="97">
        <f>'[3]Sky West'!$GC$28+'[3]Sky West'!$GC$38</f>
        <v>5989</v>
      </c>
      <c r="E11" s="97">
        <f>'[3]Sky West_UA'!$GC$28</f>
        <v>174</v>
      </c>
      <c r="F11" s="97">
        <f>'[3]Sky West_AS'!$GC$28</f>
        <v>108</v>
      </c>
      <c r="G11" s="97">
        <f>'[3]Sky West_AA'!$GC$28</f>
        <v>0</v>
      </c>
      <c r="H11" s="97">
        <f>[3]Republic!$GC$28</f>
        <v>274</v>
      </c>
      <c r="I11" s="97">
        <f>[3]Republic_UA!$GC$28</f>
        <v>436</v>
      </c>
      <c r="J11" s="97">
        <f>'[3]Sky Regional'!$GC$38</f>
        <v>31</v>
      </c>
      <c r="K11" s="97">
        <f>'[3]American Eagle'!$GC$28</f>
        <v>66</v>
      </c>
      <c r="L11" s="97">
        <f>'Other Regional'!J11</f>
        <v>349</v>
      </c>
      <c r="M11" s="94">
        <f>SUM(B11:L11)</f>
        <v>9332</v>
      </c>
    </row>
    <row r="12" spans="1:13" ht="15" thickBot="1" x14ac:dyDescent="0.25">
      <c r="A12" s="57" t="s">
        <v>34</v>
      </c>
      <c r="B12" s="110">
        <f t="shared" ref="B12:L12" si="2">SUM(B10:B11)</f>
        <v>4338</v>
      </c>
      <c r="C12" s="110">
        <f t="shared" si="2"/>
        <v>376</v>
      </c>
      <c r="D12" s="110">
        <f t="shared" si="2"/>
        <v>11363</v>
      </c>
      <c r="E12" s="110">
        <f t="shared" si="2"/>
        <v>335</v>
      </c>
      <c r="F12" s="110">
        <f t="shared" ref="F12:G12" si="3">SUM(F10:F11)</f>
        <v>191</v>
      </c>
      <c r="G12" s="110">
        <f t="shared" si="3"/>
        <v>0</v>
      </c>
      <c r="H12" s="110">
        <f t="shared" si="2"/>
        <v>551</v>
      </c>
      <c r="I12" s="110">
        <f t="shared" si="2"/>
        <v>924</v>
      </c>
      <c r="J12" s="110">
        <f t="shared" si="2"/>
        <v>54</v>
      </c>
      <c r="K12" s="110">
        <f t="shared" si="2"/>
        <v>144</v>
      </c>
      <c r="L12" s="110">
        <f t="shared" si="2"/>
        <v>657</v>
      </c>
      <c r="M12" s="111">
        <f>SUM(B12:L12)</f>
        <v>18933</v>
      </c>
    </row>
    <row r="13" spans="1:13" ht="13.5" thickBot="1" x14ac:dyDescent="0.25"/>
    <row r="14" spans="1:13" ht="15.75" thickTop="1" x14ac:dyDescent="0.25">
      <c r="A14" s="46" t="s">
        <v>9</v>
      </c>
      <c r="B14" s="84"/>
      <c r="C14" s="85"/>
      <c r="D14" s="84"/>
      <c r="E14" s="84"/>
      <c r="F14" s="84"/>
      <c r="G14" s="84"/>
      <c r="H14" s="84"/>
      <c r="I14" s="84"/>
      <c r="J14" s="84"/>
      <c r="K14" s="84"/>
      <c r="L14" s="84"/>
      <c r="M14" s="86">
        <f t="shared" ref="M14" si="4">SUM(B14:L14)</f>
        <v>0</v>
      </c>
    </row>
    <row r="15" spans="1:13" x14ac:dyDescent="0.2">
      <c r="A15" s="47" t="s">
        <v>53</v>
      </c>
      <c r="B15" s="13">
        <f>[3]Pinnacle!$GC$4+[3]Pinnacle!$GC$15</f>
        <v>816</v>
      </c>
      <c r="C15" s="88">
        <f>[3]MESA_UA!$GC$4</f>
        <v>96</v>
      </c>
      <c r="D15" s="87">
        <f>'[3]Sky West'!$GC$4+'[3]Sky West'!$GC$15</f>
        <v>3167</v>
      </c>
      <c r="E15" s="87">
        <f>'[3]Sky West_UA'!$GC$4</f>
        <v>82</v>
      </c>
      <c r="F15" s="87">
        <f>'[3]Sky West_AS'!$GC$4</f>
        <v>54</v>
      </c>
      <c r="G15" s="87">
        <f>'[3]Sky West_AA'!$GC$4</f>
        <v>0</v>
      </c>
      <c r="H15" s="89">
        <f>[3]Republic!$GC$4</f>
        <v>145</v>
      </c>
      <c r="I15" s="386">
        <f>[3]Republic_UA!$GC$4</f>
        <v>211</v>
      </c>
      <c r="J15" s="386">
        <f>'[3]Sky Regional'!$GC$15</f>
        <v>65</v>
      </c>
      <c r="K15" s="89">
        <f>'[3]American Eagle'!$GC$4</f>
        <v>28</v>
      </c>
      <c r="L15" s="88">
        <f>'Other Regional'!J15</f>
        <v>178</v>
      </c>
      <c r="M15" s="90">
        <f t="shared" ref="M15:M21" si="5">SUM(B15:L15)</f>
        <v>4842</v>
      </c>
    </row>
    <row r="16" spans="1:13" x14ac:dyDescent="0.2">
      <c r="A16" s="47" t="s">
        <v>54</v>
      </c>
      <c r="B16" s="7">
        <f>[3]Pinnacle!$GC$5+[3]Pinnacle!$GC$16</f>
        <v>816</v>
      </c>
      <c r="C16" s="92">
        <f>[3]MESA_UA!$GC$5</f>
        <v>96</v>
      </c>
      <c r="D16" s="91">
        <f>'[3]Sky West'!$GC$5+'[3]Sky West'!$GC$16</f>
        <v>3151</v>
      </c>
      <c r="E16" s="91">
        <f>'[3]Sky West_UA'!$GC$5</f>
        <v>82</v>
      </c>
      <c r="F16" s="91">
        <f>'[3]Sky West_AS'!$GC$5</f>
        <v>54</v>
      </c>
      <c r="G16" s="91">
        <f>'[3]Sky West_AA'!$GC$5</f>
        <v>0</v>
      </c>
      <c r="H16" s="93">
        <f>[3]Republic!$GC$5</f>
        <v>144</v>
      </c>
      <c r="I16" s="255">
        <f>[3]Republic_UA!$GC$5</f>
        <v>211</v>
      </c>
      <c r="J16" s="255">
        <f>'[3]Sky Regional'!$GC$16</f>
        <v>65</v>
      </c>
      <c r="K16" s="93">
        <f>'[3]American Eagle'!$GC$5</f>
        <v>28</v>
      </c>
      <c r="L16" s="92">
        <f>'Other Regional'!J16</f>
        <v>178</v>
      </c>
      <c r="M16" s="94">
        <f t="shared" si="5"/>
        <v>4825</v>
      </c>
    </row>
    <row r="17" spans="1:13" x14ac:dyDescent="0.2">
      <c r="A17" s="51" t="s">
        <v>55</v>
      </c>
      <c r="B17" s="95">
        <f t="shared" ref="B17:K17" si="6">SUM(B15:B16)</f>
        <v>1632</v>
      </c>
      <c r="C17" s="95">
        <f t="shared" si="6"/>
        <v>192</v>
      </c>
      <c r="D17" s="95">
        <f t="shared" si="6"/>
        <v>6318</v>
      </c>
      <c r="E17" s="95">
        <f t="shared" si="6"/>
        <v>164</v>
      </c>
      <c r="F17" s="95">
        <f t="shared" ref="F17:G17" si="7">SUM(F15:F16)</f>
        <v>108</v>
      </c>
      <c r="G17" s="95">
        <f t="shared" si="7"/>
        <v>0</v>
      </c>
      <c r="H17" s="95">
        <f t="shared" si="6"/>
        <v>289</v>
      </c>
      <c r="I17" s="95">
        <f t="shared" ref="I17:J17" si="8">SUM(I15:I16)</f>
        <v>422</v>
      </c>
      <c r="J17" s="95">
        <f t="shared" si="8"/>
        <v>130</v>
      </c>
      <c r="K17" s="95">
        <f t="shared" si="6"/>
        <v>56</v>
      </c>
      <c r="L17" s="95">
        <f>SUM(L15:L16)</f>
        <v>356</v>
      </c>
      <c r="M17" s="96">
        <f t="shared" si="5"/>
        <v>9667</v>
      </c>
    </row>
    <row r="18" spans="1:13" x14ac:dyDescent="0.2">
      <c r="A18" s="47" t="s">
        <v>56</v>
      </c>
      <c r="B18" s="97">
        <f>[3]Pinnacle!$GC$8</f>
        <v>1</v>
      </c>
      <c r="C18" s="89">
        <f>[3]MESA_UA!$GC$8</f>
        <v>0</v>
      </c>
      <c r="D18" s="97">
        <f>'[3]Sky West'!$GC$8</f>
        <v>0</v>
      </c>
      <c r="E18" s="97">
        <f>'[3]Sky West_UA'!$GC$8</f>
        <v>0</v>
      </c>
      <c r="F18" s="97">
        <f>'[3]Sky West_AS'!$GC$8</f>
        <v>0</v>
      </c>
      <c r="G18" s="97">
        <f>'[3]Sky West_AA'!$GC$8</f>
        <v>0</v>
      </c>
      <c r="H18" s="97">
        <f>[3]Republic!$GC$8</f>
        <v>0</v>
      </c>
      <c r="I18" s="97">
        <f>[3]Republic_UA!$GC$8</f>
        <v>0</v>
      </c>
      <c r="J18" s="97">
        <f>'[3]Sky Regional'!$GC$8</f>
        <v>0</v>
      </c>
      <c r="K18" s="97">
        <f>'[3]American Eagle'!$GC$8</f>
        <v>0</v>
      </c>
      <c r="L18" s="97">
        <f>'Other Regional'!J18</f>
        <v>0</v>
      </c>
      <c r="M18" s="90">
        <f t="shared" si="5"/>
        <v>1</v>
      </c>
    </row>
    <row r="19" spans="1:13" x14ac:dyDescent="0.2">
      <c r="A19" s="47" t="s">
        <v>57</v>
      </c>
      <c r="B19" s="98">
        <f>[3]Pinnacle!$GC$9</f>
        <v>1</v>
      </c>
      <c r="C19" s="93">
        <f>[3]MESA_UA!$GC$9</f>
        <v>0</v>
      </c>
      <c r="D19" s="98">
        <f>'[3]Sky West'!$GC$9</f>
        <v>11</v>
      </c>
      <c r="E19" s="98">
        <f>'[3]Sky West_UA'!$GC$9</f>
        <v>0</v>
      </c>
      <c r="F19" s="98">
        <f>'[3]Sky West_AS'!$GC$9</f>
        <v>0</v>
      </c>
      <c r="G19" s="98">
        <f>'[3]Sky West_AA'!$GC$9</f>
        <v>0</v>
      </c>
      <c r="H19" s="98">
        <f>[3]Republic!$GC$9</f>
        <v>0</v>
      </c>
      <c r="I19" s="98">
        <f>[3]Republic_UA!$GC$9</f>
        <v>0</v>
      </c>
      <c r="J19" s="98">
        <f>'[3]Sky Regional'!$GC$9</f>
        <v>0</v>
      </c>
      <c r="K19" s="98">
        <f>'[3]American Eagle'!$GC$9</f>
        <v>0</v>
      </c>
      <c r="L19" s="98">
        <f>'Other Regional'!J19</f>
        <v>0</v>
      </c>
      <c r="M19" s="94">
        <f t="shared" si="5"/>
        <v>12</v>
      </c>
    </row>
    <row r="20" spans="1:13" x14ac:dyDescent="0.2">
      <c r="A20" s="51" t="s">
        <v>58</v>
      </c>
      <c r="B20" s="95">
        <f t="shared" ref="B20:L20" si="9">SUM(B18:B19)</f>
        <v>2</v>
      </c>
      <c r="C20" s="95">
        <f t="shared" si="9"/>
        <v>0</v>
      </c>
      <c r="D20" s="95">
        <f t="shared" si="9"/>
        <v>11</v>
      </c>
      <c r="E20" s="95">
        <f t="shared" si="9"/>
        <v>0</v>
      </c>
      <c r="F20" s="95">
        <f t="shared" ref="F20:G20" si="10">SUM(F18:F19)</f>
        <v>0</v>
      </c>
      <c r="G20" s="95">
        <f t="shared" si="10"/>
        <v>0</v>
      </c>
      <c r="H20" s="95">
        <f t="shared" si="9"/>
        <v>0</v>
      </c>
      <c r="I20" s="95">
        <f t="shared" si="9"/>
        <v>0</v>
      </c>
      <c r="J20" s="95">
        <f t="shared" si="9"/>
        <v>0</v>
      </c>
      <c r="K20" s="95">
        <f t="shared" si="9"/>
        <v>0</v>
      </c>
      <c r="L20" s="95">
        <f t="shared" si="9"/>
        <v>0</v>
      </c>
      <c r="M20" s="96">
        <f t="shared" si="5"/>
        <v>13</v>
      </c>
    </row>
    <row r="21" spans="1:13" ht="15.75" thickBot="1" x14ac:dyDescent="0.3">
      <c r="A21" s="55" t="s">
        <v>28</v>
      </c>
      <c r="B21" s="99">
        <f t="shared" ref="B21:K21" si="11">SUM(B20,B17)</f>
        <v>1634</v>
      </c>
      <c r="C21" s="99">
        <f t="shared" si="11"/>
        <v>192</v>
      </c>
      <c r="D21" s="99">
        <f t="shared" si="11"/>
        <v>6329</v>
      </c>
      <c r="E21" s="99">
        <f t="shared" si="11"/>
        <v>164</v>
      </c>
      <c r="F21" s="99">
        <f t="shared" ref="F21:G21" si="12">SUM(F20,F17)</f>
        <v>108</v>
      </c>
      <c r="G21" s="99">
        <f t="shared" si="12"/>
        <v>0</v>
      </c>
      <c r="H21" s="99">
        <f t="shared" si="11"/>
        <v>289</v>
      </c>
      <c r="I21" s="99">
        <f t="shared" si="11"/>
        <v>422</v>
      </c>
      <c r="J21" s="99">
        <f t="shared" si="11"/>
        <v>130</v>
      </c>
      <c r="K21" s="99">
        <f t="shared" si="11"/>
        <v>56</v>
      </c>
      <c r="L21" s="99">
        <f>SUM(L20,L17)</f>
        <v>356</v>
      </c>
      <c r="M21" s="100">
        <f t="shared" si="5"/>
        <v>9680</v>
      </c>
    </row>
    <row r="22" spans="1:13" ht="13.5" thickBot="1" x14ac:dyDescent="0.25"/>
    <row r="23" spans="1:13" ht="15.75" thickTop="1" x14ac:dyDescent="0.25">
      <c r="A23" s="50" t="s">
        <v>116</v>
      </c>
      <c r="B23" s="112"/>
      <c r="C23" s="113"/>
      <c r="D23" s="112"/>
      <c r="E23" s="112"/>
      <c r="F23" s="112"/>
      <c r="G23" s="112"/>
      <c r="H23" s="112"/>
      <c r="I23" s="112"/>
      <c r="J23" s="112"/>
      <c r="K23" s="112"/>
      <c r="L23" s="112"/>
      <c r="M23" s="114"/>
    </row>
    <row r="24" spans="1:13" x14ac:dyDescent="0.2">
      <c r="A24" s="47" t="s">
        <v>36</v>
      </c>
      <c r="B24" s="97"/>
      <c r="C24" s="89"/>
      <c r="D24" s="97"/>
      <c r="E24" s="97"/>
      <c r="F24" s="97"/>
      <c r="G24" s="97"/>
      <c r="H24" s="97"/>
      <c r="I24" s="97"/>
      <c r="J24" s="97"/>
      <c r="K24" s="97"/>
      <c r="L24" s="97"/>
      <c r="M24" s="90"/>
    </row>
    <row r="25" spans="1:13" x14ac:dyDescent="0.2">
      <c r="A25" s="47" t="s">
        <v>37</v>
      </c>
      <c r="B25" s="97">
        <f>[3]Pinnacle!$GC$47</f>
        <v>0</v>
      </c>
      <c r="C25" s="89">
        <f>[3]MESA_UA!$GC$47</f>
        <v>0</v>
      </c>
      <c r="D25" s="97">
        <f>'[3]Sky West'!$GC$47</f>
        <v>0</v>
      </c>
      <c r="E25" s="97">
        <f>'[3]Sky West_UA'!$GC$47</f>
        <v>0</v>
      </c>
      <c r="F25" s="97">
        <f>'[3]Sky West_AS'!$GC$47</f>
        <v>1374</v>
      </c>
      <c r="G25" s="97">
        <f>'[3]Sky West_AA'!$GC$47</f>
        <v>0</v>
      </c>
      <c r="H25" s="97">
        <f>[3]Republic!$GC$47</f>
        <v>0</v>
      </c>
      <c r="I25" s="97">
        <f>[3]Republic_UA!$GC$47</f>
        <v>0</v>
      </c>
      <c r="J25" s="97">
        <f>'[3]Sky Regional'!$GC$47</f>
        <v>1415</v>
      </c>
      <c r="K25" s="97">
        <f>'[3]American Eagle'!$GC$47</f>
        <v>0</v>
      </c>
      <c r="L25" s="97">
        <f>'Other Regional'!J25</f>
        <v>0</v>
      </c>
      <c r="M25" s="90">
        <f>SUM(B25:L25)</f>
        <v>2789</v>
      </c>
    </row>
    <row r="26" spans="1:13" x14ac:dyDescent="0.2">
      <c r="A26" s="47" t="s">
        <v>38</v>
      </c>
      <c r="B26" s="97">
        <f>[3]Pinnacle!$GC$48</f>
        <v>0</v>
      </c>
      <c r="C26" s="89">
        <f>[3]MESA_UA!$GC$48</f>
        <v>0</v>
      </c>
      <c r="D26" s="97">
        <f>'[3]Sky West'!$GC$48</f>
        <v>0</v>
      </c>
      <c r="E26" s="97">
        <f>'[3]Sky West_UA'!$GC$48</f>
        <v>0</v>
      </c>
      <c r="F26" s="97">
        <f>'[3]Sky West_AS'!$GC$48</f>
        <v>0</v>
      </c>
      <c r="G26" s="97">
        <f>'[3]Sky West_AA'!$GC$48</f>
        <v>0</v>
      </c>
      <c r="H26" s="97">
        <f>[3]Republic!$GC$48</f>
        <v>0</v>
      </c>
      <c r="I26" s="97">
        <f>[3]Republic_UA!$GC$48</f>
        <v>0</v>
      </c>
      <c r="J26" s="97">
        <f>'[3]Sky Regional'!$GC$48</f>
        <v>0</v>
      </c>
      <c r="K26" s="97">
        <f>'[3]American Eagle'!$GC$48</f>
        <v>0</v>
      </c>
      <c r="L26" s="97">
        <f>'Other Regional'!J26</f>
        <v>0</v>
      </c>
      <c r="M26" s="90">
        <f>SUM(B26:L26)</f>
        <v>0</v>
      </c>
    </row>
    <row r="27" spans="1:13" ht="15" thickBot="1" x14ac:dyDescent="0.25">
      <c r="A27" s="56" t="s">
        <v>39</v>
      </c>
      <c r="B27" s="107">
        <f t="shared" ref="B27:L27" si="13">SUM(B25:B26)</f>
        <v>0</v>
      </c>
      <c r="C27" s="107">
        <f t="shared" si="13"/>
        <v>0</v>
      </c>
      <c r="D27" s="107">
        <f t="shared" si="13"/>
        <v>0</v>
      </c>
      <c r="E27" s="107">
        <f t="shared" si="13"/>
        <v>0</v>
      </c>
      <c r="F27" s="107">
        <f t="shared" ref="F27:G27" si="14">SUM(F25:F26)</f>
        <v>1374</v>
      </c>
      <c r="G27" s="107">
        <f t="shared" si="14"/>
        <v>0</v>
      </c>
      <c r="H27" s="107">
        <f t="shared" si="13"/>
        <v>0</v>
      </c>
      <c r="I27" s="107">
        <f t="shared" si="13"/>
        <v>0</v>
      </c>
      <c r="J27" s="107">
        <f t="shared" si="13"/>
        <v>1415</v>
      </c>
      <c r="K27" s="107">
        <f t="shared" si="13"/>
        <v>0</v>
      </c>
      <c r="L27" s="107">
        <f t="shared" si="13"/>
        <v>0</v>
      </c>
      <c r="M27" s="108">
        <f>SUM(B27:L27)</f>
        <v>2789</v>
      </c>
    </row>
    <row r="28" spans="1:13" ht="13.5" thickTop="1" x14ac:dyDescent="0.2">
      <c r="A28" s="47"/>
      <c r="B28" s="97"/>
      <c r="C28" s="89"/>
      <c r="D28" s="97"/>
      <c r="E28" s="97"/>
      <c r="F28" s="97"/>
      <c r="G28" s="97"/>
      <c r="H28" s="97"/>
      <c r="I28" s="97"/>
      <c r="J28" s="97"/>
      <c r="K28" s="97"/>
      <c r="L28" s="97"/>
      <c r="M28" s="90"/>
    </row>
    <row r="29" spans="1:13" x14ac:dyDescent="0.2">
      <c r="A29" s="47" t="s">
        <v>40</v>
      </c>
      <c r="B29" s="97"/>
      <c r="C29" s="89"/>
      <c r="D29" s="97"/>
      <c r="E29" s="97"/>
      <c r="F29" s="97"/>
      <c r="G29" s="97"/>
      <c r="H29" s="97"/>
      <c r="I29" s="97"/>
      <c r="J29" s="97"/>
      <c r="K29" s="97"/>
      <c r="M29" s="90"/>
    </row>
    <row r="30" spans="1:13" x14ac:dyDescent="0.2">
      <c r="A30" s="47" t="s">
        <v>59</v>
      </c>
      <c r="B30" s="97">
        <f>[3]Pinnacle!$GC$52</f>
        <v>0</v>
      </c>
      <c r="C30" s="89">
        <f>[3]MESA_UA!$GC$52</f>
        <v>0</v>
      </c>
      <c r="D30" s="97">
        <f>'[3]Sky West'!$GC$52</f>
        <v>0</v>
      </c>
      <c r="E30" s="97">
        <f>'[3]Sky West_UA'!$GC$52</f>
        <v>0</v>
      </c>
      <c r="F30" s="97">
        <f>'[3]Sky West_AS'!$GC$52</f>
        <v>40</v>
      </c>
      <c r="G30" s="97">
        <f>'[3]Sky West_AA'!$GC$52</f>
        <v>0</v>
      </c>
      <c r="H30" s="97">
        <f>[3]Republic!$GC$52</f>
        <v>0</v>
      </c>
      <c r="I30" s="97">
        <f>[3]Republic_UA!$GC$52</f>
        <v>0</v>
      </c>
      <c r="J30" s="97">
        <f>'[3]Sky Regional'!$GC$52</f>
        <v>1058</v>
      </c>
      <c r="K30" s="97">
        <f>'[3]American Eagle'!$GC$52</f>
        <v>0</v>
      </c>
      <c r="L30" s="97">
        <f>'Other Regional'!J30</f>
        <v>0</v>
      </c>
      <c r="M30" s="90">
        <f t="shared" ref="M30:M37" si="15">SUM(B30:L30)</f>
        <v>1098</v>
      </c>
    </row>
    <row r="31" spans="1:13" x14ac:dyDescent="0.2">
      <c r="A31" s="47" t="s">
        <v>60</v>
      </c>
      <c r="B31" s="97">
        <f>[3]Pinnacle!$GC$53</f>
        <v>0</v>
      </c>
      <c r="C31" s="89">
        <f>[3]MESA_UA!$GC$53</f>
        <v>0</v>
      </c>
      <c r="D31" s="97">
        <f>'[3]Sky West'!$GC$53</f>
        <v>0</v>
      </c>
      <c r="E31" s="97">
        <f>'[3]Sky West_UA'!$GC$53</f>
        <v>0</v>
      </c>
      <c r="F31" s="97">
        <f>'[3]Sky West_AS'!$GC$53</f>
        <v>0</v>
      </c>
      <c r="G31" s="97">
        <f>'[3]Sky West_AA'!$GC$53</f>
        <v>0</v>
      </c>
      <c r="H31" s="97">
        <f>[3]Republic!$GC$53</f>
        <v>0</v>
      </c>
      <c r="I31" s="97">
        <f>[3]Republic_UA!$GC$53</f>
        <v>0</v>
      </c>
      <c r="J31" s="97">
        <f>'[3]Sky Regional'!$GC$53</f>
        <v>0</v>
      </c>
      <c r="K31" s="97">
        <f>'[3]American Eagle'!$GC$53</f>
        <v>0</v>
      </c>
      <c r="L31" s="97">
        <f>'Other Regional'!J31</f>
        <v>0</v>
      </c>
      <c r="M31" s="90">
        <f t="shared" si="15"/>
        <v>0</v>
      </c>
    </row>
    <row r="32" spans="1:13" ht="15" thickBot="1" x14ac:dyDescent="0.25">
      <c r="A32" s="56" t="s">
        <v>41</v>
      </c>
      <c r="B32" s="107">
        <f t="shared" ref="B32:K32" si="16">SUM(B30:B31)</f>
        <v>0</v>
      </c>
      <c r="C32" s="107">
        <f t="shared" si="16"/>
        <v>0</v>
      </c>
      <c r="D32" s="107">
        <f t="shared" si="16"/>
        <v>0</v>
      </c>
      <c r="E32" s="107">
        <f t="shared" si="16"/>
        <v>0</v>
      </c>
      <c r="F32" s="107">
        <f t="shared" ref="F32:G32" si="17">SUM(F30:F31)</f>
        <v>40</v>
      </c>
      <c r="G32" s="107">
        <f t="shared" si="17"/>
        <v>0</v>
      </c>
      <c r="H32" s="107">
        <f t="shared" si="16"/>
        <v>0</v>
      </c>
      <c r="I32" s="107">
        <f t="shared" si="16"/>
        <v>0</v>
      </c>
      <c r="J32" s="107">
        <f t="shared" si="16"/>
        <v>1058</v>
      </c>
      <c r="K32" s="107">
        <f t="shared" si="16"/>
        <v>0</v>
      </c>
      <c r="L32" s="107">
        <f>SUM(L30:L31)</f>
        <v>0</v>
      </c>
      <c r="M32" s="108">
        <f t="shared" si="15"/>
        <v>1098</v>
      </c>
    </row>
    <row r="33" spans="1:13" ht="13.5" hidden="1" thickTop="1" x14ac:dyDescent="0.2">
      <c r="A33" s="47"/>
      <c r="B33" s="97"/>
      <c r="C33" s="89"/>
      <c r="D33" s="97"/>
      <c r="E33" s="97"/>
      <c r="F33" s="97"/>
      <c r="G33" s="97"/>
      <c r="H33" s="97"/>
      <c r="I33" s="97"/>
      <c r="J33" s="97"/>
      <c r="K33" s="97"/>
      <c r="L33" s="97"/>
      <c r="M33" s="90">
        <f t="shared" si="15"/>
        <v>0</v>
      </c>
    </row>
    <row r="34" spans="1:13" ht="13.5" hidden="1" thickTop="1" x14ac:dyDescent="0.2">
      <c r="A34" s="47" t="s">
        <v>42</v>
      </c>
      <c r="B34" s="97"/>
      <c r="C34" s="89"/>
      <c r="D34" s="97"/>
      <c r="E34" s="97"/>
      <c r="F34" s="97"/>
      <c r="G34" s="97"/>
      <c r="H34" s="97"/>
      <c r="I34" s="97"/>
      <c r="J34" s="97"/>
      <c r="K34" s="97"/>
      <c r="L34" s="97"/>
      <c r="M34" s="90">
        <f t="shared" si="15"/>
        <v>0</v>
      </c>
    </row>
    <row r="35" spans="1:13" ht="13.5" hidden="1" thickTop="1" x14ac:dyDescent="0.2">
      <c r="A35" s="47" t="s">
        <v>37</v>
      </c>
      <c r="B35" s="97">
        <f>[3]Pinnacle!$GC$57</f>
        <v>0</v>
      </c>
      <c r="C35" s="89">
        <f>[3]MESA_UA!$GC$57</f>
        <v>0</v>
      </c>
      <c r="D35" s="97">
        <f>'[3]Sky West'!$GC$57</f>
        <v>0</v>
      </c>
      <c r="E35" s="97">
        <f>'[3]Sky West_UA'!$GC$57</f>
        <v>0</v>
      </c>
      <c r="F35" s="97">
        <f>'[3]Sky West_AS'!$GC$57</f>
        <v>0</v>
      </c>
      <c r="G35" s="97">
        <f>'[3]Sky West_AA'!$GC$57</f>
        <v>0</v>
      </c>
      <c r="H35" s="97">
        <f>[3]Republic!$GC$57</f>
        <v>0</v>
      </c>
      <c r="I35" s="97">
        <f>[3]Republic!$GC$57</f>
        <v>0</v>
      </c>
      <c r="J35" s="97">
        <f>[3]Republic!$GC$57</f>
        <v>0</v>
      </c>
      <c r="K35" s="97">
        <f>'[3]American Eagle'!$GC$57</f>
        <v>0</v>
      </c>
      <c r="L35" s="97">
        <f>'Other Regional'!J35</f>
        <v>0</v>
      </c>
      <c r="M35" s="90">
        <f t="shared" si="15"/>
        <v>0</v>
      </c>
    </row>
    <row r="36" spans="1:13" ht="13.5" hidden="1" thickTop="1" x14ac:dyDescent="0.2">
      <c r="A36" s="47" t="s">
        <v>38</v>
      </c>
      <c r="B36" s="97">
        <f>[3]Pinnacle!$GC$58</f>
        <v>0</v>
      </c>
      <c r="C36" s="89">
        <f>[3]MESA_UA!$GC$58</f>
        <v>0</v>
      </c>
      <c r="D36" s="97">
        <f>'[3]Sky West'!$GC$58</f>
        <v>0</v>
      </c>
      <c r="E36" s="97">
        <f>'[3]Sky West_UA'!$GC$58</f>
        <v>0</v>
      </c>
      <c r="F36" s="97">
        <f>'[3]Sky West_AS'!$GC$58</f>
        <v>0</v>
      </c>
      <c r="G36" s="97">
        <f>'[3]Sky West_AA'!$GC$58</f>
        <v>0</v>
      </c>
      <c r="H36" s="97">
        <f>[3]Republic!$GC$58</f>
        <v>0</v>
      </c>
      <c r="I36" s="97">
        <f>[3]Republic!$GC$58</f>
        <v>0</v>
      </c>
      <c r="J36" s="97">
        <f>[3]Republic!$GC$58</f>
        <v>0</v>
      </c>
      <c r="K36" s="97">
        <f>'[3]American Eagle'!$GC$58</f>
        <v>0</v>
      </c>
      <c r="L36" s="97">
        <f>'Other Regional'!J36</f>
        <v>0</v>
      </c>
      <c r="M36" s="90">
        <f t="shared" si="15"/>
        <v>0</v>
      </c>
    </row>
    <row r="37" spans="1:13" ht="13.5" hidden="1" thickTop="1" x14ac:dyDescent="0.2">
      <c r="A37" s="58" t="s">
        <v>43</v>
      </c>
      <c r="B37" s="115">
        <f t="shared" ref="B37:K37" si="18">SUM(B35:B36)</f>
        <v>0</v>
      </c>
      <c r="C37" s="115">
        <f t="shared" si="18"/>
        <v>0</v>
      </c>
      <c r="D37" s="115">
        <f t="shared" si="18"/>
        <v>0</v>
      </c>
      <c r="E37" s="115">
        <f t="shared" si="18"/>
        <v>0</v>
      </c>
      <c r="F37" s="115">
        <f t="shared" ref="F37:G37" si="19">SUM(F35:F36)</f>
        <v>0</v>
      </c>
      <c r="G37" s="115">
        <f t="shared" si="19"/>
        <v>0</v>
      </c>
      <c r="H37" s="115">
        <f t="shared" si="18"/>
        <v>0</v>
      </c>
      <c r="I37" s="115">
        <f t="shared" si="18"/>
        <v>0</v>
      </c>
      <c r="J37" s="115">
        <f t="shared" si="18"/>
        <v>0</v>
      </c>
      <c r="K37" s="115">
        <f t="shared" si="18"/>
        <v>0</v>
      </c>
      <c r="L37" s="115">
        <f>SUM(L35:L36)</f>
        <v>0</v>
      </c>
      <c r="M37" s="117">
        <f t="shared" si="15"/>
        <v>0</v>
      </c>
    </row>
    <row r="38" spans="1:13" ht="13.5" thickTop="1" x14ac:dyDescent="0.2">
      <c r="A38" s="47"/>
      <c r="B38" s="97"/>
      <c r="C38" s="89"/>
      <c r="D38" s="97"/>
      <c r="E38" s="97"/>
      <c r="F38" s="97"/>
      <c r="G38" s="97"/>
      <c r="H38" s="97"/>
      <c r="I38" s="97"/>
      <c r="J38" s="97"/>
      <c r="K38" s="97"/>
      <c r="L38" s="97"/>
      <c r="M38" s="90"/>
    </row>
    <row r="39" spans="1:13" x14ac:dyDescent="0.2">
      <c r="A39" s="47" t="s">
        <v>44</v>
      </c>
      <c r="B39" s="97"/>
      <c r="C39" s="89"/>
      <c r="D39" s="97"/>
      <c r="E39" s="97"/>
      <c r="F39" s="97"/>
      <c r="G39" s="97"/>
      <c r="H39" s="97"/>
      <c r="I39" s="97"/>
      <c r="J39" s="97"/>
      <c r="K39" s="97"/>
      <c r="L39" s="97"/>
      <c r="M39" s="90"/>
    </row>
    <row r="40" spans="1:13" x14ac:dyDescent="0.2">
      <c r="A40" s="47" t="s">
        <v>45</v>
      </c>
      <c r="B40" s="97">
        <f t="shared" ref="B40:J42" si="20">SUM(B35,B30,B25)</f>
        <v>0</v>
      </c>
      <c r="C40" s="97">
        <f>SUM(C35,C30,C25)</f>
        <v>0</v>
      </c>
      <c r="D40" s="97">
        <f t="shared" si="20"/>
        <v>0</v>
      </c>
      <c r="E40" s="97">
        <f t="shared" ref="E40:F42" si="21">SUM(E35,E30,E25)</f>
        <v>0</v>
      </c>
      <c r="F40" s="97">
        <f t="shared" si="21"/>
        <v>1414</v>
      </c>
      <c r="G40" s="97">
        <f t="shared" ref="G40" si="22">SUM(G35,G30,G25)</f>
        <v>0</v>
      </c>
      <c r="H40" s="97">
        <f t="shared" si="20"/>
        <v>0</v>
      </c>
      <c r="I40" s="97">
        <f t="shared" si="20"/>
        <v>0</v>
      </c>
      <c r="J40" s="97">
        <f t="shared" si="20"/>
        <v>2473</v>
      </c>
      <c r="K40" s="97">
        <f>SUM(K35,K30,K25)</f>
        <v>0</v>
      </c>
      <c r="L40" s="97">
        <f>L35+L30+L25</f>
        <v>0</v>
      </c>
      <c r="M40" s="90">
        <f>SUM(B40:L40)</f>
        <v>3887</v>
      </c>
    </row>
    <row r="41" spans="1:13" x14ac:dyDescent="0.2">
      <c r="A41" s="47" t="s">
        <v>38</v>
      </c>
      <c r="B41" s="97">
        <f t="shared" si="20"/>
        <v>0</v>
      </c>
      <c r="C41" s="97">
        <f>SUM(C36,C31,C26)</f>
        <v>0</v>
      </c>
      <c r="D41" s="97">
        <f t="shared" si="20"/>
        <v>0</v>
      </c>
      <c r="E41" s="97">
        <f t="shared" si="21"/>
        <v>0</v>
      </c>
      <c r="F41" s="97">
        <f t="shared" si="21"/>
        <v>0</v>
      </c>
      <c r="G41" s="97">
        <f t="shared" ref="G41" si="23">SUM(G36,G31,G26)</f>
        <v>0</v>
      </c>
      <c r="H41" s="97">
        <f t="shared" si="20"/>
        <v>0</v>
      </c>
      <c r="I41" s="97">
        <f t="shared" si="20"/>
        <v>0</v>
      </c>
      <c r="J41" s="97">
        <f t="shared" si="20"/>
        <v>0</v>
      </c>
      <c r="K41" s="97">
        <f>SUM(K36,K31,K26)</f>
        <v>0</v>
      </c>
      <c r="L41" s="97">
        <f>L36+L31+L26</f>
        <v>0</v>
      </c>
      <c r="M41" s="90">
        <f>SUM(B41:L41)</f>
        <v>0</v>
      </c>
    </row>
    <row r="42" spans="1:13" ht="15" thickBot="1" x14ac:dyDescent="0.25">
      <c r="A42" s="57" t="s">
        <v>46</v>
      </c>
      <c r="B42" s="110">
        <f t="shared" si="20"/>
        <v>0</v>
      </c>
      <c r="C42" s="110">
        <f>SUM(C37,C32,C27)</f>
        <v>0</v>
      </c>
      <c r="D42" s="110">
        <f t="shared" si="20"/>
        <v>0</v>
      </c>
      <c r="E42" s="110">
        <f t="shared" si="21"/>
        <v>0</v>
      </c>
      <c r="F42" s="110">
        <f t="shared" si="21"/>
        <v>1414</v>
      </c>
      <c r="G42" s="110">
        <f t="shared" ref="G42" si="24">SUM(G37,G32,G27)</f>
        <v>0</v>
      </c>
      <c r="H42" s="110">
        <f t="shared" si="20"/>
        <v>0</v>
      </c>
      <c r="I42" s="110">
        <f t="shared" si="20"/>
        <v>0</v>
      </c>
      <c r="J42" s="110">
        <f t="shared" si="20"/>
        <v>2473</v>
      </c>
      <c r="K42" s="110">
        <f>SUM(K37,K32,K27)</f>
        <v>0</v>
      </c>
      <c r="L42" s="110">
        <f>SUM(L37,L32,L27)</f>
        <v>0</v>
      </c>
      <c r="M42" s="111">
        <f>SUM(B42:L42)</f>
        <v>3887</v>
      </c>
    </row>
    <row r="44" spans="1:13" x14ac:dyDescent="0.2">
      <c r="A44" s="322" t="s">
        <v>123</v>
      </c>
      <c r="B44" s="278">
        <f>[3]Pinnacle!$GC$70+[3]Pinnacle!$GC$73</f>
        <v>22017</v>
      </c>
      <c r="D44" s="279">
        <f>'[3]Sky West'!$GC$70+'[3]Sky West'!$GC$73</f>
        <v>55067</v>
      </c>
      <c r="E44" s="2"/>
      <c r="F44" s="2"/>
      <c r="G44" s="2"/>
      <c r="L44" s="279">
        <f>+'Other Regional'!J46</f>
        <v>4382</v>
      </c>
      <c r="M44" s="268">
        <f>SUM(B44:L44)</f>
        <v>81466</v>
      </c>
    </row>
    <row r="45" spans="1:13" x14ac:dyDescent="0.2">
      <c r="A45" s="335" t="s">
        <v>124</v>
      </c>
      <c r="B45" s="278">
        <f>[3]Pinnacle!$GC$71+[3]Pinnacle!$GC$74</f>
        <v>24140</v>
      </c>
      <c r="D45" s="279">
        <f>'[3]Sky West'!$GC$71+'[3]Sky West'!$GC$74</f>
        <v>99616</v>
      </c>
      <c r="E45" s="2"/>
      <c r="F45" s="2"/>
      <c r="G45" s="2"/>
      <c r="L45" s="279">
        <f>+'Other Regional'!J47</f>
        <v>4657</v>
      </c>
      <c r="M45" s="268">
        <f>SUM(B45:L45)</f>
        <v>128413</v>
      </c>
    </row>
    <row r="46" spans="1:13" x14ac:dyDescent="0.2">
      <c r="A46" s="269" t="s">
        <v>125</v>
      </c>
      <c r="B46" s="270">
        <f>SUM(B44:B45)</f>
        <v>46157</v>
      </c>
      <c r="L46" s="2"/>
      <c r="M46" s="254"/>
    </row>
    <row r="47" spans="1:13" x14ac:dyDescent="0.2">
      <c r="A47" s="271"/>
      <c r="B47" s="272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February 2019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L7" sqref="L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ht="36" customHeight="1" x14ac:dyDescent="0.2">
      <c r="A1" s="331"/>
    </row>
    <row r="2" spans="1:10" ht="55.5" customHeight="1" thickBot="1" x14ac:dyDescent="0.25">
      <c r="A2" s="325">
        <v>43497</v>
      </c>
      <c r="B2" s="431" t="s">
        <v>176</v>
      </c>
      <c r="C2" s="431" t="s">
        <v>175</v>
      </c>
      <c r="D2" s="431" t="s">
        <v>211</v>
      </c>
      <c r="E2" s="431" t="s">
        <v>186</v>
      </c>
      <c r="F2" s="431" t="s">
        <v>180</v>
      </c>
      <c r="G2" s="431" t="s">
        <v>179</v>
      </c>
      <c r="H2" s="431" t="s">
        <v>163</v>
      </c>
      <c r="I2" s="431" t="s">
        <v>167</v>
      </c>
      <c r="J2" s="432" t="s">
        <v>21</v>
      </c>
    </row>
    <row r="3" spans="1:10" ht="15" x14ac:dyDescent="0.25">
      <c r="A3" s="240" t="s">
        <v>3</v>
      </c>
      <c r="B3" s="347"/>
      <c r="C3" s="347"/>
      <c r="D3" s="347"/>
      <c r="E3" s="347"/>
      <c r="F3" s="348"/>
      <c r="G3" s="348"/>
      <c r="H3" s="348"/>
      <c r="I3" s="348"/>
      <c r="J3" s="430"/>
    </row>
    <row r="4" spans="1:10" x14ac:dyDescent="0.2">
      <c r="A4" s="47" t="s">
        <v>29</v>
      </c>
      <c r="B4" s="105"/>
      <c r="C4" s="105"/>
      <c r="D4" s="105"/>
      <c r="E4" s="106"/>
      <c r="F4" s="89"/>
      <c r="G4" s="89"/>
      <c r="H4" s="89"/>
      <c r="I4" s="89"/>
      <c r="J4" s="90"/>
    </row>
    <row r="5" spans="1:10" x14ac:dyDescent="0.2">
      <c r="A5" s="47" t="s">
        <v>30</v>
      </c>
      <c r="B5" s="89">
        <f>'[3]Shuttle America'!$GC$22</f>
        <v>0</v>
      </c>
      <c r="C5" s="89">
        <f>'[3]Shuttle America_Delta'!$GC$22</f>
        <v>3789</v>
      </c>
      <c r="D5" s="386">
        <f>[3]Horizon_AS!$GC$22</f>
        <v>0</v>
      </c>
      <c r="E5" s="386">
        <f>[3]PSA!$GC$22</f>
        <v>0</v>
      </c>
      <c r="F5" s="89">
        <f>'[3]Atlantic Southeast'!$GC$22+'[3]Atlantic Southeast'!$GC$32</f>
        <v>0</v>
      </c>
      <c r="G5" s="89">
        <f>'[3]Continental Express'!$GC$22</f>
        <v>262</v>
      </c>
      <c r="H5" s="97">
        <f>'[3]Go Jet_UA'!$GC$22</f>
        <v>137</v>
      </c>
      <c r="I5" s="13">
        <f>'[3]Go Jet'!$GC$22+'[3]Go Jet'!$GC$32</f>
        <v>5228</v>
      </c>
      <c r="J5" s="90">
        <f>SUM(B5:I5)</f>
        <v>9416</v>
      </c>
    </row>
    <row r="6" spans="1:10" s="6" customFormat="1" x14ac:dyDescent="0.2">
      <c r="A6" s="47" t="s">
        <v>31</v>
      </c>
      <c r="B6" s="89">
        <f>'[3]Shuttle America'!$GC$23</f>
        <v>0</v>
      </c>
      <c r="C6" s="89">
        <f>'[3]Shuttle America_Delta'!$GC$23</f>
        <v>3738</v>
      </c>
      <c r="D6" s="386">
        <f>[3]Horizon_AS!$GC$23</f>
        <v>0</v>
      </c>
      <c r="E6" s="386">
        <f>[3]PSA!$GC$23</f>
        <v>0</v>
      </c>
      <c r="F6" s="89">
        <f>'[3]Atlantic Southeast'!$GC$23+'[3]Atlantic Southeast'!$GC$33</f>
        <v>0</v>
      </c>
      <c r="G6" s="89">
        <f>'[3]Continental Express'!$GC$23</f>
        <v>374</v>
      </c>
      <c r="H6" s="97">
        <f>'[3]Go Jet_UA'!$GC$23</f>
        <v>129</v>
      </c>
      <c r="I6" s="7">
        <f>'[3]Go Jet'!$GC$23+'[3]Go Jet'!$GC$33</f>
        <v>5301</v>
      </c>
      <c r="J6" s="94">
        <f>SUM(B6:I6)</f>
        <v>9542</v>
      </c>
    </row>
    <row r="7" spans="1:10" ht="15" thickBot="1" x14ac:dyDescent="0.25">
      <c r="A7" s="56" t="s">
        <v>7</v>
      </c>
      <c r="B7" s="107">
        <f t="shared" ref="B7:H7" si="0">SUM(B5:B6)</f>
        <v>0</v>
      </c>
      <c r="C7" s="107">
        <f t="shared" si="0"/>
        <v>7527</v>
      </c>
      <c r="D7" s="107">
        <f t="shared" ref="D7" si="1">SUM(D5:D6)</f>
        <v>0</v>
      </c>
      <c r="E7" s="107">
        <f t="shared" si="0"/>
        <v>0</v>
      </c>
      <c r="F7" s="107">
        <f t="shared" si="0"/>
        <v>0</v>
      </c>
      <c r="G7" s="107">
        <f t="shared" si="0"/>
        <v>636</v>
      </c>
      <c r="H7" s="107">
        <f t="shared" si="0"/>
        <v>266</v>
      </c>
      <c r="I7" s="107">
        <f>SUM(I5:I6)</f>
        <v>10529</v>
      </c>
      <c r="J7" s="108">
        <f>SUM(B7:I7)</f>
        <v>18958</v>
      </c>
    </row>
    <row r="8" spans="1:10" ht="13.5" thickTop="1" x14ac:dyDescent="0.2">
      <c r="A8" s="47"/>
      <c r="B8" s="89"/>
      <c r="C8" s="89"/>
      <c r="D8" s="386"/>
      <c r="E8" s="386"/>
      <c r="F8" s="89"/>
      <c r="G8" s="89"/>
      <c r="H8" s="97"/>
      <c r="I8" s="297"/>
      <c r="J8" s="109"/>
    </row>
    <row r="9" spans="1:10" s="6" customFormat="1" x14ac:dyDescent="0.2">
      <c r="A9" s="47" t="s">
        <v>32</v>
      </c>
      <c r="B9" s="89"/>
      <c r="C9" s="89"/>
      <c r="D9" s="386"/>
      <c r="E9" s="386"/>
      <c r="F9" s="89"/>
      <c r="G9" s="89"/>
      <c r="H9" s="97"/>
      <c r="I9" s="13"/>
      <c r="J9" s="90"/>
    </row>
    <row r="10" spans="1:10" x14ac:dyDescent="0.2">
      <c r="A10" s="47" t="s">
        <v>30</v>
      </c>
      <c r="B10" s="89">
        <f>'[3]Shuttle America'!$GC$27</f>
        <v>0</v>
      </c>
      <c r="C10" s="89">
        <f>'[3]Shuttle America_Delta'!$GC$27</f>
        <v>123</v>
      </c>
      <c r="D10" s="386">
        <f>[3]Horizon_AS!$GC$27</f>
        <v>0</v>
      </c>
      <c r="E10" s="386">
        <f>[3]PSA!$GC$27</f>
        <v>0</v>
      </c>
      <c r="F10" s="13">
        <f>'[3]Atlantic Southeast'!$GC$27+'[3]Atlantic Southeast'!$GC$37</f>
        <v>0</v>
      </c>
      <c r="G10" s="89">
        <f>'[3]Continental Express'!$GC$27</f>
        <v>12</v>
      </c>
      <c r="H10" s="97">
        <f>'[3]Go Jet_UA'!$GC$27</f>
        <v>2</v>
      </c>
      <c r="I10" s="13">
        <f>'[3]Go Jet'!$GC$27+'[3]Go Jet'!$GC$37</f>
        <v>171</v>
      </c>
      <c r="J10" s="90">
        <f>SUM(B10:I10)</f>
        <v>308</v>
      </c>
    </row>
    <row r="11" spans="1:10" x14ac:dyDescent="0.2">
      <c r="A11" s="47" t="s">
        <v>33</v>
      </c>
      <c r="B11" s="89">
        <f>'[3]Shuttle America'!$GC$28</f>
        <v>0</v>
      </c>
      <c r="C11" s="89">
        <f>'[3]Shuttle America_Delta'!$GC$28</f>
        <v>168</v>
      </c>
      <c r="D11" s="386">
        <f>[3]Horizon_AS!$GC$28</f>
        <v>0</v>
      </c>
      <c r="E11" s="386">
        <f>[3]PSA!$GC$28</f>
        <v>0</v>
      </c>
      <c r="F11" s="7">
        <f>'[3]Atlantic Southeast'!$GC$28+'[3]Atlantic Southeast'!$GC$38</f>
        <v>0</v>
      </c>
      <c r="G11" s="89">
        <f>'[3]Continental Express'!$GC$28</f>
        <v>3</v>
      </c>
      <c r="H11" s="97">
        <f>'[3]Go Jet_UA'!$GC$28</f>
        <v>2</v>
      </c>
      <c r="I11" s="7">
        <f>'[3]Go Jet'!$GC$28+'[3]Go Jet'!$GC$38</f>
        <v>176</v>
      </c>
      <c r="J11" s="94">
        <f>SUM(B11:I11)</f>
        <v>349</v>
      </c>
    </row>
    <row r="12" spans="1:10" ht="15" thickBot="1" x14ac:dyDescent="0.25">
      <c r="A12" s="57" t="s">
        <v>34</v>
      </c>
      <c r="B12" s="110">
        <f>SUM(B10:B11)</f>
        <v>0</v>
      </c>
      <c r="C12" s="110">
        <f>SUM(C10:C11)</f>
        <v>291</v>
      </c>
      <c r="D12" s="110">
        <f t="shared" ref="D12:E12" si="2">SUM(D10:D11)</f>
        <v>0</v>
      </c>
      <c r="E12" s="110">
        <f t="shared" si="2"/>
        <v>0</v>
      </c>
      <c r="F12" s="110">
        <f t="shared" ref="F12:H12" si="3">SUM(F10:F11)</f>
        <v>0</v>
      </c>
      <c r="G12" s="110">
        <f t="shared" si="3"/>
        <v>15</v>
      </c>
      <c r="H12" s="110">
        <f t="shared" si="3"/>
        <v>4</v>
      </c>
      <c r="I12" s="110">
        <f t="shared" ref="I12" si="4">SUM(I10:I11)</f>
        <v>347</v>
      </c>
      <c r="J12" s="111">
        <f>SUM(B12:I12)</f>
        <v>657</v>
      </c>
    </row>
    <row r="13" spans="1:10" ht="6" customHeight="1" thickBot="1" x14ac:dyDescent="0.25"/>
    <row r="14" spans="1:10" ht="15.75" thickTop="1" x14ac:dyDescent="0.25">
      <c r="A14" s="46" t="s">
        <v>9</v>
      </c>
      <c r="B14" s="84"/>
      <c r="C14" s="84"/>
      <c r="D14" s="84"/>
      <c r="E14" s="84"/>
      <c r="F14" s="85"/>
      <c r="G14" s="85"/>
      <c r="H14" s="84"/>
      <c r="I14" s="84"/>
      <c r="J14" s="86"/>
    </row>
    <row r="15" spans="1:10" x14ac:dyDescent="0.2">
      <c r="A15" s="47" t="s">
        <v>53</v>
      </c>
      <c r="B15" s="87">
        <f>'[3]Shuttle America'!$GC$4</f>
        <v>0</v>
      </c>
      <c r="C15" s="87">
        <f>'[3]Shuttle America_Delta'!$GC$4</f>
        <v>72</v>
      </c>
      <c r="D15" s="387">
        <f>[3]Horizon_AS!$GC$4</f>
        <v>0</v>
      </c>
      <c r="E15" s="387">
        <f>[3]PSA!$GC$4</f>
        <v>0</v>
      </c>
      <c r="F15" s="88">
        <f>'[3]Atlantic Southeast'!$GC$4+'[3]Atlantic Southeast'!$GC$15</f>
        <v>0</v>
      </c>
      <c r="G15" s="88">
        <f>'[3]Continental Express'!$GC$4</f>
        <v>11</v>
      </c>
      <c r="H15" s="87">
        <f>'[3]Go Jet_UA'!$GC$4</f>
        <v>2</v>
      </c>
      <c r="I15" s="13">
        <f>'[3]Go Jet'!$GC$4+'[3]Go Jet'!$GC$15</f>
        <v>93</v>
      </c>
      <c r="J15" s="90">
        <f t="shared" ref="J15:J21" si="5">SUM(B15:I15)</f>
        <v>178</v>
      </c>
    </row>
    <row r="16" spans="1:10" x14ac:dyDescent="0.2">
      <c r="A16" s="47" t="s">
        <v>54</v>
      </c>
      <c r="B16" s="91">
        <f>'[3]Shuttle America'!$GC$5</f>
        <v>0</v>
      </c>
      <c r="C16" s="91">
        <f>'[3]Shuttle America_Delta'!$GC$5</f>
        <v>72</v>
      </c>
      <c r="D16" s="388">
        <f>[3]Horizon_AS!$GC$5</f>
        <v>0</v>
      </c>
      <c r="E16" s="388">
        <f>[3]PSA!$GC$5</f>
        <v>0</v>
      </c>
      <c r="F16" s="92">
        <f>'[3]Atlantic Southeast'!$GC$5+'[3]Atlantic Southeast'!$GC$16</f>
        <v>0</v>
      </c>
      <c r="G16" s="92">
        <f>'[3]Continental Express'!$GC$5</f>
        <v>11</v>
      </c>
      <c r="H16" s="91">
        <f>'[3]Go Jet_UA'!$GC$5</f>
        <v>2</v>
      </c>
      <c r="I16" s="7">
        <f>'[3]Go Jet'!$GC$5+'[3]Go Jet'!$GC$16</f>
        <v>93</v>
      </c>
      <c r="J16" s="94">
        <f t="shared" si="5"/>
        <v>178</v>
      </c>
    </row>
    <row r="17" spans="1:10" x14ac:dyDescent="0.2">
      <c r="A17" s="51" t="s">
        <v>55</v>
      </c>
      <c r="B17" s="95">
        <f>SUM(B15:B16)</f>
        <v>0</v>
      </c>
      <c r="C17" s="95">
        <f>SUM(C15:C16)</f>
        <v>144</v>
      </c>
      <c r="D17" s="95">
        <f t="shared" ref="D17:E17" si="6">SUM(D15:D16)</f>
        <v>0</v>
      </c>
      <c r="E17" s="95">
        <f t="shared" si="6"/>
        <v>0</v>
      </c>
      <c r="F17" s="95">
        <f t="shared" ref="F17:H17" si="7">SUM(F15:F16)</f>
        <v>0</v>
      </c>
      <c r="G17" s="95">
        <f t="shared" si="7"/>
        <v>22</v>
      </c>
      <c r="H17" s="95">
        <f t="shared" si="7"/>
        <v>4</v>
      </c>
      <c r="I17" s="247">
        <f>SUM(I15:I16)</f>
        <v>186</v>
      </c>
      <c r="J17" s="96">
        <f t="shared" si="5"/>
        <v>356</v>
      </c>
    </row>
    <row r="18" spans="1:10" x14ac:dyDescent="0.2">
      <c r="A18" s="47" t="s">
        <v>56</v>
      </c>
      <c r="B18" s="97">
        <f>'[3]Shuttle America'!$GC$8</f>
        <v>0</v>
      </c>
      <c r="C18" s="97">
        <f>'[3]Shuttle America_Delta'!$GC$8</f>
        <v>0</v>
      </c>
      <c r="D18" s="97">
        <f>[3]Horizon_AS!$GC$8</f>
        <v>0</v>
      </c>
      <c r="E18" s="97">
        <f>[3]PSA!$GC$8</f>
        <v>0</v>
      </c>
      <c r="F18" s="89">
        <f>'[3]Atlantic Southeast'!$GC$8</f>
        <v>0</v>
      </c>
      <c r="G18" s="89">
        <f>'[3]Continental Express'!$GC$8</f>
        <v>0</v>
      </c>
      <c r="H18" s="97">
        <f>'[3]Go Jet_UA'!$GC$8</f>
        <v>0</v>
      </c>
      <c r="I18" s="13">
        <f>'[3]Go Jet'!$GC$8</f>
        <v>0</v>
      </c>
      <c r="J18" s="90">
        <f t="shared" si="5"/>
        <v>0</v>
      </c>
    </row>
    <row r="19" spans="1:10" x14ac:dyDescent="0.2">
      <c r="A19" s="47" t="s">
        <v>57</v>
      </c>
      <c r="B19" s="98">
        <f>'[3]Shuttle America'!$GC$9</f>
        <v>0</v>
      </c>
      <c r="C19" s="98">
        <f>'[3]Shuttle America_Delta'!$GC$9</f>
        <v>0</v>
      </c>
      <c r="D19" s="98">
        <f>[3]Horizon_AS!$GC$9</f>
        <v>0</v>
      </c>
      <c r="E19" s="98">
        <f>[3]PSA!$GC$9</f>
        <v>0</v>
      </c>
      <c r="F19" s="93">
        <f>'[3]Atlantic Southeast'!$GC$9</f>
        <v>0</v>
      </c>
      <c r="G19" s="93">
        <f>'[3]Continental Express'!$GC$9</f>
        <v>0</v>
      </c>
      <c r="H19" s="98">
        <f>'[3]Go Jet_UA'!$GC$9</f>
        <v>0</v>
      </c>
      <c r="I19" s="7">
        <f>'[3]Go Jet'!$GC$9</f>
        <v>0</v>
      </c>
      <c r="J19" s="94">
        <f t="shared" si="5"/>
        <v>0</v>
      </c>
    </row>
    <row r="20" spans="1:10" x14ac:dyDescent="0.2">
      <c r="A20" s="51" t="s">
        <v>58</v>
      </c>
      <c r="B20" s="95">
        <f>SUM(B18:B19)</f>
        <v>0</v>
      </c>
      <c r="C20" s="95">
        <f>SUM(C18:C19)</f>
        <v>0</v>
      </c>
      <c r="D20" s="95">
        <f t="shared" ref="D20:E20" si="8">SUM(D18:D19)</f>
        <v>0</v>
      </c>
      <c r="E20" s="95">
        <f t="shared" si="8"/>
        <v>0</v>
      </c>
      <c r="F20" s="95">
        <f t="shared" ref="F20:H20" si="9">SUM(F18:F19)</f>
        <v>0</v>
      </c>
      <c r="G20" s="95">
        <f t="shared" si="9"/>
        <v>0</v>
      </c>
      <c r="H20" s="95">
        <f t="shared" si="9"/>
        <v>0</v>
      </c>
      <c r="I20" s="247">
        <f>SUM(I18:I19)</f>
        <v>0</v>
      </c>
      <c r="J20" s="96">
        <f t="shared" si="5"/>
        <v>0</v>
      </c>
    </row>
    <row r="21" spans="1:10" ht="15.75" thickBot="1" x14ac:dyDescent="0.3">
      <c r="A21" s="55" t="s">
        <v>28</v>
      </c>
      <c r="B21" s="99">
        <f>SUM(B20,B17)</f>
        <v>0</v>
      </c>
      <c r="C21" s="99">
        <f>SUM(C20,C17)</f>
        <v>144</v>
      </c>
      <c r="D21" s="99">
        <f t="shared" ref="D21:E21" si="10">SUM(D20,D17)</f>
        <v>0</v>
      </c>
      <c r="E21" s="99">
        <f t="shared" si="10"/>
        <v>0</v>
      </c>
      <c r="F21" s="99">
        <f t="shared" ref="F21:H21" si="11">SUM(F20,F17)</f>
        <v>0</v>
      </c>
      <c r="G21" s="99">
        <f t="shared" si="11"/>
        <v>22</v>
      </c>
      <c r="H21" s="99">
        <f t="shared" si="11"/>
        <v>4</v>
      </c>
      <c r="I21" s="99">
        <f t="shared" ref="I21" si="12">SUM(I20,I17)</f>
        <v>186</v>
      </c>
      <c r="J21" s="100">
        <f t="shared" si="5"/>
        <v>356</v>
      </c>
    </row>
    <row r="22" spans="1:10" ht="3.75" customHeight="1" thickBot="1" x14ac:dyDescent="0.25"/>
    <row r="23" spans="1:10" ht="15.75" thickTop="1" x14ac:dyDescent="0.25">
      <c r="A23" s="50" t="s">
        <v>116</v>
      </c>
      <c r="B23" s="112"/>
      <c r="C23" s="112"/>
      <c r="D23" s="112"/>
      <c r="E23" s="112"/>
      <c r="F23" s="113"/>
      <c r="G23" s="113"/>
      <c r="H23" s="112"/>
      <c r="I23" s="112"/>
      <c r="J23" s="114"/>
    </row>
    <row r="24" spans="1:10" x14ac:dyDescent="0.2">
      <c r="A24" s="47" t="s">
        <v>36</v>
      </c>
      <c r="B24" s="97"/>
      <c r="C24" s="97"/>
      <c r="D24" s="97"/>
      <c r="E24" s="97"/>
      <c r="F24" s="89"/>
      <c r="G24" s="89"/>
      <c r="H24" s="97"/>
      <c r="J24" s="90"/>
    </row>
    <row r="25" spans="1:10" x14ac:dyDescent="0.2">
      <c r="A25" s="47" t="s">
        <v>37</v>
      </c>
      <c r="B25" s="97">
        <f>'[3]Shuttle America'!$GC$47</f>
        <v>0</v>
      </c>
      <c r="C25" s="97">
        <f>'[3]Shuttle America_Delta'!$GC$47</f>
        <v>0</v>
      </c>
      <c r="D25" s="97">
        <f>[3]Horizon_AS!$GC$47</f>
        <v>0</v>
      </c>
      <c r="E25" s="97">
        <f>[3]PSA!$GC$47</f>
        <v>0</v>
      </c>
      <c r="F25" s="89">
        <f>'[3]Atlantic Southeast'!$GC$47</f>
        <v>0</v>
      </c>
      <c r="G25" s="89">
        <f>'[3]Continental Express'!$GC$47</f>
        <v>0</v>
      </c>
      <c r="H25" s="97">
        <f>'[3]Go Jet_UA'!$GC$47</f>
        <v>0</v>
      </c>
      <c r="I25" s="97">
        <f>'[3]Go Jet'!$GC$47</f>
        <v>0</v>
      </c>
      <c r="J25" s="90">
        <f>SUM(B25:I25)</f>
        <v>0</v>
      </c>
    </row>
    <row r="26" spans="1:10" x14ac:dyDescent="0.2">
      <c r="A26" s="47" t="s">
        <v>38</v>
      </c>
      <c r="B26" s="97">
        <f>'[3]Shuttle America'!$GC$48</f>
        <v>0</v>
      </c>
      <c r="C26" s="97">
        <f>'[3]Shuttle America_Delta'!$GC$48</f>
        <v>0</v>
      </c>
      <c r="D26" s="97">
        <f>[3]Horizon_AS!$GC$48</f>
        <v>0</v>
      </c>
      <c r="E26" s="97">
        <f>[3]PSA!$GC$48</f>
        <v>0</v>
      </c>
      <c r="F26" s="89">
        <f>'[3]Atlantic Southeast'!$GC$48</f>
        <v>0</v>
      </c>
      <c r="G26" s="89">
        <f>'[3]Continental Express'!$GC$48</f>
        <v>0</v>
      </c>
      <c r="H26" s="97">
        <f>'[3]Go Jet_UA'!$GC$48</f>
        <v>0</v>
      </c>
      <c r="I26" s="97">
        <f>'[3]Go Jet'!$GC$48</f>
        <v>0</v>
      </c>
      <c r="J26" s="90">
        <f>SUM(B26:I26)</f>
        <v>0</v>
      </c>
    </row>
    <row r="27" spans="1:10" ht="15" thickBot="1" x14ac:dyDescent="0.25">
      <c r="A27" s="56" t="s">
        <v>39</v>
      </c>
      <c r="B27" s="107">
        <f>SUM(B25:B26)</f>
        <v>0</v>
      </c>
      <c r="C27" s="107">
        <f>SUM(C25:C26)</f>
        <v>0</v>
      </c>
      <c r="D27" s="107">
        <f t="shared" ref="D27:E27" si="13">SUM(D25:D26)</f>
        <v>0</v>
      </c>
      <c r="E27" s="107">
        <f t="shared" si="13"/>
        <v>0</v>
      </c>
      <c r="F27" s="107">
        <f t="shared" ref="F27:H27" si="14">SUM(F25:F26)</f>
        <v>0</v>
      </c>
      <c r="G27" s="107">
        <f t="shared" si="14"/>
        <v>0</v>
      </c>
      <c r="H27" s="107">
        <f t="shared" si="14"/>
        <v>0</v>
      </c>
      <c r="I27" s="107">
        <f>SUM(I25:I26)</f>
        <v>0</v>
      </c>
      <c r="J27" s="108">
        <f>SUM(B27:I27)</f>
        <v>0</v>
      </c>
    </row>
    <row r="28" spans="1:10" ht="7.5" customHeight="1" thickTop="1" x14ac:dyDescent="0.2">
      <c r="A28" s="47"/>
      <c r="B28" s="97"/>
      <c r="C28" s="97"/>
      <c r="D28" s="97"/>
      <c r="E28" s="97"/>
      <c r="F28" s="89"/>
      <c r="G28" s="89"/>
      <c r="H28" s="97"/>
      <c r="I28" s="97"/>
      <c r="J28" s="90"/>
    </row>
    <row r="29" spans="1:10" x14ac:dyDescent="0.2">
      <c r="A29" s="47" t="s">
        <v>40</v>
      </c>
      <c r="B29" s="97"/>
      <c r="C29" s="97"/>
      <c r="D29" s="97"/>
      <c r="E29" s="97"/>
      <c r="F29" s="89"/>
      <c r="G29" s="89"/>
      <c r="H29" s="97"/>
      <c r="I29" s="97"/>
      <c r="J29" s="90"/>
    </row>
    <row r="30" spans="1:10" x14ac:dyDescent="0.2">
      <c r="A30" s="47" t="s">
        <v>59</v>
      </c>
      <c r="B30" s="97">
        <f>'[3]Shuttle America'!$GC$52</f>
        <v>0</v>
      </c>
      <c r="C30" s="97">
        <f>'[3]Shuttle America_Delta'!$GC$52</f>
        <v>0</v>
      </c>
      <c r="D30" s="97">
        <f>[3]Horizon_AS!$GC$52</f>
        <v>0</v>
      </c>
      <c r="E30" s="97">
        <f>[3]PSA!$GC$52</f>
        <v>0</v>
      </c>
      <c r="F30" s="89">
        <f>'[3]Atlantic Southeast'!$GC$52</f>
        <v>0</v>
      </c>
      <c r="G30" s="89">
        <f>'[3]Continental Express'!$GC$52</f>
        <v>0</v>
      </c>
      <c r="H30" s="97">
        <f>'[3]Go Jet_UA'!$GC$52</f>
        <v>0</v>
      </c>
      <c r="I30" s="97">
        <f>'[3]Go Jet'!$GC$52</f>
        <v>0</v>
      </c>
      <c r="J30" s="90">
        <f>SUM(B30:I30)</f>
        <v>0</v>
      </c>
    </row>
    <row r="31" spans="1:10" x14ac:dyDescent="0.2">
      <c r="A31" s="47" t="s">
        <v>60</v>
      </c>
      <c r="B31" s="97">
        <f>'[3]Shuttle America'!$GC$53</f>
        <v>0</v>
      </c>
      <c r="C31" s="97">
        <f>'[3]Shuttle America_Delta'!$GC$53</f>
        <v>0</v>
      </c>
      <c r="D31" s="97">
        <f>[3]Horizon_AS!$GC$53</f>
        <v>0</v>
      </c>
      <c r="E31" s="97">
        <f>[3]PSA!$GC$53</f>
        <v>0</v>
      </c>
      <c r="F31" s="89">
        <f>'[3]Atlantic Southeast'!$GC$53</f>
        <v>0</v>
      </c>
      <c r="G31" s="89">
        <f>'[3]Continental Express'!$GC$53</f>
        <v>0</v>
      </c>
      <c r="H31" s="97">
        <f>'[3]Go Jet_UA'!$GC$53</f>
        <v>0</v>
      </c>
      <c r="I31" s="97">
        <f>'[3]Go Jet'!$GC$53</f>
        <v>0</v>
      </c>
      <c r="J31" s="90">
        <f>SUM(B31:I31)</f>
        <v>0</v>
      </c>
    </row>
    <row r="32" spans="1:10" ht="15" thickBot="1" x14ac:dyDescent="0.25">
      <c r="A32" s="56" t="s">
        <v>41</v>
      </c>
      <c r="B32" s="107">
        <f t="shared" ref="B32:H32" si="15">SUM(B30:B31)</f>
        <v>0</v>
      </c>
      <c r="C32" s="107">
        <f t="shared" si="15"/>
        <v>0</v>
      </c>
      <c r="D32" s="107">
        <f t="shared" ref="D32" si="16">SUM(D30:D31)</f>
        <v>0</v>
      </c>
      <c r="E32" s="107">
        <f t="shared" si="15"/>
        <v>0</v>
      </c>
      <c r="F32" s="107">
        <f t="shared" si="15"/>
        <v>0</v>
      </c>
      <c r="G32" s="107">
        <f t="shared" si="15"/>
        <v>0</v>
      </c>
      <c r="H32" s="107">
        <f t="shared" si="15"/>
        <v>0</v>
      </c>
      <c r="I32" s="107">
        <f t="shared" ref="I32" si="17">SUM(I30:I31)</f>
        <v>0</v>
      </c>
      <c r="J32" s="108">
        <f>SUM(B32:I32)</f>
        <v>0</v>
      </c>
    </row>
    <row r="33" spans="1:10" ht="13.5" hidden="1" thickTop="1" x14ac:dyDescent="0.2">
      <c r="A33" s="47"/>
      <c r="B33" s="97"/>
      <c r="C33" s="97"/>
      <c r="D33" s="97"/>
      <c r="E33" s="97"/>
      <c r="F33" s="89"/>
      <c r="G33" s="89"/>
      <c r="H33" s="97"/>
      <c r="I33" s="97"/>
      <c r="J33" s="90"/>
    </row>
    <row r="34" spans="1:10" ht="13.5" hidden="1" thickTop="1" x14ac:dyDescent="0.2">
      <c r="A34" s="47" t="s">
        <v>42</v>
      </c>
      <c r="B34" s="97"/>
      <c r="C34" s="97"/>
      <c r="D34" s="97"/>
      <c r="E34" s="97"/>
      <c r="F34" s="89"/>
      <c r="G34" s="89"/>
      <c r="H34" s="97"/>
      <c r="I34" s="97"/>
      <c r="J34" s="90"/>
    </row>
    <row r="35" spans="1:10" ht="13.5" hidden="1" thickTop="1" x14ac:dyDescent="0.2">
      <c r="A35" s="47" t="s">
        <v>37</v>
      </c>
      <c r="B35" s="97">
        <f>'[3]Shuttle America'!$GC$57</f>
        <v>0</v>
      </c>
      <c r="C35" s="97">
        <f>'[3]Shuttle America_Delta'!$GC$57</f>
        <v>0</v>
      </c>
      <c r="D35" s="97">
        <f>[3]Horizon_AS!$GC$57</f>
        <v>0</v>
      </c>
      <c r="E35" s="97">
        <f>[3]PSA!$GC$57</f>
        <v>0</v>
      </c>
      <c r="F35" s="89">
        <f>'[3]Atlantic Southeast'!$GC$57</f>
        <v>0</v>
      </c>
      <c r="G35" s="89">
        <f>'[3]Continental Express'!$GC$57</f>
        <v>0</v>
      </c>
      <c r="H35" s="97">
        <f>'[3]Go Jet_UA'!$AJ$57</f>
        <v>0</v>
      </c>
      <c r="I35" s="97">
        <f>'[3]Go Jet'!$GC$57</f>
        <v>0</v>
      </c>
      <c r="J35" s="90">
        <f>SUM(B35:I35)</f>
        <v>0</v>
      </c>
    </row>
    <row r="36" spans="1:10" ht="13.5" hidden="1" thickTop="1" x14ac:dyDescent="0.2">
      <c r="A36" s="47" t="s">
        <v>38</v>
      </c>
      <c r="B36" s="97">
        <f>'[3]Shuttle America'!BG$58</f>
        <v>0</v>
      </c>
      <c r="C36" s="97">
        <f>'[3]Shuttle America_Delta'!BH$58</f>
        <v>0</v>
      </c>
      <c r="D36" s="97">
        <f>[3]Horizon_AS!BF$58</f>
        <v>0</v>
      </c>
      <c r="E36" s="97">
        <f>[3]PSA!BG$58</f>
        <v>0</v>
      </c>
      <c r="F36" s="89">
        <f>'[3]Atlantic Southeast'!BG$58</f>
        <v>0</v>
      </c>
      <c r="G36" s="89">
        <f>'[3]Continental Express'!BG$58</f>
        <v>0</v>
      </c>
      <c r="H36" s="97">
        <f>'[3]Go Jet_UA'!$AJ$58</f>
        <v>0</v>
      </c>
      <c r="I36" s="97">
        <f>'[3]Go Jet'!BK$58</f>
        <v>0</v>
      </c>
      <c r="J36" s="90">
        <f>SUM(B36:I36)</f>
        <v>0</v>
      </c>
    </row>
    <row r="37" spans="1:10" ht="13.5" hidden="1" thickTop="1" x14ac:dyDescent="0.2">
      <c r="A37" s="58" t="s">
        <v>43</v>
      </c>
      <c r="B37" s="115">
        <f>SUM(B35:B36)</f>
        <v>0</v>
      </c>
      <c r="C37" s="115">
        <f>SUM(C35:C36)</f>
        <v>0</v>
      </c>
      <c r="D37" s="115">
        <f t="shared" ref="D37:E37" si="18">SUM(D35:D36)</f>
        <v>0</v>
      </c>
      <c r="E37" s="115">
        <f t="shared" si="18"/>
        <v>0</v>
      </c>
      <c r="F37" s="116">
        <f t="shared" ref="F37:H37" si="19">SUM(F35:F36)</f>
        <v>0</v>
      </c>
      <c r="G37" s="116">
        <f t="shared" si="19"/>
        <v>0</v>
      </c>
      <c r="H37" s="115">
        <f t="shared" si="19"/>
        <v>0</v>
      </c>
      <c r="I37" s="115">
        <f>SUM(I35:I36)</f>
        <v>0</v>
      </c>
      <c r="J37" s="117">
        <f>SUM(B37:I37)</f>
        <v>0</v>
      </c>
    </row>
    <row r="38" spans="1:10" ht="6.75" customHeight="1" thickTop="1" x14ac:dyDescent="0.2">
      <c r="A38" s="47"/>
      <c r="B38" s="97"/>
      <c r="C38" s="97"/>
      <c r="D38" s="97"/>
      <c r="E38" s="97"/>
      <c r="F38" s="89"/>
      <c r="G38" s="89"/>
      <c r="H38" s="97"/>
      <c r="I38" s="97"/>
      <c r="J38" s="90"/>
    </row>
    <row r="39" spans="1:10" x14ac:dyDescent="0.2">
      <c r="A39" s="47" t="s">
        <v>44</v>
      </c>
      <c r="B39" s="97"/>
      <c r="C39" s="97"/>
      <c r="D39" s="97"/>
      <c r="E39" s="97"/>
      <c r="F39" s="89"/>
      <c r="G39" s="89"/>
      <c r="H39" s="97"/>
      <c r="I39" s="97"/>
      <c r="J39" s="90"/>
    </row>
    <row r="40" spans="1:10" x14ac:dyDescent="0.2">
      <c r="A40" s="47" t="s">
        <v>45</v>
      </c>
      <c r="B40" s="97">
        <f t="shared" ref="B40:G40" si="20">SUM(B35,B30,B25)</f>
        <v>0</v>
      </c>
      <c r="C40" s="97">
        <f>SUM(C35,C30,C25)</f>
        <v>0</v>
      </c>
      <c r="D40" s="97">
        <f t="shared" ref="D40:E41" si="21">SUM(D35,D30,D25)</f>
        <v>0</v>
      </c>
      <c r="E40" s="97">
        <f t="shared" si="21"/>
        <v>0</v>
      </c>
      <c r="F40" s="97">
        <f t="shared" si="20"/>
        <v>0</v>
      </c>
      <c r="G40" s="97">
        <f t="shared" si="20"/>
        <v>0</v>
      </c>
      <c r="H40" s="97">
        <f>SUM(H35,H30,H25)</f>
        <v>0</v>
      </c>
      <c r="I40" s="97">
        <f t="shared" ref="I40" si="22">SUM(I35,I30,I25)</f>
        <v>0</v>
      </c>
      <c r="J40" s="90">
        <f>SUM(B40:I40)</f>
        <v>0</v>
      </c>
    </row>
    <row r="41" spans="1:10" x14ac:dyDescent="0.2">
      <c r="A41" s="47" t="s">
        <v>38</v>
      </c>
      <c r="B41" s="97">
        <f>SUM(B36,B31,B26)</f>
        <v>0</v>
      </c>
      <c r="C41" s="97">
        <f>SUM(C36,C31,C26)</f>
        <v>0</v>
      </c>
      <c r="D41" s="97">
        <f t="shared" si="21"/>
        <v>0</v>
      </c>
      <c r="E41" s="97">
        <f t="shared" si="21"/>
        <v>0</v>
      </c>
      <c r="F41" s="97">
        <f t="shared" ref="F41:G41" si="23">SUM(F36,F31,F26)</f>
        <v>0</v>
      </c>
      <c r="G41" s="97">
        <f t="shared" si="23"/>
        <v>0</v>
      </c>
      <c r="H41" s="97">
        <f>SUM(H36,H31,H26)</f>
        <v>0</v>
      </c>
      <c r="I41" s="97">
        <f t="shared" ref="I41" si="24">SUM(I36,I31,I26)</f>
        <v>0</v>
      </c>
      <c r="J41" s="90">
        <f>SUM(B41:I41)</f>
        <v>0</v>
      </c>
    </row>
    <row r="42" spans="1:10" ht="15" thickBot="1" x14ac:dyDescent="0.25">
      <c r="A42" s="57" t="s">
        <v>46</v>
      </c>
      <c r="B42" s="110">
        <f>SUM(B40:B41)</f>
        <v>0</v>
      </c>
      <c r="C42" s="110">
        <f>SUM(C40:C41)</f>
        <v>0</v>
      </c>
      <c r="D42" s="110">
        <f t="shared" ref="D42:E42" si="25">SUM(D40:D41)</f>
        <v>0</v>
      </c>
      <c r="E42" s="110">
        <f t="shared" si="25"/>
        <v>0</v>
      </c>
      <c r="F42" s="110">
        <f t="shared" ref="F42:H42" si="26">SUM(F40:F41)</f>
        <v>0</v>
      </c>
      <c r="G42" s="110">
        <f t="shared" si="26"/>
        <v>0</v>
      </c>
      <c r="H42" s="110">
        <f t="shared" si="26"/>
        <v>0</v>
      </c>
      <c r="I42" s="110">
        <f t="shared" ref="I42" si="27">SUM(I40:I41)</f>
        <v>0</v>
      </c>
      <c r="J42" s="111">
        <f>SUM(B42:I42)</f>
        <v>0</v>
      </c>
    </row>
    <row r="43" spans="1:10" ht="4.5" customHeight="1" x14ac:dyDescent="0.2"/>
    <row r="44" spans="1:10" hidden="1" x14ac:dyDescent="0.2">
      <c r="A44" s="280" t="s">
        <v>126</v>
      </c>
      <c r="F44" s="266"/>
      <c r="I44" s="279">
        <f>'[3]Go Jet'!BK$70+'[3]Go Jet'!BK$73</f>
        <v>0</v>
      </c>
      <c r="J44" s="268" t="e">
        <f>SUM(#REF!)</f>
        <v>#REF!</v>
      </c>
    </row>
    <row r="45" spans="1:10" hidden="1" x14ac:dyDescent="0.2">
      <c r="A45" s="280" t="s">
        <v>127</v>
      </c>
      <c r="F45" s="283"/>
      <c r="I45" s="279">
        <f>'[3]Go Jet'!BK$71+'[3]Go Jet'!BK$74</f>
        <v>0</v>
      </c>
      <c r="J45" s="268" t="e">
        <f>SUM(#REF!)</f>
        <v>#REF!</v>
      </c>
    </row>
    <row r="46" spans="1:10" x14ac:dyDescent="0.2">
      <c r="A46" s="322" t="s">
        <v>123</v>
      </c>
      <c r="C46" s="279">
        <f>'[3]Shuttle America_Delta'!$GC$70+'[3]Shuttle America_Delta'!$GC$73</f>
        <v>1768</v>
      </c>
      <c r="D46" s="2"/>
      <c r="F46" s="279">
        <f>'[3]Atlantic Southeast'!$GC$70+'[3]Atlantic Southeast'!$GC$73</f>
        <v>0</v>
      </c>
      <c r="I46" s="279">
        <f>'[3]Go Jet'!$GC$70+'[3]Go Jet'!$GC$73</f>
        <v>2614</v>
      </c>
      <c r="J46" s="334">
        <f>SUM(B46:I46)</f>
        <v>4382</v>
      </c>
    </row>
    <row r="47" spans="1:10" x14ac:dyDescent="0.2">
      <c r="A47" s="335" t="s">
        <v>124</v>
      </c>
      <c r="C47" s="279">
        <f>'[3]Shuttle America_Delta'!$GC$71+'[3]Shuttle America_Delta'!$GC$74</f>
        <v>1970</v>
      </c>
      <c r="D47" s="2"/>
      <c r="F47" s="279">
        <f>'[3]Atlantic Southeast'!$GC$71+'[3]Atlantic Southeast'!$GC$74</f>
        <v>0</v>
      </c>
      <c r="I47" s="279">
        <f>'[3]Go Jet'!$GC$71+'[3]Go Jet'!$GC$74</f>
        <v>2687</v>
      </c>
      <c r="J47" s="334">
        <f>SUM(B47:I47)</f>
        <v>4657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February 2019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I6" sqref="I6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25">
        <v>43497</v>
      </c>
      <c r="B2" s="152" t="s">
        <v>118</v>
      </c>
      <c r="C2" s="152" t="s">
        <v>156</v>
      </c>
      <c r="D2" s="83" t="s">
        <v>78</v>
      </c>
      <c r="E2" s="83" t="s">
        <v>157</v>
      </c>
      <c r="F2" s="152" t="s">
        <v>132</v>
      </c>
      <c r="G2" s="146" t="s">
        <v>79</v>
      </c>
    </row>
    <row r="3" spans="1:17" x14ac:dyDescent="0.2">
      <c r="A3" s="239" t="s">
        <v>3</v>
      </c>
      <c r="B3" s="158"/>
      <c r="C3" s="157"/>
      <c r="D3" s="157"/>
      <c r="E3" s="157"/>
      <c r="F3" s="157"/>
      <c r="G3" s="231"/>
    </row>
    <row r="4" spans="1:17" x14ac:dyDescent="0.2">
      <c r="A4" s="47" t="s">
        <v>29</v>
      </c>
      <c r="B4" s="359"/>
      <c r="C4" s="156"/>
      <c r="D4" s="156"/>
      <c r="E4" s="156"/>
      <c r="F4" s="156"/>
      <c r="G4" s="217"/>
    </row>
    <row r="5" spans="1:17" x14ac:dyDescent="0.2">
      <c r="A5" s="47" t="s">
        <v>30</v>
      </c>
      <c r="B5" s="359">
        <f>'[3]Charter Misc'!$GC$22</f>
        <v>0</v>
      </c>
      <c r="C5" s="156">
        <f>[3]Ryan!$GC$22</f>
        <v>0</v>
      </c>
      <c r="D5" s="156">
        <f>'[3]Charter Misc'!$GC$32</f>
        <v>0</v>
      </c>
      <c r="E5" s="156">
        <f>[3]Omni!$GC$32</f>
        <v>212</v>
      </c>
      <c r="F5" s="156">
        <f>[3]Xtra!$GC$32+[3]Xtra!$GC$22</f>
        <v>0</v>
      </c>
      <c r="G5" s="296">
        <f>SUM(B5:F5)</f>
        <v>212</v>
      </c>
    </row>
    <row r="6" spans="1:17" x14ac:dyDescent="0.2">
      <c r="A6" s="47" t="s">
        <v>31</v>
      </c>
      <c r="B6" s="360">
        <f>'[3]Charter Misc'!$GC$23</f>
        <v>0</v>
      </c>
      <c r="C6" s="159">
        <f>[3]Ryan!$GC$23</f>
        <v>0</v>
      </c>
      <c r="D6" s="159">
        <f>'[3]Charter Misc'!$GC$33</f>
        <v>0</v>
      </c>
      <c r="E6" s="159">
        <f>[3]Omni!$GC$33+[3]Omni!$GC$23</f>
        <v>212</v>
      </c>
      <c r="F6" s="159">
        <f>[3]Xtra!$GC$33+[3]Xtra!$GC$23</f>
        <v>0</v>
      </c>
      <c r="G6" s="295">
        <f>SUM(B6:F6)</f>
        <v>212</v>
      </c>
    </row>
    <row r="7" spans="1:17" ht="15.75" thickBot="1" x14ac:dyDescent="0.3">
      <c r="A7" s="155" t="s">
        <v>7</v>
      </c>
      <c r="B7" s="361">
        <f>SUM(B5:B6)</f>
        <v>0</v>
      </c>
      <c r="C7" s="256">
        <f>SUM(C5:C6)</f>
        <v>0</v>
      </c>
      <c r="D7" s="256">
        <f>SUM(D5:D6)</f>
        <v>0</v>
      </c>
      <c r="E7" s="256">
        <f>SUM(E5:E6)</f>
        <v>424</v>
      </c>
      <c r="F7" s="256">
        <f>SUM(F5:F6)</f>
        <v>0</v>
      </c>
      <c r="G7" s="257">
        <f>SUM(B7:F7)</f>
        <v>424</v>
      </c>
    </row>
    <row r="8" spans="1:17" ht="13.5" thickBot="1" x14ac:dyDescent="0.25"/>
    <row r="9" spans="1:17" x14ac:dyDescent="0.2">
      <c r="A9" s="153" t="s">
        <v>9</v>
      </c>
      <c r="B9" s="362"/>
      <c r="C9" s="30"/>
      <c r="D9" s="30"/>
      <c r="E9" s="30"/>
      <c r="F9" s="30"/>
      <c r="G9" s="42"/>
    </row>
    <row r="10" spans="1:17" x14ac:dyDescent="0.2">
      <c r="A10" s="154" t="s">
        <v>80</v>
      </c>
      <c r="B10" s="359">
        <f>'[3]Charter Misc'!$GC$4</f>
        <v>0</v>
      </c>
      <c r="C10" s="156">
        <f>[3]Ryan!$GC$4</f>
        <v>0</v>
      </c>
      <c r="D10" s="156">
        <f>'[3]Charter Misc'!$GC$15</f>
        <v>0</v>
      </c>
      <c r="E10" s="156">
        <f>[3]Omni!$GC$15+[3]Omni!$GC$4+[3]Omni!$GC$8</f>
        <v>4</v>
      </c>
      <c r="F10" s="156">
        <f>[3]Xtra!$GC$15+[3]Xtra!$GC$4+[3]Omni!$GC$8</f>
        <v>4</v>
      </c>
      <c r="G10" s="295">
        <f>SUM(B10:F10)</f>
        <v>8</v>
      </c>
    </row>
    <row r="11" spans="1:17" x14ac:dyDescent="0.2">
      <c r="A11" s="154" t="s">
        <v>81</v>
      </c>
      <c r="B11" s="359">
        <f>'[3]Charter Misc'!$GC$5</f>
        <v>0</v>
      </c>
      <c r="C11" s="156">
        <f>[3]Ryan!$GC$5</f>
        <v>0</v>
      </c>
      <c r="D11" s="156">
        <f>'[3]Charter Misc'!$GC$16</f>
        <v>0</v>
      </c>
      <c r="E11" s="156">
        <f>[3]Omni!$GC$16+[3]Omni!$GC$5+[3]Omni!$GC$9</f>
        <v>4</v>
      </c>
      <c r="F11" s="156">
        <f>[3]Xtra!$GC$16+[3]Xtra!$GC$5+[3]Omni!$GC$9</f>
        <v>4</v>
      </c>
      <c r="G11" s="295">
        <f>SUM(B11:F11)</f>
        <v>8</v>
      </c>
    </row>
    <row r="12" spans="1:17" ht="15.75" thickBot="1" x14ac:dyDescent="0.3">
      <c r="A12" s="238" t="s">
        <v>28</v>
      </c>
      <c r="B12" s="363">
        <f>SUM(B10:B11)</f>
        <v>0</v>
      </c>
      <c r="C12" s="258">
        <f>SUM(C10:C11)</f>
        <v>0</v>
      </c>
      <c r="D12" s="258">
        <f>SUM(D10:D11)</f>
        <v>0</v>
      </c>
      <c r="E12" s="258">
        <f>SUM(E10:E11)</f>
        <v>8</v>
      </c>
      <c r="F12" s="258">
        <f>SUM(F10:F11)</f>
        <v>8</v>
      </c>
      <c r="G12" s="259">
        <f>SUM(B12:F12)</f>
        <v>16</v>
      </c>
      <c r="Q12" s="97"/>
    </row>
    <row r="17" spans="1:16" x14ac:dyDescent="0.2">
      <c r="B17" s="450" t="s">
        <v>154</v>
      </c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452"/>
    </row>
    <row r="18" spans="1:16" ht="13.5" thickBot="1" x14ac:dyDescent="0.25">
      <c r="A18" s="274"/>
      <c r="E18" s="193"/>
      <c r="G18" s="193"/>
      <c r="H18" s="193"/>
      <c r="L18" s="197"/>
      <c r="N18" s="4"/>
    </row>
    <row r="19" spans="1:16" ht="13.5" customHeight="1" thickBot="1" x14ac:dyDescent="0.25">
      <c r="A19" s="349"/>
      <c r="B19" s="453" t="s">
        <v>120</v>
      </c>
      <c r="C19" s="454"/>
      <c r="D19" s="454"/>
      <c r="E19" s="455"/>
      <c r="G19" s="453" t="s">
        <v>121</v>
      </c>
      <c r="H19" s="456"/>
      <c r="I19" s="456"/>
      <c r="J19" s="457"/>
      <c r="L19" s="458" t="s">
        <v>122</v>
      </c>
      <c r="M19" s="459"/>
      <c r="N19" s="459"/>
      <c r="O19" s="460"/>
    </row>
    <row r="20" spans="1:16" ht="13.5" thickBot="1" x14ac:dyDescent="0.25">
      <c r="A20" s="200" t="s">
        <v>101</v>
      </c>
      <c r="B20" s="205" t="s">
        <v>102</v>
      </c>
      <c r="C20" s="5" t="s">
        <v>103</v>
      </c>
      <c r="D20" s="5" t="s">
        <v>217</v>
      </c>
      <c r="E20" s="5" t="s">
        <v>210</v>
      </c>
      <c r="F20" s="206" t="s">
        <v>98</v>
      </c>
      <c r="G20" s="5" t="s">
        <v>102</v>
      </c>
      <c r="H20" s="5" t="s">
        <v>103</v>
      </c>
      <c r="I20" s="5" t="s">
        <v>217</v>
      </c>
      <c r="J20" s="5" t="s">
        <v>210</v>
      </c>
      <c r="K20" s="206" t="s">
        <v>98</v>
      </c>
      <c r="L20" s="205" t="s">
        <v>102</v>
      </c>
      <c r="M20" s="199" t="s">
        <v>103</v>
      </c>
      <c r="N20" s="5" t="s">
        <v>217</v>
      </c>
      <c r="O20" s="5" t="s">
        <v>210</v>
      </c>
      <c r="P20" s="206" t="s">
        <v>98</v>
      </c>
    </row>
    <row r="21" spans="1:16" ht="14.1" customHeight="1" x14ac:dyDescent="0.2">
      <c r="A21" s="209" t="s">
        <v>104</v>
      </c>
      <c r="B21" s="438">
        <f>+[2]Charter!$B$21</f>
        <v>137103</v>
      </c>
      <c r="C21" s="439">
        <f>+[2]Charter!$C$21</f>
        <v>129608</v>
      </c>
      <c r="D21" s="439">
        <f t="shared" ref="D21:D32" si="0">SUM(B21:C21)</f>
        <v>266711</v>
      </c>
      <c r="E21" s="440">
        <f>[4]Charter!$D$21</f>
        <v>268837</v>
      </c>
      <c r="F21" s="294">
        <f t="shared" ref="F21:F32" si="1">(D21-E21)/E21</f>
        <v>-7.9081376447438408E-3</v>
      </c>
      <c r="G21" s="290">
        <f>L21-B21</f>
        <v>1214024</v>
      </c>
      <c r="H21" s="291">
        <f>M21-C21</f>
        <v>1256106</v>
      </c>
      <c r="I21" s="291">
        <f>SUM(G21:H21)</f>
        <v>2470130</v>
      </c>
      <c r="J21" s="292">
        <f>[4]Charter!$I$21</f>
        <v>2415973</v>
      </c>
      <c r="K21" s="210">
        <f t="shared" ref="K21:K32" si="2">(I21-J21)/J21</f>
        <v>2.2416227333666394E-2</v>
      </c>
      <c r="L21" s="290">
        <f>+[2]Charter!$L$21</f>
        <v>1351127</v>
      </c>
      <c r="M21" s="291">
        <f>+[2]Charter!$M$21</f>
        <v>1385714</v>
      </c>
      <c r="N21" s="291">
        <f t="shared" ref="N21:N32" si="3">SUM(L21:M21)</f>
        <v>2736841</v>
      </c>
      <c r="O21" s="292">
        <f>[4]Charter!$N$21</f>
        <v>2684810</v>
      </c>
      <c r="P21" s="210">
        <f>(N21-O21)/O21</f>
        <v>1.9379769890606784E-2</v>
      </c>
    </row>
    <row r="22" spans="1:16" ht="14.1" customHeight="1" x14ac:dyDescent="0.2">
      <c r="A22" s="211" t="s">
        <v>105</v>
      </c>
      <c r="B22" s="433">
        <f>'Intl Detail'!$O$4+'Intl Detail'!$O$9</f>
        <v>135822</v>
      </c>
      <c r="C22" s="434">
        <f>'Intl Detail'!$O$5+'Intl Detail'!$O$10</f>
        <v>139060</v>
      </c>
      <c r="D22" s="434">
        <f t="shared" ref="D22" si="4">SUM(B22:C22)</f>
        <v>274882</v>
      </c>
      <c r="E22" s="435">
        <f>[1]Charter!$D22</f>
        <v>285115</v>
      </c>
      <c r="F22" s="289">
        <f t="shared" si="1"/>
        <v>-3.5890780912964944E-2</v>
      </c>
      <c r="G22" s="436">
        <f>L22-B22</f>
        <v>1165574</v>
      </c>
      <c r="H22" s="437">
        <f>M22-C22</f>
        <v>1184555</v>
      </c>
      <c r="I22" s="437">
        <f>SUM(G22:H22)</f>
        <v>2350129</v>
      </c>
      <c r="J22" s="293">
        <f>[1]Charter!$I22</f>
        <v>2426258</v>
      </c>
      <c r="K22" s="213">
        <f t="shared" si="2"/>
        <v>-3.1377124774034745E-2</v>
      </c>
      <c r="L22" s="436">
        <f>'Monthly Summary'!$B$11</f>
        <v>1301396</v>
      </c>
      <c r="M22" s="437">
        <f>'Monthly Summary'!$C$11</f>
        <v>1323615</v>
      </c>
      <c r="N22" s="437">
        <f t="shared" ref="N22" si="5">SUM(L22:M22)</f>
        <v>2625011</v>
      </c>
      <c r="O22" s="293">
        <f>[1]Charter!$N22</f>
        <v>2711373</v>
      </c>
      <c r="P22" s="212">
        <f t="shared" ref="P22:P32" si="6">(N22-O22)/O22</f>
        <v>-3.1851759237847395E-2</v>
      </c>
    </row>
    <row r="23" spans="1:16" ht="14.1" customHeight="1" x14ac:dyDescent="0.2">
      <c r="A23" s="211" t="s">
        <v>106</v>
      </c>
      <c r="B23" s="286"/>
      <c r="C23" s="288"/>
      <c r="D23" s="287">
        <f t="shared" si="0"/>
        <v>0</v>
      </c>
      <c r="E23" s="293"/>
      <c r="F23" s="212" t="e">
        <f t="shared" si="1"/>
        <v>#DIV/0!</v>
      </c>
      <c r="G23" s="286"/>
      <c r="H23" s="288"/>
      <c r="I23" s="287">
        <f>SUM(G23:H23)</f>
        <v>0</v>
      </c>
      <c r="J23" s="293"/>
      <c r="K23" s="213" t="e">
        <f t="shared" si="2"/>
        <v>#DIV/0!</v>
      </c>
      <c r="L23" s="286"/>
      <c r="M23" s="288"/>
      <c r="N23" s="287">
        <f t="shared" si="3"/>
        <v>0</v>
      </c>
      <c r="O23" s="293"/>
      <c r="P23" s="212" t="e">
        <f t="shared" si="6"/>
        <v>#DIV/0!</v>
      </c>
    </row>
    <row r="24" spans="1:16" ht="14.1" customHeight="1" x14ac:dyDescent="0.2">
      <c r="A24" s="211" t="s">
        <v>107</v>
      </c>
      <c r="B24" s="286"/>
      <c r="C24" s="288"/>
      <c r="D24" s="287">
        <f t="shared" si="0"/>
        <v>0</v>
      </c>
      <c r="E24" s="293"/>
      <c r="F24" s="212" t="e">
        <f t="shared" si="1"/>
        <v>#DIV/0!</v>
      </c>
      <c r="G24" s="286"/>
      <c r="H24" s="288"/>
      <c r="I24" s="287">
        <f>SUM(G24:H24)</f>
        <v>0</v>
      </c>
      <c r="J24" s="293"/>
      <c r="K24" s="213" t="e">
        <f t="shared" si="2"/>
        <v>#DIV/0!</v>
      </c>
      <c r="L24" s="286"/>
      <c r="M24" s="288"/>
      <c r="N24" s="287">
        <f t="shared" si="3"/>
        <v>0</v>
      </c>
      <c r="O24" s="293"/>
      <c r="P24" s="212" t="e">
        <f t="shared" si="6"/>
        <v>#DIV/0!</v>
      </c>
    </row>
    <row r="25" spans="1:16" ht="14.1" customHeight="1" x14ac:dyDescent="0.2">
      <c r="A25" s="198" t="s">
        <v>76</v>
      </c>
      <c r="B25" s="286"/>
      <c r="C25" s="288"/>
      <c r="D25" s="287">
        <f t="shared" si="0"/>
        <v>0</v>
      </c>
      <c r="E25" s="293"/>
      <c r="F25" s="201" t="e">
        <f t="shared" si="1"/>
        <v>#DIV/0!</v>
      </c>
      <c r="G25" s="286"/>
      <c r="H25" s="288"/>
      <c r="I25" s="287">
        <f t="shared" ref="I25:I32" si="7">SUM(G25:H25)</f>
        <v>0</v>
      </c>
      <c r="J25" s="293"/>
      <c r="K25" s="207" t="e">
        <f t="shared" si="2"/>
        <v>#DIV/0!</v>
      </c>
      <c r="L25" s="286"/>
      <c r="M25" s="288"/>
      <c r="N25" s="287">
        <f t="shared" si="3"/>
        <v>0</v>
      </c>
      <c r="O25" s="293"/>
      <c r="P25" s="201" t="e">
        <f t="shared" si="6"/>
        <v>#DIV/0!</v>
      </c>
    </row>
    <row r="26" spans="1:16" ht="14.1" customHeight="1" x14ac:dyDescent="0.2">
      <c r="A26" s="211" t="s">
        <v>108</v>
      </c>
      <c r="B26" s="286"/>
      <c r="C26" s="288"/>
      <c r="D26" s="287">
        <f t="shared" si="0"/>
        <v>0</v>
      </c>
      <c r="E26" s="293"/>
      <c r="F26" s="212" t="e">
        <f t="shared" si="1"/>
        <v>#DIV/0!</v>
      </c>
      <c r="G26" s="286"/>
      <c r="H26" s="288"/>
      <c r="I26" s="287">
        <f t="shared" si="7"/>
        <v>0</v>
      </c>
      <c r="J26" s="293"/>
      <c r="K26" s="213" t="e">
        <f t="shared" si="2"/>
        <v>#DIV/0!</v>
      </c>
      <c r="L26" s="286"/>
      <c r="M26" s="288"/>
      <c r="N26" s="287">
        <f t="shared" si="3"/>
        <v>0</v>
      </c>
      <c r="O26" s="293"/>
      <c r="P26" s="212" t="e">
        <f t="shared" si="6"/>
        <v>#DIV/0!</v>
      </c>
    </row>
    <row r="27" spans="1:16" ht="14.1" customHeight="1" x14ac:dyDescent="0.2">
      <c r="A27" s="198" t="s">
        <v>109</v>
      </c>
      <c r="B27" s="286"/>
      <c r="C27" s="288"/>
      <c r="D27" s="287">
        <f t="shared" si="0"/>
        <v>0</v>
      </c>
      <c r="E27" s="293"/>
      <c r="F27" s="201" t="e">
        <f t="shared" si="1"/>
        <v>#DIV/0!</v>
      </c>
      <c r="G27" s="286"/>
      <c r="H27" s="288"/>
      <c r="I27" s="287">
        <f t="shared" si="7"/>
        <v>0</v>
      </c>
      <c r="J27" s="293"/>
      <c r="K27" s="207" t="e">
        <f t="shared" si="2"/>
        <v>#DIV/0!</v>
      </c>
      <c r="L27" s="286"/>
      <c r="M27" s="288"/>
      <c r="N27" s="287">
        <f t="shared" si="3"/>
        <v>0</v>
      </c>
      <c r="O27" s="293"/>
      <c r="P27" s="201" t="e">
        <f t="shared" si="6"/>
        <v>#DIV/0!</v>
      </c>
    </row>
    <row r="28" spans="1:16" ht="14.1" customHeight="1" x14ac:dyDescent="0.2">
      <c r="A28" s="211" t="s">
        <v>110</v>
      </c>
      <c r="B28" s="286"/>
      <c r="C28" s="288"/>
      <c r="D28" s="287">
        <f t="shared" si="0"/>
        <v>0</v>
      </c>
      <c r="E28" s="293"/>
      <c r="F28" s="212" t="e">
        <f t="shared" si="1"/>
        <v>#DIV/0!</v>
      </c>
      <c r="G28" s="286"/>
      <c r="H28" s="288"/>
      <c r="I28" s="287">
        <f t="shared" si="7"/>
        <v>0</v>
      </c>
      <c r="J28" s="293"/>
      <c r="K28" s="213" t="e">
        <f t="shared" si="2"/>
        <v>#DIV/0!</v>
      </c>
      <c r="L28" s="286"/>
      <c r="M28" s="288"/>
      <c r="N28" s="287">
        <f t="shared" si="3"/>
        <v>0</v>
      </c>
      <c r="O28" s="293"/>
      <c r="P28" s="212" t="e">
        <f t="shared" si="6"/>
        <v>#DIV/0!</v>
      </c>
    </row>
    <row r="29" spans="1:16" ht="14.1" customHeight="1" x14ac:dyDescent="0.2">
      <c r="A29" s="198" t="s">
        <v>111</v>
      </c>
      <c r="B29" s="286"/>
      <c r="C29" s="288"/>
      <c r="D29" s="287">
        <f t="shared" si="0"/>
        <v>0</v>
      </c>
      <c r="E29" s="293"/>
      <c r="F29" s="201" t="e">
        <f t="shared" si="1"/>
        <v>#DIV/0!</v>
      </c>
      <c r="G29" s="286"/>
      <c r="H29" s="288"/>
      <c r="I29" s="287">
        <f t="shared" si="7"/>
        <v>0</v>
      </c>
      <c r="J29" s="293"/>
      <c r="K29" s="207" t="e">
        <f t="shared" si="2"/>
        <v>#DIV/0!</v>
      </c>
      <c r="L29" s="286"/>
      <c r="M29" s="288"/>
      <c r="N29" s="287">
        <f t="shared" si="3"/>
        <v>0</v>
      </c>
      <c r="O29" s="293"/>
      <c r="P29" s="201" t="e">
        <f t="shared" si="6"/>
        <v>#DIV/0!</v>
      </c>
    </row>
    <row r="30" spans="1:16" ht="14.1" customHeight="1" x14ac:dyDescent="0.2">
      <c r="A30" s="211" t="s">
        <v>112</v>
      </c>
      <c r="B30" s="286"/>
      <c r="C30" s="288"/>
      <c r="D30" s="287">
        <f>SUM(B30:C30)</f>
        <v>0</v>
      </c>
      <c r="E30" s="293"/>
      <c r="F30" s="212" t="e">
        <f t="shared" si="1"/>
        <v>#DIV/0!</v>
      </c>
      <c r="G30" s="286"/>
      <c r="H30" s="288"/>
      <c r="I30" s="287">
        <f>SUM(G30:H30)</f>
        <v>0</v>
      </c>
      <c r="J30" s="293"/>
      <c r="K30" s="213" t="e">
        <f t="shared" si="2"/>
        <v>#DIV/0!</v>
      </c>
      <c r="L30" s="286"/>
      <c r="M30" s="288"/>
      <c r="N30" s="287">
        <f>SUM(L30:M30)</f>
        <v>0</v>
      </c>
      <c r="O30" s="293"/>
      <c r="P30" s="212" t="e">
        <f t="shared" si="6"/>
        <v>#DIV/0!</v>
      </c>
    </row>
    <row r="31" spans="1:16" ht="14.1" customHeight="1" x14ac:dyDescent="0.2">
      <c r="A31" s="198" t="s">
        <v>113</v>
      </c>
      <c r="B31" s="286"/>
      <c r="C31" s="288"/>
      <c r="D31" s="287">
        <f>SUM(B31:C31)</f>
        <v>0</v>
      </c>
      <c r="E31" s="293"/>
      <c r="F31" s="201" t="e">
        <f t="shared" si="1"/>
        <v>#DIV/0!</v>
      </c>
      <c r="G31" s="286"/>
      <c r="H31" s="288"/>
      <c r="I31" s="287">
        <f t="shared" si="7"/>
        <v>0</v>
      </c>
      <c r="J31" s="293"/>
      <c r="K31" s="207" t="e">
        <f t="shared" si="2"/>
        <v>#DIV/0!</v>
      </c>
      <c r="L31" s="286"/>
      <c r="M31" s="288"/>
      <c r="N31" s="287">
        <f>SUM(L31:M31)</f>
        <v>0</v>
      </c>
      <c r="O31" s="293"/>
      <c r="P31" s="201" t="e">
        <f t="shared" si="6"/>
        <v>#DIV/0!</v>
      </c>
    </row>
    <row r="32" spans="1:16" ht="14.1" customHeight="1" x14ac:dyDescent="0.2">
      <c r="A32" s="214" t="s">
        <v>114</v>
      </c>
      <c r="B32" s="286"/>
      <c r="C32" s="288"/>
      <c r="D32" s="134">
        <f t="shared" si="0"/>
        <v>0</v>
      </c>
      <c r="E32" s="293"/>
      <c r="F32" s="215" t="e">
        <f t="shared" si="1"/>
        <v>#DIV/0!</v>
      </c>
      <c r="G32" s="216"/>
      <c r="H32" s="134"/>
      <c r="I32" s="134">
        <f t="shared" si="7"/>
        <v>0</v>
      </c>
      <c r="J32" s="293"/>
      <c r="K32" s="215" t="e">
        <f t="shared" si="2"/>
        <v>#DIV/0!</v>
      </c>
      <c r="L32" s="286"/>
      <c r="M32" s="288"/>
      <c r="N32" s="134">
        <f t="shared" si="3"/>
        <v>0</v>
      </c>
      <c r="O32" s="293"/>
      <c r="P32" s="215" t="e">
        <f t="shared" si="6"/>
        <v>#DIV/0!</v>
      </c>
    </row>
    <row r="33" spans="1:16" ht="13.5" thickBot="1" x14ac:dyDescent="0.25">
      <c r="A33" s="208" t="s">
        <v>77</v>
      </c>
      <c r="B33" s="218">
        <f>SUM(B21:B32)</f>
        <v>272925</v>
      </c>
      <c r="C33" s="219">
        <f>SUM(C21:C32)</f>
        <v>268668</v>
      </c>
      <c r="D33" s="219">
        <f>SUM(D21:D32)</f>
        <v>541593</v>
      </c>
      <c r="E33" s="220">
        <f>SUM(E21:E32)</f>
        <v>553952</v>
      </c>
      <c r="F33" s="203">
        <f>(D33-E33)/E33</f>
        <v>-2.2310597308070012E-2</v>
      </c>
      <c r="G33" s="221">
        <f>SUM(G21:G32)</f>
        <v>2379598</v>
      </c>
      <c r="H33" s="219">
        <f>SUM(H21:H32)</f>
        <v>2440661</v>
      </c>
      <c r="I33" s="219">
        <f>SUM(I21:I32)</f>
        <v>4820259</v>
      </c>
      <c r="J33" s="222">
        <f>SUM(J21:J32)</f>
        <v>4842231</v>
      </c>
      <c r="K33" s="204">
        <f>(I33-J33)/J33</f>
        <v>-4.5375778231150059E-3</v>
      </c>
      <c r="L33" s="221">
        <f>SUM(L21:L32)</f>
        <v>2652523</v>
      </c>
      <c r="M33" s="219">
        <f>SUM(M21:M32)</f>
        <v>2709329</v>
      </c>
      <c r="N33" s="219">
        <f>SUM(N21:N32)</f>
        <v>5361852</v>
      </c>
      <c r="O33" s="220">
        <f>SUM(O21:O32)</f>
        <v>5396183</v>
      </c>
      <c r="P33" s="202">
        <f>(N33-O33)/O33</f>
        <v>-6.362089647441534E-3</v>
      </c>
    </row>
    <row r="35" spans="1:16" x14ac:dyDescent="0.2">
      <c r="N35" s="97"/>
      <c r="O35" s="97"/>
    </row>
    <row r="36" spans="1:16" x14ac:dyDescent="0.2">
      <c r="O36" s="97"/>
    </row>
    <row r="37" spans="1:16" x14ac:dyDescent="0.2">
      <c r="N37" s="97"/>
      <c r="O37" s="9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February 2019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3"/>
  <sheetViews>
    <sheetView zoomScaleNormal="100" workbookViewId="0">
      <selection activeCell="H3" sqref="H3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0.28515625" customWidth="1"/>
    <col min="5" max="6" width="11.28515625" bestFit="1" customWidth="1"/>
    <col min="7" max="7" width="1" customWidth="1"/>
    <col min="8" max="8" width="11.28515625" bestFit="1" customWidth="1"/>
    <col min="9" max="11" width="11.28515625" customWidth="1"/>
    <col min="13" max="14" width="11.28515625" bestFit="1" customWidth="1"/>
    <col min="16" max="16" width="11.28515625" bestFit="1" customWidth="1"/>
  </cols>
  <sheetData>
    <row r="1" spans="1:19" s="44" customFormat="1" ht="15.75" thickBot="1" x14ac:dyDescent="0.3">
      <c r="B1" s="464"/>
      <c r="C1" s="464"/>
      <c r="D1" s="464"/>
      <c r="E1" s="464"/>
      <c r="F1" s="464"/>
      <c r="G1" s="380"/>
      <c r="H1" s="465" t="s">
        <v>93</v>
      </c>
      <c r="I1" s="466"/>
      <c r="J1" s="466"/>
      <c r="K1" s="466"/>
      <c r="L1" s="466"/>
      <c r="M1" s="466"/>
      <c r="N1" s="466"/>
      <c r="O1" s="467"/>
    </row>
    <row r="2" spans="1:19" s="28" customFormat="1" ht="30.75" customHeight="1" thickBot="1" x14ac:dyDescent="0.25">
      <c r="A2" s="325">
        <v>43497</v>
      </c>
      <c r="B2" s="373" t="s">
        <v>181</v>
      </c>
      <c r="C2" s="373" t="s">
        <v>229</v>
      </c>
      <c r="D2" s="373" t="s">
        <v>219</v>
      </c>
      <c r="E2" s="374" t="s">
        <v>82</v>
      </c>
      <c r="F2" s="374" t="s">
        <v>83</v>
      </c>
      <c r="G2" s="441"/>
      <c r="H2" s="442" t="s">
        <v>233</v>
      </c>
      <c r="I2" s="442" t="s">
        <v>227</v>
      </c>
      <c r="J2" s="442" t="s">
        <v>182</v>
      </c>
      <c r="K2" s="442" t="s">
        <v>165</v>
      </c>
      <c r="L2" s="443" t="s">
        <v>84</v>
      </c>
      <c r="M2" s="374" t="s">
        <v>85</v>
      </c>
      <c r="N2" s="442" t="s">
        <v>86</v>
      </c>
      <c r="O2" s="442" t="s">
        <v>129</v>
      </c>
      <c r="P2" s="442" t="s">
        <v>21</v>
      </c>
    </row>
    <row r="3" spans="1:19" ht="15" x14ac:dyDescent="0.25">
      <c r="A3" s="168" t="s">
        <v>9</v>
      </c>
      <c r="B3" s="169"/>
      <c r="C3" s="169"/>
      <c r="D3" s="169"/>
      <c r="E3" s="169"/>
      <c r="F3" s="169"/>
      <c r="G3" s="170"/>
      <c r="H3" s="30"/>
      <c r="I3" s="30"/>
      <c r="J3" s="30"/>
      <c r="K3" s="30"/>
      <c r="L3" s="30"/>
      <c r="M3" s="41"/>
      <c r="N3" s="30"/>
      <c r="O3" s="30"/>
      <c r="P3" s="171"/>
    </row>
    <row r="4" spans="1:19" x14ac:dyDescent="0.2">
      <c r="A4" s="38" t="s">
        <v>53</v>
      </c>
      <c r="B4" s="134">
        <f>[3]DHL_Atlas!$GC$4</f>
        <v>1</v>
      </c>
      <c r="C4" s="134">
        <f>[3]DHL_Kalitta!$GC$4</f>
        <v>20</v>
      </c>
      <c r="D4" s="134">
        <f>'[3]Atlas Air'!$GC$4</f>
        <v>28</v>
      </c>
      <c r="E4" s="134">
        <f>[3]FedEx!$GC$4+[3]FedEx!$GC$15</f>
        <v>119</v>
      </c>
      <c r="F4" s="134">
        <f>[3]UPS!$GC$4+[3]UPS!$GC$15</f>
        <v>123</v>
      </c>
      <c r="G4" s="161"/>
      <c r="H4" s="97">
        <f>[3]Airborne!$GC$4</f>
        <v>1</v>
      </c>
      <c r="I4" s="134">
        <f>[3]Encore!$GC$4+[3]Encore!$GC$15</f>
        <v>37</v>
      </c>
      <c r="J4" s="134">
        <f>[3]IFL!$GC$4+[3]IFL!$GC$15</f>
        <v>14</v>
      </c>
      <c r="K4" s="97">
        <f>'[3]Suburban Air Freight'!$GC$15</f>
        <v>0</v>
      </c>
      <c r="L4" s="97">
        <f>[3]Bemidji!$GC$4</f>
        <v>175</v>
      </c>
      <c r="M4" s="97">
        <f>'[3]CSA Air'!$GC$4</f>
        <v>3</v>
      </c>
      <c r="N4" s="97">
        <f>'[3]Mountain Cargo'!$GC$4</f>
        <v>19</v>
      </c>
      <c r="O4" s="97">
        <f>'[3]Misc Cargo'!$GC$4</f>
        <v>0</v>
      </c>
      <c r="P4" s="172">
        <f>SUM(B4:O4)</f>
        <v>540</v>
      </c>
    </row>
    <row r="5" spans="1:19" x14ac:dyDescent="0.2">
      <c r="A5" s="38" t="s">
        <v>54</v>
      </c>
      <c r="B5" s="167">
        <f>[3]DHL_Atlas!$GC$5</f>
        <v>1</v>
      </c>
      <c r="C5" s="167">
        <f>[3]DHL_Kalitta!$GC$5</f>
        <v>20</v>
      </c>
      <c r="D5" s="167">
        <f>'[3]Atlas Air'!$GC$5</f>
        <v>28</v>
      </c>
      <c r="E5" s="167">
        <f>[3]FedEx!$GC$5</f>
        <v>119</v>
      </c>
      <c r="F5" s="167">
        <f>[3]UPS!$GC$5+[3]UPS!$GC$16</f>
        <v>123</v>
      </c>
      <c r="G5" s="161"/>
      <c r="H5" s="98">
        <f>[3]Airborne!$GC$5</f>
        <v>0</v>
      </c>
      <c r="I5" s="167">
        <f>[3]Encore!$GC$5</f>
        <v>37</v>
      </c>
      <c r="J5" s="167">
        <f>[3]IFL!$GC$5</f>
        <v>14</v>
      </c>
      <c r="K5" s="98">
        <f>'[3]Suburban Air Freight'!$GC$16</f>
        <v>0</v>
      </c>
      <c r="L5" s="98">
        <f>[3]Bemidji!$GC$5</f>
        <v>175</v>
      </c>
      <c r="M5" s="98">
        <f>'[3]CSA Air'!$GC$5</f>
        <v>0</v>
      </c>
      <c r="N5" s="98">
        <f>'[3]Mountain Cargo'!$GC$5</f>
        <v>19</v>
      </c>
      <c r="O5" s="98">
        <f>'[3]Misc Cargo'!$GC$5</f>
        <v>0</v>
      </c>
      <c r="P5" s="176">
        <f>SUM(B5:O5)</f>
        <v>536</v>
      </c>
    </row>
    <row r="6" spans="1:19" s="160" customFormat="1" x14ac:dyDescent="0.2">
      <c r="A6" s="173" t="s">
        <v>55</v>
      </c>
      <c r="B6" s="174">
        <f>SUM(B4:B5)</f>
        <v>2</v>
      </c>
      <c r="C6" s="174">
        <f>SUM(C4:C5)</f>
        <v>40</v>
      </c>
      <c r="D6" s="174">
        <f>SUM(D4:D5)</f>
        <v>56</v>
      </c>
      <c r="E6" s="174">
        <f>SUM(E4:E5)</f>
        <v>238</v>
      </c>
      <c r="F6" s="174">
        <f>SUM(F4:F5)</f>
        <v>246</v>
      </c>
      <c r="G6" s="162"/>
      <c r="H6" s="95">
        <f t="shared" ref="H6" si="0">SUM(H4:H5)</f>
        <v>1</v>
      </c>
      <c r="I6" s="174">
        <f>SUM(I4:I5)</f>
        <v>74</v>
      </c>
      <c r="J6" s="174">
        <f>SUM(J4:J5)</f>
        <v>28</v>
      </c>
      <c r="K6" s="95">
        <f t="shared" ref="K6:O6" si="1">SUM(K4:K5)</f>
        <v>0</v>
      </c>
      <c r="L6" s="95">
        <f t="shared" si="1"/>
        <v>350</v>
      </c>
      <c r="M6" s="95">
        <f t="shared" si="1"/>
        <v>3</v>
      </c>
      <c r="N6" s="95">
        <f t="shared" si="1"/>
        <v>38</v>
      </c>
      <c r="O6" s="95">
        <f t="shared" si="1"/>
        <v>0</v>
      </c>
      <c r="P6" s="175">
        <f>SUM(B6:O6)</f>
        <v>1076</v>
      </c>
    </row>
    <row r="7" spans="1:19" x14ac:dyDescent="0.2">
      <c r="A7" s="38"/>
      <c r="B7" s="134"/>
      <c r="C7" s="134"/>
      <c r="D7" s="134"/>
      <c r="E7" s="134"/>
      <c r="F7" s="134"/>
      <c r="G7" s="161"/>
      <c r="H7" s="97"/>
      <c r="I7" s="134"/>
      <c r="J7" s="134"/>
      <c r="K7" s="97"/>
      <c r="L7" s="97"/>
      <c r="M7" s="97"/>
      <c r="N7" s="97"/>
      <c r="O7" s="97"/>
      <c r="P7" s="172"/>
    </row>
    <row r="8" spans="1:19" x14ac:dyDescent="0.2">
      <c r="A8" s="38" t="s">
        <v>56</v>
      </c>
      <c r="B8" s="134"/>
      <c r="C8" s="134"/>
      <c r="D8" s="134"/>
      <c r="E8" s="134"/>
      <c r="F8" s="134"/>
      <c r="G8" s="161"/>
      <c r="H8" s="97"/>
      <c r="I8" s="134"/>
      <c r="J8" s="134"/>
      <c r="K8" s="97"/>
      <c r="L8" s="97"/>
      <c r="M8" s="97"/>
      <c r="N8" s="97"/>
      <c r="O8" s="97">
        <f>'[3]Misc Cargo'!$GC$8</f>
        <v>0</v>
      </c>
      <c r="P8" s="172">
        <f>SUM(B8:O8)</f>
        <v>0</v>
      </c>
    </row>
    <row r="9" spans="1:19" ht="15" x14ac:dyDescent="0.25">
      <c r="A9" s="38" t="s">
        <v>57</v>
      </c>
      <c r="B9" s="167"/>
      <c r="C9" s="167"/>
      <c r="D9" s="167"/>
      <c r="E9" s="167"/>
      <c r="F9" s="167"/>
      <c r="G9" s="161"/>
      <c r="H9" s="98"/>
      <c r="I9" s="167"/>
      <c r="J9" s="167"/>
      <c r="K9" s="98"/>
      <c r="L9" s="98"/>
      <c r="M9" s="98"/>
      <c r="N9" s="98"/>
      <c r="O9" s="98">
        <f>'[3]Misc Cargo'!$GC$9</f>
        <v>0</v>
      </c>
      <c r="P9" s="176">
        <f>SUM(B9:O9)</f>
        <v>0</v>
      </c>
      <c r="S9" s="8"/>
    </row>
    <row r="10" spans="1:19" s="160" customFormat="1" x14ac:dyDescent="0.2">
      <c r="A10" s="173" t="s">
        <v>58</v>
      </c>
      <c r="B10" s="174">
        <f>SUM(B8:B9)</f>
        <v>0</v>
      </c>
      <c r="C10" s="174">
        <f>SUM(C8:C9)</f>
        <v>0</v>
      </c>
      <c r="D10" s="174">
        <f>SUM(D8:D9)</f>
        <v>0</v>
      </c>
      <c r="E10" s="174">
        <f>SUM(E8:E9)</f>
        <v>0</v>
      </c>
      <c r="F10" s="174">
        <f>SUM(F8:F9)</f>
        <v>0</v>
      </c>
      <c r="G10" s="162"/>
      <c r="H10" s="95">
        <f t="shared" ref="H10" si="2">SUM(H8:H9)</f>
        <v>0</v>
      </c>
      <c r="I10" s="174">
        <f>SUM(I8:I9)</f>
        <v>0</v>
      </c>
      <c r="J10" s="174">
        <f>SUM(J8:J9)</f>
        <v>0</v>
      </c>
      <c r="K10" s="95">
        <f t="shared" ref="K10:O10" si="3">SUM(K8:K9)</f>
        <v>0</v>
      </c>
      <c r="L10" s="95">
        <f t="shared" si="3"/>
        <v>0</v>
      </c>
      <c r="M10" s="95">
        <f t="shared" si="3"/>
        <v>0</v>
      </c>
      <c r="N10" s="95">
        <f t="shared" si="3"/>
        <v>0</v>
      </c>
      <c r="O10" s="95">
        <f t="shared" si="3"/>
        <v>0</v>
      </c>
      <c r="P10" s="175">
        <f>SUM(B10:O10)</f>
        <v>0</v>
      </c>
    </row>
    <row r="11" spans="1:19" x14ac:dyDescent="0.2">
      <c r="A11" s="38"/>
      <c r="B11" s="134"/>
      <c r="C11" s="134"/>
      <c r="D11" s="134"/>
      <c r="E11" s="134"/>
      <c r="F11" s="134"/>
      <c r="G11" s="161"/>
      <c r="H11" s="97"/>
      <c r="I11" s="134"/>
      <c r="J11" s="134"/>
      <c r="K11" s="97"/>
      <c r="L11" s="97"/>
      <c r="M11" s="97"/>
      <c r="N11" s="97"/>
      <c r="O11" s="97"/>
      <c r="P11" s="142"/>
    </row>
    <row r="12" spans="1:19" ht="18" customHeight="1" thickBot="1" x14ac:dyDescent="0.25">
      <c r="A12" s="177" t="s">
        <v>28</v>
      </c>
      <c r="B12" s="178">
        <f>B6+B10</f>
        <v>2</v>
      </c>
      <c r="C12" s="178">
        <f>C6+C10</f>
        <v>40</v>
      </c>
      <c r="D12" s="178">
        <f>D6+D10</f>
        <v>56</v>
      </c>
      <c r="E12" s="178">
        <f>E6+E10</f>
        <v>238</v>
      </c>
      <c r="F12" s="178">
        <f>F6+F10</f>
        <v>246</v>
      </c>
      <c r="G12" s="179"/>
      <c r="H12" s="180">
        <f t="shared" ref="H12" si="4">H6+H10</f>
        <v>1</v>
      </c>
      <c r="I12" s="178">
        <f>I6+I10</f>
        <v>74</v>
      </c>
      <c r="J12" s="178">
        <f>J6+J10</f>
        <v>28</v>
      </c>
      <c r="K12" s="180">
        <f t="shared" ref="K12:O12" si="5">K6+K10</f>
        <v>0</v>
      </c>
      <c r="L12" s="180">
        <f t="shared" si="5"/>
        <v>350</v>
      </c>
      <c r="M12" s="180">
        <f t="shared" si="5"/>
        <v>3</v>
      </c>
      <c r="N12" s="180">
        <f t="shared" si="5"/>
        <v>38</v>
      </c>
      <c r="O12" s="180">
        <f t="shared" si="5"/>
        <v>0</v>
      </c>
      <c r="P12" s="181">
        <f>SUM(B12:O12)</f>
        <v>1076</v>
      </c>
    </row>
    <row r="13" spans="1:19" ht="18" customHeight="1" thickBot="1" x14ac:dyDescent="0.25">
      <c r="A13" s="149"/>
      <c r="B13" s="163"/>
      <c r="C13" s="163"/>
      <c r="D13" s="163"/>
      <c r="E13" s="163"/>
      <c r="F13" s="163"/>
      <c r="G13" s="164"/>
      <c r="H13" s="165"/>
      <c r="I13" s="163"/>
      <c r="J13" s="163"/>
      <c r="K13" s="165"/>
      <c r="L13" s="150"/>
      <c r="M13" s="150"/>
      <c r="N13" s="150"/>
      <c r="O13" s="150"/>
      <c r="P13" s="2"/>
    </row>
    <row r="14" spans="1:19" ht="15" x14ac:dyDescent="0.25">
      <c r="A14" s="182" t="s">
        <v>94</v>
      </c>
      <c r="B14" s="183"/>
      <c r="C14" s="183"/>
      <c r="D14" s="183"/>
      <c r="E14" s="183"/>
      <c r="F14" s="183"/>
      <c r="G14" s="184"/>
      <c r="H14" s="147"/>
      <c r="I14" s="183"/>
      <c r="J14" s="183"/>
      <c r="K14" s="147"/>
      <c r="L14" s="63"/>
      <c r="M14" s="63"/>
      <c r="N14" s="63"/>
      <c r="O14" s="63"/>
      <c r="P14" s="185"/>
    </row>
    <row r="15" spans="1:19" x14ac:dyDescent="0.2">
      <c r="A15" s="186" t="s">
        <v>95</v>
      </c>
      <c r="B15" s="134"/>
      <c r="C15" s="134"/>
      <c r="D15" s="134"/>
      <c r="E15" s="134"/>
      <c r="F15" s="134"/>
      <c r="G15" s="161"/>
      <c r="H15" s="97"/>
      <c r="I15" s="134"/>
      <c r="J15" s="134"/>
      <c r="K15" s="97"/>
      <c r="L15" s="2"/>
      <c r="M15" s="2"/>
      <c r="N15" s="2"/>
      <c r="O15" s="2"/>
      <c r="P15" s="151"/>
    </row>
    <row r="16" spans="1:19" x14ac:dyDescent="0.2">
      <c r="A16" s="38" t="s">
        <v>37</v>
      </c>
      <c r="B16" s="134">
        <f>[3]DHL_Atlas!$GC$47</f>
        <v>0</v>
      </c>
      <c r="C16" s="134">
        <f>[3]DHL_Kalitta!$GC$47</f>
        <v>588882</v>
      </c>
      <c r="D16" s="134">
        <f>'[3]Atlas Air'!$GC$47</f>
        <v>1305360</v>
      </c>
      <c r="E16" s="134">
        <f>[3]FedEx!$GC$47</f>
        <v>7937813</v>
      </c>
      <c r="F16" s="134">
        <f>[3]UPS!$GC$47</f>
        <v>4865713</v>
      </c>
      <c r="G16" s="161"/>
      <c r="H16" s="97">
        <f>[3]Airborne!$GC$47</f>
        <v>0</v>
      </c>
      <c r="I16" s="134">
        <f>[3]Encore!$GC$47</f>
        <v>67002</v>
      </c>
      <c r="J16" s="134">
        <f>[3]IFL!$GC$47</f>
        <v>14360</v>
      </c>
      <c r="K16" s="97">
        <f>'[3]Suburban Air Freight'!$GC$47</f>
        <v>0</v>
      </c>
      <c r="L16" s="461" t="s">
        <v>87</v>
      </c>
      <c r="M16" s="97">
        <f>'[3]CSA Air'!$GC$47</f>
        <v>4835</v>
      </c>
      <c r="N16" s="97">
        <f>'[3]Mountain Cargo'!$GC$47</f>
        <v>124630</v>
      </c>
      <c r="O16" s="97">
        <f>'[3]Misc Cargo'!$GC$47</f>
        <v>0</v>
      </c>
      <c r="P16" s="172">
        <f>SUM(B16:K16)+SUM(M16:O16)</f>
        <v>14908595</v>
      </c>
    </row>
    <row r="17" spans="1:16" x14ac:dyDescent="0.2">
      <c r="A17" s="38" t="s">
        <v>38</v>
      </c>
      <c r="B17" s="134">
        <f>[3]DHL_Atlas!$GC$48</f>
        <v>0</v>
      </c>
      <c r="C17" s="134">
        <f>[3]DHL_Kalitta!$GC$48</f>
        <v>0</v>
      </c>
      <c r="D17" s="134">
        <f>'[3]Atlas Air'!$GC$48</f>
        <v>0</v>
      </c>
      <c r="E17" s="134">
        <f>[3]FedEx!$GC$48</f>
        <v>0</v>
      </c>
      <c r="F17" s="134">
        <f>[3]UPS!$GC$48</f>
        <v>2817</v>
      </c>
      <c r="G17" s="161"/>
      <c r="H17" s="97">
        <f>[3]Airborne!$GC$48</f>
        <v>0</v>
      </c>
      <c r="I17" s="134">
        <f>[3]Encore!$GC$48</f>
        <v>0</v>
      </c>
      <c r="J17" s="134">
        <f>[3]IFL!$GC$48</f>
        <v>0</v>
      </c>
      <c r="K17" s="97">
        <f>'[3]Suburban Air Freight'!$GC$48</f>
        <v>0</v>
      </c>
      <c r="L17" s="462"/>
      <c r="M17" s="97">
        <f>'[3]CSA Air'!$GC$48</f>
        <v>0</v>
      </c>
      <c r="N17" s="97">
        <f>'[3]Mountain Cargo'!$GC$48</f>
        <v>0</v>
      </c>
      <c r="O17" s="97">
        <f>'[3]Misc Cargo'!$GC$48</f>
        <v>0</v>
      </c>
      <c r="P17" s="172">
        <f>SUM(B17:K17)+SUM(M17:O17)</f>
        <v>2817</v>
      </c>
    </row>
    <row r="18" spans="1:16" ht="18" customHeight="1" x14ac:dyDescent="0.2">
      <c r="A18" s="187" t="s">
        <v>39</v>
      </c>
      <c r="B18" s="260">
        <f>SUM(B16:B17)</f>
        <v>0</v>
      </c>
      <c r="C18" s="260">
        <f>SUM(C16:C17)</f>
        <v>588882</v>
      </c>
      <c r="D18" s="260">
        <f>SUM(D16:D17)</f>
        <v>1305360</v>
      </c>
      <c r="E18" s="260">
        <f>SUM(E16:E17)</f>
        <v>7937813</v>
      </c>
      <c r="F18" s="260">
        <f>SUM(F16:F17)</f>
        <v>4868530</v>
      </c>
      <c r="G18" s="166"/>
      <c r="H18" s="261">
        <f>SUM(H16:H17)</f>
        <v>0</v>
      </c>
      <c r="I18" s="260">
        <f>SUM(I16:I17)</f>
        <v>67002</v>
      </c>
      <c r="J18" s="260">
        <f>SUM(J16:J17)</f>
        <v>14360</v>
      </c>
      <c r="K18" s="261">
        <f>SUM(K16:K17)</f>
        <v>0</v>
      </c>
      <c r="L18" s="462"/>
      <c r="M18" s="261">
        <f>SUM(M16:M17)</f>
        <v>4835</v>
      </c>
      <c r="N18" s="261">
        <f>SUM(N16:N17)</f>
        <v>124630</v>
      </c>
      <c r="O18" s="261">
        <f>SUM(O16:O17)</f>
        <v>0</v>
      </c>
      <c r="P18" s="188">
        <f>SUM(B18:K18)+SUM(M18:O18)</f>
        <v>14911412</v>
      </c>
    </row>
    <row r="19" spans="1:16" x14ac:dyDescent="0.2">
      <c r="A19" s="38"/>
      <c r="B19" s="134"/>
      <c r="C19" s="134"/>
      <c r="D19" s="134"/>
      <c r="E19" s="134"/>
      <c r="F19" s="134"/>
      <c r="G19" s="161"/>
      <c r="H19" s="97"/>
      <c r="I19" s="134"/>
      <c r="J19" s="134"/>
      <c r="K19" s="97"/>
      <c r="L19" s="462"/>
      <c r="M19" s="97"/>
      <c r="N19" s="97"/>
      <c r="O19" s="97"/>
      <c r="P19" s="172"/>
    </row>
    <row r="20" spans="1:16" x14ac:dyDescent="0.2">
      <c r="A20" s="189" t="s">
        <v>88</v>
      </c>
      <c r="B20" s="134"/>
      <c r="C20" s="134"/>
      <c r="D20" s="134"/>
      <c r="E20" s="134"/>
      <c r="F20" s="134"/>
      <c r="G20" s="161"/>
      <c r="H20" s="97"/>
      <c r="I20" s="134"/>
      <c r="J20" s="134"/>
      <c r="K20" s="97"/>
      <c r="L20" s="462"/>
      <c r="M20" s="97"/>
      <c r="N20" s="97"/>
      <c r="O20" s="97"/>
      <c r="P20" s="172"/>
    </row>
    <row r="21" spans="1:16" x14ac:dyDescent="0.2">
      <c r="A21" s="38" t="s">
        <v>59</v>
      </c>
      <c r="B21" s="134">
        <f>[3]DHL_Atlas!$GC$52</f>
        <v>18552</v>
      </c>
      <c r="C21" s="134">
        <f>[3]DHL_Kalitta!$GC$52</f>
        <v>405005</v>
      </c>
      <c r="D21" s="134">
        <f>'[3]Atlas Air'!$GC$52</f>
        <v>760045</v>
      </c>
      <c r="E21" s="134">
        <f>[3]FedEx!$GC$52</f>
        <v>7466573</v>
      </c>
      <c r="F21" s="134">
        <f>[3]UPS!$GC$52</f>
        <v>4505467</v>
      </c>
      <c r="G21" s="161"/>
      <c r="H21" s="97">
        <f>[3]Airborne!$GC$52</f>
        <v>0</v>
      </c>
      <c r="I21" s="134">
        <f>[3]Encore!$GC$52</f>
        <v>27244</v>
      </c>
      <c r="J21" s="134">
        <f>[3]IFL!$GC$52</f>
        <v>0</v>
      </c>
      <c r="K21" s="97">
        <f>'[3]Suburban Air Freight'!$GC$52</f>
        <v>0</v>
      </c>
      <c r="L21" s="462"/>
      <c r="M21" s="97">
        <f>'[3]CSA Air'!$GC$52</f>
        <v>0</v>
      </c>
      <c r="N21" s="97">
        <f>'[3]Mountain Cargo'!$GC$52</f>
        <v>42816</v>
      </c>
      <c r="O21" s="97">
        <f>'[3]Misc Cargo'!$GC$52</f>
        <v>0</v>
      </c>
      <c r="P21" s="172">
        <f>SUM(B21:K21)+SUM(M21:O21)</f>
        <v>13225702</v>
      </c>
    </row>
    <row r="22" spans="1:16" x14ac:dyDescent="0.2">
      <c r="A22" s="38" t="s">
        <v>60</v>
      </c>
      <c r="B22" s="134">
        <f>[3]DHL_Atlas!$GC$53</f>
        <v>0</v>
      </c>
      <c r="C22" s="134">
        <f>[3]DHL_Kalitta!$GC$53</f>
        <v>0</v>
      </c>
      <c r="D22" s="134">
        <f>'[3]Atlas Air'!$GC$53</f>
        <v>0</v>
      </c>
      <c r="E22" s="134">
        <f>[3]FedEx!$GC$53</f>
        <v>0</v>
      </c>
      <c r="F22" s="134">
        <f>[3]UPS!$GC$53</f>
        <v>464082</v>
      </c>
      <c r="G22" s="161"/>
      <c r="H22" s="97">
        <f>[3]Airborne!$GC$53</f>
        <v>0</v>
      </c>
      <c r="I22" s="134">
        <f>[3]Encore!$GC$53</f>
        <v>0</v>
      </c>
      <c r="J22" s="134">
        <f>[3]IFL!$GC$53</f>
        <v>0</v>
      </c>
      <c r="K22" s="97">
        <f>'[3]Suburban Air Freight'!$GC$53</f>
        <v>0</v>
      </c>
      <c r="L22" s="462"/>
      <c r="M22" s="97">
        <f>'[3]CSA Air'!$GC$53</f>
        <v>0</v>
      </c>
      <c r="N22" s="97">
        <f>'[3]Mountain Cargo'!$GC$53</f>
        <v>0</v>
      </c>
      <c r="O22" s="97">
        <f>'[3]Misc Cargo'!$GC$53</f>
        <v>0</v>
      </c>
      <c r="P22" s="172">
        <f>SUM(B22:K22)+SUM(M22:O22)</f>
        <v>464082</v>
      </c>
    </row>
    <row r="23" spans="1:16" ht="18" customHeight="1" x14ac:dyDescent="0.2">
      <c r="A23" s="187" t="s">
        <v>41</v>
      </c>
      <c r="B23" s="260">
        <f>SUM(B21:B22)</f>
        <v>18552</v>
      </c>
      <c r="C23" s="260">
        <f>SUM(C21:C22)</f>
        <v>405005</v>
      </c>
      <c r="D23" s="260">
        <f>SUM(D21:D22)</f>
        <v>760045</v>
      </c>
      <c r="E23" s="260">
        <f>SUM(E21:E22)</f>
        <v>7466573</v>
      </c>
      <c r="F23" s="260">
        <f>SUM(F21:F22)</f>
        <v>4969549</v>
      </c>
      <c r="G23" s="166"/>
      <c r="H23" s="261">
        <f>SUM(H21:H22)</f>
        <v>0</v>
      </c>
      <c r="I23" s="260">
        <f>SUM(I21:I22)</f>
        <v>27244</v>
      </c>
      <c r="J23" s="260">
        <f>SUM(J21:J22)</f>
        <v>0</v>
      </c>
      <c r="K23" s="261">
        <f>SUM(K21:K22)</f>
        <v>0</v>
      </c>
      <c r="L23" s="462"/>
      <c r="M23" s="261">
        <f>SUM(M21:M22)</f>
        <v>0</v>
      </c>
      <c r="N23" s="261">
        <f>SUM(N21:N22)</f>
        <v>42816</v>
      </c>
      <c r="O23" s="261">
        <f>SUM(O21:O22)</f>
        <v>0</v>
      </c>
      <c r="P23" s="188">
        <f>SUM(B23:K23)+SUM(M23:O23)</f>
        <v>13689784</v>
      </c>
    </row>
    <row r="24" spans="1:16" x14ac:dyDescent="0.2">
      <c r="A24" s="38"/>
      <c r="B24" s="134"/>
      <c r="C24" s="134"/>
      <c r="D24" s="134"/>
      <c r="E24" s="134"/>
      <c r="F24" s="134"/>
      <c r="G24" s="161"/>
      <c r="H24" s="97"/>
      <c r="I24" s="134"/>
      <c r="J24" s="134"/>
      <c r="K24" s="97"/>
      <c r="L24" s="462"/>
      <c r="M24" s="97"/>
      <c r="N24" s="97"/>
      <c r="O24" s="97"/>
      <c r="P24" s="172"/>
    </row>
    <row r="25" spans="1:16" x14ac:dyDescent="0.2">
      <c r="A25" s="189" t="s">
        <v>96</v>
      </c>
      <c r="B25" s="134"/>
      <c r="C25" s="134"/>
      <c r="D25" s="134"/>
      <c r="E25" s="134"/>
      <c r="F25" s="134"/>
      <c r="G25" s="161"/>
      <c r="H25" s="97"/>
      <c r="I25" s="134"/>
      <c r="J25" s="134"/>
      <c r="K25" s="97"/>
      <c r="L25" s="462"/>
      <c r="M25" s="97"/>
      <c r="N25" s="97"/>
      <c r="O25" s="97"/>
      <c r="P25" s="172"/>
    </row>
    <row r="26" spans="1:16" x14ac:dyDescent="0.2">
      <c r="A26" s="38" t="s">
        <v>59</v>
      </c>
      <c r="B26" s="134">
        <f>[3]DHL_Atlas!$GC$57</f>
        <v>0</v>
      </c>
      <c r="C26" s="134">
        <f>[3]DHL_Kalitta!$GC$57</f>
        <v>0</v>
      </c>
      <c r="D26" s="134">
        <f>'[3]Atlas Air'!$GC$57</f>
        <v>0</v>
      </c>
      <c r="E26" s="134">
        <f>[3]FedEx!$GC$57</f>
        <v>0</v>
      </c>
      <c r="F26" s="134">
        <f>[3]UPS!$GC$57</f>
        <v>0</v>
      </c>
      <c r="G26" s="161"/>
      <c r="H26" s="97">
        <f>[3]Airborne!$GC$57</f>
        <v>0</v>
      </c>
      <c r="I26" s="134">
        <f>[3]Encore!$GC$57</f>
        <v>0</v>
      </c>
      <c r="J26" s="134">
        <f>[3]IFL!$GC$57</f>
        <v>0</v>
      </c>
      <c r="K26" s="97">
        <f>'[3]Suburban Air Freight'!$GC$57</f>
        <v>0</v>
      </c>
      <c r="L26" s="462"/>
      <c r="M26" s="97">
        <f>'[3]CSA Air'!$GC$57</f>
        <v>0</v>
      </c>
      <c r="N26" s="97">
        <f>'[3]Mountain Cargo'!$GC$57</f>
        <v>0</v>
      </c>
      <c r="O26" s="97">
        <f>'[3]Misc Cargo'!$GC$57</f>
        <v>0</v>
      </c>
      <c r="P26" s="172">
        <f>SUM(B26:K26)+SUM(M26:O26)</f>
        <v>0</v>
      </c>
    </row>
    <row r="27" spans="1:16" x14ac:dyDescent="0.2">
      <c r="A27" s="38" t="s">
        <v>60</v>
      </c>
      <c r="B27" s="134">
        <f>[3]DHL_Atlas!$GC$58</f>
        <v>0</v>
      </c>
      <c r="C27" s="134">
        <f>[3]DHL_Kalitta!$GC$58</f>
        <v>0</v>
      </c>
      <c r="D27" s="134">
        <f>'[3]Atlas Air'!$GC$58</f>
        <v>0</v>
      </c>
      <c r="E27" s="134">
        <f>[3]FedEx!$GC$58</f>
        <v>0</v>
      </c>
      <c r="F27" s="134">
        <f>[3]UPS!$GC$58</f>
        <v>0</v>
      </c>
      <c r="G27" s="161"/>
      <c r="H27" s="97">
        <f>[3]Airborne!$GC$58</f>
        <v>0</v>
      </c>
      <c r="I27" s="134">
        <f>[3]Encore!$GC$58</f>
        <v>0</v>
      </c>
      <c r="J27" s="134">
        <f>[3]IFL!$GC$58</f>
        <v>0</v>
      </c>
      <c r="K27" s="97">
        <f>'[3]Suburban Air Freight'!$GC$58</f>
        <v>0</v>
      </c>
      <c r="L27" s="462"/>
      <c r="M27" s="97">
        <f>'[3]CSA Air'!$GC$58</f>
        <v>0</v>
      </c>
      <c r="N27" s="97">
        <f>'[3]Mountain Cargo'!$GC$58</f>
        <v>0</v>
      </c>
      <c r="O27" s="97">
        <f>'[3]Misc Cargo'!$GC$58</f>
        <v>0</v>
      </c>
      <c r="P27" s="172">
        <f>SUM(B27:K27)+SUM(M27:O27)</f>
        <v>0</v>
      </c>
    </row>
    <row r="28" spans="1:16" ht="18" customHeight="1" x14ac:dyDescent="0.2">
      <c r="A28" s="187" t="s">
        <v>43</v>
      </c>
      <c r="B28" s="260">
        <f>SUM(B26:B27)</f>
        <v>0</v>
      </c>
      <c r="C28" s="260">
        <f>SUM(C26:C27)</f>
        <v>0</v>
      </c>
      <c r="D28" s="260">
        <f>SUM(D26:D27)</f>
        <v>0</v>
      </c>
      <c r="E28" s="260">
        <f>SUM(E26:E27)</f>
        <v>0</v>
      </c>
      <c r="F28" s="260">
        <f>SUM(F26:F27)</f>
        <v>0</v>
      </c>
      <c r="G28" s="166"/>
      <c r="H28" s="261">
        <f>SUM(H26:H27)</f>
        <v>0</v>
      </c>
      <c r="I28" s="260">
        <f>SUM(I26:I27)</f>
        <v>0</v>
      </c>
      <c r="J28" s="260">
        <f>SUM(J26:J27)</f>
        <v>0</v>
      </c>
      <c r="K28" s="261">
        <f>SUM(K26:K27)</f>
        <v>0</v>
      </c>
      <c r="L28" s="462"/>
      <c r="M28" s="261">
        <f>SUM(M26:M27)</f>
        <v>0</v>
      </c>
      <c r="N28" s="261">
        <f>SUM(N26:N27)</f>
        <v>0</v>
      </c>
      <c r="O28" s="261">
        <f>SUM(O26:O27)</f>
        <v>0</v>
      </c>
      <c r="P28" s="188">
        <f>SUM(B28:K28)+SUM(M28:O28)</f>
        <v>0</v>
      </c>
    </row>
    <row r="29" spans="1:16" x14ac:dyDescent="0.2">
      <c r="A29" s="38"/>
      <c r="B29" s="134"/>
      <c r="C29" s="134"/>
      <c r="D29" s="134"/>
      <c r="E29" s="134"/>
      <c r="F29" s="134"/>
      <c r="G29" s="161"/>
      <c r="H29" s="97"/>
      <c r="I29" s="134"/>
      <c r="J29" s="134"/>
      <c r="K29" s="97"/>
      <c r="L29" s="462"/>
      <c r="M29" s="97"/>
      <c r="N29" s="97"/>
      <c r="O29" s="97"/>
      <c r="P29" s="172"/>
    </row>
    <row r="30" spans="1:16" x14ac:dyDescent="0.2">
      <c r="A30" s="190" t="s">
        <v>44</v>
      </c>
      <c r="B30" s="134"/>
      <c r="C30" s="134"/>
      <c r="D30" s="134"/>
      <c r="E30" s="134"/>
      <c r="F30" s="134"/>
      <c r="G30" s="161"/>
      <c r="H30" s="97"/>
      <c r="I30" s="134"/>
      <c r="J30" s="134"/>
      <c r="K30" s="97"/>
      <c r="L30" s="462"/>
      <c r="M30" s="97"/>
      <c r="N30" s="97"/>
      <c r="O30" s="97"/>
      <c r="P30" s="172"/>
    </row>
    <row r="31" spans="1:16" x14ac:dyDescent="0.2">
      <c r="A31" s="38" t="s">
        <v>89</v>
      </c>
      <c r="B31" s="134">
        <f t="shared" ref="B31:F33" si="6">B26+B21+B16</f>
        <v>18552</v>
      </c>
      <c r="C31" s="134">
        <f t="shared" si="6"/>
        <v>993887</v>
      </c>
      <c r="D31" s="134">
        <f t="shared" ref="D31" si="7">D26+D21+D16</f>
        <v>2065405</v>
      </c>
      <c r="E31" s="134">
        <f t="shared" si="6"/>
        <v>15404386</v>
      </c>
      <c r="F31" s="134">
        <f t="shared" si="6"/>
        <v>9371180</v>
      </c>
      <c r="G31" s="161"/>
      <c r="H31" s="97">
        <f t="shared" ref="H31:H33" si="8">H26+H21+H16</f>
        <v>0</v>
      </c>
      <c r="I31" s="134">
        <f t="shared" ref="I31" si="9">I26+I21+I16</f>
        <v>94246</v>
      </c>
      <c r="J31" s="134">
        <f t="shared" ref="J31:K33" si="10">J26+J21+J16</f>
        <v>14360</v>
      </c>
      <c r="K31" s="97">
        <f t="shared" si="10"/>
        <v>0</v>
      </c>
      <c r="L31" s="462"/>
      <c r="M31" s="97">
        <f t="shared" ref="M31:O33" si="11">M26+M21+M16</f>
        <v>4835</v>
      </c>
      <c r="N31" s="97">
        <f t="shared" si="11"/>
        <v>167446</v>
      </c>
      <c r="O31" s="97">
        <f>O26+O21+O16</f>
        <v>0</v>
      </c>
      <c r="P31" s="172">
        <f>SUM(B31:K31)+SUM(M31:O31)</f>
        <v>28134297</v>
      </c>
    </row>
    <row r="32" spans="1:16" x14ac:dyDescent="0.2">
      <c r="A32" s="38" t="s">
        <v>60</v>
      </c>
      <c r="B32" s="134">
        <f t="shared" si="6"/>
        <v>0</v>
      </c>
      <c r="C32" s="134">
        <f t="shared" si="6"/>
        <v>0</v>
      </c>
      <c r="D32" s="134">
        <f t="shared" ref="D32" si="12">D27+D22+D17</f>
        <v>0</v>
      </c>
      <c r="E32" s="134">
        <f t="shared" si="6"/>
        <v>0</v>
      </c>
      <c r="F32" s="134">
        <f t="shared" si="6"/>
        <v>466899</v>
      </c>
      <c r="G32" s="161"/>
      <c r="H32" s="97">
        <f t="shared" si="8"/>
        <v>0</v>
      </c>
      <c r="I32" s="134">
        <f t="shared" ref="I32" si="13">I27+I22+I17</f>
        <v>0</v>
      </c>
      <c r="J32" s="134">
        <f t="shared" si="10"/>
        <v>0</v>
      </c>
      <c r="K32" s="97">
        <f t="shared" si="10"/>
        <v>0</v>
      </c>
      <c r="L32" s="463"/>
      <c r="M32" s="97">
        <f t="shared" si="11"/>
        <v>0</v>
      </c>
      <c r="N32" s="97">
        <f t="shared" si="11"/>
        <v>0</v>
      </c>
      <c r="O32" s="97">
        <f>O27+O22+O17</f>
        <v>0</v>
      </c>
      <c r="P32" s="176">
        <f>SUM(B32:K32)+SUM(M32:O32)</f>
        <v>466899</v>
      </c>
    </row>
    <row r="33" spans="1:16" ht="18" customHeight="1" thickBot="1" x14ac:dyDescent="0.25">
      <c r="A33" s="177" t="s">
        <v>46</v>
      </c>
      <c r="B33" s="178">
        <f t="shared" si="6"/>
        <v>18552</v>
      </c>
      <c r="C33" s="178">
        <f t="shared" si="6"/>
        <v>993887</v>
      </c>
      <c r="D33" s="178">
        <f t="shared" ref="D33" si="14">D28+D23+D18</f>
        <v>2065405</v>
      </c>
      <c r="E33" s="178">
        <f t="shared" si="6"/>
        <v>15404386</v>
      </c>
      <c r="F33" s="178">
        <f t="shared" si="6"/>
        <v>9838079</v>
      </c>
      <c r="G33" s="191"/>
      <c r="H33" s="180">
        <f t="shared" si="8"/>
        <v>0</v>
      </c>
      <c r="I33" s="178">
        <f t="shared" ref="I33" si="15">I28+I23+I18</f>
        <v>94246</v>
      </c>
      <c r="J33" s="178">
        <f t="shared" si="10"/>
        <v>14360</v>
      </c>
      <c r="K33" s="180">
        <f t="shared" si="10"/>
        <v>0</v>
      </c>
      <c r="L33" s="262">
        <f>L28+L23+L18</f>
        <v>0</v>
      </c>
      <c r="M33" s="180">
        <f t="shared" si="11"/>
        <v>4835</v>
      </c>
      <c r="N33" s="180">
        <f t="shared" si="11"/>
        <v>167446</v>
      </c>
      <c r="O33" s="180">
        <f t="shared" si="11"/>
        <v>0</v>
      </c>
      <c r="P33" s="181">
        <f>SUM(B33:K33)+SUM(M33:O33)</f>
        <v>28601196</v>
      </c>
    </row>
    <row r="34" spans="1:16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</row>
    <row r="35" spans="1:16" x14ac:dyDescent="0.2">
      <c r="A35" t="s">
        <v>90</v>
      </c>
      <c r="B35" s="2"/>
      <c r="C35" s="2"/>
      <c r="D35" s="2"/>
      <c r="E35" s="2"/>
      <c r="F35" s="2"/>
      <c r="G35" s="2"/>
    </row>
    <row r="36" spans="1:16" x14ac:dyDescent="0.2">
      <c r="A36" t="s">
        <v>91</v>
      </c>
    </row>
    <row r="37" spans="1:16" x14ac:dyDescent="0.2">
      <c r="A37" t="s">
        <v>92</v>
      </c>
    </row>
    <row r="43" spans="1:16" ht="15" x14ac:dyDescent="0.25">
      <c r="L43" s="44"/>
    </row>
  </sheetData>
  <mergeCells count="3">
    <mergeCell ref="L16:L32"/>
    <mergeCell ref="B1:F1"/>
    <mergeCell ref="H1:O1"/>
  </mergeCells>
  <phoneticPr fontId="6" type="noConversion"/>
  <pageMargins left="0.75" right="0.75" top="1" bottom="1" header="0.5" footer="0.5"/>
  <pageSetup scale="78" orientation="landscape" r:id="rId1"/>
  <headerFooter alignWithMargins="0">
    <oddHeader>&amp;L
Schedule 7
&amp;CMinneapolis-St. Paul International Airport
&amp;"Arial,Bold"Cargo
February 2019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D25" sqref="D2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10.140625" bestFit="1" customWidth="1"/>
  </cols>
  <sheetData>
    <row r="1" spans="1:18" s="28" customFormat="1" ht="12" customHeight="1" x14ac:dyDescent="0.2">
      <c r="A1" s="15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325">
        <v>43497</v>
      </c>
      <c r="B2" s="59" t="s">
        <v>63</v>
      </c>
      <c r="C2" s="59" t="s">
        <v>64</v>
      </c>
      <c r="D2" s="59" t="s">
        <v>65</v>
      </c>
      <c r="E2" s="273" t="s">
        <v>75</v>
      </c>
      <c r="F2" s="60" t="s">
        <v>218</v>
      </c>
      <c r="G2" s="60" t="s">
        <v>209</v>
      </c>
      <c r="H2" s="61" t="s">
        <v>66</v>
      </c>
      <c r="I2" s="62" t="s">
        <v>214</v>
      </c>
      <c r="J2" s="62" t="s">
        <v>198</v>
      </c>
      <c r="K2" s="71" t="s">
        <v>2</v>
      </c>
    </row>
    <row r="3" spans="1:18" ht="20.25" customHeight="1" x14ac:dyDescent="0.2">
      <c r="A3" s="68" t="s">
        <v>67</v>
      </c>
      <c r="B3" s="70"/>
      <c r="C3" s="63"/>
      <c r="D3" s="63"/>
      <c r="E3" s="63"/>
      <c r="F3" s="64"/>
      <c r="G3" s="64"/>
      <c r="H3" s="65"/>
      <c r="I3" s="64"/>
      <c r="J3" s="64"/>
      <c r="K3" s="66"/>
    </row>
    <row r="4" spans="1:18" x14ac:dyDescent="0.2">
      <c r="A4" s="47" t="s">
        <v>68</v>
      </c>
      <c r="B4" s="141"/>
      <c r="C4" s="97"/>
      <c r="D4" s="97"/>
      <c r="E4" s="97"/>
      <c r="F4" s="97"/>
      <c r="G4" s="97"/>
      <c r="H4" s="97"/>
      <c r="I4" s="97"/>
      <c r="J4" s="97"/>
      <c r="K4" s="142"/>
    </row>
    <row r="5" spans="1:18" x14ac:dyDescent="0.2">
      <c r="A5" s="47" t="s">
        <v>69</v>
      </c>
      <c r="B5" s="141">
        <f>'Major Airline Stats'!K28</f>
        <v>4511578</v>
      </c>
      <c r="C5" s="97">
        <f>'Regional Major'!M25</f>
        <v>2789</v>
      </c>
      <c r="D5" s="97">
        <f>Cargo!P16</f>
        <v>14908595</v>
      </c>
      <c r="E5" s="97">
        <f>SUM(B5:D5)</f>
        <v>19422962</v>
      </c>
      <c r="F5" s="97">
        <f>E5*0.00045359237</f>
        <v>8810.1073659999402</v>
      </c>
      <c r="G5" s="97">
        <f>'[1]Cargo Summary'!F5</f>
        <v>8539.6297821765693</v>
      </c>
      <c r="H5" s="79">
        <f>(F5-G5)/G5</f>
        <v>3.1673221289744473E-2</v>
      </c>
      <c r="I5" s="97">
        <f>+F5+'[2]Cargo Summary'!I5</f>
        <v>18427.150568713812</v>
      </c>
      <c r="J5" s="97">
        <f>'[1]Cargo Summary'!I5</f>
        <v>17493.357193104868</v>
      </c>
      <c r="K5" s="67">
        <f>(I5-J5)/J5</f>
        <v>5.3379883878264686E-2</v>
      </c>
      <c r="M5" s="26"/>
    </row>
    <row r="6" spans="1:18" x14ac:dyDescent="0.2">
      <c r="A6" s="47" t="s">
        <v>16</v>
      </c>
      <c r="B6" s="141">
        <f>'Major Airline Stats'!K29</f>
        <v>1726304</v>
      </c>
      <c r="C6" s="97">
        <f>'Regional Major'!M26</f>
        <v>0</v>
      </c>
      <c r="D6" s="97">
        <f>Cargo!P17</f>
        <v>2817</v>
      </c>
      <c r="E6" s="97">
        <f>SUM(B6:D6)</f>
        <v>1729121</v>
      </c>
      <c r="F6" s="97">
        <f>E6*0.00045359237</f>
        <v>784.31609240676994</v>
      </c>
      <c r="G6" s="97">
        <f>'[1]Cargo Summary'!F6</f>
        <v>783.27918024894996</v>
      </c>
      <c r="H6" s="3">
        <f>(F6-G6)/G6</f>
        <v>1.3238091653226651E-3</v>
      </c>
      <c r="I6" s="97">
        <f>+F6+'[2]Cargo Summary'!I6</f>
        <v>1724.3155188220499</v>
      </c>
      <c r="J6" s="97">
        <f>'[1]Cargo Summary'!I6</f>
        <v>1577.2263994479299</v>
      </c>
      <c r="K6" s="67">
        <f>(I6-J6)/J6</f>
        <v>9.3258088645742268E-2</v>
      </c>
      <c r="M6" s="26"/>
    </row>
    <row r="7" spans="1:18" ht="18" customHeight="1" thickBot="1" x14ac:dyDescent="0.25">
      <c r="A7" s="56" t="s">
        <v>72</v>
      </c>
      <c r="B7" s="143">
        <f>SUM(B5:B6)</f>
        <v>6237882</v>
      </c>
      <c r="C7" s="107">
        <f t="shared" ref="C7:J7" si="0">SUM(C5:C6)</f>
        <v>2789</v>
      </c>
      <c r="D7" s="107">
        <f t="shared" si="0"/>
        <v>14911412</v>
      </c>
      <c r="E7" s="107">
        <f t="shared" si="0"/>
        <v>21152083</v>
      </c>
      <c r="F7" s="107">
        <f t="shared" si="0"/>
        <v>9594.4234584067108</v>
      </c>
      <c r="G7" s="107">
        <f t="shared" si="0"/>
        <v>9322.9089624255193</v>
      </c>
      <c r="H7" s="29">
        <f>(F7-G7)/G7</f>
        <v>2.9123366652563789E-2</v>
      </c>
      <c r="I7" s="107">
        <f t="shared" si="0"/>
        <v>20151.46608753586</v>
      </c>
      <c r="J7" s="107">
        <f t="shared" si="0"/>
        <v>19070.583592552797</v>
      </c>
      <c r="K7" s="275">
        <f>(I7-J7)/J7</f>
        <v>5.6677997804176046E-2</v>
      </c>
      <c r="M7" s="26"/>
    </row>
    <row r="8" spans="1:18" ht="13.5" thickTop="1" x14ac:dyDescent="0.2">
      <c r="A8" s="47"/>
      <c r="B8" s="141"/>
      <c r="C8" s="97"/>
      <c r="D8" s="97"/>
      <c r="E8" s="97"/>
      <c r="F8" s="97"/>
      <c r="G8" s="97"/>
      <c r="I8" s="97"/>
      <c r="J8" s="97"/>
      <c r="K8" s="67"/>
      <c r="M8" s="26"/>
    </row>
    <row r="9" spans="1:18" x14ac:dyDescent="0.2">
      <c r="A9" s="47" t="s">
        <v>70</v>
      </c>
      <c r="B9" s="141"/>
      <c r="C9" s="97"/>
      <c r="D9" s="97"/>
      <c r="E9" s="97"/>
      <c r="F9" s="97"/>
      <c r="G9" s="97"/>
      <c r="I9" s="97"/>
      <c r="J9" s="97"/>
      <c r="K9" s="67"/>
      <c r="M9" s="26"/>
    </row>
    <row r="10" spans="1:18" x14ac:dyDescent="0.2">
      <c r="A10" s="47" t="s">
        <v>69</v>
      </c>
      <c r="B10" s="141">
        <f>'Major Airline Stats'!K33</f>
        <v>2728694</v>
      </c>
      <c r="C10" s="97">
        <f>'Regional Major'!M30</f>
        <v>1098</v>
      </c>
      <c r="D10" s="97">
        <f>Cargo!P21</f>
        <v>13225702</v>
      </c>
      <c r="E10" s="97">
        <f>SUM(B10:D10)</f>
        <v>15955494</v>
      </c>
      <c r="F10" s="97">
        <f>E10*0.00045359237</f>
        <v>7237.2903379807794</v>
      </c>
      <c r="G10" s="97">
        <f>'[1]Cargo Summary'!F10</f>
        <v>6938.6501110888503</v>
      </c>
      <c r="H10" s="3">
        <f>(F10-G10)/G10</f>
        <v>4.3040104647251762E-2</v>
      </c>
      <c r="I10" s="97">
        <f>+F10+'[2]Cargo Summary'!I10</f>
        <v>14512.948240170379</v>
      </c>
      <c r="J10" s="97">
        <f>'[1]Cargo Summary'!I10</f>
        <v>14150.59824335773</v>
      </c>
      <c r="K10" s="67">
        <f>(I10-J10)/J10</f>
        <v>2.5606691009175914E-2</v>
      </c>
      <c r="M10" s="26"/>
    </row>
    <row r="11" spans="1:18" x14ac:dyDescent="0.2">
      <c r="A11" s="47" t="s">
        <v>16</v>
      </c>
      <c r="B11" s="141">
        <f>'Major Airline Stats'!K34</f>
        <v>2259746</v>
      </c>
      <c r="C11" s="97">
        <f>'Regional Major'!M31</f>
        <v>0</v>
      </c>
      <c r="D11" s="97">
        <f>Cargo!P22</f>
        <v>464082</v>
      </c>
      <c r="E11" s="97">
        <f>SUM(B11:D11)</f>
        <v>2723828</v>
      </c>
      <c r="F11" s="97">
        <f>E11*0.00045359237</f>
        <v>1235.5075979923599</v>
      </c>
      <c r="G11" s="97">
        <f>'[1]Cargo Summary'!F11</f>
        <v>999.43272747163996</v>
      </c>
      <c r="H11" s="26">
        <f>(F11-G11)/G11</f>
        <v>0.23620886532097166</v>
      </c>
      <c r="I11" s="97">
        <f>+F11+'[2]Cargo Summary'!I11</f>
        <v>2487.6856227669596</v>
      </c>
      <c r="J11" s="97">
        <f>'[1]Cargo Summary'!I11</f>
        <v>2282.1230037914002</v>
      </c>
      <c r="K11" s="67">
        <f>(I11-J11)/J11</f>
        <v>9.0075170634557555E-2</v>
      </c>
      <c r="M11" s="26"/>
    </row>
    <row r="12" spans="1:18" ht="18" customHeight="1" thickBot="1" x14ac:dyDescent="0.25">
      <c r="A12" s="56" t="s">
        <v>73</v>
      </c>
      <c r="B12" s="143">
        <f>SUM(B10:B11)</f>
        <v>4988440</v>
      </c>
      <c r="C12" s="107">
        <f t="shared" ref="C12:J12" si="1">SUM(C10:C11)</f>
        <v>1098</v>
      </c>
      <c r="D12" s="107">
        <f t="shared" si="1"/>
        <v>13689784</v>
      </c>
      <c r="E12" s="107">
        <f t="shared" si="1"/>
        <v>18679322</v>
      </c>
      <c r="F12" s="107">
        <f t="shared" si="1"/>
        <v>8472.7979359731398</v>
      </c>
      <c r="G12" s="107">
        <f t="shared" si="1"/>
        <v>7938.08283856049</v>
      </c>
      <c r="H12" s="29">
        <f>(F12-G12)/G12</f>
        <v>6.736073536738453E-2</v>
      </c>
      <c r="I12" s="107">
        <f t="shared" si="1"/>
        <v>17000.633862937339</v>
      </c>
      <c r="J12" s="107">
        <f t="shared" si="1"/>
        <v>16432.721247149129</v>
      </c>
      <c r="K12" s="275">
        <f>(I12-J12)/J12</f>
        <v>3.4559864263913984E-2</v>
      </c>
      <c r="M12" s="26"/>
    </row>
    <row r="13" spans="1:18" ht="13.5" thickTop="1" x14ac:dyDescent="0.2">
      <c r="A13" s="47"/>
      <c r="B13" s="141"/>
      <c r="C13" s="97"/>
      <c r="D13" s="97"/>
      <c r="E13" s="97"/>
      <c r="F13" s="97"/>
      <c r="G13" s="97"/>
      <c r="I13" s="97"/>
      <c r="J13" s="97"/>
      <c r="K13" s="67"/>
      <c r="M13" s="26"/>
    </row>
    <row r="14" spans="1:18" x14ac:dyDescent="0.2">
      <c r="A14" s="47" t="s">
        <v>71</v>
      </c>
      <c r="B14" s="141"/>
      <c r="C14" s="97"/>
      <c r="D14" s="97"/>
      <c r="E14" s="97"/>
      <c r="F14" s="97"/>
      <c r="G14" s="97"/>
      <c r="I14" s="97"/>
      <c r="J14" s="97"/>
      <c r="K14" s="67"/>
      <c r="M14" s="26"/>
    </row>
    <row r="15" spans="1:18" x14ac:dyDescent="0.2">
      <c r="A15" s="47" t="s">
        <v>69</v>
      </c>
      <c r="B15" s="141">
        <f>'Major Airline Stats'!K38</f>
        <v>0</v>
      </c>
      <c r="C15" s="97">
        <f>'Regional Major'!M35</f>
        <v>0</v>
      </c>
      <c r="D15" s="97">
        <f>Cargo!P26</f>
        <v>0</v>
      </c>
      <c r="E15" s="97">
        <f>SUM(B15:D15)</f>
        <v>0</v>
      </c>
      <c r="F15" s="97">
        <f>E15*0.00045359237</f>
        <v>0</v>
      </c>
      <c r="G15" s="97">
        <f>'[1]Cargo Summary'!F15</f>
        <v>0</v>
      </c>
      <c r="H15" t="e">
        <f>(F15-G15)/G15</f>
        <v>#DIV/0!</v>
      </c>
      <c r="I15" s="97">
        <f>+F15+'[2]Cargo Summary'!I15</f>
        <v>0</v>
      </c>
      <c r="J15" s="97">
        <f>'[1]Cargo Summary'!I15</f>
        <v>0</v>
      </c>
      <c r="K15" s="67" t="e">
        <f>(I15-J15)/J15</f>
        <v>#DIV/0!</v>
      </c>
      <c r="M15" s="26"/>
    </row>
    <row r="16" spans="1:18" ht="15" customHeight="1" x14ac:dyDescent="0.2">
      <c r="A16" s="47" t="s">
        <v>16</v>
      </c>
      <c r="B16" s="141">
        <f>'Major Airline Stats'!K39</f>
        <v>0</v>
      </c>
      <c r="C16" s="97">
        <f>'Regional Major'!M36</f>
        <v>0</v>
      </c>
      <c r="D16" s="97">
        <f>Cargo!P27</f>
        <v>0</v>
      </c>
      <c r="E16" s="97">
        <f>SUM(B16:D16)</f>
        <v>0</v>
      </c>
      <c r="F16" s="97">
        <f>E16*0.00045359237</f>
        <v>0</v>
      </c>
      <c r="G16" s="97">
        <f>'[1]Cargo Summary'!F16</f>
        <v>0</v>
      </c>
      <c r="H16" s="3" t="e">
        <f>(F16-G16)/G16</f>
        <v>#DIV/0!</v>
      </c>
      <c r="I16" s="97">
        <f>+F16+'[2]Cargo Summary'!I16</f>
        <v>0</v>
      </c>
      <c r="J16" s="97">
        <f>'[1]Cargo Summary'!I16</f>
        <v>0</v>
      </c>
      <c r="K16" s="67">
        <v>1</v>
      </c>
      <c r="M16" s="26"/>
    </row>
    <row r="17" spans="1:13" ht="18" customHeight="1" thickBot="1" x14ac:dyDescent="0.25">
      <c r="A17" s="56" t="s">
        <v>74</v>
      </c>
      <c r="B17" s="143">
        <f>SUM(B15:B16)</f>
        <v>0</v>
      </c>
      <c r="C17" s="107">
        <f t="shared" ref="C17:J17" si="2">SUM(C15:C16)</f>
        <v>0</v>
      </c>
      <c r="D17" s="107">
        <f t="shared" si="2"/>
        <v>0</v>
      </c>
      <c r="E17" s="107">
        <f t="shared" si="2"/>
        <v>0</v>
      </c>
      <c r="F17" s="107">
        <f t="shared" si="2"/>
        <v>0</v>
      </c>
      <c r="G17" s="107">
        <f t="shared" si="2"/>
        <v>0</v>
      </c>
      <c r="H17" s="29" t="e">
        <f>(F17-G17)/G17</f>
        <v>#DIV/0!</v>
      </c>
      <c r="I17" s="107">
        <f t="shared" si="2"/>
        <v>0</v>
      </c>
      <c r="J17" s="107">
        <f t="shared" si="2"/>
        <v>0</v>
      </c>
      <c r="K17" s="275" t="e">
        <f>(I17-J17)/J17</f>
        <v>#DIV/0!</v>
      </c>
      <c r="M17" s="26"/>
    </row>
    <row r="18" spans="1:13" ht="13.5" thickTop="1" x14ac:dyDescent="0.2">
      <c r="A18" s="47"/>
      <c r="B18" s="141"/>
      <c r="C18" s="97"/>
      <c r="D18" s="97"/>
      <c r="E18" s="97"/>
      <c r="F18" s="97"/>
      <c r="G18" s="97"/>
      <c r="I18" s="97"/>
      <c r="J18" s="97"/>
      <c r="K18" s="67"/>
      <c r="M18" s="26"/>
    </row>
    <row r="19" spans="1:13" x14ac:dyDescent="0.2">
      <c r="A19" s="47" t="s">
        <v>14</v>
      </c>
      <c r="B19" s="141"/>
      <c r="C19" s="97"/>
      <c r="D19" s="97"/>
      <c r="E19" s="97"/>
      <c r="F19" s="97"/>
      <c r="G19" s="97"/>
      <c r="I19" s="97"/>
      <c r="J19" s="97"/>
      <c r="K19" s="67"/>
      <c r="M19" s="26"/>
    </row>
    <row r="20" spans="1:13" x14ac:dyDescent="0.2">
      <c r="A20" s="47" t="s">
        <v>69</v>
      </c>
      <c r="B20" s="141">
        <f t="shared" ref="B20:D21" si="3">B15+B10+B5</f>
        <v>7240272</v>
      </c>
      <c r="C20" s="97">
        <f t="shared" si="3"/>
        <v>3887</v>
      </c>
      <c r="D20" s="97">
        <f t="shared" si="3"/>
        <v>28134297</v>
      </c>
      <c r="E20" s="97">
        <f>SUM(B20:D20)</f>
        <v>35378456</v>
      </c>
      <c r="F20" s="97">
        <f>E20*0.00045359237</f>
        <v>16047.39770398072</v>
      </c>
      <c r="G20" s="97">
        <f>'[1]Cargo Summary'!F20</f>
        <v>15478.27989326542</v>
      </c>
      <c r="H20" s="3">
        <f>(F20-G20)/G20</f>
        <v>3.6768802130456468E-2</v>
      </c>
      <c r="I20" s="97">
        <f>+I5+I10+I15</f>
        <v>32940.098808884191</v>
      </c>
      <c r="J20" s="97">
        <f>+J5+J10+J15</f>
        <v>31643.955436462598</v>
      </c>
      <c r="K20" s="67">
        <f>(I20-J20)/J20</f>
        <v>4.0960219875928565E-2</v>
      </c>
      <c r="M20" s="26"/>
    </row>
    <row r="21" spans="1:13" x14ac:dyDescent="0.2">
      <c r="A21" s="47" t="s">
        <v>16</v>
      </c>
      <c r="B21" s="141">
        <f t="shared" si="3"/>
        <v>3986050</v>
      </c>
      <c r="C21" s="98">
        <f t="shared" si="3"/>
        <v>0</v>
      </c>
      <c r="D21" s="98">
        <f t="shared" si="3"/>
        <v>466899</v>
      </c>
      <c r="E21" s="97">
        <f>SUM(B21:D21)</f>
        <v>4452949</v>
      </c>
      <c r="F21" s="97">
        <f>E21*0.00045359237</f>
        <v>2019.8236903991299</v>
      </c>
      <c r="G21" s="97">
        <f>'[1]Cargo Summary'!F21</f>
        <v>1782.71190772059</v>
      </c>
      <c r="H21" s="3">
        <f>(F21-G21)/G21</f>
        <v>0.13300622588072325</v>
      </c>
      <c r="I21" s="97">
        <f>+I6+I11+I16</f>
        <v>4212.0011415890094</v>
      </c>
      <c r="J21" s="97">
        <f>+J6+J11+J16</f>
        <v>3859.3494032393301</v>
      </c>
      <c r="K21" s="67">
        <f>(I21-J21)/J21</f>
        <v>9.1375955246156895E-2</v>
      </c>
      <c r="M21" s="26"/>
    </row>
    <row r="22" spans="1:13" ht="18" customHeight="1" thickBot="1" x14ac:dyDescent="0.25">
      <c r="A22" s="69" t="s">
        <v>62</v>
      </c>
      <c r="B22" s="144">
        <f>SUM(B20:B21)</f>
        <v>11226322</v>
      </c>
      <c r="C22" s="145">
        <f t="shared" ref="C22:J22" si="4">SUM(C20:C21)</f>
        <v>3887</v>
      </c>
      <c r="D22" s="145">
        <f t="shared" si="4"/>
        <v>28601196</v>
      </c>
      <c r="E22" s="145">
        <f t="shared" si="4"/>
        <v>39831405</v>
      </c>
      <c r="F22" s="145">
        <f t="shared" si="4"/>
        <v>18067.221394379849</v>
      </c>
      <c r="G22" s="145">
        <f t="shared" si="4"/>
        <v>17260.991800986012</v>
      </c>
      <c r="H22" s="281">
        <f>(F22-G22)/G22</f>
        <v>4.6708184714379035E-2</v>
      </c>
      <c r="I22" s="145">
        <f t="shared" si="4"/>
        <v>37152.099950473203</v>
      </c>
      <c r="J22" s="145">
        <f t="shared" si="4"/>
        <v>35503.30483970193</v>
      </c>
      <c r="K22" s="282">
        <f>(I22-J22)/J22</f>
        <v>4.6440609352160662E-2</v>
      </c>
      <c r="M22" s="26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February 2019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9"/>
  <sheetViews>
    <sheetView zoomScaleNormal="100" workbookViewId="0">
      <selection activeCell="C7" sqref="C7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92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96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8" ht="13.5" thickBot="1" x14ac:dyDescent="0.25">
      <c r="F1" s="195"/>
      <c r="K1"/>
    </row>
    <row r="2" spans="1:18" s="9" customFormat="1" ht="26.25" thickBot="1" x14ac:dyDescent="0.25">
      <c r="A2" s="474" t="s">
        <v>192</v>
      </c>
      <c r="B2" s="475"/>
      <c r="C2" s="389" t="s">
        <v>221</v>
      </c>
      <c r="D2" s="391" t="s">
        <v>202</v>
      </c>
      <c r="E2" s="392" t="s">
        <v>97</v>
      </c>
      <c r="F2" s="393" t="s">
        <v>222</v>
      </c>
      <c r="G2" s="391" t="s">
        <v>203</v>
      </c>
      <c r="H2" s="390" t="s">
        <v>98</v>
      </c>
      <c r="I2" s="392" t="s">
        <v>139</v>
      </c>
      <c r="J2" s="474" t="s">
        <v>188</v>
      </c>
      <c r="K2" s="475"/>
      <c r="L2" s="389" t="s">
        <v>223</v>
      </c>
      <c r="M2" s="391" t="s">
        <v>204</v>
      </c>
      <c r="N2" s="394" t="s">
        <v>98</v>
      </c>
      <c r="O2" s="395" t="s">
        <v>224</v>
      </c>
      <c r="P2" s="395" t="s">
        <v>205</v>
      </c>
      <c r="Q2" s="424" t="s">
        <v>98</v>
      </c>
      <c r="R2" s="392" t="s">
        <v>225</v>
      </c>
    </row>
    <row r="3" spans="1:18" s="9" customFormat="1" ht="13.5" customHeight="1" thickBot="1" x14ac:dyDescent="0.25">
      <c r="A3" s="476">
        <v>43497</v>
      </c>
      <c r="B3" s="477"/>
      <c r="C3" s="478" t="s">
        <v>9</v>
      </c>
      <c r="D3" s="479"/>
      <c r="E3" s="479"/>
      <c r="F3" s="479"/>
      <c r="G3" s="479"/>
      <c r="H3" s="480"/>
      <c r="I3" s="396"/>
      <c r="J3" s="476">
        <f>+A3</f>
        <v>43497</v>
      </c>
      <c r="K3" s="477"/>
      <c r="L3" s="468" t="s">
        <v>189</v>
      </c>
      <c r="M3" s="469"/>
      <c r="N3" s="469"/>
      <c r="O3" s="469"/>
      <c r="P3" s="469"/>
      <c r="Q3" s="469"/>
      <c r="R3" s="470"/>
    </row>
    <row r="4" spans="1:18" x14ac:dyDescent="0.2">
      <c r="A4" s="299"/>
      <c r="B4" s="300"/>
      <c r="C4" s="301"/>
      <c r="D4" s="302"/>
      <c r="E4" s="303"/>
      <c r="F4" s="397"/>
      <c r="G4" s="302"/>
      <c r="H4" s="413"/>
      <c r="I4" s="303"/>
      <c r="J4" s="304"/>
      <c r="K4" s="300"/>
      <c r="L4" s="310"/>
      <c r="N4" s="67"/>
      <c r="O4" s="38"/>
      <c r="R4" s="40"/>
    </row>
    <row r="5" spans="1:18" ht="14.1" customHeight="1" x14ac:dyDescent="0.2">
      <c r="A5" s="306" t="s">
        <v>232</v>
      </c>
      <c r="B5" s="40"/>
      <c r="C5" s="307">
        <f>+[3]DHL!$GC$19</f>
        <v>0</v>
      </c>
      <c r="D5" s="150">
        <f>+[3]DHL!$FO$19</f>
        <v>40</v>
      </c>
      <c r="E5" s="309">
        <f>(C5-D5)/D5</f>
        <v>-1</v>
      </c>
      <c r="F5" s="307">
        <f>+SUM([3]DHL!$GB$12:$GC$12)</f>
        <v>0</v>
      </c>
      <c r="G5" s="150">
        <f>+SUM([3]DHL!$FN$12:$FO$12)</f>
        <v>82</v>
      </c>
      <c r="H5" s="308">
        <f>(F5-G5)/G5</f>
        <v>-1</v>
      </c>
      <c r="I5" s="309">
        <f>+F5/$F$32</f>
        <v>0</v>
      </c>
      <c r="J5" s="306" t="s">
        <v>232</v>
      </c>
      <c r="K5" s="40"/>
      <c r="L5" s="307">
        <f>+[3]DHL!$GC$64</f>
        <v>0</v>
      </c>
      <c r="M5" s="150">
        <f>+[3]DHL!$FO$64</f>
        <v>1092417</v>
      </c>
      <c r="N5" s="309">
        <f>(L5-M5)/M5</f>
        <v>-1</v>
      </c>
      <c r="O5" s="307">
        <f>+SUM([3]DHL!$GB$64:$GC$64)</f>
        <v>0</v>
      </c>
      <c r="P5" s="150">
        <f>+SUM([3]DHL!$FN$64:$FO$64)</f>
        <v>2247934</v>
      </c>
      <c r="Q5" s="308">
        <f>(O5-P5)/P5</f>
        <v>-1</v>
      </c>
      <c r="R5" s="309">
        <f>O5/$O$32</f>
        <v>0</v>
      </c>
    </row>
    <row r="6" spans="1:18" ht="14.1" customHeight="1" x14ac:dyDescent="0.2">
      <c r="A6" s="306"/>
      <c r="B6" s="40"/>
      <c r="C6" s="307"/>
      <c r="D6" s="150"/>
      <c r="E6" s="309"/>
      <c r="F6" s="307"/>
      <c r="G6" s="150"/>
      <c r="H6" s="308"/>
      <c r="I6" s="309"/>
      <c r="J6" s="306"/>
      <c r="K6" s="40"/>
      <c r="L6" s="310"/>
      <c r="N6" s="67"/>
      <c r="O6" s="310"/>
      <c r="P6" s="150"/>
      <c r="Q6" s="3"/>
      <c r="R6" s="67"/>
    </row>
    <row r="7" spans="1:18" ht="14.1" customHeight="1" x14ac:dyDescent="0.2">
      <c r="A7" s="306" t="s">
        <v>231</v>
      </c>
      <c r="B7" s="40"/>
      <c r="C7" s="307">
        <f>+[3]DHL_Kalitta!$GC$19</f>
        <v>40</v>
      </c>
      <c r="D7" s="150">
        <f>+[3]DHL_Kalitta!$FO$19</f>
        <v>0</v>
      </c>
      <c r="E7" s="309" t="e">
        <f>(C7-D7)/D7</f>
        <v>#DIV/0!</v>
      </c>
      <c r="F7" s="307">
        <f>+[3]DHL_Kalitta!$GC$19</f>
        <v>40</v>
      </c>
      <c r="G7" s="150">
        <f>SUM([3]DHL_Kalitta!$FN$12:$FO$12)</f>
        <v>0</v>
      </c>
      <c r="H7" s="308" t="e">
        <f>(F7-G7)/G7</f>
        <v>#DIV/0!</v>
      </c>
      <c r="I7" s="309">
        <f>+F7/$F$32</f>
        <v>1.8492834026814609E-2</v>
      </c>
      <c r="J7" s="306" t="s">
        <v>229</v>
      </c>
      <c r="K7" s="40"/>
      <c r="L7" s="307">
        <f>+[3]DHL_Kalitta!$GC$64</f>
        <v>993887</v>
      </c>
      <c r="M7" s="150">
        <f>+[3]DHL_Kalitta!$FO$64</f>
        <v>0</v>
      </c>
      <c r="N7" s="309" t="e">
        <f>(L7-M7)/M7</f>
        <v>#DIV/0!</v>
      </c>
      <c r="O7" s="307">
        <f>+SUM([3]DHL_Kalitta!$GB$64:$GC$64)</f>
        <v>2204133</v>
      </c>
      <c r="P7" s="150">
        <f>+SUM([3]DHL_Kalitta!$FN$64:$FO$64)</f>
        <v>0</v>
      </c>
      <c r="Q7" s="308" t="e">
        <f>(O7-P7)/P7</f>
        <v>#DIV/0!</v>
      </c>
      <c r="R7" s="309">
        <f>O7/$O$32</f>
        <v>3.7028078609496098E-2</v>
      </c>
    </row>
    <row r="8" spans="1:18" ht="14.1" customHeight="1" x14ac:dyDescent="0.2">
      <c r="A8" s="306"/>
      <c r="B8" s="40"/>
      <c r="C8" s="307"/>
      <c r="D8" s="150"/>
      <c r="E8" s="309"/>
      <c r="F8" s="307"/>
      <c r="G8" s="150"/>
      <c r="H8" s="308"/>
      <c r="I8" s="309"/>
      <c r="J8" s="306"/>
      <c r="K8" s="40"/>
      <c r="L8" s="310"/>
      <c r="N8" s="67"/>
      <c r="O8" s="310"/>
      <c r="P8" s="2"/>
      <c r="Q8" s="3"/>
      <c r="R8" s="67"/>
    </row>
    <row r="9" spans="1:18" ht="14.1" customHeight="1" x14ac:dyDescent="0.2">
      <c r="A9" s="306" t="s">
        <v>230</v>
      </c>
      <c r="B9" s="40"/>
      <c r="C9" s="307">
        <f>+[3]DHL_Atlas!$GC$19</f>
        <v>2</v>
      </c>
      <c r="D9" s="150">
        <f>+[3]DHL_Atlas!$FO$19</f>
        <v>0</v>
      </c>
      <c r="E9" s="309" t="e">
        <f>(C9-D9)/D9</f>
        <v>#DIV/0!</v>
      </c>
      <c r="F9" s="307">
        <f>+[3]DHL_Atlas!$GC$19</f>
        <v>2</v>
      </c>
      <c r="G9" s="150">
        <f>SUM([3]DHL_Atlas!$FN$12:$FO$12)</f>
        <v>0</v>
      </c>
      <c r="H9" s="308" t="e">
        <f>(F9-G9)/G9</f>
        <v>#DIV/0!</v>
      </c>
      <c r="I9" s="309">
        <f>+F9/$F$32</f>
        <v>9.2464170134073042E-4</v>
      </c>
      <c r="J9" s="306" t="s">
        <v>230</v>
      </c>
      <c r="K9" s="40"/>
      <c r="L9" s="307">
        <f>+[3]DHL_Atlas!$GC$64</f>
        <v>18552</v>
      </c>
      <c r="M9" s="150">
        <f>+[3]DHL_Atlas!$FO$64</f>
        <v>0</v>
      </c>
      <c r="N9" s="309" t="e">
        <f>(L9-M9)/M9</f>
        <v>#DIV/0!</v>
      </c>
      <c r="O9" s="307">
        <f>+SUM([3]DHL_Atlas!$GB$64:$GC$64)</f>
        <v>18552</v>
      </c>
      <c r="P9" s="150">
        <f>+SUM([3]DHL_Atlas!$FN$64:$FO$64)</f>
        <v>0</v>
      </c>
      <c r="Q9" s="308" t="e">
        <f>(O9-P9)/P9</f>
        <v>#DIV/0!</v>
      </c>
      <c r="R9" s="309">
        <f>O9/$O$32</f>
        <v>3.1166218842663832E-4</v>
      </c>
    </row>
    <row r="10" spans="1:18" ht="14.1" customHeight="1" x14ac:dyDescent="0.2">
      <c r="A10" s="306"/>
      <c r="B10" s="40"/>
      <c r="C10" s="307"/>
      <c r="D10" s="150"/>
      <c r="E10" s="309"/>
      <c r="F10" s="307"/>
      <c r="G10" s="150"/>
      <c r="H10" s="308"/>
      <c r="I10" s="309"/>
      <c r="J10" s="306"/>
      <c r="K10" s="40"/>
      <c r="L10" s="310"/>
      <c r="N10" s="67"/>
      <c r="O10" s="310"/>
      <c r="P10" s="150"/>
      <c r="Q10" s="3"/>
      <c r="R10" s="67"/>
    </row>
    <row r="11" spans="1:18" ht="14.1" customHeight="1" x14ac:dyDescent="0.2">
      <c r="A11" s="306" t="s">
        <v>220</v>
      </c>
      <c r="B11" s="40"/>
      <c r="C11" s="307">
        <f>+'[3]Atlas Air'!$GC$19</f>
        <v>56</v>
      </c>
      <c r="D11" s="150">
        <f>+'[3]Atlas Air'!$FO$19</f>
        <v>0</v>
      </c>
      <c r="E11" s="309" t="e">
        <f>(C11-D11)/D11</f>
        <v>#DIV/0!</v>
      </c>
      <c r="F11" s="307">
        <f>+SUM('[3]Atlas Air'!$GB$12:$GC$12)</f>
        <v>112</v>
      </c>
      <c r="G11" s="150">
        <f>+SUM('[3]Atlas Air'!$FN$12:$FO$12)</f>
        <v>0</v>
      </c>
      <c r="H11" s="308" t="e">
        <f>(F11-G11)/G11</f>
        <v>#DIV/0!</v>
      </c>
      <c r="I11" s="309">
        <f>+F11/$F$32</f>
        <v>5.1779935275080909E-2</v>
      </c>
      <c r="J11" s="306" t="s">
        <v>220</v>
      </c>
      <c r="K11" s="40"/>
      <c r="L11" s="307">
        <f>+'[3]Atlas Air'!$GC$64</f>
        <v>2065405</v>
      </c>
      <c r="M11" s="150">
        <f>+'[3]Atlas Air'!$FO$64</f>
        <v>0</v>
      </c>
      <c r="N11" s="309" t="e">
        <f>(L11-M11)/M11</f>
        <v>#DIV/0!</v>
      </c>
      <c r="O11" s="307">
        <f>+SUM('[3]Atlas Air'!$GB$64:$GC$64)</f>
        <v>4347597</v>
      </c>
      <c r="P11" s="150">
        <f>+SUM('[3]Atlas Air'!$FN$64:$FO$64)</f>
        <v>0</v>
      </c>
      <c r="Q11" s="308" t="e">
        <f>(O11-P11)/P11</f>
        <v>#DIV/0!</v>
      </c>
      <c r="R11" s="309">
        <f>O11/$O$32</f>
        <v>7.3036955337272932E-2</v>
      </c>
    </row>
    <row r="12" spans="1:18" ht="14.1" customHeight="1" x14ac:dyDescent="0.2">
      <c r="A12" s="306"/>
      <c r="B12" s="40"/>
      <c r="C12" s="307"/>
      <c r="D12" s="150"/>
      <c r="E12" s="309"/>
      <c r="F12" s="307"/>
      <c r="G12" s="150"/>
      <c r="H12" s="308"/>
      <c r="I12" s="309"/>
      <c r="J12" s="306"/>
      <c r="K12" s="40"/>
      <c r="L12" s="310"/>
      <c r="N12" s="67"/>
      <c r="O12" s="310"/>
      <c r="P12" s="150"/>
      <c r="Q12" s="3"/>
      <c r="R12" s="67"/>
    </row>
    <row r="13" spans="1:18" ht="14.1" customHeight="1" x14ac:dyDescent="0.2">
      <c r="A13" s="306" t="s">
        <v>228</v>
      </c>
      <c r="B13" s="40"/>
      <c r="C13" s="307">
        <f>+[3]Encore!$GC$19</f>
        <v>74</v>
      </c>
      <c r="D13" s="150">
        <f>+[3]Encore!$FO$19</f>
        <v>0</v>
      </c>
      <c r="E13" s="309" t="e">
        <f>(C13-D13)/D13</f>
        <v>#DIV/0!</v>
      </c>
      <c r="F13" s="307">
        <f>+SUM([3]Encore!$GB$12:$GC$12)</f>
        <v>159</v>
      </c>
      <c r="G13" s="150">
        <f>+SUM([3]Encore!$FN$12:$FO$12)</f>
        <v>0</v>
      </c>
      <c r="H13" s="308" t="e">
        <f>(F13-G13)/G13</f>
        <v>#DIV/0!</v>
      </c>
      <c r="I13" s="309">
        <f>+F13/$F$32</f>
        <v>7.3509015256588067E-2</v>
      </c>
      <c r="J13" s="306" t="s">
        <v>228</v>
      </c>
      <c r="K13" s="40"/>
      <c r="L13" s="307">
        <f>+[3]Encore!$GC$64</f>
        <v>94246</v>
      </c>
      <c r="M13" s="150">
        <f>+[3]Encore!$FO$64</f>
        <v>0</v>
      </c>
      <c r="N13" s="309" t="e">
        <f>(L13-M13)/M13</f>
        <v>#DIV/0!</v>
      </c>
      <c r="O13" s="307">
        <f>+SUM([3]Encore!$GB$64:$GC$64)</f>
        <v>199018</v>
      </c>
      <c r="P13" s="150">
        <f>+SUM([3]Encore!$FN$64:$FO$64)</f>
        <v>0</v>
      </c>
      <c r="Q13" s="308" t="e">
        <f>(O13-P13)/P13</f>
        <v>#DIV/0!</v>
      </c>
      <c r="R13" s="309">
        <f>O13/$O$32</f>
        <v>3.3433799814733024E-3</v>
      </c>
    </row>
    <row r="14" spans="1:18" ht="14.1" customHeight="1" x14ac:dyDescent="0.2">
      <c r="A14" s="306"/>
      <c r="B14" s="40"/>
      <c r="C14" s="307"/>
      <c r="D14" s="150"/>
      <c r="E14" s="309"/>
      <c r="F14" s="307"/>
      <c r="G14" s="150"/>
      <c r="H14" s="308"/>
      <c r="I14" s="309"/>
      <c r="J14" s="306"/>
      <c r="K14" s="40"/>
      <c r="L14" s="310"/>
      <c r="N14" s="67"/>
      <c r="O14" s="310"/>
      <c r="P14" s="150"/>
      <c r="Q14" s="3"/>
      <c r="R14" s="67"/>
    </row>
    <row r="15" spans="1:18" ht="14.1" customHeight="1" x14ac:dyDescent="0.2">
      <c r="A15" s="306" t="s">
        <v>190</v>
      </c>
      <c r="B15" s="40"/>
      <c r="C15" s="307">
        <f>+[3]FedEx!$GC$19</f>
        <v>238</v>
      </c>
      <c r="D15" s="150">
        <f>+[3]FedEx!$FO$19</f>
        <v>242</v>
      </c>
      <c r="E15" s="309">
        <f>(C15-D15)/D15</f>
        <v>-1.6528925619834711E-2</v>
      </c>
      <c r="F15" s="307">
        <f>+SUM([3]FedEx!$GB$12:$GC$12)</f>
        <v>506</v>
      </c>
      <c r="G15" s="150">
        <f>+SUM([3]FedEx!$FN$12:$FO$12)</f>
        <v>500</v>
      </c>
      <c r="H15" s="308">
        <f t="shared" ref="H15" si="0">(F15-G15)/G15</f>
        <v>1.2E-2</v>
      </c>
      <c r="I15" s="309">
        <f>+F15/$F$32</f>
        <v>0.2339343504392048</v>
      </c>
      <c r="J15" s="306" t="s">
        <v>190</v>
      </c>
      <c r="K15" s="40"/>
      <c r="L15" s="307">
        <f>+[3]FedEx!$GC$64</f>
        <v>15404386</v>
      </c>
      <c r="M15" s="150">
        <f>+[3]FedEx!$FO$64</f>
        <v>15694855</v>
      </c>
      <c r="N15" s="309">
        <f>(L15-M15)/M15</f>
        <v>-1.8507275154819845E-2</v>
      </c>
      <c r="O15" s="307">
        <f>+SUM([3]FedEx!$GB$64:$GC$64)</f>
        <v>32256427</v>
      </c>
      <c r="P15" s="150">
        <f>+SUM([3]FedEx!$FN$64:$FO$64)</f>
        <v>32682085</v>
      </c>
      <c r="Q15" s="308">
        <f t="shared" ref="Q15" si="1">(O15-P15)/P15</f>
        <v>-1.302419964944097E-2</v>
      </c>
      <c r="R15" s="309">
        <f>O15/$O$32</f>
        <v>0.54188813225765975</v>
      </c>
    </row>
    <row r="16" spans="1:18" ht="14.1" customHeight="1" x14ac:dyDescent="0.2">
      <c r="A16" s="306"/>
      <c r="B16" s="40"/>
      <c r="C16" s="307"/>
      <c r="D16" s="150"/>
      <c r="E16" s="309"/>
      <c r="F16" s="307"/>
      <c r="G16" s="150"/>
      <c r="H16" s="308"/>
      <c r="I16" s="309"/>
      <c r="J16" s="306"/>
      <c r="K16" s="40"/>
      <c r="L16" s="310"/>
      <c r="N16" s="67"/>
      <c r="O16" s="310"/>
      <c r="P16" s="2"/>
      <c r="Q16" s="3"/>
      <c r="R16" s="67"/>
    </row>
    <row r="17" spans="1:19" ht="14.1" customHeight="1" x14ac:dyDescent="0.2">
      <c r="A17" s="306" t="s">
        <v>83</v>
      </c>
      <c r="B17" s="40"/>
      <c r="C17" s="307">
        <f>+[3]UPS!$GC$19</f>
        <v>246</v>
      </c>
      <c r="D17" s="150">
        <f>+[3]UPS!$FO$19</f>
        <v>216</v>
      </c>
      <c r="E17" s="309">
        <f>(C17-D17)/D17</f>
        <v>0.1388888888888889</v>
      </c>
      <c r="F17" s="307">
        <f>+SUM([3]UPS!$GB$12:$GC$12)</f>
        <v>490</v>
      </c>
      <c r="G17" s="150">
        <f>+SUM([3]UPS!$FN$12:$FO$12)</f>
        <v>382</v>
      </c>
      <c r="H17" s="308">
        <f>(F17-G17)/G17</f>
        <v>0.28272251308900526</v>
      </c>
      <c r="I17" s="309">
        <f>+F17/$F$32</f>
        <v>0.22653721682847897</v>
      </c>
      <c r="J17" s="306" t="s">
        <v>83</v>
      </c>
      <c r="K17" s="40"/>
      <c r="L17" s="307">
        <f>+[3]UPS!$GC$64</f>
        <v>9838079</v>
      </c>
      <c r="M17" s="150">
        <f>+[3]UPS!$FO$64</f>
        <v>9812321</v>
      </c>
      <c r="N17" s="309">
        <f>(L17-M17)/M17</f>
        <v>2.625066994852696E-3</v>
      </c>
      <c r="O17" s="307">
        <f>+SUM([3]UPS!$GB$64:$GC$64)</f>
        <v>20295669</v>
      </c>
      <c r="P17" s="150">
        <f>+SUM([3]UPS!$FN$64:$FO$64)</f>
        <v>20578287</v>
      </c>
      <c r="Q17" s="308">
        <f>(O17-P17)/P17</f>
        <v>-1.3733796209567882E-2</v>
      </c>
      <c r="R17" s="309">
        <f>O17/$O$32</f>
        <v>0.34095475507345202</v>
      </c>
    </row>
    <row r="18" spans="1:19" ht="14.1" customHeight="1" x14ac:dyDescent="0.2">
      <c r="A18" s="306"/>
      <c r="B18" s="40"/>
      <c r="C18" s="307"/>
      <c r="D18" s="150"/>
      <c r="E18" s="309"/>
      <c r="F18" s="307"/>
      <c r="G18" s="150"/>
      <c r="H18" s="308"/>
      <c r="I18" s="309"/>
      <c r="J18" s="306"/>
      <c r="K18" s="40"/>
      <c r="L18" s="310"/>
      <c r="N18" s="67"/>
      <c r="O18" s="310"/>
      <c r="P18" s="2"/>
      <c r="Q18" s="3"/>
      <c r="R18" s="67"/>
    </row>
    <row r="19" spans="1:19" ht="14.1" customHeight="1" x14ac:dyDescent="0.2">
      <c r="A19" s="306" t="s">
        <v>182</v>
      </c>
      <c r="B19" s="40"/>
      <c r="C19" s="307">
        <f>+[3]IFL!$GC$19</f>
        <v>28</v>
      </c>
      <c r="D19" s="150">
        <f>+[3]IFL!$FO$19</f>
        <v>52</v>
      </c>
      <c r="E19" s="309">
        <f>(C19-D19)/D19</f>
        <v>-0.46153846153846156</v>
      </c>
      <c r="F19" s="307">
        <f>+SUM([3]IFL!$GB$12:$GC$12)</f>
        <v>65</v>
      </c>
      <c r="G19" s="150">
        <f>+SUM([3]IFL!$FN$12:$FO$12)</f>
        <v>90</v>
      </c>
      <c r="H19" s="308">
        <f>(F19-G19)/G19</f>
        <v>-0.27777777777777779</v>
      </c>
      <c r="I19" s="309">
        <f>+F19/$F$32</f>
        <v>3.005085529357374E-2</v>
      </c>
      <c r="J19" s="306" t="s">
        <v>182</v>
      </c>
      <c r="K19" s="40"/>
      <c r="L19" s="307">
        <f>+[3]IFL!$GC$64</f>
        <v>14360</v>
      </c>
      <c r="M19" s="150">
        <f>+[3]IFL!$FO$64</f>
        <v>18968</v>
      </c>
      <c r="N19" s="309">
        <f>(L19-M19)/M19</f>
        <v>-0.24293547026571066</v>
      </c>
      <c r="O19" s="307">
        <f>+SUM([3]IFL!$GB$64:$GC$64)</f>
        <v>32312</v>
      </c>
      <c r="P19" s="150">
        <f>+SUM([3]IFL!$FN$64:$FO$64)</f>
        <v>42734</v>
      </c>
      <c r="Q19" s="308">
        <f>(O19-P19)/P19</f>
        <v>-0.24388075069031684</v>
      </c>
      <c r="R19" s="309">
        <f>O19/$O$32</f>
        <v>5.4282172447399401E-4</v>
      </c>
    </row>
    <row r="20" spans="1:19" ht="14.1" customHeight="1" x14ac:dyDescent="0.2">
      <c r="A20" s="306"/>
      <c r="B20" s="40"/>
      <c r="C20" s="307"/>
      <c r="D20" s="165"/>
      <c r="E20" s="309"/>
      <c r="F20" s="398"/>
      <c r="G20" s="165"/>
      <c r="H20" s="308"/>
      <c r="I20" s="309"/>
      <c r="J20" s="306"/>
      <c r="K20" s="40"/>
      <c r="L20" s="141"/>
      <c r="M20" s="97"/>
      <c r="N20" s="67"/>
      <c r="O20" s="141"/>
      <c r="P20" s="97"/>
      <c r="Q20" s="3"/>
      <c r="R20" s="67"/>
    </row>
    <row r="21" spans="1:19" ht="14.1" customHeight="1" x14ac:dyDescent="0.2">
      <c r="A21" s="306" t="s">
        <v>165</v>
      </c>
      <c r="B21" s="311"/>
      <c r="C21" s="307">
        <f>+'[3]Suburban Air Freight'!$GC$19</f>
        <v>0</v>
      </c>
      <c r="D21" s="150">
        <f>+'[3]Suburban Air Freight'!$FO$19</f>
        <v>0</v>
      </c>
      <c r="E21" s="309" t="e">
        <f>(C21-D21)/D21</f>
        <v>#DIV/0!</v>
      </c>
      <c r="F21" s="307">
        <f>+SUM('[3]Suburban Air Freight'!$GB$12:$GC$12)</f>
        <v>0</v>
      </c>
      <c r="G21" s="150">
        <f>+SUM('[3]Suburban Air Freight'!$FN$12:$FO$12)</f>
        <v>0</v>
      </c>
      <c r="H21" s="308" t="e">
        <f t="shared" ref="H21" si="2">(F21-G21)/G21</f>
        <v>#DIV/0!</v>
      </c>
      <c r="I21" s="309">
        <f>+F21/$F$32</f>
        <v>0</v>
      </c>
      <c r="J21" s="306" t="s">
        <v>165</v>
      </c>
      <c r="K21" s="311"/>
      <c r="L21" s="307">
        <f>+'[3]Suburban Air Freight'!$GC$64</f>
        <v>0</v>
      </c>
      <c r="M21" s="150">
        <f>+'[3]Suburban Air Freight'!$FO$64</f>
        <v>0</v>
      </c>
      <c r="N21" s="309" t="e">
        <f>(L21-M21)/M21</f>
        <v>#DIV/0!</v>
      </c>
      <c r="O21" s="307">
        <f>+SUM('[3]Suburban Air Freight'!$GB$64:$GC$64)</f>
        <v>0</v>
      </c>
      <c r="P21" s="150">
        <f>+SUM('[3]Suburban Air Freight'!$FN$64:$FO$64)</f>
        <v>0</v>
      </c>
      <c r="Q21" s="308" t="e">
        <f t="shared" ref="Q21" si="3">(O21-P21)/P21</f>
        <v>#DIV/0!</v>
      </c>
      <c r="R21" s="309">
        <f>O21/$O$32</f>
        <v>0</v>
      </c>
    </row>
    <row r="22" spans="1:19" ht="14.1" customHeight="1" x14ac:dyDescent="0.2">
      <c r="A22" s="38"/>
      <c r="B22" s="40"/>
      <c r="C22" s="307"/>
      <c r="E22" s="67"/>
      <c r="F22" s="310"/>
      <c r="I22" s="67"/>
      <c r="J22" s="38"/>
      <c r="K22" s="40"/>
      <c r="L22" s="310"/>
      <c r="N22" s="67"/>
      <c r="O22" s="310"/>
      <c r="P22" s="2"/>
      <c r="Q22" s="3"/>
      <c r="R22" s="67"/>
    </row>
    <row r="23" spans="1:19" ht="14.1" customHeight="1" x14ac:dyDescent="0.2">
      <c r="A23" s="306" t="s">
        <v>84</v>
      </c>
      <c r="B23" s="40"/>
      <c r="C23" s="307">
        <f>+[3]Bemidji!$GC$19</f>
        <v>350</v>
      </c>
      <c r="D23" s="150">
        <f>+[3]Bemidji!$FO$19</f>
        <v>520</v>
      </c>
      <c r="E23" s="309">
        <f>(C23-D23)/D23</f>
        <v>-0.32692307692307693</v>
      </c>
      <c r="F23" s="307">
        <f>+SUM([3]Bemidji!$GB$12:$GC$12)</f>
        <v>748</v>
      </c>
      <c r="G23" s="150">
        <f>+SUM([3]Bemidji!$FN$12:$FO$12)</f>
        <v>1134</v>
      </c>
      <c r="H23" s="308">
        <f t="shared" ref="H23" si="4">(F23-G23)/G23</f>
        <v>-0.3403880070546737</v>
      </c>
      <c r="I23" s="309">
        <f>+F23/$F$32</f>
        <v>0.34581599630143317</v>
      </c>
      <c r="J23" s="306" t="s">
        <v>84</v>
      </c>
      <c r="K23" s="40"/>
      <c r="L23" s="471" t="s">
        <v>193</v>
      </c>
      <c r="M23" s="472"/>
      <c r="N23" s="472"/>
      <c r="O23" s="472"/>
      <c r="P23" s="472"/>
      <c r="Q23" s="472"/>
      <c r="R23" s="473"/>
    </row>
    <row r="24" spans="1:19" ht="14.1" customHeight="1" x14ac:dyDescent="0.2">
      <c r="A24" s="38"/>
      <c r="B24" s="40"/>
      <c r="C24" s="307"/>
      <c r="E24" s="67"/>
      <c r="F24" s="310"/>
      <c r="I24" s="67"/>
      <c r="J24" s="38"/>
      <c r="K24" s="40"/>
      <c r="L24" s="310"/>
      <c r="N24" s="67"/>
      <c r="O24" s="310"/>
      <c r="P24" s="2"/>
      <c r="Q24" s="3"/>
      <c r="R24" s="67"/>
    </row>
    <row r="25" spans="1:19" ht="14.1" customHeight="1" x14ac:dyDescent="0.2">
      <c r="A25" s="306" t="s">
        <v>85</v>
      </c>
      <c r="B25" s="40"/>
      <c r="C25" s="307">
        <f>+'[3]CSA Air'!$GC$19</f>
        <v>3</v>
      </c>
      <c r="D25" s="150">
        <f>+'[3]CSA Air'!$FO$19</f>
        <v>2</v>
      </c>
      <c r="E25" s="309">
        <f>(C25-D25)/D25</f>
        <v>0.5</v>
      </c>
      <c r="F25" s="307">
        <f>+SUM('[3]CSA Air'!$GB$12:$GC$12)</f>
        <v>3</v>
      </c>
      <c r="G25" s="150">
        <f>+SUM('[3]CSA Air'!$FN$12:$FO$12)</f>
        <v>2</v>
      </c>
      <c r="H25" s="308">
        <f t="shared" ref="H25" si="5">(F25-G25)/G25</f>
        <v>0.5</v>
      </c>
      <c r="I25" s="309">
        <f>+F25/$F$32</f>
        <v>1.3869625520110957E-3</v>
      </c>
      <c r="J25" s="306" t="s">
        <v>85</v>
      </c>
      <c r="K25" s="40"/>
      <c r="L25" s="307">
        <f>+'[3]CSA Air'!$GC$64</f>
        <v>4835</v>
      </c>
      <c r="M25" s="150">
        <f>+'[3]CSA Air'!$FO$64</f>
        <v>3414</v>
      </c>
      <c r="N25" s="309">
        <f>(L25-M25)/M25</f>
        <v>0.4162272993555946</v>
      </c>
      <c r="O25" s="307">
        <f>+SUM('[3]CSA Air'!$GB$64:$GC$64)</f>
        <v>4835</v>
      </c>
      <c r="P25" s="150">
        <f>+SUM('[3]CSA Air'!$FN$64:$FO$64)</f>
        <v>3414</v>
      </c>
      <c r="Q25" s="308">
        <f t="shared" ref="Q25" si="6">(O25-P25)/P25</f>
        <v>0.4162272993555946</v>
      </c>
      <c r="R25" s="309">
        <f>O25/$O$32</f>
        <v>8.1225025929430595E-5</v>
      </c>
    </row>
    <row r="26" spans="1:19" ht="14.1" customHeight="1" x14ac:dyDescent="0.2">
      <c r="A26" s="38"/>
      <c r="B26" s="40"/>
      <c r="C26" s="307"/>
      <c r="E26" s="67"/>
      <c r="F26" s="310"/>
      <c r="I26" s="67"/>
      <c r="J26" s="38"/>
      <c r="K26" s="40"/>
      <c r="L26" s="310"/>
      <c r="N26" s="67"/>
      <c r="O26" s="310"/>
      <c r="P26" s="2"/>
      <c r="Q26" s="3"/>
      <c r="R26" s="67"/>
    </row>
    <row r="27" spans="1:19" ht="14.1" customHeight="1" x14ac:dyDescent="0.2">
      <c r="A27" s="306" t="s">
        <v>86</v>
      </c>
      <c r="B27" s="311"/>
      <c r="C27" s="307">
        <f>+'[3]Mountain Cargo'!$GC$19</f>
        <v>38</v>
      </c>
      <c r="D27" s="150">
        <f>+'[3]Mountain Cargo'!$FO$19</f>
        <v>38</v>
      </c>
      <c r="E27" s="309">
        <f>(C27-D27)/D27</f>
        <v>0</v>
      </c>
      <c r="F27" s="307">
        <f>+SUM('[3]Mountain Cargo'!$GB$12:$GC$12)</f>
        <v>38</v>
      </c>
      <c r="G27" s="150">
        <f>+SUM('[3]Mountain Cargo'!$FN$12:$FO$12)</f>
        <v>76</v>
      </c>
      <c r="H27" s="308">
        <f>(F27-G27)/G27</f>
        <v>-0.5</v>
      </c>
      <c r="I27" s="309">
        <f>+F27/$F$32</f>
        <v>1.756819232547388E-2</v>
      </c>
      <c r="J27" s="306" t="s">
        <v>86</v>
      </c>
      <c r="K27" s="311"/>
      <c r="L27" s="307">
        <f>+'[3]Mountain Cargo'!$GC$64</f>
        <v>167446</v>
      </c>
      <c r="M27" s="150">
        <f>+'[3]Mountain Cargo'!$FO$64</f>
        <v>119854</v>
      </c>
      <c r="N27" s="309">
        <f>(L27-M27)/M27</f>
        <v>0.39708311779331518</v>
      </c>
      <c r="O27" s="307">
        <f>+SUM('[3]Mountain Cargo'!$GB$64:$GC$64)</f>
        <v>167446</v>
      </c>
      <c r="P27" s="150">
        <f>+SUM('[3]Mountain Cargo'!$FN$64:$FO$64)</f>
        <v>255700</v>
      </c>
      <c r="Q27" s="308">
        <f t="shared" ref="Q27" si="7">(O27-P27)/P27</f>
        <v>-0.34514665623777863</v>
      </c>
      <c r="R27" s="309">
        <f>O27/$O$32</f>
        <v>2.8129898018158087E-3</v>
      </c>
      <c r="S27" s="353"/>
    </row>
    <row r="28" spans="1:19" ht="14.1" customHeight="1" x14ac:dyDescent="0.2">
      <c r="A28" s="38"/>
      <c r="B28" s="365"/>
      <c r="C28" s="307"/>
      <c r="E28" s="67"/>
      <c r="F28" s="310"/>
      <c r="I28" s="67"/>
      <c r="J28" s="38"/>
      <c r="K28" s="365"/>
      <c r="L28" s="310"/>
      <c r="N28" s="67"/>
      <c r="O28" s="310"/>
      <c r="P28" s="2"/>
      <c r="Q28" s="3"/>
      <c r="R28" s="67"/>
      <c r="S28" s="284"/>
    </row>
    <row r="29" spans="1:19" ht="14.1" customHeight="1" x14ac:dyDescent="0.2">
      <c r="A29" s="306" t="s">
        <v>129</v>
      </c>
      <c r="B29" s="40"/>
      <c r="C29" s="307">
        <f>+'[3]Misc Cargo'!$GC$19</f>
        <v>0</v>
      </c>
      <c r="D29" s="150">
        <f>+'[3]Misc Cargo'!$FO$19</f>
        <v>1</v>
      </c>
      <c r="E29" s="309">
        <f>(C29-D29)/D29</f>
        <v>-1</v>
      </c>
      <c r="F29" s="307">
        <f>+SUM('[3]Misc Cargo'!$GB$12:$GC$12)</f>
        <v>0</v>
      </c>
      <c r="G29" s="150">
        <f>+SUM('[3]Misc Cargo'!$FN$12:$FO$12)</f>
        <v>49</v>
      </c>
      <c r="H29" s="308">
        <f>(F29-G29)/G29</f>
        <v>-1</v>
      </c>
      <c r="I29" s="309">
        <f>+F29/$F$32</f>
        <v>0</v>
      </c>
      <c r="J29" s="306" t="s">
        <v>129</v>
      </c>
      <c r="K29" s="40"/>
      <c r="L29" s="307">
        <f>+'[3]Misc Cargo'!$GC$64</f>
        <v>0</v>
      </c>
      <c r="M29" s="150">
        <f>+'[3]Misc Cargo'!$FO$64</f>
        <v>14442</v>
      </c>
      <c r="N29" s="309">
        <f>(L29-M29)/M29</f>
        <v>-1</v>
      </c>
      <c r="O29" s="307">
        <f>+SUM('[3]Misc Cargo'!$GB$64:$GC$64)</f>
        <v>0</v>
      </c>
      <c r="P29" s="150">
        <f>+SUM('[3]Misc Cargo'!$FN$64:$FO$64)</f>
        <v>106358</v>
      </c>
      <c r="Q29" s="308">
        <f>(O29-P29)/P29</f>
        <v>-1</v>
      </c>
      <c r="R29" s="309">
        <f>O29/$O$32</f>
        <v>0</v>
      </c>
      <c r="S29" s="399"/>
    </row>
    <row r="30" spans="1:19" ht="14.1" customHeight="1" thickBot="1" x14ac:dyDescent="0.25">
      <c r="A30" s="400"/>
      <c r="B30" s="401"/>
      <c r="C30" s="402"/>
      <c r="D30" s="404"/>
      <c r="E30" s="405"/>
      <c r="F30" s="402"/>
      <c r="G30" s="404"/>
      <c r="H30" s="403"/>
      <c r="I30" s="405"/>
      <c r="J30" s="306"/>
      <c r="K30" s="40"/>
      <c r="L30" s="313"/>
      <c r="M30" s="315"/>
      <c r="N30" s="316"/>
      <c r="O30" s="313"/>
      <c r="P30" s="315"/>
      <c r="Q30" s="314"/>
      <c r="R30" s="401"/>
      <c r="S30" s="399"/>
    </row>
    <row r="31" spans="1:19" ht="13.5" thickBot="1" x14ac:dyDescent="0.25">
      <c r="D31" s="3"/>
      <c r="F31" s="2"/>
      <c r="G31"/>
      <c r="H31"/>
      <c r="I31"/>
      <c r="J31"/>
      <c r="K31"/>
      <c r="M31"/>
      <c r="N31"/>
    </row>
    <row r="32" spans="1:19" ht="15.75" thickBot="1" x14ac:dyDescent="0.3">
      <c r="B32" s="406" t="s">
        <v>191</v>
      </c>
      <c r="C32" s="407">
        <f>+SUM(C5:C29)</f>
        <v>1075</v>
      </c>
      <c r="D32" s="408">
        <f>SUM(D5:D30)</f>
        <v>1111</v>
      </c>
      <c r="E32" s="409">
        <f>(C32-D32)/D32</f>
        <v>-3.2403240324032405E-2</v>
      </c>
      <c r="F32" s="407">
        <f>+SUM(F5:F29)</f>
        <v>2163</v>
      </c>
      <c r="G32" s="407">
        <f>+SUM(G5:G29)</f>
        <v>2315</v>
      </c>
      <c r="H32" s="410">
        <f>(F32-G32)/G32</f>
        <v>-6.565874730021598E-2</v>
      </c>
      <c r="I32" s="423"/>
      <c r="J32"/>
      <c r="K32" s="406" t="s">
        <v>191</v>
      </c>
      <c r="L32" s="407">
        <f>+SUM(L5:L29)</f>
        <v>28601196</v>
      </c>
      <c r="M32" s="411">
        <f>SUM(M5:M30)</f>
        <v>26756271</v>
      </c>
      <c r="N32" s="412">
        <f>(L32-M32)/M32</f>
        <v>6.8952994234510484E-2</v>
      </c>
      <c r="O32" s="407">
        <f>+SUM(O5:O29)</f>
        <v>59525989</v>
      </c>
      <c r="P32" s="407">
        <f>+SUM(P5:P29)</f>
        <v>55916512</v>
      </c>
      <c r="Q32" s="410">
        <f t="shared" ref="Q32" si="8">(O32-P32)/P32</f>
        <v>6.4551183020857952E-2</v>
      </c>
      <c r="R32" s="423"/>
    </row>
    <row r="33" spans="4:14" x14ac:dyDescent="0.2">
      <c r="D33" s="3"/>
      <c r="F33"/>
      <c r="G33"/>
      <c r="H33"/>
      <c r="I33"/>
      <c r="J33"/>
      <c r="K33"/>
      <c r="L33"/>
      <c r="M33"/>
      <c r="N33"/>
    </row>
    <row r="34" spans="4:14" x14ac:dyDescent="0.2">
      <c r="D34" s="3"/>
      <c r="F34"/>
      <c r="G34"/>
      <c r="H34"/>
      <c r="I34"/>
      <c r="J34"/>
      <c r="K34"/>
      <c r="L34"/>
      <c r="M34"/>
      <c r="N34"/>
    </row>
    <row r="35" spans="4:14" x14ac:dyDescent="0.2">
      <c r="D35" s="3"/>
      <c r="F35"/>
      <c r="G35"/>
      <c r="H35"/>
      <c r="I35"/>
      <c r="J35"/>
      <c r="K35"/>
      <c r="L35"/>
      <c r="M35"/>
      <c r="N35"/>
    </row>
    <row r="36" spans="4:14" x14ac:dyDescent="0.2">
      <c r="D36" s="3"/>
      <c r="F36"/>
      <c r="G36"/>
      <c r="H36"/>
      <c r="I36"/>
      <c r="J36"/>
      <c r="K36"/>
      <c r="L36"/>
      <c r="M36"/>
      <c r="N36"/>
    </row>
    <row r="37" spans="4:14" x14ac:dyDescent="0.2">
      <c r="D37" s="3"/>
      <c r="F37"/>
      <c r="G37"/>
      <c r="H37"/>
      <c r="I37"/>
      <c r="J37"/>
      <c r="K37"/>
      <c r="L37"/>
      <c r="M37"/>
      <c r="N37"/>
    </row>
    <row r="38" spans="4:14" x14ac:dyDescent="0.2">
      <c r="D38" s="3"/>
      <c r="F38"/>
      <c r="G38"/>
      <c r="H38"/>
      <c r="I38"/>
      <c r="J38"/>
      <c r="K38"/>
      <c r="L38"/>
      <c r="M38"/>
      <c r="N38"/>
    </row>
    <row r="39" spans="4:14" x14ac:dyDescent="0.2">
      <c r="D39" s="3"/>
      <c r="F39"/>
      <c r="G39"/>
      <c r="H39"/>
      <c r="I39"/>
      <c r="J39"/>
      <c r="K39"/>
      <c r="L39"/>
      <c r="M39"/>
      <c r="N39"/>
    </row>
    <row r="40" spans="4:14" x14ac:dyDescent="0.2">
      <c r="D40" s="3"/>
      <c r="F40"/>
      <c r="G40"/>
      <c r="H40"/>
      <c r="I40"/>
      <c r="J40"/>
      <c r="K40"/>
      <c r="L40"/>
      <c r="M40"/>
      <c r="N40"/>
    </row>
    <row r="41" spans="4:14" x14ac:dyDescent="0.2">
      <c r="D41" s="3"/>
      <c r="F41"/>
      <c r="G41"/>
      <c r="H41"/>
      <c r="I41"/>
      <c r="J41"/>
      <c r="K41"/>
      <c r="L41"/>
      <c r="M41"/>
      <c r="N41"/>
    </row>
    <row r="42" spans="4:14" x14ac:dyDescent="0.2">
      <c r="D42" s="3"/>
      <c r="F42"/>
      <c r="G42"/>
      <c r="H42"/>
      <c r="I42"/>
      <c r="J42"/>
      <c r="K42"/>
      <c r="L42"/>
      <c r="M42"/>
      <c r="N42"/>
    </row>
    <row r="43" spans="4:14" x14ac:dyDescent="0.2">
      <c r="D43" s="3"/>
      <c r="F43"/>
      <c r="G43"/>
      <c r="H43"/>
      <c r="I43"/>
      <c r="J43"/>
      <c r="K43"/>
      <c r="L43"/>
      <c r="M43"/>
      <c r="N43"/>
    </row>
    <row r="44" spans="4:14" x14ac:dyDescent="0.2">
      <c r="D44" s="3"/>
      <c r="F44"/>
      <c r="G44"/>
      <c r="H44"/>
      <c r="I44"/>
      <c r="J44"/>
      <c r="K44"/>
      <c r="L44"/>
      <c r="M44"/>
      <c r="N44"/>
    </row>
    <row r="45" spans="4:14" x14ac:dyDescent="0.2">
      <c r="D45" s="3"/>
      <c r="F45"/>
      <c r="G45"/>
      <c r="H45"/>
      <c r="I45"/>
      <c r="J45"/>
      <c r="K45"/>
      <c r="L45"/>
      <c r="M45"/>
      <c r="N45"/>
    </row>
    <row r="46" spans="4:14" x14ac:dyDescent="0.2">
      <c r="D46" s="3"/>
      <c r="F46"/>
      <c r="G46"/>
      <c r="H46"/>
      <c r="I46"/>
      <c r="J46"/>
      <c r="K46"/>
      <c r="L46"/>
      <c r="M46"/>
      <c r="N46"/>
    </row>
    <row r="47" spans="4:14" x14ac:dyDescent="0.2">
      <c r="D47" s="3"/>
      <c r="F47"/>
      <c r="G47"/>
      <c r="H47"/>
      <c r="I47"/>
      <c r="J47"/>
      <c r="K47"/>
      <c r="L47"/>
      <c r="M47"/>
      <c r="N47"/>
    </row>
    <row r="48" spans="4:14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F102" s="195"/>
      <c r="K102"/>
    </row>
    <row r="103" spans="4:14" x14ac:dyDescent="0.2">
      <c r="F103" s="195"/>
      <c r="K103"/>
    </row>
    <row r="104" spans="4:14" x14ac:dyDescent="0.2">
      <c r="F104" s="195"/>
      <c r="K104"/>
    </row>
    <row r="105" spans="4:14" x14ac:dyDescent="0.2">
      <c r="F105" s="195"/>
      <c r="K105"/>
    </row>
    <row r="106" spans="4:14" x14ac:dyDescent="0.2">
      <c r="F106" s="195"/>
      <c r="K106"/>
    </row>
    <row r="107" spans="4:14" x14ac:dyDescent="0.2">
      <c r="F107" s="195"/>
      <c r="K107"/>
    </row>
    <row r="108" spans="4:14" x14ac:dyDescent="0.2">
      <c r="F108" s="195"/>
      <c r="K108"/>
    </row>
    <row r="109" spans="4:14" x14ac:dyDescent="0.2">
      <c r="F109" s="195"/>
      <c r="K109"/>
    </row>
    <row r="110" spans="4:14" x14ac:dyDescent="0.2">
      <c r="F110" s="195"/>
      <c r="K110"/>
    </row>
    <row r="111" spans="4:14" x14ac:dyDescent="0.2">
      <c r="F111" s="195"/>
      <c r="K111"/>
    </row>
    <row r="112" spans="4:14" x14ac:dyDescent="0.2">
      <c r="F112" s="195"/>
      <c r="K112"/>
    </row>
    <row r="113" spans="6:11" x14ac:dyDescent="0.2">
      <c r="F113" s="195"/>
      <c r="K113"/>
    </row>
    <row r="114" spans="6:11" x14ac:dyDescent="0.2">
      <c r="F114" s="195"/>
      <c r="K114"/>
    </row>
    <row r="115" spans="6:11" x14ac:dyDescent="0.2">
      <c r="F115" s="195"/>
      <c r="K115"/>
    </row>
    <row r="116" spans="6:11" x14ac:dyDescent="0.2">
      <c r="F116" s="195"/>
      <c r="K116"/>
    </row>
    <row r="117" spans="6:11" x14ac:dyDescent="0.2">
      <c r="F117" s="195"/>
      <c r="K117"/>
    </row>
    <row r="118" spans="6:11" x14ac:dyDescent="0.2">
      <c r="F118" s="195"/>
      <c r="K118"/>
    </row>
    <row r="119" spans="6:11" x14ac:dyDescent="0.2">
      <c r="F119" s="195"/>
      <c r="K119"/>
    </row>
    <row r="120" spans="6:11" x14ac:dyDescent="0.2">
      <c r="F120" s="195"/>
      <c r="K120"/>
    </row>
    <row r="121" spans="6:11" x14ac:dyDescent="0.2">
      <c r="F121" s="195"/>
      <c r="K121"/>
    </row>
    <row r="122" spans="6:11" x14ac:dyDescent="0.2">
      <c r="F122" s="195"/>
      <c r="K122"/>
    </row>
    <row r="123" spans="6:11" x14ac:dyDescent="0.2">
      <c r="F123" s="195"/>
      <c r="K123"/>
    </row>
    <row r="124" spans="6:11" x14ac:dyDescent="0.2">
      <c r="F124" s="195"/>
      <c r="K124"/>
    </row>
    <row r="125" spans="6:11" x14ac:dyDescent="0.2">
      <c r="F125" s="195"/>
      <c r="K125"/>
    </row>
    <row r="126" spans="6:11" x14ac:dyDescent="0.2">
      <c r="F126" s="195"/>
      <c r="K126"/>
    </row>
    <row r="127" spans="6:11" x14ac:dyDescent="0.2">
      <c r="F127" s="195"/>
      <c r="K127"/>
    </row>
    <row r="128" spans="6:11" x14ac:dyDescent="0.2">
      <c r="F128" s="195"/>
      <c r="K128"/>
    </row>
    <row r="129" spans="6:11" x14ac:dyDescent="0.2">
      <c r="F129" s="195"/>
      <c r="K129"/>
    </row>
    <row r="130" spans="6:11" x14ac:dyDescent="0.2">
      <c r="F130" s="195"/>
      <c r="K130"/>
    </row>
    <row r="131" spans="6:11" x14ac:dyDescent="0.2">
      <c r="F131" s="195"/>
      <c r="K131"/>
    </row>
    <row r="132" spans="6:11" x14ac:dyDescent="0.2">
      <c r="F132" s="195"/>
      <c r="K132"/>
    </row>
    <row r="133" spans="6:11" x14ac:dyDescent="0.2">
      <c r="F133" s="195"/>
      <c r="K133"/>
    </row>
    <row r="134" spans="6:11" x14ac:dyDescent="0.2">
      <c r="F134" s="195"/>
      <c r="K134"/>
    </row>
    <row r="135" spans="6:11" x14ac:dyDescent="0.2">
      <c r="F135" s="195"/>
      <c r="K135"/>
    </row>
    <row r="136" spans="6:11" x14ac:dyDescent="0.2">
      <c r="F136" s="195"/>
      <c r="K136"/>
    </row>
    <row r="137" spans="6:11" x14ac:dyDescent="0.2">
      <c r="F137" s="195"/>
      <c r="K137"/>
    </row>
    <row r="138" spans="6:11" x14ac:dyDescent="0.2">
      <c r="F138" s="195"/>
      <c r="K138"/>
    </row>
    <row r="139" spans="6:11" x14ac:dyDescent="0.2">
      <c r="F139" s="195"/>
      <c r="K139"/>
    </row>
    <row r="140" spans="6:11" x14ac:dyDescent="0.2">
      <c r="F140" s="195"/>
      <c r="K140"/>
    </row>
    <row r="141" spans="6:11" x14ac:dyDescent="0.2">
      <c r="F141" s="195"/>
      <c r="K141"/>
    </row>
    <row r="142" spans="6:11" x14ac:dyDescent="0.2">
      <c r="F142" s="195"/>
      <c r="K142"/>
    </row>
    <row r="143" spans="6:11" x14ac:dyDescent="0.2">
      <c r="F143" s="195"/>
      <c r="K143"/>
    </row>
    <row r="144" spans="6:11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  <row r="4666" spans="6:11" x14ac:dyDescent="0.2">
      <c r="F4666" s="195"/>
      <c r="K4666"/>
    </row>
    <row r="4667" spans="6:11" x14ac:dyDescent="0.2">
      <c r="F4667" s="195"/>
      <c r="K4667"/>
    </row>
    <row r="4668" spans="6:11" x14ac:dyDescent="0.2">
      <c r="F4668" s="195"/>
      <c r="K4668"/>
    </row>
    <row r="4669" spans="6:11" x14ac:dyDescent="0.2">
      <c r="F4669" s="195"/>
      <c r="K4669"/>
    </row>
  </sheetData>
  <mergeCells count="7">
    <mergeCell ref="L3:R3"/>
    <mergeCell ref="L23:R23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February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2019-02-25T20:36:35Z</cp:lastPrinted>
  <dcterms:created xsi:type="dcterms:W3CDTF">2007-09-24T12:26:24Z</dcterms:created>
  <dcterms:modified xsi:type="dcterms:W3CDTF">2021-02-26T19:50:12Z</dcterms:modified>
</cp:coreProperties>
</file>