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C30B6B8B-7F6C-4093-A4F8-165EDDD776AB}" xr6:coauthVersionLast="47" xr6:coauthVersionMax="47" xr10:uidLastSave="{00000000-0000-0000-0000-000000000000}"/>
  <bookViews>
    <workbookView xWindow="28800" yWindow="0" windowWidth="28800" windowHeight="1699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</externalReferences>
  <definedNames>
    <definedName name="_xlnm.Print_Area" localSheetId="6">Cargo!$A$1:$Q$37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7" l="1"/>
  <c r="C21" i="1"/>
  <c r="B21" i="1"/>
  <c r="C20" i="1"/>
  <c r="B20" i="1"/>
  <c r="Y68" i="9"/>
  <c r="Y67" i="9"/>
  <c r="Y66" i="9"/>
  <c r="Y65" i="9"/>
  <c r="Y64" i="9"/>
  <c r="Y63" i="9"/>
  <c r="Y62" i="9"/>
  <c r="Y59" i="9"/>
  <c r="Y57" i="9"/>
  <c r="Y55" i="9"/>
  <c r="Y53" i="9"/>
  <c r="Y51" i="9"/>
  <c r="Y49" i="9"/>
  <c r="Y47" i="9"/>
  <c r="Y45" i="9"/>
  <c r="Y44" i="9"/>
  <c r="Y43" i="9"/>
  <c r="Y42" i="9"/>
  <c r="Y41" i="9"/>
  <c r="Y40" i="9"/>
  <c r="Y39" i="9"/>
  <c r="Y36" i="9"/>
  <c r="Y34" i="9"/>
  <c r="Y32" i="9"/>
  <c r="Y30" i="9"/>
  <c r="Y29" i="9"/>
  <c r="Y28" i="9"/>
  <c r="Y27" i="9"/>
  <c r="Y26" i="9"/>
  <c r="Y25" i="9"/>
  <c r="Y24" i="9"/>
  <c r="Y21" i="9"/>
  <c r="Y20" i="9"/>
  <c r="Y19" i="9"/>
  <c r="Y16" i="9"/>
  <c r="Y14" i="9"/>
  <c r="Y12" i="9"/>
  <c r="Y10" i="9"/>
  <c r="Y9" i="9"/>
  <c r="Y8" i="9"/>
  <c r="Y7" i="9"/>
  <c r="Y4" i="9"/>
  <c r="P68" i="9"/>
  <c r="P67" i="9"/>
  <c r="P66" i="9"/>
  <c r="P65" i="9"/>
  <c r="P64" i="9"/>
  <c r="P63" i="9"/>
  <c r="P62" i="9"/>
  <c r="P59" i="9"/>
  <c r="P57" i="9"/>
  <c r="P55" i="9"/>
  <c r="P53" i="9"/>
  <c r="P51" i="9"/>
  <c r="P49" i="9"/>
  <c r="P47" i="9"/>
  <c r="P45" i="9"/>
  <c r="P44" i="9"/>
  <c r="P43" i="9"/>
  <c r="P42" i="9"/>
  <c r="P41" i="9"/>
  <c r="P40" i="9"/>
  <c r="P39" i="9"/>
  <c r="P36" i="9"/>
  <c r="P34" i="9"/>
  <c r="P32" i="9"/>
  <c r="P30" i="9"/>
  <c r="P29" i="9"/>
  <c r="P28" i="9"/>
  <c r="P27" i="9"/>
  <c r="P26" i="9"/>
  <c r="P25" i="9"/>
  <c r="P24" i="9"/>
  <c r="P21" i="9"/>
  <c r="P20" i="9"/>
  <c r="P19" i="9"/>
  <c r="P16" i="9"/>
  <c r="P14" i="9"/>
  <c r="P12" i="9"/>
  <c r="P10" i="9"/>
  <c r="P9" i="9"/>
  <c r="P8" i="9"/>
  <c r="P7" i="9"/>
  <c r="P4" i="9"/>
  <c r="G68" i="9"/>
  <c r="G67" i="9"/>
  <c r="G66" i="9"/>
  <c r="G65" i="9"/>
  <c r="G64" i="9"/>
  <c r="G63" i="9"/>
  <c r="G62" i="9"/>
  <c r="G59" i="9"/>
  <c r="G57" i="9"/>
  <c r="G55" i="9"/>
  <c r="G53" i="9"/>
  <c r="G51" i="9"/>
  <c r="G49" i="9"/>
  <c r="G47" i="9"/>
  <c r="G45" i="9"/>
  <c r="G44" i="9"/>
  <c r="G43" i="9"/>
  <c r="G42" i="9"/>
  <c r="G41" i="9"/>
  <c r="G40" i="9"/>
  <c r="G39" i="9"/>
  <c r="G36" i="9"/>
  <c r="G34" i="9"/>
  <c r="G32" i="9"/>
  <c r="G30" i="9"/>
  <c r="G29" i="9"/>
  <c r="G28" i="9"/>
  <c r="G27" i="9"/>
  <c r="G26" i="9"/>
  <c r="G25" i="9"/>
  <c r="G24" i="9"/>
  <c r="G21" i="9"/>
  <c r="G20" i="9"/>
  <c r="G19" i="9"/>
  <c r="G16" i="9"/>
  <c r="G14" i="9"/>
  <c r="G12" i="9"/>
  <c r="G10" i="9"/>
  <c r="G9" i="9"/>
  <c r="G8" i="9"/>
  <c r="G7" i="9"/>
  <c r="G4" i="9"/>
  <c r="X68" i="9"/>
  <c r="X67" i="9"/>
  <c r="X66" i="9"/>
  <c r="X65" i="9"/>
  <c r="X64" i="9"/>
  <c r="X63" i="9"/>
  <c r="X62" i="9"/>
  <c r="X59" i="9"/>
  <c r="X57" i="9"/>
  <c r="X55" i="9"/>
  <c r="X53" i="9"/>
  <c r="X51" i="9"/>
  <c r="X49" i="9"/>
  <c r="X47" i="9"/>
  <c r="X45" i="9"/>
  <c r="X44" i="9"/>
  <c r="X43" i="9"/>
  <c r="X42" i="9"/>
  <c r="X41" i="9"/>
  <c r="X40" i="9"/>
  <c r="X39" i="9"/>
  <c r="X36" i="9"/>
  <c r="X34" i="9"/>
  <c r="X32" i="9"/>
  <c r="X30" i="9"/>
  <c r="X29" i="9"/>
  <c r="X28" i="9"/>
  <c r="X27" i="9"/>
  <c r="X26" i="9"/>
  <c r="X25" i="9"/>
  <c r="X24" i="9"/>
  <c r="X21" i="9"/>
  <c r="X20" i="9"/>
  <c r="X19" i="9"/>
  <c r="X16" i="9"/>
  <c r="X14" i="9"/>
  <c r="X12" i="9"/>
  <c r="X10" i="9"/>
  <c r="X9" i="9"/>
  <c r="X8" i="9"/>
  <c r="X7" i="9"/>
  <c r="X4" i="9"/>
  <c r="O68" i="9"/>
  <c r="O67" i="9"/>
  <c r="O66" i="9"/>
  <c r="O65" i="9"/>
  <c r="O64" i="9"/>
  <c r="O63" i="9"/>
  <c r="O62" i="9"/>
  <c r="O59" i="9"/>
  <c r="O57" i="9"/>
  <c r="O55" i="9"/>
  <c r="O53" i="9"/>
  <c r="O51" i="9"/>
  <c r="O49" i="9"/>
  <c r="O47" i="9"/>
  <c r="O45" i="9"/>
  <c r="O44" i="9"/>
  <c r="O43" i="9"/>
  <c r="O42" i="9"/>
  <c r="O41" i="9"/>
  <c r="O40" i="9"/>
  <c r="O39" i="9"/>
  <c r="O36" i="9"/>
  <c r="O34" i="9"/>
  <c r="O32" i="9"/>
  <c r="O30" i="9"/>
  <c r="O29" i="9"/>
  <c r="O28" i="9"/>
  <c r="O27" i="9"/>
  <c r="O26" i="9"/>
  <c r="O25" i="9"/>
  <c r="O24" i="9"/>
  <c r="O21" i="9"/>
  <c r="O20" i="9"/>
  <c r="O19" i="9"/>
  <c r="O16" i="9"/>
  <c r="O14" i="9"/>
  <c r="O12" i="9"/>
  <c r="O10" i="9"/>
  <c r="O9" i="9"/>
  <c r="O8" i="9"/>
  <c r="O7" i="9"/>
  <c r="O4" i="9"/>
  <c r="F68" i="9"/>
  <c r="F67" i="9"/>
  <c r="F66" i="9"/>
  <c r="F65" i="9"/>
  <c r="F64" i="9"/>
  <c r="F63" i="9"/>
  <c r="F62" i="9"/>
  <c r="F59" i="9"/>
  <c r="F57" i="9"/>
  <c r="F55" i="9"/>
  <c r="F53" i="9"/>
  <c r="F51" i="9"/>
  <c r="F49" i="9"/>
  <c r="F47" i="9"/>
  <c r="F45" i="9"/>
  <c r="F44" i="9"/>
  <c r="F43" i="9"/>
  <c r="F42" i="9"/>
  <c r="F41" i="9"/>
  <c r="F40" i="9"/>
  <c r="F39" i="9"/>
  <c r="F36" i="9"/>
  <c r="F34" i="9"/>
  <c r="F32" i="9"/>
  <c r="F30" i="9"/>
  <c r="F29" i="9"/>
  <c r="F28" i="9"/>
  <c r="F27" i="9"/>
  <c r="F26" i="9"/>
  <c r="F25" i="9"/>
  <c r="F24" i="9"/>
  <c r="F21" i="9"/>
  <c r="F20" i="9"/>
  <c r="F19" i="9"/>
  <c r="F16" i="9"/>
  <c r="F14" i="9"/>
  <c r="F12" i="9"/>
  <c r="F10" i="9"/>
  <c r="F9" i="9"/>
  <c r="F8" i="9"/>
  <c r="F7" i="9"/>
  <c r="F4" i="9"/>
  <c r="V68" i="9"/>
  <c r="M68" i="9"/>
  <c r="D68" i="9"/>
  <c r="V67" i="9"/>
  <c r="M67" i="9"/>
  <c r="D67" i="9"/>
  <c r="V66" i="9"/>
  <c r="M66" i="9"/>
  <c r="D66" i="9"/>
  <c r="V65" i="9"/>
  <c r="M65" i="9"/>
  <c r="D65" i="9"/>
  <c r="V64" i="9"/>
  <c r="M64" i="9"/>
  <c r="D64" i="9"/>
  <c r="V63" i="9"/>
  <c r="M63" i="9"/>
  <c r="D63" i="9"/>
  <c r="V62" i="9"/>
  <c r="M62" i="9"/>
  <c r="D62" i="9"/>
  <c r="V59" i="9"/>
  <c r="M59" i="9"/>
  <c r="D59" i="9"/>
  <c r="V57" i="9"/>
  <c r="M57" i="9"/>
  <c r="D57" i="9"/>
  <c r="V55" i="9"/>
  <c r="M55" i="9"/>
  <c r="D55" i="9"/>
  <c r="V53" i="9"/>
  <c r="M53" i="9"/>
  <c r="D53" i="9"/>
  <c r="V51" i="9"/>
  <c r="M51" i="9"/>
  <c r="D51" i="9"/>
  <c r="V49" i="9"/>
  <c r="M49" i="9"/>
  <c r="D49" i="9"/>
  <c r="V47" i="9"/>
  <c r="M47" i="9"/>
  <c r="D47" i="9"/>
  <c r="V45" i="9"/>
  <c r="M45" i="9"/>
  <c r="D45" i="9"/>
  <c r="V44" i="9"/>
  <c r="M44" i="9"/>
  <c r="D44" i="9"/>
  <c r="V43" i="9"/>
  <c r="M43" i="9"/>
  <c r="D43" i="9"/>
  <c r="V42" i="9"/>
  <c r="M42" i="9"/>
  <c r="D42" i="9"/>
  <c r="V41" i="9"/>
  <c r="M41" i="9"/>
  <c r="D41" i="9"/>
  <c r="V40" i="9"/>
  <c r="M40" i="9"/>
  <c r="D40" i="9"/>
  <c r="V39" i="9"/>
  <c r="M39" i="9"/>
  <c r="D39" i="9"/>
  <c r="V36" i="9"/>
  <c r="M36" i="9"/>
  <c r="D36" i="9"/>
  <c r="V34" i="9"/>
  <c r="M34" i="9"/>
  <c r="D34" i="9"/>
  <c r="V32" i="9"/>
  <c r="M32" i="9"/>
  <c r="D32" i="9"/>
  <c r="V30" i="9"/>
  <c r="M30" i="9"/>
  <c r="D30" i="9"/>
  <c r="V29" i="9"/>
  <c r="M29" i="9"/>
  <c r="D29" i="9"/>
  <c r="V28" i="9"/>
  <c r="M28" i="9"/>
  <c r="D28" i="9"/>
  <c r="V27" i="9"/>
  <c r="M27" i="9"/>
  <c r="D27" i="9"/>
  <c r="V26" i="9"/>
  <c r="M26" i="9"/>
  <c r="D26" i="9"/>
  <c r="V25" i="9"/>
  <c r="M25" i="9"/>
  <c r="D25" i="9"/>
  <c r="V24" i="9"/>
  <c r="M24" i="9"/>
  <c r="D24" i="9"/>
  <c r="V21" i="9"/>
  <c r="M21" i="9"/>
  <c r="D21" i="9"/>
  <c r="V20" i="9"/>
  <c r="M20" i="9"/>
  <c r="D20" i="9"/>
  <c r="V19" i="9"/>
  <c r="M19" i="9"/>
  <c r="D19" i="9"/>
  <c r="V16" i="9"/>
  <c r="M16" i="9"/>
  <c r="D16" i="9"/>
  <c r="V14" i="9"/>
  <c r="M14" i="9"/>
  <c r="D14" i="9"/>
  <c r="V12" i="9"/>
  <c r="M12" i="9"/>
  <c r="D12" i="9"/>
  <c r="V10" i="9"/>
  <c r="M10" i="9"/>
  <c r="D10" i="9"/>
  <c r="V9" i="9"/>
  <c r="M9" i="9"/>
  <c r="D9" i="9"/>
  <c r="V8" i="9"/>
  <c r="M8" i="9"/>
  <c r="D8" i="9"/>
  <c r="V7" i="9"/>
  <c r="M7" i="9"/>
  <c r="D7" i="9"/>
  <c r="V4" i="9"/>
  <c r="M4" i="9"/>
  <c r="D4" i="9"/>
  <c r="U68" i="9"/>
  <c r="L68" i="9"/>
  <c r="C68" i="9"/>
  <c r="U67" i="9"/>
  <c r="L67" i="9"/>
  <c r="C67" i="9"/>
  <c r="U66" i="9"/>
  <c r="L66" i="9"/>
  <c r="C66" i="9"/>
  <c r="U65" i="9"/>
  <c r="L65" i="9"/>
  <c r="C65" i="9"/>
  <c r="U64" i="9"/>
  <c r="L64" i="9"/>
  <c r="C64" i="9"/>
  <c r="U63" i="9"/>
  <c r="L63" i="9"/>
  <c r="C63" i="9"/>
  <c r="U62" i="9"/>
  <c r="L62" i="9"/>
  <c r="C62" i="9"/>
  <c r="U59" i="9"/>
  <c r="L59" i="9"/>
  <c r="C59" i="9"/>
  <c r="U57" i="9"/>
  <c r="L57" i="9"/>
  <c r="C57" i="9"/>
  <c r="U55" i="9"/>
  <c r="L55" i="9"/>
  <c r="C55" i="9"/>
  <c r="U53" i="9"/>
  <c r="L53" i="9"/>
  <c r="C53" i="9"/>
  <c r="U51" i="9"/>
  <c r="L51" i="9"/>
  <c r="C51" i="9"/>
  <c r="U49" i="9"/>
  <c r="L49" i="9"/>
  <c r="C49" i="9"/>
  <c r="U47" i="9"/>
  <c r="L47" i="9"/>
  <c r="C47" i="9"/>
  <c r="U45" i="9"/>
  <c r="L45" i="9"/>
  <c r="C45" i="9"/>
  <c r="U44" i="9"/>
  <c r="L44" i="9"/>
  <c r="C44" i="9"/>
  <c r="U43" i="9"/>
  <c r="L43" i="9"/>
  <c r="C43" i="9"/>
  <c r="U42" i="9"/>
  <c r="L42" i="9"/>
  <c r="C42" i="9"/>
  <c r="U41" i="9"/>
  <c r="L41" i="9"/>
  <c r="C41" i="9"/>
  <c r="U40" i="9"/>
  <c r="L40" i="9"/>
  <c r="C40" i="9"/>
  <c r="U39" i="9"/>
  <c r="L39" i="9"/>
  <c r="C39" i="9"/>
  <c r="U36" i="9"/>
  <c r="L36" i="9"/>
  <c r="C36" i="9"/>
  <c r="U34" i="9"/>
  <c r="L34" i="9"/>
  <c r="C34" i="9"/>
  <c r="U32" i="9"/>
  <c r="L32" i="9"/>
  <c r="C32" i="9"/>
  <c r="U30" i="9"/>
  <c r="L30" i="9"/>
  <c r="C30" i="9"/>
  <c r="U29" i="9"/>
  <c r="L29" i="9"/>
  <c r="C29" i="9"/>
  <c r="U28" i="9"/>
  <c r="L28" i="9"/>
  <c r="C28" i="9"/>
  <c r="U27" i="9"/>
  <c r="L27" i="9"/>
  <c r="C27" i="9"/>
  <c r="U26" i="9"/>
  <c r="L26" i="9"/>
  <c r="C26" i="9"/>
  <c r="U25" i="9"/>
  <c r="L25" i="9"/>
  <c r="C25" i="9"/>
  <c r="U24" i="9"/>
  <c r="L24" i="9"/>
  <c r="C24" i="9"/>
  <c r="U21" i="9"/>
  <c r="L21" i="9"/>
  <c r="C21" i="9"/>
  <c r="U20" i="9"/>
  <c r="L20" i="9"/>
  <c r="C20" i="9"/>
  <c r="U19" i="9"/>
  <c r="L19" i="9"/>
  <c r="C19" i="9"/>
  <c r="U16" i="9"/>
  <c r="L16" i="9"/>
  <c r="C16" i="9"/>
  <c r="U14" i="9"/>
  <c r="L14" i="9"/>
  <c r="C14" i="9"/>
  <c r="U12" i="9"/>
  <c r="L12" i="9"/>
  <c r="C12" i="9"/>
  <c r="U10" i="9"/>
  <c r="L10" i="9"/>
  <c r="C10" i="9"/>
  <c r="U9" i="9"/>
  <c r="L9" i="9"/>
  <c r="C9" i="9"/>
  <c r="U8" i="9"/>
  <c r="L8" i="9"/>
  <c r="C8" i="9"/>
  <c r="U7" i="9"/>
  <c r="L7" i="9"/>
  <c r="C7" i="9"/>
  <c r="U4" i="9"/>
  <c r="L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F29" i="17"/>
  <c r="F27" i="17"/>
  <c r="F26" i="17"/>
  <c r="F23" i="17"/>
  <c r="F22" i="17"/>
  <c r="F21" i="17"/>
  <c r="F20" i="17"/>
  <c r="F17" i="17"/>
  <c r="F16" i="17"/>
  <c r="F15" i="17"/>
  <c r="F14" i="17"/>
  <c r="F13" i="17"/>
  <c r="F12" i="17"/>
  <c r="F11" i="17"/>
  <c r="F10" i="17"/>
  <c r="F7" i="17"/>
  <c r="F6" i="17"/>
  <c r="G29" i="17"/>
  <c r="G27" i="17"/>
  <c r="G26" i="17"/>
  <c r="G23" i="17"/>
  <c r="G22" i="17"/>
  <c r="G21" i="17"/>
  <c r="G20" i="17"/>
  <c r="G17" i="17"/>
  <c r="G16" i="17"/>
  <c r="G15" i="17"/>
  <c r="G14" i="17"/>
  <c r="G13" i="17"/>
  <c r="G12" i="17"/>
  <c r="G11" i="17"/>
  <c r="G10" i="17"/>
  <c r="G7" i="17"/>
  <c r="G6" i="17"/>
  <c r="P29" i="17"/>
  <c r="P26" i="17"/>
  <c r="P23" i="17"/>
  <c r="P22" i="17"/>
  <c r="P21" i="17"/>
  <c r="P20" i="17"/>
  <c r="P17" i="17"/>
  <c r="P16" i="17"/>
  <c r="P15" i="17"/>
  <c r="P14" i="17"/>
  <c r="P13" i="17"/>
  <c r="P12" i="17"/>
  <c r="P11" i="17"/>
  <c r="P10" i="17"/>
  <c r="P7" i="17"/>
  <c r="P6" i="17"/>
  <c r="O29" i="17"/>
  <c r="O26" i="17"/>
  <c r="O23" i="17"/>
  <c r="O22" i="17"/>
  <c r="O21" i="17"/>
  <c r="O20" i="17"/>
  <c r="O17" i="17"/>
  <c r="O16" i="17"/>
  <c r="O15" i="17"/>
  <c r="O14" i="17"/>
  <c r="O13" i="17"/>
  <c r="O12" i="17"/>
  <c r="O11" i="17"/>
  <c r="O10" i="17"/>
  <c r="O7" i="17"/>
  <c r="O6" i="17"/>
  <c r="M29" i="17"/>
  <c r="D29" i="17"/>
  <c r="D27" i="17"/>
  <c r="M26" i="17"/>
  <c r="D26" i="17"/>
  <c r="M23" i="17"/>
  <c r="D23" i="17"/>
  <c r="M22" i="17"/>
  <c r="D22" i="17"/>
  <c r="M21" i="17"/>
  <c r="D21" i="17"/>
  <c r="M20" i="17"/>
  <c r="D20" i="17"/>
  <c r="M17" i="17"/>
  <c r="D17" i="17"/>
  <c r="M16" i="17"/>
  <c r="D16" i="17"/>
  <c r="M15" i="17"/>
  <c r="D15" i="17"/>
  <c r="M14" i="17"/>
  <c r="D14" i="17"/>
  <c r="M13" i="17"/>
  <c r="D13" i="17"/>
  <c r="M12" i="17"/>
  <c r="D12" i="17"/>
  <c r="M11" i="17"/>
  <c r="D11" i="17"/>
  <c r="M10" i="17"/>
  <c r="D10" i="17"/>
  <c r="M7" i="17"/>
  <c r="D7" i="17"/>
  <c r="M6" i="17"/>
  <c r="D6" i="17"/>
  <c r="L29" i="17"/>
  <c r="C29" i="17"/>
  <c r="C27" i="17"/>
  <c r="L26" i="17"/>
  <c r="C26" i="17"/>
  <c r="L23" i="17"/>
  <c r="C23" i="17"/>
  <c r="L22" i="17"/>
  <c r="C22" i="17"/>
  <c r="L21" i="17"/>
  <c r="C21" i="17"/>
  <c r="L20" i="17"/>
  <c r="C20" i="17"/>
  <c r="L17" i="17"/>
  <c r="C17" i="17"/>
  <c r="L16" i="17"/>
  <c r="C16" i="17"/>
  <c r="L15" i="17"/>
  <c r="C15" i="17"/>
  <c r="L14" i="17"/>
  <c r="C14" i="17"/>
  <c r="L13" i="17"/>
  <c r="C13" i="17"/>
  <c r="L12" i="17"/>
  <c r="C12" i="17"/>
  <c r="L11" i="17"/>
  <c r="C11" i="17"/>
  <c r="L10" i="17"/>
  <c r="C10" i="17"/>
  <c r="L7" i="17"/>
  <c r="C7" i="17"/>
  <c r="L6" i="17"/>
  <c r="C6" i="17"/>
  <c r="G21" i="5"/>
  <c r="J21" i="5" s="1"/>
  <c r="G20" i="5"/>
  <c r="J20" i="5" s="1"/>
  <c r="G16" i="5"/>
  <c r="J16" i="5" s="1"/>
  <c r="G15" i="5"/>
  <c r="J15" i="5" s="1"/>
  <c r="G11" i="5"/>
  <c r="J11" i="5" s="1"/>
  <c r="G10" i="5"/>
  <c r="J10" i="5" s="1"/>
  <c r="G6" i="5"/>
  <c r="J6" i="5" s="1"/>
  <c r="G5" i="5"/>
  <c r="J5" i="5" s="1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1" i="7"/>
  <c r="J21" i="7"/>
  <c r="E21" i="7"/>
  <c r="F11" i="7"/>
  <c r="E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 l="1"/>
  <c r="D36" i="1"/>
  <c r="B37" i="1"/>
  <c r="B36" i="1"/>
  <c r="E28" i="1"/>
  <c r="H28" i="1" s="1"/>
  <c r="E27" i="1"/>
  <c r="H27" i="1" s="1"/>
  <c r="E21" i="1"/>
  <c r="E20" i="1"/>
  <c r="H20" i="1" s="1"/>
  <c r="E19" i="1"/>
  <c r="E18" i="1"/>
  <c r="E17" i="1"/>
  <c r="H17" i="1" s="1"/>
  <c r="E16" i="1"/>
  <c r="H16" i="1" s="1"/>
  <c r="E10" i="1"/>
  <c r="E7" i="1"/>
  <c r="E6" i="1"/>
  <c r="E5" i="1"/>
  <c r="H18" i="1" l="1"/>
  <c r="H19" i="1"/>
  <c r="H5" i="1"/>
  <c r="H6" i="1"/>
  <c r="H21" i="1"/>
  <c r="H7" i="1"/>
  <c r="H10" i="1"/>
  <c r="O30" i="16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72" i="9" l="1"/>
  <c r="G72" i="9"/>
  <c r="M72" i="9"/>
  <c r="P72" i="9"/>
  <c r="V72" i="9"/>
  <c r="Y72" i="9"/>
  <c r="X72" i="9" l="1"/>
  <c r="U72" i="9"/>
  <c r="C72" i="9"/>
  <c r="F72" i="9"/>
  <c r="L72" i="9"/>
  <c r="O72" i="9"/>
  <c r="D9" i="17"/>
  <c r="C9" i="17"/>
  <c r="G9" i="17"/>
  <c r="F9" i="17"/>
  <c r="R17" i="8" l="1"/>
  <c r="R16" i="8"/>
  <c r="R22" i="8"/>
  <c r="R21" i="8"/>
  <c r="E9" i="17"/>
  <c r="R5" i="8"/>
  <c r="R4" i="8"/>
  <c r="H9" i="17"/>
  <c r="D10" i="8" l="1"/>
  <c r="D23" i="8" l="1"/>
  <c r="R27" i="8"/>
  <c r="D6" i="8"/>
  <c r="D12" i="8" s="1"/>
  <c r="D18" i="8"/>
  <c r="R26" i="8"/>
  <c r="D31" i="8"/>
  <c r="D28" i="8"/>
  <c r="D32" i="8"/>
  <c r="D33" i="8" l="1"/>
  <c r="K16" i="3" l="1"/>
  <c r="K17" i="3"/>
  <c r="K20" i="3"/>
  <c r="K21" i="3"/>
  <c r="K17" i="4" l="1"/>
  <c r="H17" i="4"/>
  <c r="T1048576" i="17" l="1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W71" i="9" s="1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AA38" i="9"/>
  <c r="AA61" i="9"/>
  <c r="AA71" i="9" l="1"/>
  <c r="Z71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J23" i="8"/>
  <c r="C18" i="8"/>
  <c r="R9" i="8"/>
  <c r="C19" i="1" s="1"/>
  <c r="R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B12" i="8" s="1"/>
  <c r="L6" i="8"/>
  <c r="L12" i="8" s="1"/>
  <c r="G18" i="8"/>
  <c r="O31" i="8"/>
  <c r="B23" i="8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7" i="17"/>
  <c r="G25" i="17"/>
  <c r="N14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F19" i="17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19" i="17"/>
  <c r="D25" i="17"/>
  <c r="M6" i="16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6" i="17"/>
  <c r="N29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F5" i="17"/>
  <c r="H6" i="17"/>
  <c r="H11" i="17"/>
  <c r="H16" i="17"/>
  <c r="H21" i="17"/>
  <c r="F25" i="17"/>
  <c r="H26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B19" i="1"/>
  <c r="D16" i="5"/>
  <c r="D15" i="5"/>
  <c r="H31" i="8"/>
  <c r="P31" i="8"/>
  <c r="I31" i="8"/>
  <c r="Q31" i="8"/>
  <c r="J31" i="8"/>
  <c r="B18" i="8"/>
  <c r="K31" i="8"/>
  <c r="M18" i="16"/>
  <c r="M23" i="16"/>
  <c r="R31" i="8" l="1"/>
  <c r="R32" i="8"/>
  <c r="E19" i="17"/>
  <c r="R18" i="8"/>
  <c r="R23" i="8"/>
  <c r="R28" i="8"/>
  <c r="Q5" i="17"/>
  <c r="P33" i="17"/>
  <c r="N19" i="17"/>
  <c r="Q33" i="8"/>
  <c r="H33" i="8"/>
  <c r="J33" i="8"/>
  <c r="N9" i="17"/>
  <c r="M33" i="8"/>
  <c r="K33" i="8"/>
  <c r="P33" i="8"/>
  <c r="C33" i="8"/>
  <c r="N33" i="8"/>
  <c r="L33" i="8"/>
  <c r="G33" i="8"/>
  <c r="D33" i="17"/>
  <c r="R6" i="8"/>
  <c r="I33" i="8"/>
  <c r="G33" i="17"/>
  <c r="H19" i="17"/>
  <c r="E5" i="17"/>
  <c r="N5" i="17"/>
  <c r="D10" i="5"/>
  <c r="O33" i="8"/>
  <c r="D11" i="5"/>
  <c r="D5" i="5"/>
  <c r="M33" i="17"/>
  <c r="O33" i="17"/>
  <c r="Q19" i="17"/>
  <c r="H25" i="17"/>
  <c r="E25" i="17"/>
  <c r="C33" i="17"/>
  <c r="L33" i="17"/>
  <c r="Q9" i="17"/>
  <c r="F33" i="17"/>
  <c r="I9" i="17" s="1"/>
  <c r="H5" i="17"/>
  <c r="Q25" i="17"/>
  <c r="Q12" i="8"/>
  <c r="R12" i="8" s="1"/>
  <c r="B33" i="8"/>
  <c r="Q55" i="9"/>
  <c r="E55" i="9"/>
  <c r="N55" i="9"/>
  <c r="H55" i="9"/>
  <c r="R33" i="8" l="1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1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B33" i="1" l="1"/>
  <c r="C21" i="7"/>
  <c r="F31" i="7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D33" i="1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D19" i="1"/>
  <c r="G19" i="1" s="1"/>
  <c r="L20" i="4"/>
  <c r="M20" i="4" s="1"/>
  <c r="G7" i="7"/>
  <c r="Q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F32" i="7" l="1"/>
  <c r="F30" i="7"/>
  <c r="F29" i="7"/>
  <c r="F28" i="7"/>
  <c r="K23" i="3"/>
  <c r="F27" i="7"/>
  <c r="F26" i="7"/>
  <c r="F25" i="7"/>
  <c r="F23" i="7"/>
  <c r="F22" i="7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L21" i="15"/>
  <c r="D6" i="1"/>
  <c r="G6" i="1" s="1"/>
  <c r="C8" i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G16" i="1" s="1"/>
  <c r="C7" i="5"/>
  <c r="E5" i="5"/>
  <c r="F5" i="5" s="1"/>
  <c r="I5" i="5" s="1"/>
  <c r="C33" i="1" l="1"/>
  <c r="B32" i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1" i="7" s="1"/>
  <c r="D32" i="1"/>
  <c r="B11" i="1"/>
  <c r="L21" i="7" s="1"/>
  <c r="D33" i="7"/>
  <c r="D28" i="1"/>
  <c r="G28" i="1" s="1"/>
  <c r="B22" i="1"/>
  <c r="B29" i="1"/>
  <c r="C12" i="5"/>
  <c r="C21" i="5"/>
  <c r="E11" i="5"/>
  <c r="F11" i="5" s="1"/>
  <c r="I11" i="5" s="1"/>
  <c r="C29" i="1"/>
  <c r="F16" i="1"/>
  <c r="D22" i="1"/>
  <c r="F22" i="1" s="1"/>
  <c r="D22" i="5"/>
  <c r="F15" i="5"/>
  <c r="I15" i="5" s="1"/>
  <c r="E17" i="5"/>
  <c r="D27" i="1" s="1"/>
  <c r="G27" i="1" s="1"/>
  <c r="F17" i="1"/>
  <c r="N21" i="7" l="1"/>
  <c r="P31" i="7"/>
  <c r="I17" i="5"/>
  <c r="I12" i="5"/>
  <c r="P29" i="7"/>
  <c r="P27" i="7"/>
  <c r="P26" i="7"/>
  <c r="P24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K31" i="7" l="1"/>
  <c r="P32" i="7"/>
  <c r="K30" i="7"/>
  <c r="P30" i="7"/>
  <c r="K29" i="7"/>
  <c r="I22" i="5"/>
  <c r="K28" i="7"/>
  <c r="P28" i="7"/>
  <c r="K24" i="7"/>
  <c r="K27" i="7"/>
  <c r="K26" i="7"/>
  <c r="K25" i="7"/>
  <c r="P25" i="7"/>
  <c r="M33" i="7"/>
  <c r="P22" i="7"/>
  <c r="P23" i="7"/>
  <c r="K22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3" i="7"/>
  <c r="K21" i="5"/>
  <c r="E32" i="1"/>
  <c r="K20" i="5"/>
  <c r="K22" i="5"/>
  <c r="N33" i="7" l="1"/>
  <c r="P33" i="7" s="1"/>
  <c r="L33" i="7"/>
  <c r="G21" i="7"/>
  <c r="G33" i="7" l="1"/>
  <c r="I21" i="7"/>
  <c r="P21" i="7"/>
  <c r="I33" i="7" l="1"/>
  <c r="K33" i="7" s="1"/>
  <c r="K21" i="7"/>
</calcChain>
</file>

<file path=xl/sharedStrings.xml><?xml version="1.0" encoding="utf-8"?>
<sst xmlns="http://schemas.openxmlformats.org/spreadsheetml/2006/main" count="698" uniqueCount="249">
  <si>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</si>
  <si>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</si>
  <si>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</si>
  <si>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</si>
  <si>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</si>
  <si>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</si>
  <si>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</si>
  <si>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</si>
  <si>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</si>
  <si>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</si>
  <si>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</si>
  <si>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</si>
  <si>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</si>
  <si>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</si>
  <si>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</si>
  <si>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</si>
  <si>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</si>
  <si>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</si>
  <si>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</si>
  <si>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</si>
  <si>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</si>
  <si>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</si>
  <si>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</si>
  <si>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</si>
  <si>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</si>
  <si>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</si>
  <si>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</si>
  <si>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</si>
  <si>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</si>
  <si>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</si>
  <si>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</si>
  <si>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</si>
  <si>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</si>
  <si>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</si>
  <si>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</si>
  <si>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</si>
  <si>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</si>
  <si>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</si>
  <si>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</si>
  <si>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</si>
  <si>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</si>
  <si>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</si>
  <si>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</si>
  <si>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</si>
  <si>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</si>
  <si>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</si>
  <si>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</si>
  <si>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</si>
  <si>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</si>
  <si>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</si>
  <si>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</si>
  <si>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</si>
  <si>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</si>
  <si>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</si>
  <si>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</si>
  <si>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</si>
  <si>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</si>
  <si>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</si>
  <si>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</si>
  <si>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</si>
  <si>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</si>
  <si>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</si>
  <si>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</si>
  <si>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</si>
  <si>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</si>
  <si>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</si>
  <si>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</si>
  <si>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</si>
  <si>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</si>
  <si>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</si>
  <si>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</si>
  <si>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</si>
  <si>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</si>
  <si>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</si>
  <si>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</si>
  <si>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</si>
  <si>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</si>
  <si>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</si>
  <si>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</si>
  <si>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</si>
  <si>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</si>
  <si>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</si>
  <si>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</si>
  <si>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</si>
  <si>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</si>
  <si>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</si>
  <si>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</si>
  <si>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</si>
  <si>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</si>
  <si>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</si>
  <si>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</si>
  <si>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</si>
  <si>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</si>
  <si>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</si>
  <si>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</si>
  <si>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</si>
  <si>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</si>
  <si>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</si>
  <si>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</si>
  <si>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</si>
  <si>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</si>
  <si>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</si>
  <si>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</si>
  <si>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</si>
  <si>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</si>
  <si>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</si>
  <si>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</si>
  <si>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</si>
  <si>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</si>
  <si>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</si>
  <si>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</si>
  <si>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</si>
  <si>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</si>
  <si>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</si>
  <si>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</si>
  <si>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</si>
  <si>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</si>
  <si>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</si>
  <si>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</si>
  <si>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</si>
  <si>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</si>
  <si>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</si>
  <si>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</si>
  <si>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</si>
  <si>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</si>
  <si>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</si>
  <si>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</si>
  <si>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</si>
  <si>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</si>
  <si>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</si>
  <si>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</si>
  <si>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</si>
  <si>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</si>
  <si>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</si>
  <si>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</si>
  <si>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</si>
  <si>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</si>
  <si>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</si>
  <si>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</si>
  <si>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</si>
  <si>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</si>
  <si>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</si>
  <si>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</si>
  <si>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</si>
  <si>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</si>
  <si>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</si>
  <si>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</si>
  <si>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</si>
  <si>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</si>
  <si>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</si>
  <si>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</si>
  <si>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</si>
  <si>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</si>
  <si>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</si>
  <si>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</si>
  <si>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</si>
  <si>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</si>
  <si>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</si>
  <si>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</si>
  <si>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</si>
  <si>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</si>
  <si>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</si>
  <si>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</si>
  <si>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</si>
  <si>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</si>
  <si>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</si>
  <si>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</si>
  <si>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</si>
  <si>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</si>
  <si>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</si>
  <si>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</si>
  <si>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</si>
  <si>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</si>
  <si>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</si>
  <si>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</si>
  <si>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</si>
  <si>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</si>
  <si>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</si>
  <si>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</si>
  <si>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</si>
  <si>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</si>
  <si>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</si>
  <si>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</si>
  <si>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</si>
  <si>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</si>
  <si>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</si>
  <si>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</si>
  <si>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</si>
  <si>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</si>
  <si>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</si>
  <si>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</si>
  <si>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</si>
  <si>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</si>
  <si>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</si>
  <si>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</si>
  <si>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</si>
  <si>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</si>
  <si>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</si>
  <si>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</si>
  <si>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</si>
  <si>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</si>
  <si>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</si>
  <si>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</si>
  <si>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</si>
  <si>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</si>
  <si>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</si>
  <si>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</si>
  <si>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</si>
  <si>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</si>
  <si>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</si>
  <si>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</si>
  <si>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</si>
  <si>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</si>
  <si>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</si>
  <si>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</si>
  <si>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</si>
  <si>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</si>
  <si>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</si>
  <si>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</si>
  <si>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</si>
  <si>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</si>
  <si>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</si>
  <si>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</si>
  <si>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</si>
  <si>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</si>
  <si>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</si>
  <si>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</si>
  <si>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</si>
  <si>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</si>
  <si>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</si>
  <si>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</si>
  <si>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</si>
  <si>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</si>
  <si>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</si>
  <si>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</si>
  <si>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</si>
  <si>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</si>
  <si>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</si>
  <si>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</si>
  <si>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</si>
  <si>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January 2021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</si>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</sst>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777110</v>
          </cell>
        </row>
        <row r="6">
          <cell r="D6">
            <v>283771</v>
          </cell>
        </row>
        <row r="7">
          <cell r="D7">
            <v>300</v>
          </cell>
        </row>
        <row r="10">
          <cell r="D10">
            <v>49656</v>
          </cell>
        </row>
        <row r="16">
          <cell r="D16">
            <v>9625</v>
          </cell>
        </row>
        <row r="17">
          <cell r="D17">
            <v>9147</v>
          </cell>
        </row>
        <row r="18">
          <cell r="D18">
            <v>2</v>
          </cell>
        </row>
        <row r="19">
          <cell r="D19">
            <v>1210</v>
          </cell>
        </row>
        <row r="20">
          <cell r="D20">
            <v>955</v>
          </cell>
        </row>
        <row r="21">
          <cell r="D21">
            <v>87</v>
          </cell>
        </row>
        <row r="27">
          <cell r="D27">
            <v>14344.41644868925</v>
          </cell>
        </row>
        <row r="28">
          <cell r="D28">
            <v>1803.0922664970599</v>
          </cell>
        </row>
        <row r="32">
          <cell r="B32">
            <v>355226</v>
          </cell>
          <cell r="D32">
            <v>355226</v>
          </cell>
        </row>
        <row r="33">
          <cell r="B33">
            <v>169534</v>
          </cell>
          <cell r="D33">
            <v>169534</v>
          </cell>
        </row>
      </sheetData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>
        <row r="5">
          <cell r="F5">
            <v>7577.4392562437797</v>
          </cell>
        </row>
        <row r="6">
          <cell r="F6">
            <v>820.55766917739993</v>
          </cell>
        </row>
        <row r="10">
          <cell r="F10">
            <v>6766.9771924454699</v>
          </cell>
        </row>
        <row r="11">
          <cell r="F11">
            <v>982.53459731965995</v>
          </cell>
        </row>
        <row r="15">
          <cell r="F15">
            <v>0</v>
          </cell>
        </row>
        <row r="16">
          <cell r="F16">
            <v>0</v>
          </cell>
        </row>
        <row r="20">
          <cell r="F20">
            <v>14344.41644868925</v>
          </cell>
        </row>
        <row r="21">
          <cell r="F21">
            <v>1803.0922664970599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R19">
            <v>0</v>
          </cell>
        </row>
        <row r="41">
          <cell r="HD41">
            <v>263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3"/>
      <sheetData sheetId="4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5">
        <row r="4">
          <cell r="HR4">
            <v>41</v>
          </cell>
        </row>
        <row r="5">
          <cell r="HR5">
            <v>41</v>
          </cell>
        </row>
        <row r="19">
          <cell r="HD19">
            <v>0</v>
          </cell>
          <cell r="HR19">
            <v>82</v>
          </cell>
        </row>
        <row r="22">
          <cell r="HR22">
            <v>4375</v>
          </cell>
        </row>
        <row r="23">
          <cell r="HR23">
            <v>3679</v>
          </cell>
        </row>
        <row r="41">
          <cell r="HD41">
            <v>0</v>
          </cell>
          <cell r="HR41">
            <v>8054</v>
          </cell>
        </row>
        <row r="64">
          <cell r="HD64">
            <v>0</v>
          </cell>
          <cell r="HR64">
            <v>0</v>
          </cell>
        </row>
      </sheetData>
      <sheetData sheetId="6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7">
        <row r="4">
          <cell r="HR4">
            <v>35</v>
          </cell>
        </row>
        <row r="5">
          <cell r="HR5">
            <v>34</v>
          </cell>
        </row>
        <row r="8">
          <cell r="HR8">
            <v>1</v>
          </cell>
        </row>
        <row r="9">
          <cell r="HR9">
            <v>2</v>
          </cell>
        </row>
        <row r="19">
          <cell r="HD19">
            <v>62</v>
          </cell>
          <cell r="HR19">
            <v>72</v>
          </cell>
        </row>
        <row r="22">
          <cell r="HR22">
            <v>3757</v>
          </cell>
        </row>
        <row r="23">
          <cell r="HR23">
            <v>3912</v>
          </cell>
        </row>
        <row r="27">
          <cell r="HR27">
            <v>148</v>
          </cell>
        </row>
        <row r="28">
          <cell r="HR28">
            <v>112</v>
          </cell>
        </row>
        <row r="41">
          <cell r="HD41">
            <v>4356</v>
          </cell>
          <cell r="HR41">
            <v>7669</v>
          </cell>
        </row>
        <row r="47">
          <cell r="HR47">
            <v>2820</v>
          </cell>
        </row>
        <row r="52">
          <cell r="HR52">
            <v>5401</v>
          </cell>
        </row>
        <row r="53">
          <cell r="HR53">
            <v>485</v>
          </cell>
        </row>
        <row r="64">
          <cell r="HD64">
            <v>14604</v>
          </cell>
          <cell r="HR64">
            <v>8706</v>
          </cell>
        </row>
      </sheetData>
      <sheetData sheetId="8"/>
      <sheetData sheetId="9">
        <row r="4">
          <cell r="HR4">
            <v>282</v>
          </cell>
        </row>
        <row r="5">
          <cell r="HR5">
            <v>279</v>
          </cell>
        </row>
        <row r="19">
          <cell r="HD19">
            <v>422</v>
          </cell>
          <cell r="HR19">
            <v>561</v>
          </cell>
        </row>
        <row r="22">
          <cell r="HR22">
            <v>35621</v>
          </cell>
        </row>
        <row r="23">
          <cell r="HR23">
            <v>35773</v>
          </cell>
        </row>
        <row r="27">
          <cell r="HR27">
            <v>1197</v>
          </cell>
        </row>
        <row r="28">
          <cell r="HR28">
            <v>1284</v>
          </cell>
        </row>
        <row r="41">
          <cell r="HD41">
            <v>42515</v>
          </cell>
          <cell r="HR41">
            <v>71394</v>
          </cell>
        </row>
        <row r="47">
          <cell r="HR47">
            <v>24661</v>
          </cell>
        </row>
        <row r="48">
          <cell r="HR48">
            <v>99781</v>
          </cell>
        </row>
        <row r="52">
          <cell r="HR52">
            <v>5092</v>
          </cell>
        </row>
        <row r="53">
          <cell r="HR53">
            <v>47836</v>
          </cell>
        </row>
        <row r="64">
          <cell r="HD64">
            <v>144563</v>
          </cell>
          <cell r="HR64">
            <v>177370</v>
          </cell>
        </row>
      </sheetData>
      <sheetData sheetId="10"/>
      <sheetData sheetId="11">
        <row r="4">
          <cell r="HR4">
            <v>4333</v>
          </cell>
        </row>
        <row r="5">
          <cell r="HR5">
            <v>4333</v>
          </cell>
        </row>
        <row r="8">
          <cell r="HR8">
            <v>1</v>
          </cell>
        </row>
        <row r="9">
          <cell r="HR9">
            <v>8</v>
          </cell>
        </row>
        <row r="15">
          <cell r="HR15">
            <v>432</v>
          </cell>
        </row>
        <row r="16">
          <cell r="HR16">
            <v>435</v>
          </cell>
        </row>
        <row r="19">
          <cell r="HD19">
            <v>6512</v>
          </cell>
          <cell r="HR19">
            <v>9542</v>
          </cell>
        </row>
        <row r="22">
          <cell r="HR22">
            <v>493920</v>
          </cell>
        </row>
        <row r="23">
          <cell r="HR23">
            <v>512388</v>
          </cell>
        </row>
        <row r="27">
          <cell r="HR27">
            <v>18170</v>
          </cell>
        </row>
        <row r="28">
          <cell r="HR28">
            <v>18449</v>
          </cell>
        </row>
        <row r="32">
          <cell r="HR32">
            <v>50106</v>
          </cell>
        </row>
        <row r="33">
          <cell r="HR33">
            <v>48790</v>
          </cell>
        </row>
        <row r="37">
          <cell r="HR37">
            <v>826</v>
          </cell>
        </row>
        <row r="38">
          <cell r="HR38">
            <v>816</v>
          </cell>
        </row>
        <row r="41">
          <cell r="HD41">
            <v>500051</v>
          </cell>
          <cell r="HR41">
            <v>1105204</v>
          </cell>
        </row>
        <row r="47">
          <cell r="HR47">
            <v>1528209</v>
          </cell>
        </row>
        <row r="48">
          <cell r="HR48">
            <v>1180045</v>
          </cell>
        </row>
        <row r="52">
          <cell r="HR52">
            <v>1006376</v>
          </cell>
        </row>
        <row r="53">
          <cell r="HR53">
            <v>1072358</v>
          </cell>
        </row>
        <row r="64">
          <cell r="HD64">
            <v>2397792</v>
          </cell>
          <cell r="HR64">
            <v>4786988</v>
          </cell>
        </row>
        <row r="70">
          <cell r="HR70">
            <v>330728</v>
          </cell>
        </row>
        <row r="71">
          <cell r="HR71">
            <v>181660</v>
          </cell>
        </row>
        <row r="73">
          <cell r="HR73">
            <v>31492</v>
          </cell>
        </row>
        <row r="74">
          <cell r="HR74">
            <v>17298</v>
          </cell>
        </row>
      </sheetData>
      <sheetData sheetId="12">
        <row r="4">
          <cell r="HR4">
            <v>634</v>
          </cell>
        </row>
        <row r="5">
          <cell r="HR5">
            <v>638</v>
          </cell>
        </row>
        <row r="8">
          <cell r="HR8">
            <v>90</v>
          </cell>
        </row>
        <row r="9">
          <cell r="HR9">
            <v>97</v>
          </cell>
        </row>
        <row r="15">
          <cell r="HR15">
            <v>195</v>
          </cell>
        </row>
        <row r="16">
          <cell r="HR16">
            <v>189</v>
          </cell>
        </row>
        <row r="19">
          <cell r="HD19">
            <v>1271</v>
          </cell>
          <cell r="HR19">
            <v>1843</v>
          </cell>
        </row>
        <row r="22">
          <cell r="HR22">
            <v>95984</v>
          </cell>
        </row>
        <row r="23">
          <cell r="HR23">
            <v>90199</v>
          </cell>
        </row>
        <row r="27">
          <cell r="HR27">
            <v>1564</v>
          </cell>
        </row>
        <row r="28">
          <cell r="HR28">
            <v>1530</v>
          </cell>
        </row>
        <row r="32">
          <cell r="HR32">
            <v>21739</v>
          </cell>
        </row>
        <row r="33">
          <cell r="HR33">
            <v>20135</v>
          </cell>
        </row>
        <row r="37">
          <cell r="HR37">
            <v>364</v>
          </cell>
        </row>
        <row r="38">
          <cell r="HR38">
            <v>327</v>
          </cell>
        </row>
        <row r="41">
          <cell r="HD41">
            <v>126344</v>
          </cell>
          <cell r="HR41">
            <v>228057</v>
          </cell>
        </row>
        <row r="47">
          <cell r="HR47">
            <v>13126</v>
          </cell>
        </row>
        <row r="48">
          <cell r="HR48">
            <v>89795</v>
          </cell>
        </row>
        <row r="52">
          <cell r="HR52">
            <v>189</v>
          </cell>
        </row>
        <row r="53">
          <cell r="HR53">
            <v>220970</v>
          </cell>
        </row>
        <row r="64">
          <cell r="HD64">
            <v>396600</v>
          </cell>
          <cell r="HR64">
            <v>324080</v>
          </cell>
        </row>
        <row r="70">
          <cell r="HR70">
            <v>90199</v>
          </cell>
        </row>
        <row r="73">
          <cell r="HR73">
            <v>20135</v>
          </cell>
        </row>
      </sheetData>
      <sheetData sheetId="13">
        <row r="19">
          <cell r="HD19">
            <v>45</v>
          </cell>
          <cell r="HR19">
            <v>0</v>
          </cell>
        </row>
        <row r="41">
          <cell r="HD41">
            <v>164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14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15">
        <row r="4">
          <cell r="HR4">
            <v>82</v>
          </cell>
        </row>
        <row r="5">
          <cell r="HR5">
            <v>82</v>
          </cell>
        </row>
        <row r="19">
          <cell r="HD19">
            <v>110</v>
          </cell>
          <cell r="HR19">
            <v>164</v>
          </cell>
        </row>
        <row r="22">
          <cell r="HR22">
            <v>692</v>
          </cell>
        </row>
        <row r="23">
          <cell r="HR23">
            <v>656</v>
          </cell>
        </row>
        <row r="27">
          <cell r="HR27">
            <v>49</v>
          </cell>
        </row>
        <row r="28">
          <cell r="HR28">
            <v>54</v>
          </cell>
        </row>
        <row r="41">
          <cell r="HD41">
            <v>353</v>
          </cell>
          <cell r="HR41">
            <v>1348</v>
          </cell>
        </row>
        <row r="64">
          <cell r="HD64">
            <v>0</v>
          </cell>
          <cell r="HR64">
            <v>0</v>
          </cell>
        </row>
      </sheetData>
      <sheetData sheetId="16">
        <row r="4">
          <cell r="HR4">
            <v>54</v>
          </cell>
        </row>
        <row r="5">
          <cell r="HR5">
            <v>54</v>
          </cell>
        </row>
        <row r="15">
          <cell r="HR15">
            <v>31</v>
          </cell>
        </row>
        <row r="16">
          <cell r="HR16">
            <v>31</v>
          </cell>
        </row>
        <row r="19">
          <cell r="HD19">
            <v>51</v>
          </cell>
          <cell r="HR19">
            <v>170</v>
          </cell>
        </row>
        <row r="22">
          <cell r="HR22">
            <v>6769</v>
          </cell>
        </row>
        <row r="23">
          <cell r="HR23">
            <v>6117</v>
          </cell>
        </row>
        <row r="27">
          <cell r="HR27">
            <v>69</v>
          </cell>
        </row>
        <row r="28">
          <cell r="HR28">
            <v>69</v>
          </cell>
        </row>
        <row r="32">
          <cell r="HR32">
            <v>2942</v>
          </cell>
        </row>
        <row r="33">
          <cell r="HR33">
            <v>2442</v>
          </cell>
        </row>
        <row r="37">
          <cell r="HR37">
            <v>7</v>
          </cell>
        </row>
        <row r="38">
          <cell r="HR38">
            <v>3</v>
          </cell>
        </row>
        <row r="41">
          <cell r="HD41">
            <v>6658</v>
          </cell>
          <cell r="HR41">
            <v>18270</v>
          </cell>
        </row>
        <row r="64">
          <cell r="HD64">
            <v>0</v>
          </cell>
          <cell r="HR64">
            <v>0</v>
          </cell>
        </row>
      </sheetData>
      <sheetData sheetId="17"/>
      <sheetData sheetId="18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19">
        <row r="4">
          <cell r="HR4">
            <v>48</v>
          </cell>
        </row>
        <row r="5">
          <cell r="HR5">
            <v>48</v>
          </cell>
        </row>
        <row r="19">
          <cell r="HD19">
            <v>26</v>
          </cell>
          <cell r="HR19">
            <v>96</v>
          </cell>
        </row>
        <row r="22">
          <cell r="HR22">
            <v>2038</v>
          </cell>
        </row>
        <row r="23">
          <cell r="HR23">
            <v>1724</v>
          </cell>
        </row>
        <row r="27">
          <cell r="HR27">
            <v>91</v>
          </cell>
        </row>
        <row r="28">
          <cell r="HR28">
            <v>116</v>
          </cell>
        </row>
        <row r="41">
          <cell r="HD41">
            <v>1058</v>
          </cell>
          <cell r="HR41">
            <v>3762</v>
          </cell>
        </row>
        <row r="64">
          <cell r="HD64">
            <v>0</v>
          </cell>
          <cell r="HR64">
            <v>0</v>
          </cell>
        </row>
      </sheetData>
      <sheetData sheetId="20">
        <row r="4">
          <cell r="HR4">
            <v>262</v>
          </cell>
        </row>
        <row r="5">
          <cell r="HR5">
            <v>265</v>
          </cell>
        </row>
        <row r="19">
          <cell r="HD19">
            <v>242</v>
          </cell>
          <cell r="HR19">
            <v>527</v>
          </cell>
        </row>
        <row r="22">
          <cell r="HR22">
            <v>29264</v>
          </cell>
        </row>
        <row r="23">
          <cell r="HR23">
            <v>28479</v>
          </cell>
        </row>
        <row r="27">
          <cell r="HR27">
            <v>930</v>
          </cell>
        </row>
        <row r="28">
          <cell r="HR28">
            <v>997</v>
          </cell>
        </row>
        <row r="41">
          <cell r="HD41">
            <v>21540</v>
          </cell>
          <cell r="HR41">
            <v>57743</v>
          </cell>
        </row>
        <row r="47">
          <cell r="HR47">
            <v>27892</v>
          </cell>
        </row>
        <row r="48">
          <cell r="HR48">
            <v>18592</v>
          </cell>
        </row>
        <row r="52">
          <cell r="HR52">
            <v>6671</v>
          </cell>
        </row>
        <row r="53">
          <cell r="HR53">
            <v>36811</v>
          </cell>
        </row>
        <row r="64">
          <cell r="HD64">
            <v>62672</v>
          </cell>
          <cell r="HR64">
            <v>89966</v>
          </cell>
        </row>
      </sheetData>
      <sheetData sheetId="21">
        <row r="15">
          <cell r="HR15">
            <v>14</v>
          </cell>
        </row>
        <row r="16">
          <cell r="HR16">
            <v>14</v>
          </cell>
        </row>
        <row r="19">
          <cell r="HD19">
            <v>0</v>
          </cell>
          <cell r="HR19">
            <v>28</v>
          </cell>
        </row>
        <row r="32">
          <cell r="HR32">
            <v>2461</v>
          </cell>
        </row>
        <row r="33">
          <cell r="HR33">
            <v>2013</v>
          </cell>
        </row>
        <row r="37">
          <cell r="HR37">
            <v>5</v>
          </cell>
        </row>
        <row r="38">
          <cell r="HR38">
            <v>2</v>
          </cell>
        </row>
        <row r="41">
          <cell r="HD41">
            <v>0</v>
          </cell>
          <cell r="HR41">
            <v>4474</v>
          </cell>
        </row>
        <row r="47">
          <cell r="HR47">
            <v>402938</v>
          </cell>
        </row>
        <row r="52">
          <cell r="HR52">
            <v>124927</v>
          </cell>
        </row>
        <row r="64">
          <cell r="HD64">
            <v>0</v>
          </cell>
          <cell r="HR64">
            <v>527865</v>
          </cell>
        </row>
      </sheetData>
      <sheetData sheetId="22"/>
      <sheetData sheetId="23"/>
      <sheetData sheetId="24">
        <row r="4">
          <cell r="HR4">
            <v>322</v>
          </cell>
        </row>
        <row r="5">
          <cell r="HR5">
            <v>319</v>
          </cell>
        </row>
        <row r="19">
          <cell r="HD19">
            <v>540</v>
          </cell>
          <cell r="HR19">
            <v>641</v>
          </cell>
        </row>
        <row r="22">
          <cell r="HR22">
            <v>33593</v>
          </cell>
        </row>
        <row r="23">
          <cell r="HR23">
            <v>33791</v>
          </cell>
        </row>
        <row r="27">
          <cell r="HR27">
            <v>803</v>
          </cell>
        </row>
        <row r="28">
          <cell r="HR28">
            <v>887</v>
          </cell>
        </row>
        <row r="41">
          <cell r="HD41">
            <v>47576</v>
          </cell>
          <cell r="HR41">
            <v>67384</v>
          </cell>
        </row>
        <row r="47">
          <cell r="HR47">
            <v>153345</v>
          </cell>
        </row>
        <row r="52">
          <cell r="HR52">
            <v>39024</v>
          </cell>
        </row>
        <row r="64">
          <cell r="HD64">
            <v>241966</v>
          </cell>
          <cell r="HR64">
            <v>192369</v>
          </cell>
        </row>
        <row r="70">
          <cell r="HR70">
            <v>33657</v>
          </cell>
        </row>
        <row r="71">
          <cell r="HR71">
            <v>134</v>
          </cell>
        </row>
      </sheetData>
      <sheetData sheetId="25">
        <row r="4">
          <cell r="HR4">
            <v>145</v>
          </cell>
        </row>
        <row r="5">
          <cell r="HR5">
            <v>146</v>
          </cell>
        </row>
        <row r="19">
          <cell r="HD19">
            <v>204</v>
          </cell>
          <cell r="HR19">
            <v>291</v>
          </cell>
        </row>
        <row r="22">
          <cell r="HR22">
            <v>19119</v>
          </cell>
        </row>
        <row r="23">
          <cell r="HR23">
            <v>18153</v>
          </cell>
        </row>
        <row r="27">
          <cell r="HR27">
            <v>142</v>
          </cell>
        </row>
        <row r="28">
          <cell r="HR28">
            <v>127</v>
          </cell>
        </row>
        <row r="41">
          <cell r="HD41">
            <v>26232</v>
          </cell>
          <cell r="HR41">
            <v>37272</v>
          </cell>
        </row>
        <row r="64">
          <cell r="HD64">
            <v>0</v>
          </cell>
          <cell r="HR64">
            <v>0</v>
          </cell>
        </row>
      </sheetData>
      <sheetData sheetId="26"/>
      <sheetData sheetId="27"/>
      <sheetData sheetId="28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29">
        <row r="4">
          <cell r="HR4">
            <v>33</v>
          </cell>
        </row>
        <row r="5">
          <cell r="HR5">
            <v>33</v>
          </cell>
        </row>
        <row r="19">
          <cell r="HD19">
            <v>225</v>
          </cell>
          <cell r="HR19">
            <v>66</v>
          </cell>
        </row>
        <row r="22">
          <cell r="HR22">
            <v>930</v>
          </cell>
        </row>
        <row r="23">
          <cell r="HR23">
            <v>1359</v>
          </cell>
        </row>
        <row r="27">
          <cell r="HR27">
            <v>64</v>
          </cell>
        </row>
        <row r="28">
          <cell r="HR28">
            <v>52</v>
          </cell>
        </row>
        <row r="41">
          <cell r="HD41">
            <v>12931</v>
          </cell>
          <cell r="HR41">
            <v>2289</v>
          </cell>
        </row>
        <row r="47">
          <cell r="HR47">
            <v>650</v>
          </cell>
        </row>
        <row r="64">
          <cell r="HD64">
            <v>227</v>
          </cell>
          <cell r="HR64">
            <v>650</v>
          </cell>
        </row>
      </sheetData>
      <sheetData sheetId="30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31">
        <row r="4">
          <cell r="HR4">
            <v>2</v>
          </cell>
        </row>
        <row r="5">
          <cell r="HR5">
            <v>2</v>
          </cell>
        </row>
        <row r="19">
          <cell r="HD19">
            <v>0</v>
          </cell>
          <cell r="HR19">
            <v>4</v>
          </cell>
        </row>
        <row r="22">
          <cell r="HR22">
            <v>126</v>
          </cell>
        </row>
        <row r="23">
          <cell r="HR23">
            <v>147</v>
          </cell>
        </row>
        <row r="27">
          <cell r="HR27">
            <v>3</v>
          </cell>
        </row>
        <row r="28">
          <cell r="HR28">
            <v>1</v>
          </cell>
        </row>
        <row r="41">
          <cell r="HD41">
            <v>0</v>
          </cell>
          <cell r="HR41">
            <v>273</v>
          </cell>
        </row>
        <row r="53">
          <cell r="HR53">
            <v>549</v>
          </cell>
        </row>
        <row r="64">
          <cell r="HD64">
            <v>0</v>
          </cell>
          <cell r="HR64">
            <v>549</v>
          </cell>
        </row>
      </sheetData>
      <sheetData sheetId="32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</row>
        <row r="41">
          <cell r="HD41">
            <v>0</v>
          </cell>
        </row>
        <row r="64">
          <cell r="HD64">
            <v>0</v>
          </cell>
        </row>
      </sheetData>
      <sheetData sheetId="37"/>
      <sheetData sheetId="38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39"/>
      <sheetData sheetId="40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41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42">
        <row r="4">
          <cell r="HR4">
            <v>38</v>
          </cell>
        </row>
        <row r="5">
          <cell r="HR5">
            <v>38</v>
          </cell>
        </row>
        <row r="19">
          <cell r="HD19">
            <v>80</v>
          </cell>
          <cell r="HR19">
            <v>76</v>
          </cell>
        </row>
        <row r="22">
          <cell r="HR22">
            <v>2200</v>
          </cell>
        </row>
        <row r="23">
          <cell r="HR23">
            <v>2522</v>
          </cell>
        </row>
        <row r="27">
          <cell r="HR27">
            <v>109</v>
          </cell>
        </row>
        <row r="28">
          <cell r="HR28">
            <v>75</v>
          </cell>
        </row>
        <row r="41">
          <cell r="HD41">
            <v>4240</v>
          </cell>
          <cell r="HR41">
            <v>4722</v>
          </cell>
        </row>
        <row r="64">
          <cell r="HD64">
            <v>0</v>
          </cell>
          <cell r="HR64">
            <v>0</v>
          </cell>
        </row>
      </sheetData>
      <sheetData sheetId="43">
        <row r="15">
          <cell r="HR15">
            <v>27</v>
          </cell>
        </row>
        <row r="16">
          <cell r="HR16">
            <v>27</v>
          </cell>
        </row>
        <row r="19">
          <cell r="HD19">
            <v>0</v>
          </cell>
          <cell r="HR19">
            <v>54</v>
          </cell>
        </row>
        <row r="32">
          <cell r="HR32">
            <v>894</v>
          </cell>
        </row>
        <row r="33">
          <cell r="HR33">
            <v>818</v>
          </cell>
        </row>
        <row r="37">
          <cell r="HR37">
            <v>16</v>
          </cell>
        </row>
        <row r="38">
          <cell r="HR38">
            <v>12</v>
          </cell>
        </row>
        <row r="41">
          <cell r="HD41">
            <v>0</v>
          </cell>
          <cell r="HR41">
            <v>1712</v>
          </cell>
        </row>
        <row r="64">
          <cell r="HD64">
            <v>0</v>
          </cell>
          <cell r="HR64">
            <v>0</v>
          </cell>
        </row>
      </sheetData>
      <sheetData sheetId="44">
        <row r="4">
          <cell r="HR4">
            <v>74</v>
          </cell>
        </row>
        <row r="5">
          <cell r="HR5">
            <v>76</v>
          </cell>
        </row>
        <row r="19">
          <cell r="HD19">
            <v>124</v>
          </cell>
          <cell r="HR19">
            <v>150</v>
          </cell>
        </row>
        <row r="22">
          <cell r="HR22">
            <v>4575</v>
          </cell>
        </row>
        <row r="23">
          <cell r="HR23">
            <v>4204</v>
          </cell>
        </row>
        <row r="27">
          <cell r="HR27">
            <v>130</v>
          </cell>
        </row>
        <row r="28">
          <cell r="HR28">
            <v>142</v>
          </cell>
        </row>
        <row r="41">
          <cell r="HD41">
            <v>6039</v>
          </cell>
          <cell r="HR41">
            <v>8779</v>
          </cell>
        </row>
        <row r="64">
          <cell r="HD64">
            <v>0</v>
          </cell>
          <cell r="HR64">
            <v>0</v>
          </cell>
        </row>
      </sheetData>
      <sheetData sheetId="45"/>
      <sheetData sheetId="46"/>
      <sheetData sheetId="47">
        <row r="4">
          <cell r="HR4">
            <v>949</v>
          </cell>
        </row>
        <row r="5">
          <cell r="HR5">
            <v>953</v>
          </cell>
        </row>
        <row r="15">
          <cell r="HR15">
            <v>19</v>
          </cell>
        </row>
        <row r="16">
          <cell r="HR16">
            <v>20</v>
          </cell>
        </row>
        <row r="19">
          <cell r="HD19">
            <v>3350</v>
          </cell>
          <cell r="HR19">
            <v>1941</v>
          </cell>
        </row>
        <row r="22">
          <cell r="HR22">
            <v>37646</v>
          </cell>
        </row>
        <row r="23">
          <cell r="HR23">
            <v>36711</v>
          </cell>
        </row>
        <row r="27">
          <cell r="HR27">
            <v>1534</v>
          </cell>
        </row>
        <row r="28">
          <cell r="HR28">
            <v>1428</v>
          </cell>
        </row>
        <row r="32">
          <cell r="HR32">
            <v>409</v>
          </cell>
        </row>
        <row r="33">
          <cell r="HR33">
            <v>358</v>
          </cell>
        </row>
        <row r="37">
          <cell r="HR37">
            <v>7</v>
          </cell>
        </row>
        <row r="38">
          <cell r="HR38">
            <v>2</v>
          </cell>
        </row>
        <row r="41">
          <cell r="HD41">
            <v>101257</v>
          </cell>
          <cell r="HR41">
            <v>75124</v>
          </cell>
        </row>
        <row r="64">
          <cell r="HD64">
            <v>0</v>
          </cell>
          <cell r="HR64">
            <v>0</v>
          </cell>
        </row>
        <row r="70">
          <cell r="HR70">
            <v>10764</v>
          </cell>
        </row>
        <row r="71">
          <cell r="HR71">
            <v>25947</v>
          </cell>
        </row>
        <row r="73">
          <cell r="HR73">
            <v>105</v>
          </cell>
        </row>
        <row r="74">
          <cell r="HR74">
            <v>253</v>
          </cell>
        </row>
      </sheetData>
      <sheetData sheetId="48">
        <row r="4">
          <cell r="HR4">
            <v>52</v>
          </cell>
        </row>
        <row r="5">
          <cell r="HR5">
            <v>52</v>
          </cell>
        </row>
        <row r="19">
          <cell r="HD19">
            <v>2</v>
          </cell>
          <cell r="HR19">
            <v>104</v>
          </cell>
        </row>
        <row r="22">
          <cell r="HR22">
            <v>2007</v>
          </cell>
        </row>
        <row r="23">
          <cell r="HR23">
            <v>2740</v>
          </cell>
        </row>
        <row r="27">
          <cell r="HR27">
            <v>97</v>
          </cell>
        </row>
        <row r="28">
          <cell r="HR28">
            <v>94</v>
          </cell>
        </row>
        <row r="41">
          <cell r="HD41">
            <v>32</v>
          </cell>
          <cell r="HR41">
            <v>4747</v>
          </cell>
        </row>
        <row r="47">
          <cell r="HR47">
            <v>344</v>
          </cell>
        </row>
        <row r="52">
          <cell r="HR52">
            <v>180</v>
          </cell>
        </row>
        <row r="64">
          <cell r="HD64">
            <v>0</v>
          </cell>
          <cell r="HR64">
            <v>524</v>
          </cell>
        </row>
      </sheetData>
      <sheetData sheetId="49">
        <row r="4">
          <cell r="HR4">
            <v>85</v>
          </cell>
        </row>
        <row r="5">
          <cell r="HR5">
            <v>85</v>
          </cell>
        </row>
        <row r="19">
          <cell r="HD19">
            <v>41</v>
          </cell>
          <cell r="HR19">
            <v>170</v>
          </cell>
        </row>
        <row r="22">
          <cell r="HR22">
            <v>2654</v>
          </cell>
        </row>
        <row r="23">
          <cell r="HR23">
            <v>2464</v>
          </cell>
        </row>
        <row r="27">
          <cell r="HR27">
            <v>124</v>
          </cell>
        </row>
        <row r="28">
          <cell r="HR28">
            <v>133</v>
          </cell>
        </row>
        <row r="41">
          <cell r="HD41">
            <v>1409</v>
          </cell>
          <cell r="HR41">
            <v>5118</v>
          </cell>
        </row>
        <row r="64">
          <cell r="HD64">
            <v>38</v>
          </cell>
          <cell r="HR64">
            <v>0</v>
          </cell>
        </row>
      </sheetData>
      <sheetData sheetId="50">
        <row r="4">
          <cell r="HR4">
            <v>38</v>
          </cell>
        </row>
        <row r="5">
          <cell r="HR5">
            <v>39</v>
          </cell>
        </row>
        <row r="19">
          <cell r="HD19">
            <v>128</v>
          </cell>
          <cell r="HR19">
            <v>77</v>
          </cell>
        </row>
        <row r="22">
          <cell r="HR22">
            <v>1826</v>
          </cell>
        </row>
        <row r="23">
          <cell r="HR23">
            <v>2089</v>
          </cell>
        </row>
        <row r="27">
          <cell r="HR27">
            <v>71</v>
          </cell>
        </row>
        <row r="28">
          <cell r="HR28">
            <v>65</v>
          </cell>
        </row>
        <row r="41">
          <cell r="HD41">
            <v>5356</v>
          </cell>
          <cell r="HR41">
            <v>3915</v>
          </cell>
        </row>
        <row r="64">
          <cell r="HD64">
            <v>0</v>
          </cell>
          <cell r="HR64">
            <v>0</v>
          </cell>
        </row>
      </sheetData>
      <sheetData sheetId="51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52">
        <row r="4">
          <cell r="HR4">
            <v>2613</v>
          </cell>
        </row>
        <row r="5">
          <cell r="HR5">
            <v>2613</v>
          </cell>
        </row>
        <row r="9">
          <cell r="HR9">
            <v>2</v>
          </cell>
        </row>
        <row r="15">
          <cell r="HR15">
            <v>6</v>
          </cell>
        </row>
        <row r="16">
          <cell r="HR16">
            <v>5</v>
          </cell>
        </row>
        <row r="19">
          <cell r="HD19">
            <v>5197</v>
          </cell>
          <cell r="HR19">
            <v>5239</v>
          </cell>
        </row>
        <row r="22">
          <cell r="HR22">
            <v>103937</v>
          </cell>
        </row>
        <row r="23">
          <cell r="HR23">
            <v>105245</v>
          </cell>
        </row>
        <row r="27">
          <cell r="HR27">
            <v>3432</v>
          </cell>
        </row>
        <row r="28">
          <cell r="HR28">
            <v>3273</v>
          </cell>
        </row>
        <row r="32">
          <cell r="HR32">
            <v>364</v>
          </cell>
        </row>
        <row r="33">
          <cell r="HR33">
            <v>191</v>
          </cell>
        </row>
        <row r="37">
          <cell r="HR37">
            <v>0</v>
          </cell>
        </row>
        <row r="38">
          <cell r="HR38">
            <v>5</v>
          </cell>
        </row>
        <row r="41">
          <cell r="HD41">
            <v>152507</v>
          </cell>
          <cell r="HR41">
            <v>209737</v>
          </cell>
        </row>
        <row r="64">
          <cell r="HD64">
            <v>0</v>
          </cell>
          <cell r="HR64">
            <v>0</v>
          </cell>
        </row>
        <row r="70">
          <cell r="HR70">
            <v>36219</v>
          </cell>
        </row>
        <row r="71">
          <cell r="HR71">
            <v>69026</v>
          </cell>
        </row>
        <row r="73">
          <cell r="HR73">
            <v>66</v>
          </cell>
        </row>
        <row r="74">
          <cell r="HR74">
            <v>125</v>
          </cell>
        </row>
      </sheetData>
      <sheetData sheetId="53"/>
      <sheetData sheetId="54">
        <row r="4">
          <cell r="HR4">
            <v>43</v>
          </cell>
        </row>
        <row r="5">
          <cell r="HR5">
            <v>43</v>
          </cell>
        </row>
        <row r="19">
          <cell r="HD19">
            <v>0</v>
          </cell>
          <cell r="HR19">
            <v>86</v>
          </cell>
        </row>
        <row r="22">
          <cell r="HR22">
            <v>2015</v>
          </cell>
        </row>
        <row r="23">
          <cell r="HR23">
            <v>2286</v>
          </cell>
        </row>
        <row r="27">
          <cell r="HR27">
            <v>98</v>
          </cell>
        </row>
        <row r="28">
          <cell r="HR28">
            <v>97</v>
          </cell>
        </row>
        <row r="41">
          <cell r="HD41">
            <v>0</v>
          </cell>
          <cell r="HR41">
            <v>4301</v>
          </cell>
        </row>
        <row r="47">
          <cell r="HR47">
            <v>16</v>
          </cell>
        </row>
        <row r="52">
          <cell r="HR52">
            <v>1</v>
          </cell>
        </row>
        <row r="64">
          <cell r="HD64">
            <v>0</v>
          </cell>
          <cell r="HR64">
            <v>17</v>
          </cell>
        </row>
      </sheetData>
      <sheetData sheetId="55">
        <row r="4">
          <cell r="HR4">
            <v>27</v>
          </cell>
        </row>
        <row r="5">
          <cell r="HR5">
            <v>27</v>
          </cell>
        </row>
        <row r="19">
          <cell r="HD19">
            <v>0</v>
          </cell>
          <cell r="HR19">
            <v>54</v>
          </cell>
        </row>
        <row r="22">
          <cell r="HR22">
            <v>1516</v>
          </cell>
        </row>
        <row r="23">
          <cell r="HR23">
            <v>1251</v>
          </cell>
        </row>
        <row r="27">
          <cell r="HR27">
            <v>52</v>
          </cell>
        </row>
        <row r="28">
          <cell r="HR28">
            <v>61</v>
          </cell>
        </row>
        <row r="41">
          <cell r="HD41">
            <v>0</v>
          </cell>
          <cell r="HR41">
            <v>2767</v>
          </cell>
        </row>
        <row r="47">
          <cell r="HR47">
            <v>645</v>
          </cell>
        </row>
        <row r="52">
          <cell r="HR52">
            <v>36</v>
          </cell>
        </row>
        <row r="53">
          <cell r="HR53">
            <v>4243</v>
          </cell>
        </row>
        <row r="64">
          <cell r="HD64">
            <v>0</v>
          </cell>
          <cell r="HR64">
            <v>4924</v>
          </cell>
        </row>
      </sheetData>
      <sheetData sheetId="56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57">
        <row r="19">
          <cell r="HD19">
            <v>0</v>
          </cell>
          <cell r="HR19">
            <v>0</v>
          </cell>
        </row>
        <row r="41">
          <cell r="HD41">
            <v>0</v>
          </cell>
          <cell r="HR41">
            <v>0</v>
          </cell>
        </row>
        <row r="64">
          <cell r="HD64">
            <v>0</v>
          </cell>
          <cell r="HR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4">
          <cell r="HR4">
            <v>6</v>
          </cell>
        </row>
        <row r="5">
          <cell r="HR5">
            <v>6</v>
          </cell>
        </row>
        <row r="23">
          <cell r="HR23">
            <v>1835</v>
          </cell>
        </row>
      </sheetData>
      <sheetData sheetId="64">
        <row r="4">
          <cell r="HR4">
            <v>2</v>
          </cell>
        </row>
        <row r="5">
          <cell r="HR5">
            <v>2</v>
          </cell>
        </row>
        <row r="22">
          <cell r="HR22">
            <v>324</v>
          </cell>
        </row>
        <row r="23">
          <cell r="HR23">
            <v>233</v>
          </cell>
        </row>
      </sheetData>
      <sheetData sheetId="65">
        <row r="4">
          <cell r="HR4">
            <v>29</v>
          </cell>
        </row>
        <row r="5">
          <cell r="HR5">
            <v>29</v>
          </cell>
        </row>
        <row r="19">
          <cell r="HD19">
            <v>0</v>
          </cell>
          <cell r="HR19">
            <v>58</v>
          </cell>
        </row>
        <row r="47">
          <cell r="HR47">
            <v>2104024</v>
          </cell>
        </row>
        <row r="52">
          <cell r="HR52">
            <v>1029964</v>
          </cell>
        </row>
        <row r="64">
          <cell r="HD64">
            <v>0</v>
          </cell>
          <cell r="HR64">
            <v>3133988</v>
          </cell>
        </row>
      </sheetData>
      <sheetData sheetId="66">
        <row r="4">
          <cell r="HR4">
            <v>58</v>
          </cell>
        </row>
        <row r="5">
          <cell r="HR5">
            <v>60</v>
          </cell>
        </row>
        <row r="8">
          <cell r="HR8">
            <v>1</v>
          </cell>
        </row>
        <row r="9">
          <cell r="HR9">
            <v>1</v>
          </cell>
        </row>
        <row r="19">
          <cell r="HD19">
            <v>60</v>
          </cell>
          <cell r="HR19">
            <v>120</v>
          </cell>
        </row>
        <row r="47">
          <cell r="HR47">
            <v>2227648</v>
          </cell>
        </row>
        <row r="52">
          <cell r="HR52">
            <v>1020227</v>
          </cell>
        </row>
        <row r="64">
          <cell r="HD64">
            <v>1472380</v>
          </cell>
          <cell r="HR64">
            <v>3247875</v>
          </cell>
        </row>
      </sheetData>
      <sheetData sheetId="67">
        <row r="19">
          <cell r="HD19">
            <v>0</v>
          </cell>
          <cell r="HR19">
            <v>0</v>
          </cell>
        </row>
        <row r="64">
          <cell r="HD64">
            <v>0</v>
          </cell>
          <cell r="HR64">
            <v>0</v>
          </cell>
        </row>
      </sheetData>
      <sheetData sheetId="68">
        <row r="19">
          <cell r="HD19">
            <v>0</v>
          </cell>
          <cell r="HR19">
            <v>0</v>
          </cell>
        </row>
        <row r="64">
          <cell r="HD64">
            <v>0</v>
          </cell>
          <cell r="HR64">
            <v>0</v>
          </cell>
        </row>
      </sheetData>
      <sheetData sheetId="69">
        <row r="19">
          <cell r="HD19">
            <v>0</v>
          </cell>
          <cell r="HR19">
            <v>0</v>
          </cell>
        </row>
        <row r="64">
          <cell r="HD64">
            <v>0</v>
          </cell>
          <cell r="HR64">
            <v>0</v>
          </cell>
        </row>
      </sheetData>
      <sheetData sheetId="70">
        <row r="4">
          <cell r="HR4">
            <v>39</v>
          </cell>
        </row>
        <row r="5">
          <cell r="HR5">
            <v>39</v>
          </cell>
        </row>
        <row r="19">
          <cell r="HD19">
            <v>0</v>
          </cell>
          <cell r="HR19">
            <v>78</v>
          </cell>
        </row>
        <row r="47">
          <cell r="HR47">
            <v>48782</v>
          </cell>
        </row>
        <row r="52">
          <cell r="HR52">
            <v>67910</v>
          </cell>
        </row>
        <row r="64">
          <cell r="HD64">
            <v>0</v>
          </cell>
          <cell r="HR64">
            <v>116692</v>
          </cell>
        </row>
      </sheetData>
      <sheetData sheetId="71">
        <row r="12">
          <cell r="HR12">
            <v>0</v>
          </cell>
        </row>
        <row r="19">
          <cell r="HD19">
            <v>78</v>
          </cell>
          <cell r="HR19">
            <v>0</v>
          </cell>
        </row>
        <row r="64">
          <cell r="HD64">
            <v>129551</v>
          </cell>
          <cell r="HR64">
            <v>0</v>
          </cell>
        </row>
      </sheetData>
      <sheetData sheetId="72">
        <row r="19">
          <cell r="HD19">
            <v>8</v>
          </cell>
          <cell r="HR19">
            <v>0</v>
          </cell>
        </row>
        <row r="64">
          <cell r="HD64">
            <v>190513</v>
          </cell>
          <cell r="HR64">
            <v>0</v>
          </cell>
        </row>
      </sheetData>
      <sheetData sheetId="73"/>
      <sheetData sheetId="74">
        <row r="19">
          <cell r="HD19">
            <v>0</v>
          </cell>
          <cell r="HR19">
            <v>0</v>
          </cell>
        </row>
        <row r="64">
          <cell r="HD64">
            <v>0</v>
          </cell>
          <cell r="HR64">
            <v>0</v>
          </cell>
        </row>
      </sheetData>
      <sheetData sheetId="75">
        <row r="4">
          <cell r="HR4">
            <v>32</v>
          </cell>
        </row>
        <row r="5">
          <cell r="HR5">
            <v>32</v>
          </cell>
        </row>
        <row r="19">
          <cell r="HD19">
            <v>36</v>
          </cell>
          <cell r="HR19">
            <v>64</v>
          </cell>
        </row>
        <row r="47">
          <cell r="HR47">
            <v>883434</v>
          </cell>
        </row>
        <row r="52">
          <cell r="HR52">
            <v>444805</v>
          </cell>
        </row>
        <row r="64">
          <cell r="HD64">
            <v>932484</v>
          </cell>
          <cell r="HR64">
            <v>1328239</v>
          </cell>
        </row>
      </sheetData>
      <sheetData sheetId="76">
        <row r="19">
          <cell r="HD19">
            <v>0</v>
          </cell>
          <cell r="HR19">
            <v>0</v>
          </cell>
        </row>
        <row r="64">
          <cell r="HD64">
            <v>0</v>
          </cell>
          <cell r="HR64">
            <v>0</v>
          </cell>
        </row>
      </sheetData>
      <sheetData sheetId="77"/>
      <sheetData sheetId="78">
        <row r="4">
          <cell r="HR4">
            <v>126</v>
          </cell>
        </row>
        <row r="5">
          <cell r="HR5">
            <v>126</v>
          </cell>
        </row>
        <row r="19">
          <cell r="HD19">
            <v>274</v>
          </cell>
          <cell r="HR19">
            <v>252</v>
          </cell>
        </row>
        <row r="47">
          <cell r="HR47">
            <v>7061826</v>
          </cell>
        </row>
        <row r="52">
          <cell r="HR52">
            <v>6138666</v>
          </cell>
        </row>
        <row r="64">
          <cell r="HD64">
            <v>16720724</v>
          </cell>
          <cell r="HR64">
            <v>13200492</v>
          </cell>
        </row>
      </sheetData>
      <sheetData sheetId="79">
        <row r="4">
          <cell r="HR4">
            <v>17</v>
          </cell>
        </row>
        <row r="5">
          <cell r="HR5">
            <v>17</v>
          </cell>
        </row>
        <row r="19">
          <cell r="HD19">
            <v>42</v>
          </cell>
          <cell r="HR19">
            <v>34</v>
          </cell>
        </row>
        <row r="48">
          <cell r="HR48">
            <v>38751</v>
          </cell>
        </row>
        <row r="53">
          <cell r="HR53">
            <v>91277</v>
          </cell>
        </row>
        <row r="64">
          <cell r="HD64">
            <v>129010</v>
          </cell>
          <cell r="HR64">
            <v>130028</v>
          </cell>
        </row>
      </sheetData>
      <sheetData sheetId="80">
        <row r="4">
          <cell r="HR4">
            <v>12</v>
          </cell>
        </row>
        <row r="5">
          <cell r="HR5">
            <v>12</v>
          </cell>
        </row>
        <row r="19">
          <cell r="HD19">
            <v>30</v>
          </cell>
          <cell r="HR19">
            <v>24</v>
          </cell>
        </row>
        <row r="47">
          <cell r="HR47">
            <v>40577</v>
          </cell>
        </row>
        <row r="64">
          <cell r="HD64">
            <v>47203</v>
          </cell>
          <cell r="HR64">
            <v>40577</v>
          </cell>
        </row>
      </sheetData>
      <sheetData sheetId="81">
        <row r="4">
          <cell r="HR4">
            <v>131</v>
          </cell>
        </row>
        <row r="5">
          <cell r="HR5">
            <v>127</v>
          </cell>
        </row>
        <row r="15">
          <cell r="HR15">
            <v>13</v>
          </cell>
        </row>
        <row r="16">
          <cell r="HR16">
            <v>16</v>
          </cell>
        </row>
        <row r="19">
          <cell r="HD19">
            <v>304</v>
          </cell>
          <cell r="HR19">
            <v>287</v>
          </cell>
        </row>
        <row r="47">
          <cell r="HR47">
            <v>5810892</v>
          </cell>
        </row>
        <row r="48">
          <cell r="HR48">
            <v>794014</v>
          </cell>
        </row>
        <row r="52">
          <cell r="HR52">
            <v>5031495</v>
          </cell>
        </row>
        <row r="53">
          <cell r="HR53">
            <v>491122</v>
          </cell>
        </row>
        <row r="64">
          <cell r="HD64">
            <v>12716054</v>
          </cell>
          <cell r="HR64">
            <v>12127523</v>
          </cell>
        </row>
      </sheetData>
      <sheetData sheetId="82"/>
      <sheetData sheetId="83"/>
      <sheetData sheetId="84"/>
      <sheetData sheetId="85">
        <row r="4">
          <cell r="HR4">
            <v>201</v>
          </cell>
        </row>
        <row r="5">
          <cell r="HR5">
            <v>201</v>
          </cell>
        </row>
        <row r="19">
          <cell r="HD19">
            <v>376</v>
          </cell>
          <cell r="HR19">
            <v>402</v>
          </cell>
        </row>
      </sheetData>
      <sheetData sheetId="86">
        <row r="19">
          <cell r="HD19">
            <v>0</v>
          </cell>
          <cell r="HR19">
            <v>0</v>
          </cell>
        </row>
        <row r="64">
          <cell r="HD64">
            <v>0</v>
          </cell>
          <cell r="HR64">
            <v>0</v>
          </cell>
        </row>
      </sheetData>
      <sheetData sheetId="87">
        <row r="8">
          <cell r="HR8">
            <v>1</v>
          </cell>
        </row>
        <row r="9">
          <cell r="HR9">
            <v>1</v>
          </cell>
        </row>
        <row r="19">
          <cell r="HD19">
            <v>2</v>
          </cell>
          <cell r="HR19">
            <v>2</v>
          </cell>
        </row>
        <row r="64">
          <cell r="HD64">
            <v>2782</v>
          </cell>
          <cell r="HR64">
            <v>0</v>
          </cell>
        </row>
      </sheetData>
      <sheetData sheetId="88">
        <row r="4">
          <cell r="HR4">
            <v>55</v>
          </cell>
        </row>
        <row r="5">
          <cell r="HR5">
            <v>55</v>
          </cell>
        </row>
      </sheetData>
      <sheetData sheetId="89">
        <row r="4">
          <cell r="HR4">
            <v>548</v>
          </cell>
        </row>
        <row r="5">
          <cell r="HR5">
            <v>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G5" sqref="G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3">
        <v>44562</v>
      </c>
      <c r="B2" s="10"/>
      <c r="C2" s="10"/>
      <c r="D2" s="453" t="s">
        <v>238</v>
      </c>
      <c r="E2" s="453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4"/>
      <c r="E3" s="455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802380</v>
      </c>
      <c r="C5" s="10">
        <f>'Major Airline Stats'!K5</f>
        <v>808251</v>
      </c>
      <c r="D5" s="2">
        <f>'Major Airline Stats'!K6</f>
        <v>1610631</v>
      </c>
      <c r="E5" s="2">
        <f>'[1]Monthly Summary'!D5</f>
        <v>777110</v>
      </c>
      <c r="F5" s="3">
        <f>(D5-E5)/E5</f>
        <v>1.0725907529178624</v>
      </c>
      <c r="G5" s="2">
        <f>+D5</f>
        <v>1610631</v>
      </c>
      <c r="H5" s="2">
        <f>+E5</f>
        <v>777110</v>
      </c>
      <c r="I5" s="66">
        <f>(G5-H5)/H5</f>
        <v>1.0725907529178624</v>
      </c>
      <c r="J5" s="2"/>
    </row>
    <row r="6" spans="1:14" x14ac:dyDescent="0.2">
      <c r="A6" s="51" t="s">
        <v>5</v>
      </c>
      <c r="B6" s="231">
        <f>'Regional Major'!M5</f>
        <v>161099</v>
      </c>
      <c r="C6" s="231">
        <f>'Regional Major'!M6</f>
        <v>162385</v>
      </c>
      <c r="D6" s="2">
        <f>B6+C6</f>
        <v>323484</v>
      </c>
      <c r="E6" s="2">
        <f>'[1]Monthly Summary'!D6</f>
        <v>283771</v>
      </c>
      <c r="F6" s="3">
        <f>(D6-E6)/E6</f>
        <v>0.13994735191404337</v>
      </c>
      <c r="G6" s="2">
        <f t="shared" ref="G6:G7" si="0">+D6</f>
        <v>323484</v>
      </c>
      <c r="H6" s="2">
        <f t="shared" ref="H6:H7" si="1">+E6</f>
        <v>283771</v>
      </c>
      <c r="I6" s="66">
        <f>(G6-H6)/H6</f>
        <v>0.13994735191404337</v>
      </c>
      <c r="K6" s="2"/>
    </row>
    <row r="7" spans="1:14" x14ac:dyDescent="0.2">
      <c r="A7" s="51" t="s">
        <v>6</v>
      </c>
      <c r="B7" s="2">
        <f>Charter!G5</f>
        <v>324</v>
      </c>
      <c r="C7" s="231">
        <f>Charter!G6</f>
        <v>2068</v>
      </c>
      <c r="D7" s="2">
        <f>B7+C7</f>
        <v>2392</v>
      </c>
      <c r="E7" s="2">
        <f>'[1]Monthly Summary'!D7</f>
        <v>300</v>
      </c>
      <c r="F7" s="3">
        <f>(D7-E7)/E7</f>
        <v>6.9733333333333336</v>
      </c>
      <c r="G7" s="2">
        <f t="shared" si="0"/>
        <v>2392</v>
      </c>
      <c r="H7" s="2">
        <f t="shared" si="1"/>
        <v>300</v>
      </c>
      <c r="I7" s="66">
        <f>(G7-H7)/H7</f>
        <v>6.9733333333333336</v>
      </c>
      <c r="K7" s="2"/>
    </row>
    <row r="8" spans="1:14" x14ac:dyDescent="0.2">
      <c r="A8" s="53" t="s">
        <v>7</v>
      </c>
      <c r="B8" s="120">
        <f>SUM(B5:B7)</f>
        <v>963803</v>
      </c>
      <c r="C8" s="120">
        <f>SUM(C5:C7)</f>
        <v>972704</v>
      </c>
      <c r="D8" s="120">
        <f>SUM(D5:D7)</f>
        <v>1936507</v>
      </c>
      <c r="E8" s="120">
        <f>SUM(E5:E7)</f>
        <v>1061181</v>
      </c>
      <c r="F8" s="72">
        <f>(D8-E8)/E8</f>
        <v>0.8248602264835122</v>
      </c>
      <c r="G8" s="120">
        <f>SUM(G5:G7)</f>
        <v>1936507</v>
      </c>
      <c r="H8" s="120">
        <f>SUM(H5:H7)</f>
        <v>1061181</v>
      </c>
      <c r="I8" s="71">
        <f>(G8-H8)/H8</f>
        <v>0.8248602264835122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30102</v>
      </c>
      <c r="C10" s="232">
        <f>'Major Airline Stats'!K10+'Regional Major'!M11</f>
        <v>30213</v>
      </c>
      <c r="D10" s="97">
        <f>SUM(B10:C10)</f>
        <v>60315</v>
      </c>
      <c r="E10" s="97">
        <f>'[1]Monthly Summary'!D10</f>
        <v>49656</v>
      </c>
      <c r="F10" s="73">
        <f>(D10-E10)/E10</f>
        <v>0.21465683905268246</v>
      </c>
      <c r="G10" s="449">
        <f t="shared" ref="G10" si="2">+D10</f>
        <v>60315</v>
      </c>
      <c r="H10" s="449">
        <f t="shared" ref="H10" si="3">+E10</f>
        <v>49656</v>
      </c>
      <c r="I10" s="76">
        <f>(G10-H10)/H10</f>
        <v>0.21465683905268246</v>
      </c>
      <c r="J10" s="170"/>
    </row>
    <row r="11" spans="1:14" ht="15.75" thickBot="1" x14ac:dyDescent="0.3">
      <c r="A11" s="52" t="s">
        <v>13</v>
      </c>
      <c r="B11" s="211">
        <f>B10+B8</f>
        <v>993905</v>
      </c>
      <c r="C11" s="211">
        <f>C10+C8</f>
        <v>1002917</v>
      </c>
      <c r="D11" s="211">
        <f>D10+D8</f>
        <v>1996822</v>
      </c>
      <c r="E11" s="211">
        <f>E10+E8</f>
        <v>1110837</v>
      </c>
      <c r="F11" s="74">
        <f>(D11-E11)/E11</f>
        <v>0.79758326379117728</v>
      </c>
      <c r="G11" s="211">
        <f>G8+G10</f>
        <v>1996822</v>
      </c>
      <c r="H11" s="211">
        <f>H8+H10</f>
        <v>1110837</v>
      </c>
      <c r="I11" s="77">
        <f>(G11-H11)/H11</f>
        <v>0.79758326379117728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3" t="s">
        <v>238</v>
      </c>
      <c r="E13" s="453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4"/>
      <c r="E14" s="455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7002</v>
      </c>
      <c r="C16" s="240">
        <f>'Major Airline Stats'!K16+'Major Airline Stats'!K20</f>
        <v>7015</v>
      </c>
      <c r="D16" s="32">
        <f t="shared" ref="D16:D21" si="4">SUM(B16:C16)</f>
        <v>14017</v>
      </c>
      <c r="E16" s="2">
        <f>'[1]Monthly Summary'!D16</f>
        <v>9625</v>
      </c>
      <c r="F16" s="75">
        <f t="shared" ref="F16:F22" si="5">(D16-E16)/E16</f>
        <v>0.45631168831168833</v>
      </c>
      <c r="G16" s="2">
        <f>+D16</f>
        <v>14017</v>
      </c>
      <c r="H16" s="2">
        <f>+E16</f>
        <v>9625</v>
      </c>
      <c r="I16" s="202">
        <f t="shared" ref="I16:I22" si="6">(G16-H16)/H16</f>
        <v>0.45631168831168833</v>
      </c>
      <c r="N16" s="96"/>
    </row>
    <row r="17" spans="1:12" x14ac:dyDescent="0.2">
      <c r="A17" s="51" t="s">
        <v>5</v>
      </c>
      <c r="B17" s="32">
        <f>'Regional Major'!M15+'Regional Major'!M18</f>
        <v>4006</v>
      </c>
      <c r="C17" s="32">
        <f>'Regional Major'!M16+'Regional Major'!M19</f>
        <v>4015</v>
      </c>
      <c r="D17" s="32">
        <f>SUM(B17:C17)</f>
        <v>8021</v>
      </c>
      <c r="E17" s="2">
        <f>'[1]Monthly Summary'!D17</f>
        <v>9147</v>
      </c>
      <c r="F17" s="75">
        <f t="shared" si="5"/>
        <v>-0.12310047009948617</v>
      </c>
      <c r="G17" s="2">
        <f t="shared" ref="G17:G21" si="7">+D17</f>
        <v>8021</v>
      </c>
      <c r="H17" s="2">
        <f t="shared" ref="H17:H21" si="8">+E17</f>
        <v>9147</v>
      </c>
      <c r="I17" s="202">
        <f t="shared" si="6"/>
        <v>-0.12310047009948617</v>
      </c>
      <c r="L17" s="2"/>
    </row>
    <row r="18" spans="1:12" x14ac:dyDescent="0.2">
      <c r="A18" s="51" t="s">
        <v>10</v>
      </c>
      <c r="B18" s="32">
        <f>Charter!G10</f>
        <v>8</v>
      </c>
      <c r="C18" s="32">
        <f>Charter!G11</f>
        <v>8</v>
      </c>
      <c r="D18" s="32">
        <f t="shared" si="4"/>
        <v>16</v>
      </c>
      <c r="E18" s="2">
        <f>'[1]Monthly Summary'!D18</f>
        <v>2</v>
      </c>
      <c r="F18" s="75">
        <f t="shared" si="5"/>
        <v>7</v>
      </c>
      <c r="G18" s="2">
        <f t="shared" si="7"/>
        <v>16</v>
      </c>
      <c r="H18" s="2">
        <f t="shared" si="8"/>
        <v>2</v>
      </c>
      <c r="I18" s="202">
        <f t="shared" si="6"/>
        <v>7</v>
      </c>
    </row>
    <row r="19" spans="1:12" x14ac:dyDescent="0.2">
      <c r="A19" s="51" t="s">
        <v>11</v>
      </c>
      <c r="B19" s="32">
        <f>Cargo!R4+Cargo!R8</f>
        <v>660</v>
      </c>
      <c r="C19" s="32">
        <f>Cargo!R5+Cargo!R9</f>
        <v>661</v>
      </c>
      <c r="D19" s="32">
        <f t="shared" si="4"/>
        <v>1321</v>
      </c>
      <c r="E19" s="2">
        <f>'[1]Monthly Summary'!D19</f>
        <v>1210</v>
      </c>
      <c r="F19" s="75">
        <f t="shared" si="5"/>
        <v>9.173553719008265E-2</v>
      </c>
      <c r="G19" s="2">
        <f t="shared" si="7"/>
        <v>1321</v>
      </c>
      <c r="H19" s="2">
        <f t="shared" si="8"/>
        <v>1210</v>
      </c>
      <c r="I19" s="202">
        <f t="shared" si="6"/>
        <v>9.173553719008265E-2</v>
      </c>
    </row>
    <row r="20" spans="1:12" x14ac:dyDescent="0.2">
      <c r="A20" s="51" t="s">
        <v>148</v>
      </c>
      <c r="B20" s="32">
        <f>'[2]General Avation'!$HR$4</f>
        <v>548</v>
      </c>
      <c r="C20" s="32">
        <f>'[2]General Avation'!$HR$5</f>
        <v>548</v>
      </c>
      <c r="D20" s="32">
        <f t="shared" si="4"/>
        <v>1096</v>
      </c>
      <c r="E20" s="2">
        <f>'[1]Monthly Summary'!D20</f>
        <v>955</v>
      </c>
      <c r="F20" s="75">
        <f t="shared" si="5"/>
        <v>0.14764397905759163</v>
      </c>
      <c r="G20" s="2">
        <f t="shared" si="7"/>
        <v>1096</v>
      </c>
      <c r="H20" s="2">
        <f t="shared" si="8"/>
        <v>955</v>
      </c>
      <c r="I20" s="202">
        <f t="shared" si="6"/>
        <v>0.14764397905759163</v>
      </c>
    </row>
    <row r="21" spans="1:12" ht="12.75" customHeight="1" x14ac:dyDescent="0.2">
      <c r="A21" s="51" t="s">
        <v>12</v>
      </c>
      <c r="B21" s="11">
        <f>'[2]Military '!$HR$4</f>
        <v>55</v>
      </c>
      <c r="C21" s="11">
        <f>'[2]Military '!$HR$5</f>
        <v>55</v>
      </c>
      <c r="D21" s="11">
        <f t="shared" si="4"/>
        <v>110</v>
      </c>
      <c r="E21" s="97">
        <f>'[1]Monthly Summary'!D21</f>
        <v>87</v>
      </c>
      <c r="F21" s="200">
        <f t="shared" si="5"/>
        <v>0.26436781609195403</v>
      </c>
      <c r="G21" s="449">
        <f t="shared" si="7"/>
        <v>110</v>
      </c>
      <c r="H21" s="449">
        <f t="shared" si="8"/>
        <v>87</v>
      </c>
      <c r="I21" s="203">
        <f t="shared" si="6"/>
        <v>0.26436781609195403</v>
      </c>
    </row>
    <row r="22" spans="1:12" ht="15.75" thickBot="1" x14ac:dyDescent="0.3">
      <c r="A22" s="52" t="s">
        <v>28</v>
      </c>
      <c r="B22" s="212">
        <f>SUM(B16:B21)</f>
        <v>12279</v>
      </c>
      <c r="C22" s="212">
        <f>SUM(C16:C21)</f>
        <v>12302</v>
      </c>
      <c r="D22" s="212">
        <f>SUM(D16:D21)</f>
        <v>24581</v>
      </c>
      <c r="E22" s="212">
        <f>SUM(E16:E21)</f>
        <v>21026</v>
      </c>
      <c r="F22" s="209">
        <f t="shared" si="5"/>
        <v>0.16907638162275279</v>
      </c>
      <c r="G22" s="212">
        <f>SUM(G16:G21)</f>
        <v>24581</v>
      </c>
      <c r="H22" s="212">
        <f>SUM(H16:H21)</f>
        <v>21026</v>
      </c>
      <c r="I22" s="210">
        <f t="shared" si="6"/>
        <v>0.16907638162275279</v>
      </c>
    </row>
    <row r="23" spans="1:12" x14ac:dyDescent="0.2">
      <c r="B23" s="96"/>
      <c r="C23" s="96"/>
      <c r="L23" s="2"/>
    </row>
    <row r="24" spans="1:12" ht="12.75" customHeight="1" x14ac:dyDescent="0.2">
      <c r="B24" s="10"/>
      <c r="C24" s="10"/>
      <c r="D24" s="453" t="s">
        <v>238</v>
      </c>
      <c r="E24" s="453" t="s">
        <v>220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54"/>
      <c r="E25" s="455"/>
      <c r="F25" s="5" t="s">
        <v>2</v>
      </c>
      <c r="G25" s="5" t="s">
        <v>239</v>
      </c>
      <c r="H25" s="5" t="s">
        <v>219</v>
      </c>
      <c r="I25" s="5" t="s">
        <v>2</v>
      </c>
    </row>
    <row r="26" spans="1:12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6" t="s">
        <v>15</v>
      </c>
      <c r="B27" s="14">
        <f>(Cargo!R16+'Major Airline Stats'!K28+'Regional Major'!M25)*0.00045359237</f>
        <v>9222.3625025447291</v>
      </c>
      <c r="C27" s="14">
        <f>(Cargo!R21+'Major Airline Stats'!K33+'Regional Major'!M30)*0.00045359237</f>
        <v>6768.0354234446795</v>
      </c>
      <c r="D27" s="14">
        <f>(SUM(B27:C27)+('Cargo Summary'!E17*0.00045359237))</f>
        <v>15990.397925989408</v>
      </c>
      <c r="E27" s="2">
        <f>'[1]Monthly Summary'!D27</f>
        <v>14344.41644868925</v>
      </c>
      <c r="F27" s="78">
        <f>(D27-E27)/E27</f>
        <v>0.11474718983431097</v>
      </c>
      <c r="G27" s="2">
        <f>+D27</f>
        <v>15990.397925989408</v>
      </c>
      <c r="H27" s="2">
        <f>+E27</f>
        <v>14344.41644868925</v>
      </c>
      <c r="I27" s="80">
        <f>(G27-H27)/H27</f>
        <v>0.11474718983431097</v>
      </c>
    </row>
    <row r="28" spans="1:12" x14ac:dyDescent="0.2">
      <c r="A28" s="46" t="s">
        <v>16</v>
      </c>
      <c r="B28" s="14">
        <f>(Cargo!R17+'Major Airline Stats'!K29+'Regional Major'!M26)*0.00045359237</f>
        <v>1007.41867473786</v>
      </c>
      <c r="C28" s="14">
        <f>(Cargo!R22+'Major Airline Stats'!K34+'Regional Major'!M31)*0.00045359237</f>
        <v>891.60429568286997</v>
      </c>
      <c r="D28" s="14">
        <f>SUM(B28:C28)</f>
        <v>1899.02297042073</v>
      </c>
      <c r="E28" s="2">
        <f>'[1]Monthly Summary'!D28</f>
        <v>1803.0922664970599</v>
      </c>
      <c r="F28" s="78">
        <f>(D28-E28)/E28</f>
        <v>5.3203435956185721E-2</v>
      </c>
      <c r="G28" s="2">
        <f>+D28</f>
        <v>1899.02297042073</v>
      </c>
      <c r="H28" s="2">
        <f>+E28</f>
        <v>1803.0922664970599</v>
      </c>
      <c r="I28" s="80">
        <f>(G28-H28)/H28</f>
        <v>5.3203435956185721E-2</v>
      </c>
    </row>
    <row r="29" spans="1:12" ht="15.75" thickBot="1" x14ac:dyDescent="0.3">
      <c r="A29" s="47" t="s">
        <v>62</v>
      </c>
      <c r="B29" s="39">
        <f>SUM(B27:B28)</f>
        <v>10229.78117728259</v>
      </c>
      <c r="C29" s="39">
        <f>SUM(C27:C28)</f>
        <v>7659.6397191275491</v>
      </c>
      <c r="D29" s="39">
        <f>SUM(D27:D28)</f>
        <v>17889.420896410138</v>
      </c>
      <c r="E29" s="39">
        <f>SUM(E27:E28)</f>
        <v>16147.50871518631</v>
      </c>
      <c r="F29" s="79">
        <f>(D29-E29)/E29</f>
        <v>0.10787498009433526</v>
      </c>
      <c r="G29" s="39">
        <f>SUM(G27:G28)</f>
        <v>17889.420896410138</v>
      </c>
      <c r="H29" s="39">
        <f>SUM(H27:H28)</f>
        <v>16147.50871518631</v>
      </c>
      <c r="I29" s="81">
        <f>(G29-H29)/H29</f>
        <v>0.10787498009433526</v>
      </c>
    </row>
    <row r="30" spans="1:12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2" ht="13.5" thickBot="1" x14ac:dyDescent="0.25">
      <c r="B31" s="452" t="s">
        <v>144</v>
      </c>
      <c r="C31" s="451"/>
      <c r="D31" s="452" t="s">
        <v>151</v>
      </c>
      <c r="E31" s="451"/>
      <c r="F31" s="333"/>
      <c r="G31" s="334"/>
    </row>
    <row r="32" spans="1:12" x14ac:dyDescent="0.2">
      <c r="A32" s="315" t="s">
        <v>145</v>
      </c>
      <c r="B32" s="316">
        <f>C8-B33</f>
        <v>678261</v>
      </c>
      <c r="C32" s="317">
        <f>B32/C8</f>
        <v>0.69729434648156063</v>
      </c>
      <c r="D32" s="318">
        <f>+B32</f>
        <v>678261</v>
      </c>
      <c r="E32" s="319">
        <f>+D32/D34</f>
        <v>0.69729434648156063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294443</v>
      </c>
      <c r="C33" s="322">
        <f>+B33/C8</f>
        <v>0.30270565351843931</v>
      </c>
      <c r="D33" s="323">
        <f>+B33</f>
        <v>294443</v>
      </c>
      <c r="E33" s="324">
        <f>+D33/D34</f>
        <v>0.30270565351843931</v>
      </c>
      <c r="I33" s="332"/>
    </row>
    <row r="34" spans="1:14" ht="13.5" thickBot="1" x14ac:dyDescent="0.25">
      <c r="B34" s="244"/>
      <c r="D34" s="325">
        <f>SUM(D32:D33)</f>
        <v>972704</v>
      </c>
    </row>
    <row r="35" spans="1:14" ht="13.5" thickBot="1" x14ac:dyDescent="0.25">
      <c r="B35" s="450" t="s">
        <v>240</v>
      </c>
      <c r="C35" s="451"/>
      <c r="D35" s="452" t="s">
        <v>241</v>
      </c>
      <c r="E35" s="451"/>
    </row>
    <row r="36" spans="1:14" x14ac:dyDescent="0.2">
      <c r="A36" s="315" t="s">
        <v>145</v>
      </c>
      <c r="B36" s="316">
        <f>'[1]Monthly Summary'!$B$32</f>
        <v>355226</v>
      </c>
      <c r="C36" s="317">
        <f>+B36/B38</f>
        <v>0.67693040628096657</v>
      </c>
      <c r="D36" s="318">
        <f>'[1]Monthly Summary'!$D$32</f>
        <v>355226</v>
      </c>
      <c r="E36" s="319">
        <f>+D36/D38</f>
        <v>0.67693040628096657</v>
      </c>
    </row>
    <row r="37" spans="1:14" ht="13.5" thickBot="1" x14ac:dyDescent="0.25">
      <c r="A37" s="320" t="s">
        <v>146</v>
      </c>
      <c r="B37" s="321">
        <f>'[1]Monthly Summary'!$B$33</f>
        <v>169534</v>
      </c>
      <c r="C37" s="324">
        <f>+B37/B38</f>
        <v>0.32306959371903349</v>
      </c>
      <c r="D37" s="323">
        <f>'[1]Monthly Summary'!$D$33</f>
        <v>169534</v>
      </c>
      <c r="E37" s="324">
        <f>+D37/D38</f>
        <v>0.32306959371903349</v>
      </c>
      <c r="M37" s="1"/>
    </row>
    <row r="38" spans="1:14" x14ac:dyDescent="0.2">
      <c r="B38" s="337">
        <f>+SUM(B36:B37)</f>
        <v>524760</v>
      </c>
      <c r="D38" s="325">
        <f>SUM(D36:D37)</f>
        <v>524760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2022</oddHeader>
    <oddFooter>&amp;LPrinted on &amp;D&amp;RPage &amp;P of &amp;N</oddFooter>
  </headerFooter>
  <ignoredErrors>
    <ignoredError sqref="F8 F22 F29 D36:D37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topLeftCell="A7" zoomScaleNormal="100" zoomScaleSheetLayoutView="100" workbookViewId="0">
      <selection activeCell="K24" sqref="K2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3">
        <v>44562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6" t="s">
        <v>140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8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[2]Delta!$HR$32</f>
        <v>50106</v>
      </c>
      <c r="C4" s="13">
        <f>'[2]Atlantic Southeast'!$HR$32</f>
        <v>0</v>
      </c>
      <c r="D4" s="13">
        <f>[2]Pinnacle!$HR$32</f>
        <v>409</v>
      </c>
      <c r="E4" s="13">
        <f>'[2]Sky West'!$HR$32</f>
        <v>364</v>
      </c>
      <c r="F4" s="13">
        <f>'[2]Go Jet'!$HR$32</f>
        <v>0</v>
      </c>
      <c r="G4" s="13">
        <f>'[2]Sun Country'!$HR$32</f>
        <v>21739</v>
      </c>
      <c r="H4" s="13">
        <f>[2]Icelandair!$HR$32</f>
        <v>0</v>
      </c>
      <c r="I4" s="13">
        <f>[2]KLM!$HR$32</f>
        <v>2461</v>
      </c>
      <c r="J4" s="13">
        <f>'[2]Air Georgian'!$HR$32</f>
        <v>0</v>
      </c>
      <c r="K4" s="13">
        <f>'[2]Sky Regional'!$HR$32</f>
        <v>0</v>
      </c>
      <c r="L4" s="13">
        <f>[2]Condor!$HR$32</f>
        <v>0</v>
      </c>
      <c r="M4" s="13">
        <f>'[2]Aer Lingus'!$HR$32</f>
        <v>0</v>
      </c>
      <c r="N4" s="13">
        <f>'[2]Air France'!$HR$32</f>
        <v>0</v>
      </c>
      <c r="O4" s="13">
        <f>[2]Frontier!$HR$32</f>
        <v>2942</v>
      </c>
      <c r="P4" s="13">
        <f>'[2]Charter Misc'!$HR$32+[2]Ryan!$HR$32+[2]Omni!$HR$32</f>
        <v>0</v>
      </c>
      <c r="Q4" s="219">
        <f>SUM(B4:P4)</f>
        <v>78021</v>
      </c>
    </row>
    <row r="5" spans="1:17" x14ac:dyDescent="0.2">
      <c r="A5" s="46" t="s">
        <v>31</v>
      </c>
      <c r="B5" s="7">
        <f>[2]Delta!$HR$33</f>
        <v>48790</v>
      </c>
      <c r="C5" s="7">
        <f>'[2]Atlantic Southeast'!$HR$33</f>
        <v>0</v>
      </c>
      <c r="D5" s="7">
        <f>[2]Pinnacle!$HR$33</f>
        <v>358</v>
      </c>
      <c r="E5" s="7">
        <f>'[2]Sky West'!$HR$33</f>
        <v>191</v>
      </c>
      <c r="F5" s="7">
        <f>'[2]Go Jet'!$HR$33</f>
        <v>0</v>
      </c>
      <c r="G5" s="7">
        <f>'[2]Sun Country'!$HR$33</f>
        <v>20135</v>
      </c>
      <c r="H5" s="7">
        <f>[2]Icelandair!$HR$33</f>
        <v>0</v>
      </c>
      <c r="I5" s="7">
        <f>[2]KLM!$HR$33</f>
        <v>2013</v>
      </c>
      <c r="J5" s="7">
        <f>'[2]Air Georgian'!$HR$33</f>
        <v>0</v>
      </c>
      <c r="K5" s="7">
        <f>'[2]Sky Regional'!$HR$33</f>
        <v>0</v>
      </c>
      <c r="L5" s="7">
        <f>[2]Condor!$HR$33</f>
        <v>0</v>
      </c>
      <c r="M5" s="7">
        <f>'[2]Aer Lingus'!$HR$33</f>
        <v>0</v>
      </c>
      <c r="N5" s="7">
        <f>'[2]Air France'!$HR$33</f>
        <v>0</v>
      </c>
      <c r="O5" s="7">
        <f>[2]Frontier!$HR$33</f>
        <v>2442</v>
      </c>
      <c r="P5" s="7">
        <f>'[2]Charter Misc'!$HR$33++[2]Ryan!$HR$33+[2]Omni!$HR$33</f>
        <v>0</v>
      </c>
      <c r="Q5" s="220">
        <f>SUM(B5:P5)</f>
        <v>73929</v>
      </c>
    </row>
    <row r="6" spans="1:17" ht="15" x14ac:dyDescent="0.25">
      <c r="A6" s="44" t="s">
        <v>7</v>
      </c>
      <c r="B6" s="25">
        <f t="shared" ref="B6:P6" si="0">SUM(B4:B5)</f>
        <v>98896</v>
      </c>
      <c r="C6" s="25">
        <f t="shared" si="0"/>
        <v>0</v>
      </c>
      <c r="D6" s="25">
        <f t="shared" si="0"/>
        <v>767</v>
      </c>
      <c r="E6" s="25">
        <f t="shared" si="0"/>
        <v>555</v>
      </c>
      <c r="F6" s="25">
        <f t="shared" ref="F6" si="1">SUM(F4:F5)</f>
        <v>0</v>
      </c>
      <c r="G6" s="25">
        <f t="shared" si="0"/>
        <v>41874</v>
      </c>
      <c r="H6" s="25">
        <f t="shared" si="0"/>
        <v>0</v>
      </c>
      <c r="I6" s="25">
        <f t="shared" ref="I6" si="2">SUM(I4:I5)</f>
        <v>4474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0</v>
      </c>
      <c r="M6" s="25">
        <f t="shared" si="4"/>
        <v>0</v>
      </c>
      <c r="N6" s="25">
        <f t="shared" si="0"/>
        <v>0</v>
      </c>
      <c r="O6" s="25">
        <f t="shared" si="0"/>
        <v>5384</v>
      </c>
      <c r="P6" s="25">
        <f t="shared" si="0"/>
        <v>0</v>
      </c>
      <c r="Q6" s="221">
        <f>SUM(B6:P6)</f>
        <v>151950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[2]Delta!$HR$37</f>
        <v>826</v>
      </c>
      <c r="C9" s="13">
        <f>'[2]Atlantic Southeast'!$HR$37</f>
        <v>0</v>
      </c>
      <c r="D9" s="13">
        <f>[2]Pinnacle!$HR$37</f>
        <v>7</v>
      </c>
      <c r="E9" s="13">
        <f>'[2]Sky West'!$HR$37</f>
        <v>0</v>
      </c>
      <c r="F9" s="13">
        <f>'[2]Go Jet'!$HR$37</f>
        <v>0</v>
      </c>
      <c r="G9" s="13">
        <f>'[2]Sun Country'!$HR$37</f>
        <v>364</v>
      </c>
      <c r="H9" s="13">
        <f>[2]Icelandair!$HR$37</f>
        <v>0</v>
      </c>
      <c r="I9" s="13">
        <f>[2]KLM!$HR$37</f>
        <v>5</v>
      </c>
      <c r="J9" s="13">
        <f>'[2]Air Georgian'!$HR$37</f>
        <v>0</v>
      </c>
      <c r="K9" s="13">
        <f>'[2]Sky Regional'!$HR$37</f>
        <v>0</v>
      </c>
      <c r="L9" s="13">
        <f>[2]Condor!$HR$37</f>
        <v>0</v>
      </c>
      <c r="M9" s="13">
        <f>'[2]Aer Lingus'!$HR$37</f>
        <v>0</v>
      </c>
      <c r="N9" s="13">
        <f>'[2]Air France'!$HR$37</f>
        <v>0</v>
      </c>
      <c r="O9" s="13">
        <f>[2]Frontier!$HR$37</f>
        <v>7</v>
      </c>
      <c r="P9" s="13">
        <f>'[2]Charter Misc'!$HR$37+[2]Ryan!$HR$37+[2]Omni!$HR$37</f>
        <v>0</v>
      </c>
      <c r="Q9" s="219">
        <f>SUM(B9:P9)</f>
        <v>1209</v>
      </c>
    </row>
    <row r="10" spans="1:17" x14ac:dyDescent="0.2">
      <c r="A10" s="46" t="s">
        <v>33</v>
      </c>
      <c r="B10" s="7">
        <f>[2]Delta!$HR$38</f>
        <v>816</v>
      </c>
      <c r="C10" s="7">
        <f>'[2]Atlantic Southeast'!$HR$38</f>
        <v>0</v>
      </c>
      <c r="D10" s="7">
        <f>[2]Pinnacle!$HR$38</f>
        <v>2</v>
      </c>
      <c r="E10" s="7">
        <f>'[2]Sky West'!$HR$38</f>
        <v>5</v>
      </c>
      <c r="F10" s="7">
        <f>'[2]Go Jet'!$HR$38</f>
        <v>0</v>
      </c>
      <c r="G10" s="7">
        <f>'[2]Sun Country'!$HR$38</f>
        <v>327</v>
      </c>
      <c r="H10" s="7">
        <f>[2]Icelandair!$HR$38</f>
        <v>0</v>
      </c>
      <c r="I10" s="7">
        <f>[2]KLM!$HR$38</f>
        <v>2</v>
      </c>
      <c r="J10" s="7">
        <f>'[2]Air Georgian'!$HR$38</f>
        <v>0</v>
      </c>
      <c r="K10" s="7">
        <f>'[2]Sky Regional'!$HR$38</f>
        <v>0</v>
      </c>
      <c r="L10" s="7">
        <f>[2]Condor!$HR$38</f>
        <v>0</v>
      </c>
      <c r="M10" s="7">
        <f>'[2]Aer Lingus'!$HR$38</f>
        <v>0</v>
      </c>
      <c r="N10" s="7">
        <f>'[2]Air France'!$HR$38</f>
        <v>0</v>
      </c>
      <c r="O10" s="7">
        <f>[2]Frontier!$HR$38</f>
        <v>3</v>
      </c>
      <c r="P10" s="7">
        <f>'[2]Charter Misc'!$HR$38+[2]Ryan!$HR$38+[2]Omni!$HR$38</f>
        <v>0</v>
      </c>
      <c r="Q10" s="220">
        <f>SUM(B10:P10)</f>
        <v>1155</v>
      </c>
    </row>
    <row r="11" spans="1:17" ht="15.75" thickBot="1" x14ac:dyDescent="0.3">
      <c r="A11" s="47" t="s">
        <v>34</v>
      </c>
      <c r="B11" s="222">
        <f t="shared" ref="B11:G11" si="5">SUM(B9:B10)</f>
        <v>1642</v>
      </c>
      <c r="C11" s="222">
        <f t="shared" si="5"/>
        <v>0</v>
      </c>
      <c r="D11" s="222">
        <f t="shared" si="5"/>
        <v>9</v>
      </c>
      <c r="E11" s="222">
        <f t="shared" si="5"/>
        <v>5</v>
      </c>
      <c r="F11" s="222">
        <f t="shared" ref="F11" si="6">SUM(F9:F10)</f>
        <v>0</v>
      </c>
      <c r="G11" s="222">
        <f t="shared" si="5"/>
        <v>691</v>
      </c>
      <c r="H11" s="222">
        <f t="shared" ref="H11:P11" si="7">SUM(H9:H10)</f>
        <v>0</v>
      </c>
      <c r="I11" s="222">
        <f t="shared" ref="I11" si="8">SUM(I9:I10)</f>
        <v>7</v>
      </c>
      <c r="J11" s="222">
        <f t="shared" si="7"/>
        <v>0</v>
      </c>
      <c r="K11" s="222">
        <f t="shared" ref="K11" si="9">SUM(K9:K10)</f>
        <v>0</v>
      </c>
      <c r="L11" s="222">
        <f t="shared" si="7"/>
        <v>0</v>
      </c>
      <c r="M11" s="222">
        <f t="shared" ref="M11" si="10">SUM(M9:M10)</f>
        <v>0</v>
      </c>
      <c r="N11" s="222">
        <f t="shared" si="7"/>
        <v>0</v>
      </c>
      <c r="O11" s="222">
        <f t="shared" si="7"/>
        <v>10</v>
      </c>
      <c r="P11" s="222">
        <f t="shared" si="7"/>
        <v>0</v>
      </c>
      <c r="Q11" s="223">
        <f>SUM(B11:P11)</f>
        <v>2364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89" t="s">
        <v>141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1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SUM([2]Delta!$HR$32:$HR$32)</f>
        <v>50106</v>
      </c>
      <c r="C16" s="13">
        <f>SUM('[2]Atlantic Southeast'!$HR$32:$HR$32)</f>
        <v>0</v>
      </c>
      <c r="D16" s="13">
        <f>SUM([2]Pinnacle!$HR$32:$HR$32)</f>
        <v>409</v>
      </c>
      <c r="E16" s="13">
        <f>SUM('[2]Sky West'!$HR$32:$HR$32)</f>
        <v>364</v>
      </c>
      <c r="F16" s="13">
        <f>SUM('[2]Go Jet'!$HR$32:$HR$32)</f>
        <v>0</v>
      </c>
      <c r="G16" s="13">
        <f>SUM('[2]Sun Country'!$HR$32:$HR$32)</f>
        <v>21739</v>
      </c>
      <c r="H16" s="13">
        <f>SUM([2]Icelandair!$HR$32:$HR$32)</f>
        <v>0</v>
      </c>
      <c r="I16" s="13">
        <f>SUM([2]KLM!$HR$32:$HR$32)</f>
        <v>2461</v>
      </c>
      <c r="J16" s="13">
        <f>SUM('[2]Air Georgian'!$HR$32:$HR$32)</f>
        <v>0</v>
      </c>
      <c r="K16" s="13">
        <f>SUM('[2]Sky Regional'!$HR$32:$HR$32)</f>
        <v>0</v>
      </c>
      <c r="L16" s="13">
        <f>SUM([2]Condor!$HR$32:$HR$32)</f>
        <v>0</v>
      </c>
      <c r="M16" s="13">
        <f>SUM('[2]Aer Lingus'!$HR$32:$HR$32)</f>
        <v>0</v>
      </c>
      <c r="N16" s="13">
        <f>SUM('[2]Air France'!$HR$32:$HR$32)</f>
        <v>0</v>
      </c>
      <c r="O16" s="13">
        <f>SUM([2]Frontier!$HR$32:$HR$32)</f>
        <v>2942</v>
      </c>
      <c r="P16" s="13">
        <f>SUM('[2]Charter Misc'!$HR$32:$HR$32)+SUM([2]Ryan!$HR$32:$HR$32)+SUM([2]Omni!$HR$32:$HR$32)</f>
        <v>0</v>
      </c>
      <c r="Q16" s="219">
        <f>SUM(B16:P16)</f>
        <v>78021</v>
      </c>
    </row>
    <row r="17" spans="1:20" x14ac:dyDescent="0.2">
      <c r="A17" s="46" t="s">
        <v>31</v>
      </c>
      <c r="B17" s="7">
        <f>SUM([2]Delta!$HR$33:$HR$33)</f>
        <v>48790</v>
      </c>
      <c r="C17" s="7">
        <f>SUM('[2]Atlantic Southeast'!$HR$33:$HR$33)</f>
        <v>0</v>
      </c>
      <c r="D17" s="7">
        <f>SUM([2]Pinnacle!$HR$33:$HR$33)</f>
        <v>358</v>
      </c>
      <c r="E17" s="7">
        <f>SUM('[2]Sky West'!$HR$33:$HR$33)</f>
        <v>191</v>
      </c>
      <c r="F17" s="7">
        <f>SUM('[2]Go Jet'!$HR$33:$HR$33)</f>
        <v>0</v>
      </c>
      <c r="G17" s="7">
        <f>SUM('[2]Sun Country'!$HR$33:$HR$33)</f>
        <v>20135</v>
      </c>
      <c r="H17" s="7">
        <f>SUM([2]Icelandair!$HR$33:$HR$33)</f>
        <v>0</v>
      </c>
      <c r="I17" s="7">
        <f>SUM([2]KLM!$HR$33:$HR$33)</f>
        <v>2013</v>
      </c>
      <c r="J17" s="7">
        <f>SUM('[2]Air Georgian'!$HR$33:$HR$33)</f>
        <v>0</v>
      </c>
      <c r="K17" s="7">
        <f>SUM('[2]Sky Regional'!$HR$33:$HR$33)</f>
        <v>0</v>
      </c>
      <c r="L17" s="7">
        <f>SUM([2]Condor!$HR$33:$HR$33)</f>
        <v>0</v>
      </c>
      <c r="M17" s="7">
        <f>SUM('[2]Aer Lingus'!$HR$33:$HR$33)</f>
        <v>0</v>
      </c>
      <c r="N17" s="7">
        <f>SUM('[2]Air France'!$HR$33:$HR$33)</f>
        <v>0</v>
      </c>
      <c r="O17" s="7">
        <f>SUM([2]Frontier!$HR$33:$HR$33)</f>
        <v>2442</v>
      </c>
      <c r="P17" s="7">
        <f>SUM('[2]Charter Misc'!$HR$33:$HR$33)++SUM([2]Ryan!$HR$33:$HR$33)+SUM([2]Omni!$HR$33:$HR$33)</f>
        <v>0</v>
      </c>
      <c r="Q17" s="220">
        <f>SUM(B17:P17)</f>
        <v>73929</v>
      </c>
    </row>
    <row r="18" spans="1:20" ht="15" x14ac:dyDescent="0.25">
      <c r="A18" s="44" t="s">
        <v>7</v>
      </c>
      <c r="B18" s="25">
        <f t="shared" ref="B18:P18" si="11">SUM(B16:B17)</f>
        <v>98896</v>
      </c>
      <c r="C18" s="25">
        <f t="shared" si="11"/>
        <v>0</v>
      </c>
      <c r="D18" s="25">
        <f t="shared" si="11"/>
        <v>767</v>
      </c>
      <c r="E18" s="25">
        <f t="shared" si="11"/>
        <v>555</v>
      </c>
      <c r="F18" s="25">
        <f t="shared" ref="F18" si="12">SUM(F16:F17)</f>
        <v>0</v>
      </c>
      <c r="G18" s="25">
        <f t="shared" si="11"/>
        <v>41874</v>
      </c>
      <c r="H18" s="25">
        <f t="shared" si="11"/>
        <v>0</v>
      </c>
      <c r="I18" s="25">
        <f t="shared" ref="I18" si="13">SUM(I16:I17)</f>
        <v>4474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0</v>
      </c>
      <c r="M18" s="25">
        <f t="shared" si="15"/>
        <v>0</v>
      </c>
      <c r="N18" s="25">
        <f t="shared" si="11"/>
        <v>0</v>
      </c>
      <c r="O18" s="25">
        <f t="shared" si="11"/>
        <v>5384</v>
      </c>
      <c r="P18" s="25">
        <f t="shared" si="11"/>
        <v>0</v>
      </c>
      <c r="Q18" s="221">
        <f>SUM(B18:P18)</f>
        <v>151950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SUM([2]Delta!$HR$37:$HR$37)</f>
        <v>826</v>
      </c>
      <c r="C21" s="13">
        <f>SUM('[2]Atlantic Southeast'!$HR$37:$HR$37)</f>
        <v>0</v>
      </c>
      <c r="D21" s="13">
        <f>SUM([2]Pinnacle!$HR$37:$HR$37)</f>
        <v>7</v>
      </c>
      <c r="E21" s="13">
        <f>SUM('[2]Sky West'!$HR$37:$HR$37)</f>
        <v>0</v>
      </c>
      <c r="F21" s="13">
        <f>SUM('[2]Go Jet'!$HR$37:$HR$37)</f>
        <v>0</v>
      </c>
      <c r="G21" s="13">
        <f>SUM('[2]Sun Country'!$HR$37:$HR$37)</f>
        <v>364</v>
      </c>
      <c r="H21" s="13">
        <f>SUM([2]Icelandair!$HR$37:$HR$37)</f>
        <v>0</v>
      </c>
      <c r="I21" s="13">
        <f>SUM([2]KLM!$HR$37:$HR$37)</f>
        <v>5</v>
      </c>
      <c r="J21" s="13">
        <f>SUM('[2]Air Georgian'!$HR$37:$HR$37)</f>
        <v>0</v>
      </c>
      <c r="K21" s="13">
        <f>SUM('[2]Sky Regional'!$HR$37:$HR$37)</f>
        <v>0</v>
      </c>
      <c r="L21" s="13">
        <f>SUM([2]Condor!$HR$37:$HR$37)</f>
        <v>0</v>
      </c>
      <c r="M21" s="13">
        <f>SUM('[2]Aer Lingus'!$HR$37:$HR$37)</f>
        <v>0</v>
      </c>
      <c r="N21" s="13">
        <f>SUM('[2]Air France'!$HR$37:$HR$37)</f>
        <v>0</v>
      </c>
      <c r="O21" s="13">
        <f>SUM([2]Frontier!$HR$37:$HR$37)</f>
        <v>7</v>
      </c>
      <c r="P21" s="13">
        <f>SUM('[2]Charter Misc'!$HR$37:$HR$37)++SUM([2]Ryan!$HR$37:$HR$37)+SUM([2]Omni!$HR$37:$HR$37)</f>
        <v>0</v>
      </c>
      <c r="Q21" s="219">
        <f>SUM(B21:P21)</f>
        <v>1209</v>
      </c>
    </row>
    <row r="22" spans="1:20" x14ac:dyDescent="0.2">
      <c r="A22" s="46" t="s">
        <v>33</v>
      </c>
      <c r="B22" s="7">
        <f>SUM([2]Delta!$HR$38:$HR$38)</f>
        <v>816</v>
      </c>
      <c r="C22" s="7">
        <f>SUM('[2]Atlantic Southeast'!$HR$38:$HR$38)</f>
        <v>0</v>
      </c>
      <c r="D22" s="7">
        <f>SUM([2]Pinnacle!$HR$38:$HR$38)</f>
        <v>2</v>
      </c>
      <c r="E22" s="7">
        <f>SUM('[2]Sky West'!$HR$38:$HR$38)</f>
        <v>5</v>
      </c>
      <c r="F22" s="7">
        <f>SUM('[2]Go Jet'!$HR$38:$HR$38)</f>
        <v>0</v>
      </c>
      <c r="G22" s="7">
        <f>SUM('[2]Sun Country'!$HR$38:$HR$38)</f>
        <v>327</v>
      </c>
      <c r="H22" s="7">
        <f>SUM([2]Icelandair!$HR$38:$HR$38)</f>
        <v>0</v>
      </c>
      <c r="I22" s="7">
        <f>SUM([2]KLM!$HR$38:$HR$38)</f>
        <v>2</v>
      </c>
      <c r="J22" s="7">
        <f>SUM('[2]Air Georgian'!$HR$38:$HR$38)</f>
        <v>0</v>
      </c>
      <c r="K22" s="7">
        <f>SUM('[2]Sky Regional'!$HR$38:$HR$38)</f>
        <v>0</v>
      </c>
      <c r="L22" s="7">
        <f>SUM([2]Condor!$HR$38:$HR$38)</f>
        <v>0</v>
      </c>
      <c r="M22" s="7">
        <f>SUM('[2]Aer Lingus'!$HR$38:$HR$38)</f>
        <v>0</v>
      </c>
      <c r="N22" s="7">
        <f>SUM('[2]Air France'!$HR$38:$HR$38)</f>
        <v>0</v>
      </c>
      <c r="O22" s="7">
        <f>SUM([2]Frontier!$HR$38:$HR$38)</f>
        <v>3</v>
      </c>
      <c r="P22" s="7">
        <f>SUM('[2]Charter Misc'!$HR$38:$HR$38)++SUM([2]Ryan!$HR$38:$HR$38)+SUM([2]Omni!$HR$38:$HR$38)</f>
        <v>0</v>
      </c>
      <c r="Q22" s="220">
        <f>SUM(B22:P22)</f>
        <v>1155</v>
      </c>
    </row>
    <row r="23" spans="1:20" ht="15.75" thickBot="1" x14ac:dyDescent="0.3">
      <c r="A23" s="47" t="s">
        <v>34</v>
      </c>
      <c r="B23" s="222">
        <f t="shared" ref="B23:P23" si="16">SUM(B21:B22)</f>
        <v>1642</v>
      </c>
      <c r="C23" s="222">
        <f t="shared" si="16"/>
        <v>0</v>
      </c>
      <c r="D23" s="222">
        <f t="shared" si="16"/>
        <v>9</v>
      </c>
      <c r="E23" s="222">
        <f t="shared" si="16"/>
        <v>5</v>
      </c>
      <c r="F23" s="222">
        <f t="shared" ref="F23" si="17">SUM(F21:F22)</f>
        <v>0</v>
      </c>
      <c r="G23" s="222">
        <f t="shared" si="16"/>
        <v>691</v>
      </c>
      <c r="H23" s="222">
        <f t="shared" si="16"/>
        <v>0</v>
      </c>
      <c r="I23" s="222">
        <f t="shared" ref="I23" si="18">SUM(I21:I22)</f>
        <v>7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0</v>
      </c>
      <c r="M23" s="222">
        <f t="shared" si="20"/>
        <v>0</v>
      </c>
      <c r="N23" s="222">
        <f t="shared" si="16"/>
        <v>0</v>
      </c>
      <c r="O23" s="222">
        <f t="shared" si="16"/>
        <v>10</v>
      </c>
      <c r="P23" s="222">
        <f t="shared" si="16"/>
        <v>0</v>
      </c>
      <c r="Q23" s="223">
        <f>SUM(B23:P23)</f>
        <v>2364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2" t="s">
        <v>142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4"/>
    </row>
    <row r="27" spans="1:20" x14ac:dyDescent="0.2">
      <c r="A27" s="46" t="s">
        <v>22</v>
      </c>
      <c r="B27" s="13">
        <f>[2]Delta!$HR$15</f>
        <v>432</v>
      </c>
      <c r="C27" s="13">
        <f>'[2]Atlantic Southeast'!$HR$15</f>
        <v>0</v>
      </c>
      <c r="D27" s="13">
        <f>[2]Pinnacle!$HR$15</f>
        <v>19</v>
      </c>
      <c r="E27" s="13">
        <f>'[2]Sky West'!$HR$15</f>
        <v>6</v>
      </c>
      <c r="F27" s="13">
        <f>'[2]Go Jet'!$HR$15</f>
        <v>0</v>
      </c>
      <c r="G27" s="13">
        <f>'[2]Sun Country'!$HR$15</f>
        <v>195</v>
      </c>
      <c r="H27" s="13">
        <f>[2]Icelandair!$HR$15</f>
        <v>0</v>
      </c>
      <c r="I27" s="13">
        <f>[2]KLM!$HR$15</f>
        <v>14</v>
      </c>
      <c r="J27" s="13">
        <f>'[2]Air Georgian'!$HR$15</f>
        <v>0</v>
      </c>
      <c r="K27" s="13">
        <f>'[2]Sky Regional'!$HR$15</f>
        <v>0</v>
      </c>
      <c r="L27" s="13">
        <f>[2]Condor!$HR$15</f>
        <v>0</v>
      </c>
      <c r="M27" s="13">
        <f>'[2]Aer Lingus'!$HR$15</f>
        <v>0</v>
      </c>
      <c r="N27" s="13">
        <f>'[2]Air France'!$HR$15</f>
        <v>0</v>
      </c>
      <c r="O27" s="13">
        <f>[2]Frontier!$HR$15</f>
        <v>31</v>
      </c>
      <c r="P27" s="13">
        <f>'[2]Charter Misc'!$HR$15+[2]Ryan!$HR$15+[2]Omni!$HR$15</f>
        <v>0</v>
      </c>
      <c r="Q27" s="219">
        <f>SUM(B27:P27)</f>
        <v>697</v>
      </c>
    </row>
    <row r="28" spans="1:20" x14ac:dyDescent="0.2">
      <c r="A28" s="46" t="s">
        <v>23</v>
      </c>
      <c r="B28" s="13">
        <f>[2]Delta!$HR$16</f>
        <v>435</v>
      </c>
      <c r="C28" s="13">
        <f>'[2]Atlantic Southeast'!$HR$16</f>
        <v>0</v>
      </c>
      <c r="D28" s="13">
        <f>[2]Pinnacle!$HR$16</f>
        <v>20</v>
      </c>
      <c r="E28" s="13">
        <f>'[2]Sky West'!$HR$16</f>
        <v>5</v>
      </c>
      <c r="F28" s="13">
        <f>'[2]Go Jet'!$HR$16</f>
        <v>0</v>
      </c>
      <c r="G28" s="13">
        <f>'[2]Sun Country'!$HR$16</f>
        <v>189</v>
      </c>
      <c r="H28" s="13">
        <f>[2]Icelandair!$HR$16</f>
        <v>0</v>
      </c>
      <c r="I28" s="13">
        <f>[2]KLM!$HR$16</f>
        <v>14</v>
      </c>
      <c r="J28" s="13">
        <f>'[2]Air Georgian'!$HR$16</f>
        <v>0</v>
      </c>
      <c r="K28" s="13">
        <f>'[2]Sky Regional'!$HR$16</f>
        <v>0</v>
      </c>
      <c r="L28" s="13">
        <f>[2]Condor!$HR$16</f>
        <v>0</v>
      </c>
      <c r="M28" s="13">
        <f>'[2]Aer Lingus'!$HR$16</f>
        <v>0</v>
      </c>
      <c r="N28" s="13">
        <f>'[2]Air France'!$HR$16</f>
        <v>0</v>
      </c>
      <c r="O28" s="13">
        <f>[2]Frontier!$HR$16</f>
        <v>31</v>
      </c>
      <c r="P28" s="13">
        <f>'[2]Charter Misc'!$HR$16+[2]Ryan!$HR$16+[2]Omni!$HR$16</f>
        <v>0</v>
      </c>
      <c r="Q28" s="219">
        <f>SUM(B28:P28)</f>
        <v>694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867</v>
      </c>
      <c r="C30" s="307">
        <f t="shared" si="21"/>
        <v>0</v>
      </c>
      <c r="D30" s="307">
        <f t="shared" si="21"/>
        <v>39</v>
      </c>
      <c r="E30" s="307">
        <f>SUM(E27:E28)</f>
        <v>11</v>
      </c>
      <c r="F30" s="307">
        <f>SUM(F27:F28)</f>
        <v>0</v>
      </c>
      <c r="G30" s="307">
        <f t="shared" si="21"/>
        <v>384</v>
      </c>
      <c r="H30" s="307">
        <f t="shared" si="21"/>
        <v>0</v>
      </c>
      <c r="I30" s="307">
        <f t="shared" ref="I30" si="22">SUM(I27:I28)</f>
        <v>28</v>
      </c>
      <c r="J30" s="307">
        <f t="shared" si="21"/>
        <v>0</v>
      </c>
      <c r="K30" s="307">
        <f t="shared" ref="K30" si="23">SUM(K27:K28)</f>
        <v>0</v>
      </c>
      <c r="L30" s="307">
        <f>SUM(L27:L28)</f>
        <v>0</v>
      </c>
      <c r="M30" s="307">
        <f>SUM(M27:M28)</f>
        <v>0</v>
      </c>
      <c r="N30" s="307">
        <f>SUM(N27:N28)</f>
        <v>0</v>
      </c>
      <c r="O30" s="307">
        <f t="shared" ref="O30" si="24">SUM(O27:O28)</f>
        <v>62</v>
      </c>
      <c r="P30" s="307">
        <f>SUM(P27:P28)</f>
        <v>0</v>
      </c>
      <c r="Q30" s="308">
        <f>SUM(B30:P30)</f>
        <v>1391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5" t="s">
        <v>143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7"/>
    </row>
    <row r="34" spans="1:17" x14ac:dyDescent="0.2">
      <c r="A34" s="46" t="s">
        <v>22</v>
      </c>
      <c r="B34" s="13">
        <f>SUM([2]Delta!$HR$15:$HR$15)</f>
        <v>432</v>
      </c>
      <c r="C34" s="13">
        <f>SUM('[2]Atlantic Southeast'!$HR$15:$HR$15)</f>
        <v>0</v>
      </c>
      <c r="D34" s="13">
        <f>SUM([2]Pinnacle!$HR$15:$HR$15)</f>
        <v>19</v>
      </c>
      <c r="E34" s="13">
        <f>SUM('[2]Sky West'!$HR$15:$HR$15)</f>
        <v>6</v>
      </c>
      <c r="F34" s="13">
        <f>SUM('[2]Go Jet'!$HR$15:$HR$15)</f>
        <v>0</v>
      </c>
      <c r="G34" s="13">
        <f>SUM('[2]Sun Country'!$HR$15:$HR$15)</f>
        <v>195</v>
      </c>
      <c r="H34" s="13">
        <f>SUM([2]Icelandair!$HR$15:$HR$15)</f>
        <v>0</v>
      </c>
      <c r="I34" s="13">
        <f>SUM([2]KLM!$HR$15:$HR$15)</f>
        <v>14</v>
      </c>
      <c r="J34" s="13">
        <f>SUM('[2]Air Georgian'!$HR$15:$HR$15)</f>
        <v>0</v>
      </c>
      <c r="K34" s="13">
        <f>SUM('[2]Sky Regional'!$HR$15:$HR$15)</f>
        <v>0</v>
      </c>
      <c r="L34" s="13">
        <f>SUM([2]Condor!$HR$15:$HR$15)</f>
        <v>0</v>
      </c>
      <c r="M34" s="13">
        <f>SUM('[2]Aer Lingus'!$HR$15:$HR$15)</f>
        <v>0</v>
      </c>
      <c r="N34" s="13">
        <f>SUM('[2]Air France'!$HR$15:$HR$15)</f>
        <v>0</v>
      </c>
      <c r="O34" s="13">
        <f>SUM([2]Frontier!$HR$15:$HR$15)</f>
        <v>31</v>
      </c>
      <c r="P34" s="13">
        <f>SUM('[2]Charter Misc'!$HR$15:$HR$15)+SUM([2]Ryan!$HR$15:$HR$15)+SUM([2]Omni!$HR$15:$HR$15)</f>
        <v>0</v>
      </c>
      <c r="Q34" s="219">
        <f>SUM(B34:P34)</f>
        <v>697</v>
      </c>
    </row>
    <row r="35" spans="1:17" x14ac:dyDescent="0.2">
      <c r="A35" s="46" t="s">
        <v>23</v>
      </c>
      <c r="B35" s="13">
        <f>SUM([2]Delta!$HR$16:$HR$16)</f>
        <v>435</v>
      </c>
      <c r="C35" s="13">
        <f>SUM('[2]Atlantic Southeast'!$HR$16:$HR$16)</f>
        <v>0</v>
      </c>
      <c r="D35" s="13">
        <f>SUM([2]Pinnacle!$HR$16:$HR$16)</f>
        <v>20</v>
      </c>
      <c r="E35" s="13">
        <f>SUM('[2]Sky West'!$HR$16:$HR$16)</f>
        <v>5</v>
      </c>
      <c r="F35" s="13">
        <f>SUM('[2]Go Jet'!$HR$16:$HR$16)</f>
        <v>0</v>
      </c>
      <c r="G35" s="13">
        <f>SUM('[2]Sun Country'!$HR$16:$HR$16)</f>
        <v>189</v>
      </c>
      <c r="H35" s="13">
        <f>SUM([2]Icelandair!$HR$16:$HR$16)</f>
        <v>0</v>
      </c>
      <c r="I35" s="13">
        <f>SUM([2]KLM!$HR$16:$HR$16)</f>
        <v>14</v>
      </c>
      <c r="J35" s="13">
        <f>SUM('[2]Air Georgian'!$HR$16:$HR$16)</f>
        <v>0</v>
      </c>
      <c r="K35" s="13">
        <f>SUM('[2]Sky Regional'!$HR$16:$HR$16)</f>
        <v>0</v>
      </c>
      <c r="L35" s="13">
        <f>SUM([2]Condor!$HR$16:$HR$16)</f>
        <v>0</v>
      </c>
      <c r="M35" s="13">
        <f>SUM('[2]Aer Lingus'!$HR$16:$HR$16)</f>
        <v>0</v>
      </c>
      <c r="N35" s="13">
        <f>SUM('[2]Air France'!$HR$16:$HR$16)</f>
        <v>0</v>
      </c>
      <c r="O35" s="13">
        <f>SUM([2]Frontier!$HR$16:$HR$16)</f>
        <v>31</v>
      </c>
      <c r="P35" s="13">
        <f>SUM('[2]Charter Misc'!$HR$16:$HR$16)+SUM([2]Ryan!$HR$16:$HR$16)+SUM([2]Omni!$HR$16:$HR$16)</f>
        <v>0</v>
      </c>
      <c r="Q35" s="219">
        <f>SUM(B35:P35)</f>
        <v>694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867</v>
      </c>
      <c r="C37" s="307">
        <f t="shared" si="25"/>
        <v>0</v>
      </c>
      <c r="D37" s="307">
        <f t="shared" si="25"/>
        <v>39</v>
      </c>
      <c r="E37" s="307">
        <f>+SUM(E34:E35)</f>
        <v>11</v>
      </c>
      <c r="F37" s="307">
        <f>+SUM(F34:F35)</f>
        <v>0</v>
      </c>
      <c r="G37" s="307">
        <f t="shared" si="25"/>
        <v>384</v>
      </c>
      <c r="H37" s="307">
        <f t="shared" si="25"/>
        <v>0</v>
      </c>
      <c r="I37" s="307">
        <f t="shared" ref="I37" si="26">+SUM(I34:I35)</f>
        <v>28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0</v>
      </c>
      <c r="M37" s="307">
        <f>+SUM(M34:M35)</f>
        <v>0</v>
      </c>
      <c r="N37" s="307">
        <f>+SUM(N34:N35)</f>
        <v>0</v>
      </c>
      <c r="O37" s="307">
        <f t="shared" ref="O37" si="28">+SUM(O34:O35)</f>
        <v>62</v>
      </c>
      <c r="P37" s="307">
        <f>+SUM(P34:P35)</f>
        <v>0</v>
      </c>
      <c r="Q37" s="308">
        <f>SUM(B37:P37)</f>
        <v>1391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&amp;"Arial,Bold"January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J4" sqref="J4:R68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3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10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85546875" bestFit="1" customWidth="1"/>
    <col min="22" max="22" width="10" customWidth="1"/>
    <col min="23" max="25" width="9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6" t="s">
        <v>132</v>
      </c>
      <c r="B1" s="507"/>
      <c r="C1" s="360" t="s">
        <v>244</v>
      </c>
      <c r="D1" s="361" t="s">
        <v>223</v>
      </c>
      <c r="E1" s="206" t="s">
        <v>95</v>
      </c>
      <c r="F1" s="205" t="s">
        <v>245</v>
      </c>
      <c r="G1" s="361" t="s">
        <v>224</v>
      </c>
      <c r="H1" s="204" t="s">
        <v>96</v>
      </c>
      <c r="I1" s="206" t="s">
        <v>246</v>
      </c>
      <c r="J1" s="512" t="s">
        <v>136</v>
      </c>
      <c r="K1" s="513"/>
      <c r="L1" s="358" t="s">
        <v>247</v>
      </c>
      <c r="M1" s="359" t="s">
        <v>225</v>
      </c>
      <c r="N1" s="275" t="s">
        <v>96</v>
      </c>
      <c r="O1" s="383" t="s">
        <v>248</v>
      </c>
      <c r="P1" s="207" t="s">
        <v>226</v>
      </c>
      <c r="Q1" s="381" t="s">
        <v>96</v>
      </c>
      <c r="R1" s="384" t="s">
        <v>246</v>
      </c>
      <c r="S1" s="498" t="s">
        <v>227</v>
      </c>
      <c r="T1" s="499"/>
      <c r="U1" s="427" t="s">
        <v>247</v>
      </c>
      <c r="V1" s="428" t="s">
        <v>225</v>
      </c>
      <c r="W1" s="429" t="s">
        <v>96</v>
      </c>
      <c r="X1" s="430" t="s">
        <v>248</v>
      </c>
      <c r="Y1" s="431" t="s">
        <v>226</v>
      </c>
      <c r="Z1" s="432" t="s">
        <v>96</v>
      </c>
      <c r="AA1" s="433" t="s">
        <v>246</v>
      </c>
    </row>
    <row r="2" spans="1:27" s="9" customFormat="1" ht="13.5" customHeight="1" thickBot="1" x14ac:dyDescent="0.25">
      <c r="A2" s="508">
        <v>44562</v>
      </c>
      <c r="B2" s="509"/>
      <c r="C2" s="510" t="s">
        <v>9</v>
      </c>
      <c r="D2" s="511"/>
      <c r="E2" s="511"/>
      <c r="F2" s="511"/>
      <c r="G2" s="511"/>
      <c r="H2" s="511"/>
      <c r="I2" s="362"/>
      <c r="J2" s="508">
        <f>+A2</f>
        <v>44562</v>
      </c>
      <c r="K2" s="509"/>
      <c r="L2" s="503" t="s">
        <v>138</v>
      </c>
      <c r="M2" s="504"/>
      <c r="N2" s="504"/>
      <c r="O2" s="504"/>
      <c r="P2" s="504"/>
      <c r="Q2" s="504"/>
      <c r="R2" s="505"/>
      <c r="S2" s="481">
        <f>+J2</f>
        <v>44562</v>
      </c>
      <c r="T2" s="482"/>
      <c r="U2" s="500" t="s">
        <v>228</v>
      </c>
      <c r="V2" s="501"/>
      <c r="W2" s="501"/>
      <c r="X2" s="501"/>
      <c r="Y2" s="501"/>
      <c r="Z2" s="501"/>
      <c r="AA2" s="502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'[2]Aer Lingus'!$HR$19</f>
        <v>0</v>
      </c>
      <c r="D4" s="286">
        <f>'[2]Aer Lingus'!$HD$19</f>
        <v>0</v>
      </c>
      <c r="E4" s="287" t="e">
        <f>(C4-D4)/D4</f>
        <v>#DIV/0!</v>
      </c>
      <c r="F4" s="286">
        <f>SUM('[2]Aer Lingus'!$HR$19:$HR$19)</f>
        <v>0</v>
      </c>
      <c r="G4" s="286">
        <f>SUM('[2]Aer Lingus'!$HD$19:$HD$19)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'[2]Aer Lingus'!$HR$41</f>
        <v>0</v>
      </c>
      <c r="M4" s="286">
        <f>'[2]Aer Lingus'!$HD$41</f>
        <v>0</v>
      </c>
      <c r="N4" s="287" t="e">
        <f>(L4-M4)/M4</f>
        <v>#DIV/0!</v>
      </c>
      <c r="O4" s="284">
        <f>SUM('[2]Aer Lingus'!$HR$41:$HR$41)</f>
        <v>0</v>
      </c>
      <c r="P4" s="286">
        <f>SUM('[2]Aer Lingus'!$HD$41:$HD$41)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'[2]Aer Lingus'!$HR$64</f>
        <v>0</v>
      </c>
      <c r="V4" s="286">
        <f>'[2]Aer Lingus'!$HD$64</f>
        <v>0</v>
      </c>
      <c r="W4" s="287" t="e">
        <f>(U4-V4)/V4</f>
        <v>#DIV/0!</v>
      </c>
      <c r="X4" s="284">
        <f>SUM('[2]Aer Lingus'!$HR$64:$HR$64)</f>
        <v>0</v>
      </c>
      <c r="Y4" s="286">
        <f>SUM('[2]Aer Lingus'!$HD$64:$HD$64)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54</v>
      </c>
      <c r="D6" s="286">
        <f>SUM(D7:D10)</f>
        <v>0</v>
      </c>
      <c r="E6" s="287" t="e">
        <f>(C6-D6)/D6</f>
        <v>#DIV/0!</v>
      </c>
      <c r="F6" s="284">
        <f>SUM(F7:F10)</f>
        <v>54</v>
      </c>
      <c r="G6" s="286">
        <f>SUM(G7:G10)</f>
        <v>0</v>
      </c>
      <c r="H6" s="285" t="e">
        <f>(F6-G6)/G6</f>
        <v>#DIV/0!</v>
      </c>
      <c r="I6" s="287">
        <f>F6/$F$73</f>
        <v>2.4503130955622109E-3</v>
      </c>
      <c r="J6" s="283" t="s">
        <v>98</v>
      </c>
      <c r="K6" s="40"/>
      <c r="L6" s="284">
        <f>SUM(L7:L10)</f>
        <v>1712</v>
      </c>
      <c r="M6" s="286">
        <f>SUM(M7:M10)</f>
        <v>0</v>
      </c>
      <c r="N6" s="287" t="e">
        <f>(L6-M6)/M6</f>
        <v>#DIV/0!</v>
      </c>
      <c r="O6" s="284">
        <f>SUM(O7:O10)</f>
        <v>1712</v>
      </c>
      <c r="P6" s="286">
        <f>SUM(P7:P10)</f>
        <v>0</v>
      </c>
      <c r="Q6" s="285" t="e">
        <f>(O6-P6)/P6</f>
        <v>#DIV/0!</v>
      </c>
      <c r="R6" s="287">
        <f>O6/$O$73</f>
        <v>8.8515936229231458E-4</v>
      </c>
      <c r="S6" s="283" t="s">
        <v>98</v>
      </c>
      <c r="T6" s="40"/>
      <c r="U6" s="284">
        <f>SUM(U7:U10)</f>
        <v>0</v>
      </c>
      <c r="V6" s="286">
        <f>SUM(V7:V10)</f>
        <v>0</v>
      </c>
      <c r="W6" s="287" t="e">
        <f>(U6-V6)/V6</f>
        <v>#DIV/0!</v>
      </c>
      <c r="X6" s="284">
        <f>SUM(X7:X10)</f>
        <v>0</v>
      </c>
      <c r="Y6" s="286">
        <f>SUM(Y7:Y10)</f>
        <v>0</v>
      </c>
      <c r="Z6" s="285" t="e">
        <f>(X6-Y6)/Y6</f>
        <v>#DIV/0!</v>
      </c>
      <c r="AA6" s="287">
        <f>X6/$X$73</f>
        <v>0</v>
      </c>
    </row>
    <row r="7" spans="1:27" ht="14.1" customHeight="1" x14ac:dyDescent="0.2">
      <c r="A7" s="283"/>
      <c r="B7" s="343" t="s">
        <v>98</v>
      </c>
      <c r="C7" s="288">
        <f>+[2]AirCanada!$HR$19</f>
        <v>0</v>
      </c>
      <c r="D7" s="2">
        <f>+[2]AirCanada!$HD$19</f>
        <v>0</v>
      </c>
      <c r="E7" s="66" t="e">
        <f>(C7-D7)/D7</f>
        <v>#DIV/0!</v>
      </c>
      <c r="F7" s="231">
        <f>SUM([2]AirCanada!$HR$19:$HR$19)</f>
        <v>0</v>
      </c>
      <c r="G7" s="231">
        <f>SUM([2]AirCanada!$HD$19:$HD$19)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+[2]AirCanada!$HR$41</f>
        <v>0</v>
      </c>
      <c r="M7" s="231">
        <f>+[2]AirCanada!$HD$41</f>
        <v>0</v>
      </c>
      <c r="N7" s="349" t="e">
        <f>(L7-M7)/M7</f>
        <v>#DIV/0!</v>
      </c>
      <c r="O7" s="347">
        <f>SUM([2]AirCanada!$HR$41:$HR$41)</f>
        <v>0</v>
      </c>
      <c r="P7" s="231">
        <f>SUM([2]AirCanada!$HD$41:$HD$41)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+[2]AirCanada!$HR$64</f>
        <v>0</v>
      </c>
      <c r="V7" s="231">
        <f>+[2]AirCanada!$HD$64</f>
        <v>0</v>
      </c>
      <c r="W7" s="349" t="e">
        <f>(U7-V7)/V7</f>
        <v>#DIV/0!</v>
      </c>
      <c r="X7" s="347">
        <f>SUM([2]AirCanada!$HR$64:$HR$64)</f>
        <v>0</v>
      </c>
      <c r="Y7" s="231">
        <f>SUM([2]AirCanada!$HD$64:$HD$64)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'[2]Air Georgian'!$HR$19</f>
        <v>0</v>
      </c>
      <c r="D8" s="2">
        <f>'[2]Air Georgian'!$HD$19</f>
        <v>0</v>
      </c>
      <c r="E8" s="66" t="e">
        <f>(C8-D8)/D8</f>
        <v>#DIV/0!</v>
      </c>
      <c r="F8" s="231">
        <f>SUM('[2]Air Georgian'!$HR$19:$HR$19)</f>
        <v>0</v>
      </c>
      <c r="G8" s="231">
        <f>SUM('[2]Air Georgian'!$HD$19:$HD$19)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'[2]Air Georgian'!$HR$41</f>
        <v>0</v>
      </c>
      <c r="M8" s="2">
        <f>'[2]Air Georgian'!$HD$41</f>
        <v>0</v>
      </c>
      <c r="N8" s="66" t="e">
        <f>(L8-M8)/M8</f>
        <v>#DIV/0!</v>
      </c>
      <c r="O8" s="288">
        <f>SUM('[2]Air Georgian'!$HR$41:$HR$41)</f>
        <v>0</v>
      </c>
      <c r="P8" s="2">
        <f>SUM('[2]Air Georgian'!$HD$41:$HD$41)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'[2]Air Georgian'!$HR$64</f>
        <v>0</v>
      </c>
      <c r="V8" s="2">
        <f>'[2]Air Georgian'!$HD$64</f>
        <v>0</v>
      </c>
      <c r="W8" s="66" t="e">
        <f>(U8-V8)/V8</f>
        <v>#DIV/0!</v>
      </c>
      <c r="X8" s="288">
        <f>SUM('[2]Air Georgian'!$HR$64:$HR$64)</f>
        <v>0</v>
      </c>
      <c r="Y8" s="2">
        <f>SUM('[2]Air Georgian'!$HD$64:$HD$64)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[2]Jazz_AC!$HR$19</f>
        <v>54</v>
      </c>
      <c r="D9" s="2">
        <f>[2]Jazz_AC!$HD$19</f>
        <v>0</v>
      </c>
      <c r="E9" s="66" t="e">
        <f t="shared" ref="E9" si="0">(C9-D9)/D9</f>
        <v>#DIV/0!</v>
      </c>
      <c r="F9" s="2">
        <f>SUM([2]Jazz_AC!$HR$19:$HR$19)</f>
        <v>54</v>
      </c>
      <c r="G9" s="2">
        <f>SUM([2]Jazz_AC!$HD$19:$HD$19)</f>
        <v>0</v>
      </c>
      <c r="H9" s="3" t="e">
        <f t="shared" ref="H9" si="1">(F9-G9)/G9</f>
        <v>#DIV/0!</v>
      </c>
      <c r="I9" s="66">
        <f t="shared" ref="I9" si="2">F9/$F$73</f>
        <v>2.4503130955622109E-3</v>
      </c>
      <c r="J9" s="283"/>
      <c r="K9" s="343" t="s">
        <v>236</v>
      </c>
      <c r="L9" s="288">
        <f>[2]Jazz_AC!$HR$41</f>
        <v>1712</v>
      </c>
      <c r="M9" s="2">
        <f>[2]Jazz_AC!$HD$41</f>
        <v>0</v>
      </c>
      <c r="N9" s="66" t="e">
        <f t="shared" ref="N9" si="3">(L9-M9)/M9</f>
        <v>#DIV/0!</v>
      </c>
      <c r="O9" s="288">
        <f>SUM([2]Jazz_AC!$HR$41:$HR$41)</f>
        <v>1712</v>
      </c>
      <c r="P9" s="2">
        <f>SUM([2]Jazz_AC!$HD$41:$HD$41)</f>
        <v>0</v>
      </c>
      <c r="Q9" s="3" t="e">
        <f t="shared" ref="Q9" si="4">(O9-P9)/P9</f>
        <v>#DIV/0!</v>
      </c>
      <c r="R9" s="66">
        <f t="shared" ref="R9" si="5">O9/$O$73</f>
        <v>8.8515936229231458E-4</v>
      </c>
      <c r="S9" s="283"/>
      <c r="T9" s="343" t="s">
        <v>236</v>
      </c>
      <c r="U9" s="288">
        <f>[2]Jazz_AC!$HR$64</f>
        <v>0</v>
      </c>
      <c r="V9" s="2">
        <f>[2]Jazz_AC!$HD$64</f>
        <v>0</v>
      </c>
      <c r="W9" s="66" t="e">
        <f t="shared" ref="W9" si="6">(U9-V9)/V9</f>
        <v>#DIV/0!</v>
      </c>
      <c r="X9" s="288">
        <f>SUM([2]Jazz_AC!$HR$64:$HR$64)</f>
        <v>0</v>
      </c>
      <c r="Y9" s="2">
        <f>SUM([2]Jazz_AC!$HD$64:$HD$64)</f>
        <v>0</v>
      </c>
      <c r="Z9" s="3" t="e">
        <f t="shared" ref="Z9" si="7">(X9-Y9)/Y9</f>
        <v>#DIV/0!</v>
      </c>
      <c r="AA9" s="66">
        <f t="shared" ref="AA9" si="8">X9/$X$73</f>
        <v>0</v>
      </c>
    </row>
    <row r="10" spans="1:27" ht="14.1" customHeight="1" x14ac:dyDescent="0.2">
      <c r="A10" s="283"/>
      <c r="B10" s="343" t="s">
        <v>192</v>
      </c>
      <c r="C10" s="288">
        <f>'[2]Sky Regional'!$HR$19</f>
        <v>0</v>
      </c>
      <c r="D10" s="2">
        <f>'[2]Sky Regional'!$HD$19</f>
        <v>0</v>
      </c>
      <c r="E10" s="66" t="e">
        <f>(C10-D10)/D10</f>
        <v>#DIV/0!</v>
      </c>
      <c r="F10" s="231">
        <f>SUM('[2]Sky Regional'!$HR$19:$HR$19)</f>
        <v>0</v>
      </c>
      <c r="G10" s="231">
        <f>SUM('[2]Sky Regional'!$HD$19:$HD$19)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'[2]Sky Regional'!$HR$41</f>
        <v>0</v>
      </c>
      <c r="M10" s="2">
        <f>'[2]Sky Regional'!$HD$41</f>
        <v>0</v>
      </c>
      <c r="N10" s="66" t="e">
        <f>(L10-M10)/M10</f>
        <v>#DIV/0!</v>
      </c>
      <c r="O10" s="288">
        <f>SUM('[2]Sky Regional'!$HR$41:$HR$41)</f>
        <v>0</v>
      </c>
      <c r="P10" s="2">
        <f>SUM('[2]Sky Regional'!$HD$41:$HD$41)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'[2]Sky Regional'!$HR$64</f>
        <v>0</v>
      </c>
      <c r="V10" s="2">
        <f>'[2]Sky Regional'!$HD$64</f>
        <v>0</v>
      </c>
      <c r="W10" s="66" t="e">
        <f>(U10-V10)/V10</f>
        <v>#DIV/0!</v>
      </c>
      <c r="X10" s="288">
        <f>SUM('[2]Sky Regional'!$HR$64:$HR$64)</f>
        <v>0</v>
      </c>
      <c r="Y10" s="2">
        <f>SUM('[2]Sky Regional'!$HD$64:$HD$64)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'[2]Air Choice One'!$HR$19</f>
        <v>0</v>
      </c>
      <c r="D12" s="286">
        <f>'[2]Air Choice One'!$HD$19</f>
        <v>140</v>
      </c>
      <c r="E12" s="287">
        <f>(C12-D12)/D12</f>
        <v>-1</v>
      </c>
      <c r="F12" s="286">
        <f>SUM('[2]Air Choice One'!$HR$19:$HR$19)</f>
        <v>0</v>
      </c>
      <c r="G12" s="286">
        <f>SUM('[2]Air Choice One'!$HD$19:$HD$19)</f>
        <v>140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'[2]Air Choice One'!$HR$41</f>
        <v>0</v>
      </c>
      <c r="M12" s="286">
        <f>'[2]Air Choice One'!$HD$41</f>
        <v>263</v>
      </c>
      <c r="N12" s="287">
        <f>(L12-M12)/M12</f>
        <v>-1</v>
      </c>
      <c r="O12" s="284">
        <f>SUM('[2]Air Choice One'!$HR$41:$HR$41)</f>
        <v>0</v>
      </c>
      <c r="P12" s="286">
        <f>SUM('[2]Air Choice One'!$HD$41:$HD$41)</f>
        <v>263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'[2]Air Choice One'!$HR$64</f>
        <v>0</v>
      </c>
      <c r="V12" s="286">
        <f>'[2]Air Choice One'!$HD$64</f>
        <v>0</v>
      </c>
      <c r="W12" s="287" t="e">
        <f>(U12-V12)/V12</f>
        <v>#DIV/0!</v>
      </c>
      <c r="X12" s="284">
        <f>SUM('[2]Air Choice One'!$HR$64:$HR$64)</f>
        <v>0</v>
      </c>
      <c r="Y12" s="286">
        <f>SUM('[2]Air Choice One'!$HD$64:$HD$64)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'[2]Air France'!$HR$19</f>
        <v>0</v>
      </c>
      <c r="D14" s="286">
        <f>'[2]Air France'!$HD$19</f>
        <v>0</v>
      </c>
      <c r="E14" s="287" t="e">
        <f>(C14-D14)/D14</f>
        <v>#DIV/0!</v>
      </c>
      <c r="F14" s="286">
        <f>SUM('[2]Air France'!$HR$19:$HR$19)</f>
        <v>0</v>
      </c>
      <c r="G14" s="286">
        <f>SUM('[2]Air France'!$HD$19:$HD$19)</f>
        <v>0</v>
      </c>
      <c r="H14" s="285" t="e">
        <f>(F14-G14)/G14</f>
        <v>#DIV/0!</v>
      </c>
      <c r="I14" s="287">
        <f>F14/$F$73</f>
        <v>0</v>
      </c>
      <c r="J14" s="283" t="s">
        <v>156</v>
      </c>
      <c r="K14" s="40"/>
      <c r="L14" s="284">
        <f>'[2]Air France'!$HR$41</f>
        <v>0</v>
      </c>
      <c r="M14" s="286">
        <f>'[2]Air France'!$HD$41</f>
        <v>0</v>
      </c>
      <c r="N14" s="287" t="e">
        <f>(L14-M14)/M14</f>
        <v>#DIV/0!</v>
      </c>
      <c r="O14" s="284">
        <f>SUM('[2]Air France'!$HR$41:$HR$41)</f>
        <v>0</v>
      </c>
      <c r="P14" s="286">
        <f>SUM('[2]Air France'!$HD$41:$HD$41)</f>
        <v>0</v>
      </c>
      <c r="Q14" s="285" t="e">
        <f>(O14-P14)/P14</f>
        <v>#DIV/0!</v>
      </c>
      <c r="R14" s="287">
        <f>O14/$O$73</f>
        <v>0</v>
      </c>
      <c r="S14" s="283" t="s">
        <v>156</v>
      </c>
      <c r="T14" s="40"/>
      <c r="U14" s="284">
        <f>'[2]Air France'!$HR$64</f>
        <v>0</v>
      </c>
      <c r="V14" s="286">
        <f>'[2]Air France'!$HD$64</f>
        <v>0</v>
      </c>
      <c r="W14" s="287" t="e">
        <f>(U14-V14)/V14</f>
        <v>#DIV/0!</v>
      </c>
      <c r="X14" s="284">
        <f>SUM('[2]Air France'!$HR$64:$HR$64)</f>
        <v>0</v>
      </c>
      <c r="Y14" s="286">
        <f>SUM('[2]Air France'!$HD$64:$HD$64)</f>
        <v>0</v>
      </c>
      <c r="Z14" s="285" t="e">
        <f>(X14-Y14)/Y14</f>
        <v>#DIV/0!</v>
      </c>
      <c r="AA14" s="287">
        <f>X14/$X$73</f>
        <v>0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'[2]Allegiant '!$HR$19</f>
        <v>82</v>
      </c>
      <c r="D16" s="2">
        <f>'[2]Allegiant '!$HD$19</f>
        <v>0</v>
      </c>
      <c r="E16" s="66" t="e">
        <f t="shared" ref="E16" si="9">(C16-D16)/D16</f>
        <v>#DIV/0!</v>
      </c>
      <c r="F16" s="2">
        <f>SUM('[2]Allegiant '!$HR$19:$HR$19)</f>
        <v>82</v>
      </c>
      <c r="G16" s="2">
        <f>SUM('[2]Allegiant '!$HD$19:$HD$19)</f>
        <v>0</v>
      </c>
      <c r="H16" s="3" t="e">
        <f t="shared" ref="H16" si="10">(F16-G16)/G16</f>
        <v>#DIV/0!</v>
      </c>
      <c r="I16" s="66">
        <f t="shared" ref="I16" si="11">F16/$F$73</f>
        <v>3.7208458117796534E-3</v>
      </c>
      <c r="J16" s="283" t="s">
        <v>237</v>
      </c>
      <c r="K16" s="40"/>
      <c r="L16" s="288">
        <f>'[2]Allegiant '!$HR$41</f>
        <v>8054</v>
      </c>
      <c r="M16" s="2">
        <f>'[2]Allegiant '!$HD$41</f>
        <v>0</v>
      </c>
      <c r="N16" s="66" t="e">
        <f t="shared" ref="N16" si="12">(L16-M16)/M16</f>
        <v>#DIV/0!</v>
      </c>
      <c r="O16" s="288">
        <f>SUM('[2]Allegiant '!$HR$41:$HR$41)</f>
        <v>8054</v>
      </c>
      <c r="P16" s="2">
        <f>SUM('[2]Allegiant '!$HD$41:$HD$41)</f>
        <v>0</v>
      </c>
      <c r="Q16" s="3" t="e">
        <f t="shared" ref="Q16" si="13">(O16-P16)/P16</f>
        <v>#DIV/0!</v>
      </c>
      <c r="R16" s="66">
        <f t="shared" ref="R16" si="14">O16/$O$73</f>
        <v>4.1641784485410638E-3</v>
      </c>
      <c r="S16" s="283" t="s">
        <v>237</v>
      </c>
      <c r="T16" s="40"/>
      <c r="U16" s="288">
        <f>'[2]Allegiant '!$HR$64</f>
        <v>0</v>
      </c>
      <c r="V16" s="2">
        <f>'[2]Allegiant '!$HD$64</f>
        <v>0</v>
      </c>
      <c r="W16" s="66" t="e">
        <f t="shared" ref="W16" si="15">(U16-V16)/V16</f>
        <v>#DIV/0!</v>
      </c>
      <c r="X16" s="288">
        <f>SUM('[2]Allegiant '!$HR$64:$HR$64)</f>
        <v>0</v>
      </c>
      <c r="Y16" s="2">
        <f>SUM('[2]Allegiant '!$HD$64:$HD$64)</f>
        <v>0</v>
      </c>
      <c r="Z16" s="3" t="e">
        <f t="shared" ref="Z16" si="16">(X16-Y16)/Y16</f>
        <v>#DIV/0!</v>
      </c>
      <c r="AA16" s="66">
        <f t="shared" ref="AA16" si="17"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130</v>
      </c>
      <c r="D18" s="286">
        <f>SUM(D19:D21)</f>
        <v>62</v>
      </c>
      <c r="E18" s="287">
        <f>(C18-D18)/D18</f>
        <v>1.096774193548387</v>
      </c>
      <c r="F18" s="286">
        <f>SUM(F19:F21)</f>
        <v>130</v>
      </c>
      <c r="G18" s="286">
        <f>SUM(G19:G21)</f>
        <v>62</v>
      </c>
      <c r="H18" s="285">
        <f>(F18-G18)/G18</f>
        <v>1.096774193548387</v>
      </c>
      <c r="I18" s="287">
        <f>F18/$F$73</f>
        <v>5.8989018967238408E-3</v>
      </c>
      <c r="J18" s="283" t="s">
        <v>128</v>
      </c>
      <c r="K18" s="40"/>
      <c r="L18" s="284">
        <f>SUM(L19:L21)</f>
        <v>10709</v>
      </c>
      <c r="M18" s="286">
        <f>SUM(M19:M21)</f>
        <v>4356</v>
      </c>
      <c r="N18" s="287">
        <f>(L18-M18)/M18</f>
        <v>1.4584481175390267</v>
      </c>
      <c r="O18" s="284">
        <f>SUM(O19:O21)</f>
        <v>10709</v>
      </c>
      <c r="P18" s="286">
        <f>SUM(P19:P21)</f>
        <v>4356</v>
      </c>
      <c r="Q18" s="285">
        <f>(O18-P18)/P18</f>
        <v>1.4584481175390267</v>
      </c>
      <c r="R18" s="287">
        <f>O18/$O$73</f>
        <v>5.5368993053670542E-3</v>
      </c>
      <c r="S18" s="283" t="s">
        <v>128</v>
      </c>
      <c r="T18" s="40"/>
      <c r="U18" s="284">
        <f>SUM(U19:U21)</f>
        <v>14179</v>
      </c>
      <c r="V18" s="286">
        <f>SUM(V19:V21)</f>
        <v>14604</v>
      </c>
      <c r="W18" s="287">
        <f>(U18-V18)/V18</f>
        <v>-2.9101615995617638E-2</v>
      </c>
      <c r="X18" s="284">
        <f>SUM(X19:X21)</f>
        <v>14179</v>
      </c>
      <c r="Y18" s="286">
        <f>SUM(Y19:Y21)</f>
        <v>14604</v>
      </c>
      <c r="Z18" s="285">
        <f>(X18-Y18)/Y18</f>
        <v>-2.9101615995617638E-2</v>
      </c>
      <c r="AA18" s="287">
        <f>X18/$X$73</f>
        <v>2.3191006619553002E-3</v>
      </c>
    </row>
    <row r="19" spans="1:27" ht="14.1" customHeight="1" x14ac:dyDescent="0.2">
      <c r="A19" s="283"/>
      <c r="B19" s="343" t="s">
        <v>128</v>
      </c>
      <c r="C19" s="347">
        <f>[2]Alaska!$HR$19</f>
        <v>72</v>
      </c>
      <c r="D19" s="231">
        <f>[2]Alaska!$HD$19</f>
        <v>62</v>
      </c>
      <c r="E19" s="349">
        <f>(C19-D19)/D19</f>
        <v>0.16129032258064516</v>
      </c>
      <c r="F19" s="231">
        <f>SUM([2]Alaska!$HR$19:$HR$19)</f>
        <v>72</v>
      </c>
      <c r="G19" s="231">
        <f>SUM([2]Alaska!$HD$19:$HD$19)</f>
        <v>62</v>
      </c>
      <c r="H19" s="348">
        <f>(F19-G19)/G19</f>
        <v>0.16129032258064516</v>
      </c>
      <c r="I19" s="349">
        <f>F19/$F$73</f>
        <v>3.267084127416281E-3</v>
      </c>
      <c r="J19" s="283"/>
      <c r="K19" s="343" t="s">
        <v>128</v>
      </c>
      <c r="L19" s="347">
        <f>[2]Alaska!$HR$41</f>
        <v>7669</v>
      </c>
      <c r="M19" s="231">
        <f>[2]Alaska!$HD$41</f>
        <v>4356</v>
      </c>
      <c r="N19" s="349">
        <f>(L19-M19)/M19</f>
        <v>0.76056014692378326</v>
      </c>
      <c r="O19" s="347">
        <f>SUM([2]Alaska!$HR$41:$HR$41)</f>
        <v>7669</v>
      </c>
      <c r="P19" s="231">
        <f>SUM([2]Alaska!$HD$41:$HD$41)</f>
        <v>4356</v>
      </c>
      <c r="Q19" s="348">
        <f>(O19-P19)/P19</f>
        <v>0.76056014692378326</v>
      </c>
      <c r="R19" s="349">
        <f>O19/$O$73</f>
        <v>3.9651209984928508E-3</v>
      </c>
      <c r="S19" s="283"/>
      <c r="T19" s="343" t="s">
        <v>128</v>
      </c>
      <c r="U19" s="347">
        <f>[2]Alaska!$HR$64</f>
        <v>8706</v>
      </c>
      <c r="V19" s="231">
        <f>[2]Alaska!$HD$64</f>
        <v>14604</v>
      </c>
      <c r="W19" s="349">
        <f>(U19-V19)/V19</f>
        <v>-0.40386195562859489</v>
      </c>
      <c r="X19" s="347">
        <f>SUM([2]Alaska!$HR$64:$HR$64)</f>
        <v>8706</v>
      </c>
      <c r="Y19" s="231">
        <f>SUM([2]Alaska!$HD$64:$HD$64)</f>
        <v>14604</v>
      </c>
      <c r="Z19" s="348">
        <f>(X19-Y19)/Y19</f>
        <v>-0.40386195562859489</v>
      </c>
      <c r="AA19" s="349">
        <f>X19/$X$73</f>
        <v>1.4239431809706497E-3</v>
      </c>
    </row>
    <row r="20" spans="1:27" ht="14.1" customHeight="1" x14ac:dyDescent="0.2">
      <c r="A20" s="283"/>
      <c r="B20" s="343" t="s">
        <v>97</v>
      </c>
      <c r="C20" s="288">
        <f>'[2]Sky West_AS'!$HR$19</f>
        <v>54</v>
      </c>
      <c r="D20" s="2">
        <f>'[2]Sky West_AS'!$HD$19</f>
        <v>0</v>
      </c>
      <c r="E20" s="66" t="e">
        <f>(C20-D20)/D20</f>
        <v>#DIV/0!</v>
      </c>
      <c r="F20" s="2">
        <f>SUM('[2]Sky West_AS'!$HR$19:$HR$19)</f>
        <v>54</v>
      </c>
      <c r="G20" s="2">
        <f>SUM('[2]Sky West_AS'!$HD$19:$HD$19)</f>
        <v>0</v>
      </c>
      <c r="H20" s="3" t="e">
        <f>(F20-G20)/G20</f>
        <v>#DIV/0!</v>
      </c>
      <c r="I20" s="66">
        <f>F20/$F$73</f>
        <v>2.4503130955622109E-3</v>
      </c>
      <c r="J20" s="283"/>
      <c r="K20" s="343" t="s">
        <v>97</v>
      </c>
      <c r="L20" s="288">
        <f>'[2]Sky West_AS'!$HR$41</f>
        <v>2767</v>
      </c>
      <c r="M20" s="2">
        <f>'[2]Sky West_AS'!$HD$41</f>
        <v>0</v>
      </c>
      <c r="N20" s="66" t="e">
        <f>(L20-M20)/M20</f>
        <v>#DIV/0!</v>
      </c>
      <c r="O20" s="288">
        <f>SUM('[2]Sky West_AS'!$HR$41:$HR$41)</f>
        <v>2767</v>
      </c>
      <c r="P20" s="2">
        <f>SUM('[2]Sky West_AS'!$HD$41:$HD$41)</f>
        <v>0</v>
      </c>
      <c r="Q20" s="3" t="e">
        <f>(O20-P20)/P20</f>
        <v>#DIV/0!</v>
      </c>
      <c r="R20" s="349">
        <f>O20/$O$73</f>
        <v>1.4306284786581977E-3</v>
      </c>
      <c r="S20" s="283"/>
      <c r="T20" s="343" t="s">
        <v>97</v>
      </c>
      <c r="U20" s="288">
        <f>'[2]Sky West_AS'!$HR$64</f>
        <v>4924</v>
      </c>
      <c r="V20" s="2">
        <f>'[2]Sky West_AS'!$HD$64</f>
        <v>0</v>
      </c>
      <c r="W20" s="66" t="e">
        <f>(U20-V20)/V20</f>
        <v>#DIV/0!</v>
      </c>
      <c r="X20" s="288">
        <f>SUM('[2]Sky West_AS'!$HR$64:$HR$64)</f>
        <v>4924</v>
      </c>
      <c r="Y20" s="2">
        <f>SUM('[2]Sky West_AS'!$HD$64:$HD$64)</f>
        <v>0</v>
      </c>
      <c r="Z20" s="3" t="e">
        <f>(X20-Y20)/Y20</f>
        <v>#DIV/0!</v>
      </c>
      <c r="AA20" s="349">
        <f>X20/$X$73</f>
        <v>8.0536368287382023E-4</v>
      </c>
    </row>
    <row r="21" spans="1:27" ht="14.1" customHeight="1" x14ac:dyDescent="0.2">
      <c r="A21" s="283"/>
      <c r="B21" s="343" t="s">
        <v>193</v>
      </c>
      <c r="C21" s="288">
        <f>[2]Horizon_AS!$HR$19</f>
        <v>4</v>
      </c>
      <c r="D21" s="2">
        <f>[2]Horizon_AS!$HD$19</f>
        <v>0</v>
      </c>
      <c r="E21" s="66" t="e">
        <f>(C21-D21)/D21</f>
        <v>#DIV/0!</v>
      </c>
      <c r="F21" s="2">
        <f>SUM([2]Horizon_AS!$HR$19:$HR$19)</f>
        <v>4</v>
      </c>
      <c r="G21" s="2">
        <f>SUM([2]Horizon_AS!$HD$19:$HD$19)</f>
        <v>0</v>
      </c>
      <c r="H21" s="3" t="e">
        <f>(F21-G21)/G21</f>
        <v>#DIV/0!</v>
      </c>
      <c r="I21" s="66">
        <f>F21/$F$73</f>
        <v>1.8150467374534896E-4</v>
      </c>
      <c r="J21" s="283"/>
      <c r="K21" s="343" t="s">
        <v>193</v>
      </c>
      <c r="L21" s="288">
        <f>[2]Horizon_AS!$HR$41</f>
        <v>273</v>
      </c>
      <c r="M21" s="2">
        <f>[2]Horizon_AS!$HD$41</f>
        <v>0</v>
      </c>
      <c r="N21" s="66" t="e">
        <f>(L21-M21)/M21</f>
        <v>#DIV/0!</v>
      </c>
      <c r="O21" s="288">
        <f>SUM([2]Horizon_AS!$HR$41:$HR$41)</f>
        <v>273</v>
      </c>
      <c r="P21" s="2">
        <f>SUM([2]Horizon_AS!$HD$41:$HD$41)</f>
        <v>0</v>
      </c>
      <c r="Q21" s="3" t="e">
        <f>(O21-P21)/P21</f>
        <v>#DIV/0!</v>
      </c>
      <c r="R21" s="349">
        <f>O21/$O$73</f>
        <v>1.4114982821600576E-4</v>
      </c>
      <c r="S21" s="283"/>
      <c r="T21" s="343" t="s">
        <v>193</v>
      </c>
      <c r="U21" s="288">
        <f>[2]Horizon_AS!$HR$64</f>
        <v>549</v>
      </c>
      <c r="V21" s="2">
        <f>[2]Horizon_AS!$HD$64</f>
        <v>0</v>
      </c>
      <c r="W21" s="66" t="e">
        <f>(U21-V21)/V21</f>
        <v>#DIV/0!</v>
      </c>
      <c r="X21" s="288">
        <f>SUM([2]Horizon_AS!$HR$64:$HR$64)</f>
        <v>549</v>
      </c>
      <c r="Y21" s="2">
        <f>SUM([2]Horizon_AS!$HD$64:$HD$64)</f>
        <v>0</v>
      </c>
      <c r="Z21" s="3" t="e">
        <f>(X21-Y21)/Y21</f>
        <v>#DIV/0!</v>
      </c>
      <c r="AA21" s="349">
        <f>X21/$X$73</f>
        <v>8.9793798110830082E-5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SUM(C24:C30)</f>
        <v>987</v>
      </c>
      <c r="D23" s="286">
        <f>SUM(D24:D30)</f>
        <v>690</v>
      </c>
      <c r="E23" s="287">
        <f t="shared" ref="E23:E30" si="18">(C23-D23)/D23</f>
        <v>0.43043478260869567</v>
      </c>
      <c r="F23" s="284">
        <f>SUM(F24:F30)</f>
        <v>987</v>
      </c>
      <c r="G23" s="286">
        <f>SUM(G24:G30)</f>
        <v>690</v>
      </c>
      <c r="H23" s="285">
        <f t="shared" ref="H23:H30" si="19">(F23-G23)/G23</f>
        <v>0.43043478260869567</v>
      </c>
      <c r="I23" s="287">
        <f t="shared" ref="I23:I30" si="20">F23/$F$73</f>
        <v>4.4786278246664854E-2</v>
      </c>
      <c r="J23" s="283" t="s">
        <v>17</v>
      </c>
      <c r="K23" s="290"/>
      <c r="L23" s="284">
        <f>SUM(L24:L30)</f>
        <v>87849</v>
      </c>
      <c r="M23" s="286">
        <f>SUM(M24:M30)</f>
        <v>56887</v>
      </c>
      <c r="N23" s="287">
        <f t="shared" ref="N23:N30" si="21">(L23-M23)/M23</f>
        <v>0.54427197778051228</v>
      </c>
      <c r="O23" s="284">
        <f>SUM(O24:O30)</f>
        <v>87849</v>
      </c>
      <c r="P23" s="286">
        <f>SUM(P24:P30)</f>
        <v>56887</v>
      </c>
      <c r="Q23" s="285">
        <f t="shared" ref="Q23:Q30" si="22">(O23-P23)/P23</f>
        <v>0.54427197778051228</v>
      </c>
      <c r="R23" s="287">
        <f t="shared" ref="R23:R30" si="23">O23/$O$73</f>
        <v>4.5420773842299964E-2</v>
      </c>
      <c r="S23" s="283" t="s">
        <v>17</v>
      </c>
      <c r="T23" s="290"/>
      <c r="U23" s="284">
        <f>SUM(U24:U30)</f>
        <v>178561</v>
      </c>
      <c r="V23" s="286">
        <f>SUM(V24:V30)</f>
        <v>144828</v>
      </c>
      <c r="W23" s="287">
        <f t="shared" ref="W23:W27" si="24">(U23-V23)/V23</f>
        <v>0.23291766785428233</v>
      </c>
      <c r="X23" s="284">
        <f>SUM(X24:X30)</f>
        <v>178561</v>
      </c>
      <c r="Y23" s="286">
        <f>SUM(Y24:Y30)</f>
        <v>144828</v>
      </c>
      <c r="Z23" s="285">
        <f t="shared" ref="Z23:Z27" si="25">(X23-Y23)/Y23</f>
        <v>0.23291766785428233</v>
      </c>
      <c r="AA23" s="287">
        <f t="shared" ref="AA23:AA30" si="26">X23/$X$73</f>
        <v>2.920522838700898E-2</v>
      </c>
    </row>
    <row r="24" spans="1:27" ht="14.1" customHeight="1" x14ac:dyDescent="0.2">
      <c r="A24" s="38"/>
      <c r="B24" s="40" t="s">
        <v>17</v>
      </c>
      <c r="C24" s="288">
        <f>[2]American!$HR$19</f>
        <v>561</v>
      </c>
      <c r="D24" s="2">
        <f>[2]American!$HD$19</f>
        <v>422</v>
      </c>
      <c r="E24" s="66">
        <f t="shared" si="18"/>
        <v>0.32938388625592419</v>
      </c>
      <c r="F24" s="2">
        <f>SUM([2]American!$HR$19:$HR$19)</f>
        <v>561</v>
      </c>
      <c r="G24" s="2">
        <f>SUM([2]American!$HD$19:$HD$19)</f>
        <v>422</v>
      </c>
      <c r="H24" s="3">
        <f t="shared" si="19"/>
        <v>0.32938388625592419</v>
      </c>
      <c r="I24" s="66">
        <f t="shared" si="20"/>
        <v>2.5456030492785189E-2</v>
      </c>
      <c r="J24" s="38"/>
      <c r="K24" s="40" t="s">
        <v>17</v>
      </c>
      <c r="L24" s="288">
        <f>[2]American!$HR$41</f>
        <v>71394</v>
      </c>
      <c r="M24" s="2">
        <f>[2]American!$HD$41</f>
        <v>42515</v>
      </c>
      <c r="N24" s="66">
        <f t="shared" si="21"/>
        <v>0.67926614136187224</v>
      </c>
      <c r="O24" s="288">
        <f>SUM([2]American!$HR$41:$HR$41)</f>
        <v>71394</v>
      </c>
      <c r="P24" s="2">
        <f>SUM([2]American!$HD$41:$HD$41)</f>
        <v>42515</v>
      </c>
      <c r="Q24" s="3">
        <f t="shared" si="22"/>
        <v>0.67926614136187224</v>
      </c>
      <c r="R24" s="66">
        <f t="shared" si="23"/>
        <v>3.6913006724005555E-2</v>
      </c>
      <c r="S24" s="38"/>
      <c r="T24" s="40" t="s">
        <v>17</v>
      </c>
      <c r="U24" s="288">
        <f>[2]American!$HR$64</f>
        <v>177370</v>
      </c>
      <c r="V24" s="2">
        <f>[2]American!$HD$64</f>
        <v>144563</v>
      </c>
      <c r="W24" s="66">
        <f t="shared" si="24"/>
        <v>0.22693911996845667</v>
      </c>
      <c r="X24" s="288">
        <f>SUM([2]American!$HR$64:$HR$64)</f>
        <v>177370</v>
      </c>
      <c r="Y24" s="2">
        <f>SUM([2]American!$HD$64:$HD$64)</f>
        <v>144563</v>
      </c>
      <c r="Z24" s="3">
        <f t="shared" si="25"/>
        <v>0.22693911996845667</v>
      </c>
      <c r="AA24" s="66">
        <f t="shared" si="26"/>
        <v>2.9010429819522645E-2</v>
      </c>
    </row>
    <row r="25" spans="1:27" ht="14.1" customHeight="1" x14ac:dyDescent="0.2">
      <c r="A25" s="38"/>
      <c r="B25" s="343" t="s">
        <v>165</v>
      </c>
      <c r="C25" s="288">
        <f>'[2]American Eagle'!$HR$19</f>
        <v>66</v>
      </c>
      <c r="D25" s="2">
        <f>'[2]American Eagle'!$HD$19</f>
        <v>225</v>
      </c>
      <c r="E25" s="66">
        <f t="shared" si="18"/>
        <v>-0.70666666666666667</v>
      </c>
      <c r="F25" s="2">
        <f>SUM('[2]American Eagle'!$HR$19:$HR$19)</f>
        <v>66</v>
      </c>
      <c r="G25" s="2">
        <f>SUM('[2]American Eagle'!$HD$19:$HD$19)</f>
        <v>225</v>
      </c>
      <c r="H25" s="3">
        <f t="shared" si="19"/>
        <v>-0.70666666666666667</v>
      </c>
      <c r="I25" s="66">
        <f t="shared" si="20"/>
        <v>2.9948271167982575E-3</v>
      </c>
      <c r="J25" s="38"/>
      <c r="K25" s="343" t="s">
        <v>165</v>
      </c>
      <c r="L25" s="288">
        <f>'[2]American Eagle'!$HR$41</f>
        <v>2289</v>
      </c>
      <c r="M25" s="2">
        <f>'[2]American Eagle'!$HD$41</f>
        <v>12931</v>
      </c>
      <c r="N25" s="66">
        <f t="shared" si="21"/>
        <v>-0.82298352795607455</v>
      </c>
      <c r="O25" s="288">
        <f>SUM('[2]American Eagle'!$HR$41:$HR$41)</f>
        <v>2289</v>
      </c>
      <c r="P25" s="2">
        <f>SUM('[2]American Eagle'!$HD$41:$HD$41)</f>
        <v>12931</v>
      </c>
      <c r="Q25" s="3">
        <f t="shared" si="22"/>
        <v>-0.82298352795607455</v>
      </c>
      <c r="R25" s="66">
        <f t="shared" si="23"/>
        <v>1.1834870211957407E-3</v>
      </c>
      <c r="S25" s="38"/>
      <c r="T25" s="343" t="s">
        <v>165</v>
      </c>
      <c r="U25" s="288">
        <f>'[2]American Eagle'!$HR$64</f>
        <v>650</v>
      </c>
      <c r="V25" s="2">
        <f>'[2]American Eagle'!$HD$64</f>
        <v>227</v>
      </c>
      <c r="W25" s="66">
        <f t="shared" si="24"/>
        <v>1.8634361233480177</v>
      </c>
      <c r="X25" s="288">
        <f>SUM('[2]American Eagle'!$HR$64:$HR$64)</f>
        <v>650</v>
      </c>
      <c r="Y25" s="2">
        <f>SUM('[2]American Eagle'!$HD$64:$HD$64)</f>
        <v>227</v>
      </c>
      <c r="Z25" s="3">
        <f t="shared" si="25"/>
        <v>1.8634361233480177</v>
      </c>
      <c r="AA25" s="66">
        <f t="shared" si="26"/>
        <v>1.0631324002192997E-4</v>
      </c>
    </row>
    <row r="26" spans="1:27" ht="14.1" customHeight="1" x14ac:dyDescent="0.2">
      <c r="A26" s="38"/>
      <c r="B26" s="343" t="s">
        <v>52</v>
      </c>
      <c r="C26" s="288">
        <f>[2]Republic!$HR$19</f>
        <v>170</v>
      </c>
      <c r="D26" s="2">
        <f>[2]Republic!$HD$19</f>
        <v>41</v>
      </c>
      <c r="E26" s="66">
        <f t="shared" si="18"/>
        <v>3.1463414634146343</v>
      </c>
      <c r="F26" s="2">
        <f>SUM([2]Republic!$HR$19:$HR$19)</f>
        <v>170</v>
      </c>
      <c r="G26" s="2">
        <f>SUM([2]Republic!$HD$19:$HD$19)</f>
        <v>41</v>
      </c>
      <c r="H26" s="3">
        <f t="shared" si="19"/>
        <v>3.1463414634146343</v>
      </c>
      <c r="I26" s="66">
        <f t="shared" si="20"/>
        <v>7.7139486341773304E-3</v>
      </c>
      <c r="J26" s="38"/>
      <c r="K26" s="291" t="s">
        <v>52</v>
      </c>
      <c r="L26" s="288">
        <f>[2]Republic!$HR$41</f>
        <v>5118</v>
      </c>
      <c r="M26" s="2">
        <f>[2]Republic!$HD$41</f>
        <v>1409</v>
      </c>
      <c r="N26" s="66">
        <f t="shared" si="21"/>
        <v>2.63236337828247</v>
      </c>
      <c r="O26" s="288">
        <f>SUM([2]Republic!$HR$41:$HR$41)</f>
        <v>5118</v>
      </c>
      <c r="P26" s="2">
        <f>SUM([2]Republic!$HD$41:$HD$41)</f>
        <v>1409</v>
      </c>
      <c r="Q26" s="3">
        <f t="shared" si="22"/>
        <v>2.63236337828247</v>
      </c>
      <c r="R26" s="66">
        <f t="shared" si="23"/>
        <v>2.6461715047967674E-3</v>
      </c>
      <c r="S26" s="38"/>
      <c r="T26" s="291" t="s">
        <v>52</v>
      </c>
      <c r="U26" s="288">
        <f>[2]Republic!$HR$64</f>
        <v>0</v>
      </c>
      <c r="V26" s="2">
        <f>[2]Republic!$HD$64</f>
        <v>38</v>
      </c>
      <c r="W26" s="66">
        <f t="shared" si="24"/>
        <v>-1</v>
      </c>
      <c r="X26" s="288">
        <f>SUM([2]Republic!$HR$64:$HR$64)</f>
        <v>0</v>
      </c>
      <c r="Y26" s="2">
        <f>SUM([2]Republic!$HD$64:$HD$64)</f>
        <v>38</v>
      </c>
      <c r="Z26" s="3">
        <f t="shared" si="25"/>
        <v>-1</v>
      </c>
      <c r="AA26" s="66">
        <f t="shared" si="26"/>
        <v>0</v>
      </c>
    </row>
    <row r="27" spans="1:27" ht="14.1" customHeight="1" x14ac:dyDescent="0.2">
      <c r="A27" s="38"/>
      <c r="B27" s="343" t="s">
        <v>182</v>
      </c>
      <c r="C27" s="288">
        <f>[2]PSA!$HR$19</f>
        <v>104</v>
      </c>
      <c r="D27" s="2">
        <f>[2]PSA!$HD$19</f>
        <v>2</v>
      </c>
      <c r="E27" s="66">
        <f t="shared" si="18"/>
        <v>51</v>
      </c>
      <c r="F27" s="2">
        <f>SUM([2]PSA!$HR$19:$HR$19)</f>
        <v>104</v>
      </c>
      <c r="G27" s="2">
        <f>SUM([2]PSA!$HD$19:$HD$19)</f>
        <v>2</v>
      </c>
      <c r="H27" s="3">
        <f t="shared" si="19"/>
        <v>51</v>
      </c>
      <c r="I27" s="66">
        <f t="shared" si="20"/>
        <v>4.7191215173790725E-3</v>
      </c>
      <c r="J27" s="38"/>
      <c r="K27" s="343" t="s">
        <v>182</v>
      </c>
      <c r="L27" s="288">
        <f>[2]PSA!$HR$41</f>
        <v>4747</v>
      </c>
      <c r="M27" s="2">
        <f>[2]PSA!$HD$41</f>
        <v>32</v>
      </c>
      <c r="N27" s="66">
        <f t="shared" si="21"/>
        <v>147.34375</v>
      </c>
      <c r="O27" s="288">
        <f>SUM([2]PSA!$HR$41:$HR$41)</f>
        <v>4747</v>
      </c>
      <c r="P27" s="2">
        <f>SUM([2]PSA!$HD$41:$HD$41)</f>
        <v>32</v>
      </c>
      <c r="Q27" s="3">
        <f t="shared" si="22"/>
        <v>147.34375</v>
      </c>
      <c r="R27" s="66">
        <f t="shared" si="23"/>
        <v>2.4543525074775803E-3</v>
      </c>
      <c r="S27" s="38"/>
      <c r="T27" s="343" t="s">
        <v>182</v>
      </c>
      <c r="U27" s="288">
        <f>[2]PSA!$HR$64</f>
        <v>524</v>
      </c>
      <c r="V27" s="2">
        <f>[2]PSA!$HD$64</f>
        <v>0</v>
      </c>
      <c r="W27" s="66" t="e">
        <f t="shared" si="24"/>
        <v>#DIV/0!</v>
      </c>
      <c r="X27" s="288">
        <f>SUM([2]PSA!$HR$64:$HR$64)</f>
        <v>524</v>
      </c>
      <c r="Y27" s="2">
        <f>SUM([2]PSA!$HD$64:$HD$64)</f>
        <v>0</v>
      </c>
      <c r="Z27" s="3" t="e">
        <f t="shared" si="25"/>
        <v>#DIV/0!</v>
      </c>
      <c r="AA27" s="66">
        <f t="shared" si="26"/>
        <v>8.5704827340755846E-5</v>
      </c>
    </row>
    <row r="28" spans="1:27" ht="14.1" customHeight="1" x14ac:dyDescent="0.2">
      <c r="A28" s="38"/>
      <c r="B28" s="343" t="s">
        <v>97</v>
      </c>
      <c r="C28" s="288">
        <f>'[2]Sky West_AA'!$HR$19</f>
        <v>86</v>
      </c>
      <c r="D28" s="2">
        <f>'[2]Sky West_AA'!$HD$19</f>
        <v>0</v>
      </c>
      <c r="E28" s="66" t="e">
        <f>(C28-D28)/D28</f>
        <v>#DIV/0!</v>
      </c>
      <c r="F28" s="2">
        <f>SUM('[2]Sky West_AA'!$HR$19:$HR$19)</f>
        <v>86</v>
      </c>
      <c r="G28" s="2">
        <f>SUM('[2]Sky West_AA'!$HD$19:$HD$19)</f>
        <v>0</v>
      </c>
      <c r="H28" s="3" t="e">
        <f>(F28-G28)/G28</f>
        <v>#DIV/0!</v>
      </c>
      <c r="I28" s="66">
        <f t="shared" si="20"/>
        <v>3.9023504855250023E-3</v>
      </c>
      <c r="J28" s="38"/>
      <c r="K28" s="343" t="s">
        <v>97</v>
      </c>
      <c r="L28" s="288">
        <f>'[2]Sky West_AA'!$HR$41</f>
        <v>4301</v>
      </c>
      <c r="M28" s="2">
        <f>'[2]Sky West_AA'!$HD$41</f>
        <v>0</v>
      </c>
      <c r="N28" s="66" t="e">
        <f>(L28-M28)/M28</f>
        <v>#DIV/0!</v>
      </c>
      <c r="O28" s="288">
        <f>SUM('[2]Sky West_AA'!$HR$41:$HR$41)</f>
        <v>4301</v>
      </c>
      <c r="P28" s="2">
        <f>SUM('[2]Sky West_AA'!$HD$41:$HD$41)</f>
        <v>0</v>
      </c>
      <c r="Q28" s="3" t="e">
        <f>(O28-P28)/P28</f>
        <v>#DIV/0!</v>
      </c>
      <c r="R28" s="349">
        <f t="shared" si="23"/>
        <v>2.2237560848243254E-3</v>
      </c>
      <c r="S28" s="38"/>
      <c r="T28" s="343" t="s">
        <v>97</v>
      </c>
      <c r="U28" s="288">
        <f>'[2]Sky West_AA'!$HR$64</f>
        <v>17</v>
      </c>
      <c r="V28" s="2">
        <f>'[2]Sky West_AA'!$HD$64</f>
        <v>0</v>
      </c>
      <c r="W28" s="66" t="e">
        <f>(U28-V28)/V28</f>
        <v>#DIV/0!</v>
      </c>
      <c r="X28" s="288">
        <f>SUM('[2]Sky West_AA'!$HR$64:$HR$64)</f>
        <v>17</v>
      </c>
      <c r="Y28" s="2">
        <f>SUM('[2]Sky West_AA'!$HD$64:$HD$64)</f>
        <v>0</v>
      </c>
      <c r="Z28" s="3" t="e">
        <f>(X28-Y28)/Y28</f>
        <v>#DIV/0!</v>
      </c>
      <c r="AA28" s="349">
        <f t="shared" si="26"/>
        <v>2.780500123650476E-6</v>
      </c>
    </row>
    <row r="29" spans="1:27" ht="14.1" customHeight="1" x14ac:dyDescent="0.2">
      <c r="A29" s="38"/>
      <c r="B29" s="343" t="s">
        <v>51</v>
      </c>
      <c r="C29" s="288">
        <f>[2]MESA!$HR$19</f>
        <v>0</v>
      </c>
      <c r="D29" s="2">
        <f>[2]MESA!$HD$19</f>
        <v>0</v>
      </c>
      <c r="E29" s="66" t="e">
        <f t="shared" si="18"/>
        <v>#DIV/0!</v>
      </c>
      <c r="F29" s="2">
        <f>SUM([2]MESA!$HR$19:$HR$19)</f>
        <v>0</v>
      </c>
      <c r="G29" s="2">
        <f>SUM([2]MESA!$HD$19:$HD$19)</f>
        <v>0</v>
      </c>
      <c r="H29" s="3" t="e">
        <f t="shared" si="19"/>
        <v>#DIV/0!</v>
      </c>
      <c r="I29" s="66">
        <f t="shared" si="20"/>
        <v>0</v>
      </c>
      <c r="J29" s="38"/>
      <c r="K29" s="343" t="s">
        <v>51</v>
      </c>
      <c r="L29" s="288">
        <f>[2]MESA!$HR$41</f>
        <v>0</v>
      </c>
      <c r="M29" s="2">
        <f>[2]MESA!$HD$41</f>
        <v>0</v>
      </c>
      <c r="N29" s="66" t="e">
        <f t="shared" si="21"/>
        <v>#DIV/0!</v>
      </c>
      <c r="O29" s="288">
        <f>SUM([2]MESA!$HR$41:$HR$41)</f>
        <v>0</v>
      </c>
      <c r="P29" s="2">
        <f>SUM([2]MESA!$HD$41:$HD$41)</f>
        <v>0</v>
      </c>
      <c r="Q29" s="3" t="e">
        <f t="shared" si="22"/>
        <v>#DIV/0!</v>
      </c>
      <c r="R29" s="66">
        <f t="shared" si="23"/>
        <v>0</v>
      </c>
      <c r="S29" s="38"/>
      <c r="T29" s="343" t="s">
        <v>51</v>
      </c>
      <c r="U29" s="288">
        <f>[2]MESA!$HR$64</f>
        <v>0</v>
      </c>
      <c r="V29" s="2">
        <f>[2]MESA!$HD$64</f>
        <v>0</v>
      </c>
      <c r="W29" s="66" t="e">
        <f t="shared" ref="W29:W30" si="27">(U29-V29)/V29</f>
        <v>#DIV/0!</v>
      </c>
      <c r="X29" s="288">
        <f>SUM([2]MESA!$HR$64:$HR$64)</f>
        <v>0</v>
      </c>
      <c r="Y29" s="2">
        <f>SUM([2]MESA!$HD$64:$HD$64)</f>
        <v>0</v>
      </c>
      <c r="Z29" s="3" t="e">
        <f t="shared" ref="Z29:Z30" si="28">(X29-Y29)/Y29</f>
        <v>#DIV/0!</v>
      </c>
      <c r="AA29" s="66">
        <f t="shared" si="26"/>
        <v>0</v>
      </c>
    </row>
    <row r="30" spans="1:27" ht="14.1" customHeight="1" x14ac:dyDescent="0.2">
      <c r="A30" s="38"/>
      <c r="B30" s="343" t="s">
        <v>50</v>
      </c>
      <c r="C30" s="288">
        <f>'[2]Air Wisconsin'!$HR$19</f>
        <v>0</v>
      </c>
      <c r="D30" s="2">
        <f>'[2]Air Wisconsin'!$HD$19</f>
        <v>0</v>
      </c>
      <c r="E30" s="66" t="e">
        <f t="shared" si="18"/>
        <v>#DIV/0!</v>
      </c>
      <c r="F30" s="2">
        <f>SUM('[2]Air Wisconsin'!$HR$19:$HR$19)</f>
        <v>0</v>
      </c>
      <c r="G30" s="2">
        <f>SUM('[2]Air Wisconsin'!$HD$19:$HD$19)</f>
        <v>0</v>
      </c>
      <c r="H30" s="379" t="e">
        <f t="shared" si="19"/>
        <v>#DIV/0!</v>
      </c>
      <c r="I30" s="66">
        <f t="shared" si="20"/>
        <v>0</v>
      </c>
      <c r="J30" s="38"/>
      <c r="K30" s="291" t="s">
        <v>50</v>
      </c>
      <c r="L30" s="288">
        <f>'[2]Air Wisconsin'!$HR$41</f>
        <v>0</v>
      </c>
      <c r="M30" s="2">
        <f>'[2]Air Wisconsin'!$HD$41</f>
        <v>0</v>
      </c>
      <c r="N30" s="66" t="e">
        <f t="shared" si="21"/>
        <v>#DIV/0!</v>
      </c>
      <c r="O30" s="288">
        <f>SUM('[2]Air Wisconsin'!$HR$41:$HR$41)</f>
        <v>0</v>
      </c>
      <c r="P30" s="2">
        <f>SUM('[2]Air Wisconsin'!$HD$41:$HD$41)</f>
        <v>0</v>
      </c>
      <c r="Q30" s="3" t="e">
        <f t="shared" si="22"/>
        <v>#DIV/0!</v>
      </c>
      <c r="R30" s="66">
        <f t="shared" si="23"/>
        <v>0</v>
      </c>
      <c r="S30" s="38"/>
      <c r="T30" s="291" t="s">
        <v>50</v>
      </c>
      <c r="U30" s="288">
        <f>'[2]Air Wisconsin'!$HR$64</f>
        <v>0</v>
      </c>
      <c r="V30" s="2">
        <f>'[2]Air Wisconsin'!$HD$64</f>
        <v>0</v>
      </c>
      <c r="W30" s="66" t="e">
        <f t="shared" si="27"/>
        <v>#DIV/0!</v>
      </c>
      <c r="X30" s="288">
        <f>SUM('[2]Air Wisconsin'!$HR$64:$HR$64)</f>
        <v>0</v>
      </c>
      <c r="Y30" s="2">
        <f>SUM('[2]Air Wisconsin'!$HD$64:$HD$64)</f>
        <v>0</v>
      </c>
      <c r="Z30" s="3" t="e">
        <f t="shared" si="28"/>
        <v>#DIV/0!</v>
      </c>
      <c r="AA30" s="66">
        <f t="shared" si="26"/>
        <v>0</v>
      </c>
    </row>
    <row r="31" spans="1:27" ht="14.1" customHeight="1" x14ac:dyDescent="0.2">
      <c r="A31" s="38"/>
      <c r="B31" s="40"/>
      <c r="C31" s="288"/>
      <c r="E31" s="66"/>
      <c r="F31" s="2"/>
      <c r="I31" s="66"/>
      <c r="J31" s="38"/>
      <c r="K31" s="40"/>
      <c r="L31" s="288"/>
      <c r="N31" s="66"/>
      <c r="O31" s="288"/>
      <c r="P31" s="2"/>
      <c r="Q31" s="3"/>
      <c r="R31" s="66"/>
      <c r="S31" s="38"/>
      <c r="T31" s="40"/>
      <c r="U31" s="288"/>
      <c r="V31" s="2"/>
      <c r="W31" s="66"/>
      <c r="X31" s="288"/>
      <c r="Y31" s="2"/>
      <c r="Z31" s="3"/>
      <c r="AA31" s="66"/>
    </row>
    <row r="32" spans="1:27" ht="14.1" customHeight="1" x14ac:dyDescent="0.2">
      <c r="A32" s="283" t="s">
        <v>179</v>
      </c>
      <c r="B32" s="40"/>
      <c r="C32" s="284">
        <f>'[2]Boutique Air'!$HR$19</f>
        <v>0</v>
      </c>
      <c r="D32" s="286">
        <f>'[2]Boutique Air'!$HD$19</f>
        <v>45</v>
      </c>
      <c r="E32" s="287">
        <f>(C32-D32)/D32</f>
        <v>-1</v>
      </c>
      <c r="F32" s="286">
        <f>SUM('[2]Boutique Air'!$HR$19:$HR$19)</f>
        <v>0</v>
      </c>
      <c r="G32" s="286">
        <f>SUM('[2]Boutique Air'!$HD$19:$HD$19)</f>
        <v>45</v>
      </c>
      <c r="H32" s="285">
        <f>(F32-G32)/G32</f>
        <v>-1</v>
      </c>
      <c r="I32" s="287">
        <f>F32/$F$73</f>
        <v>0</v>
      </c>
      <c r="J32" s="283" t="s">
        <v>179</v>
      </c>
      <c r="K32" s="40"/>
      <c r="L32" s="284">
        <f>'[2]Boutique Air'!$HR$41</f>
        <v>0</v>
      </c>
      <c r="M32" s="286">
        <f>'[2]Boutique Air'!$HD$41</f>
        <v>164</v>
      </c>
      <c r="N32" s="287">
        <f>(L32-M32)/M32</f>
        <v>-1</v>
      </c>
      <c r="O32" s="284">
        <f>SUM('[2]Boutique Air'!$HR$41:$HR$41)</f>
        <v>0</v>
      </c>
      <c r="P32" s="286">
        <f>SUM('[2]Boutique Air'!$HD$41:$HD$41)</f>
        <v>164</v>
      </c>
      <c r="Q32" s="285">
        <f>(O32-P32)/P32</f>
        <v>-1</v>
      </c>
      <c r="R32" s="287">
        <f>O32/$O$73</f>
        <v>0</v>
      </c>
      <c r="S32" s="283" t="s">
        <v>179</v>
      </c>
      <c r="T32" s="40"/>
      <c r="U32" s="284">
        <f>'[2]Boutique Air'!$HR$64</f>
        <v>0</v>
      </c>
      <c r="V32" s="286">
        <f>'[2]Boutique Air'!$HD$64</f>
        <v>0</v>
      </c>
      <c r="W32" s="287" t="e">
        <f>(U32-V32)/V32</f>
        <v>#DIV/0!</v>
      </c>
      <c r="X32" s="284">
        <f>SUM('[2]Boutique Air'!$HR$64:$HR$64)</f>
        <v>0</v>
      </c>
      <c r="Y32" s="286">
        <f>SUM('[2]Boutique Air'!$HD$64:$HD$64)</f>
        <v>0</v>
      </c>
      <c r="Z32" s="285" t="e">
        <f>(X32-Y32)/Y32</f>
        <v>#DIV/0!</v>
      </c>
      <c r="AA32" s="287">
        <f>X32/$X$73</f>
        <v>0</v>
      </c>
    </row>
    <row r="33" spans="1:27" ht="14.1" customHeight="1" x14ac:dyDescent="0.2">
      <c r="A33" s="38"/>
      <c r="B33" s="40"/>
      <c r="C33" s="288"/>
      <c r="E33" s="66"/>
      <c r="F33" s="2"/>
      <c r="I33" s="66"/>
      <c r="J33" s="38"/>
      <c r="K33" s="40"/>
      <c r="L33" s="288"/>
      <c r="N33" s="66"/>
      <c r="O33" s="288"/>
      <c r="P33" s="2"/>
      <c r="Q33" s="3"/>
      <c r="R33" s="66"/>
      <c r="S33" s="38"/>
      <c r="T33" s="40"/>
      <c r="U33" s="288"/>
      <c r="V33" s="2"/>
      <c r="W33" s="66"/>
      <c r="X33" s="288"/>
      <c r="Y33" s="2"/>
      <c r="Z33" s="3"/>
      <c r="AA33" s="66"/>
    </row>
    <row r="34" spans="1:27" ht="14.1" customHeight="1" x14ac:dyDescent="0.2">
      <c r="A34" s="283" t="s">
        <v>161</v>
      </c>
      <c r="B34" s="40"/>
      <c r="C34" s="284">
        <f>[2]Condor!$HR$19</f>
        <v>0</v>
      </c>
      <c r="D34" s="286">
        <f>[2]Condor!$HD$19</f>
        <v>0</v>
      </c>
      <c r="E34" s="287" t="e">
        <f>(C34-D34)/D34</f>
        <v>#DIV/0!</v>
      </c>
      <c r="F34" s="286">
        <f>SUM([2]Condor!$HR$19:$HR$19)</f>
        <v>0</v>
      </c>
      <c r="G34" s="286">
        <f>SUM([2]Condor!$HD$19:$HD$19)</f>
        <v>0</v>
      </c>
      <c r="H34" s="285" t="e">
        <f>(F34-G34)/G34</f>
        <v>#DIV/0!</v>
      </c>
      <c r="I34" s="287">
        <f>F34/$F$73</f>
        <v>0</v>
      </c>
      <c r="J34" s="283" t="s">
        <v>161</v>
      </c>
      <c r="K34" s="40"/>
      <c r="L34" s="284">
        <f>[2]Condor!$HR$41</f>
        <v>0</v>
      </c>
      <c r="M34" s="286">
        <f>[2]Condor!$HD$41</f>
        <v>0</v>
      </c>
      <c r="N34" s="287" t="e">
        <f>(L34-M34)/M34</f>
        <v>#DIV/0!</v>
      </c>
      <c r="O34" s="284">
        <f>SUM([2]Condor!$HR$41:$HR$41)</f>
        <v>0</v>
      </c>
      <c r="P34" s="286">
        <f>SUM([2]Condor!$HD$41:$HD$41)</f>
        <v>0</v>
      </c>
      <c r="Q34" s="285" t="e">
        <f>(O34-P34)/P34</f>
        <v>#DIV/0!</v>
      </c>
      <c r="R34" s="287">
        <f>O34/$O$73</f>
        <v>0</v>
      </c>
      <c r="S34" s="283" t="s">
        <v>161</v>
      </c>
      <c r="T34" s="40"/>
      <c r="U34" s="284">
        <f>[2]Condor!$HR$64</f>
        <v>0</v>
      </c>
      <c r="V34" s="286">
        <f>[2]Condor!$HD$64</f>
        <v>0</v>
      </c>
      <c r="W34" s="287" t="e">
        <f>(U34-V34)/V34</f>
        <v>#DIV/0!</v>
      </c>
      <c r="X34" s="284">
        <f>SUM([2]Condor!$HR$64:$HR$64)</f>
        <v>0</v>
      </c>
      <c r="Y34" s="286">
        <f>SUM([2]Condor!$HD$64:$HD$64)</f>
        <v>0</v>
      </c>
      <c r="Z34" s="285" t="e">
        <f>(X34-Y34)/Y34</f>
        <v>#DIV/0!</v>
      </c>
      <c r="AA34" s="287">
        <f>X34/$X$73</f>
        <v>0</v>
      </c>
    </row>
    <row r="35" spans="1:27" ht="14.1" customHeight="1" x14ac:dyDescent="0.2">
      <c r="A35" s="38"/>
      <c r="B35" s="40"/>
      <c r="C35" s="288"/>
      <c r="E35" s="66"/>
      <c r="F35" s="2"/>
      <c r="I35" s="66"/>
      <c r="J35" s="38"/>
      <c r="K35" s="40"/>
      <c r="L35" s="288"/>
      <c r="N35" s="66"/>
      <c r="O35" s="288"/>
      <c r="P35" s="2"/>
      <c r="Q35" s="3"/>
      <c r="R35" s="66"/>
      <c r="S35" s="38"/>
      <c r="T35" s="40"/>
      <c r="U35" s="288"/>
      <c r="V35" s="2"/>
      <c r="W35" s="66"/>
      <c r="X35" s="288"/>
      <c r="Y35" s="2"/>
      <c r="Z35" s="3"/>
      <c r="AA35" s="66"/>
    </row>
    <row r="36" spans="1:27" ht="14.1" customHeight="1" x14ac:dyDescent="0.2">
      <c r="A36" s="283" t="s">
        <v>229</v>
      </c>
      <c r="B36" s="40"/>
      <c r="C36" s="284">
        <f>'[2]Denver Air'!$HR$19</f>
        <v>164</v>
      </c>
      <c r="D36" s="286">
        <f>'[2]Denver Air'!$HD$19</f>
        <v>110</v>
      </c>
      <c r="E36" s="287">
        <f>(C36-D36)/D36</f>
        <v>0.49090909090909091</v>
      </c>
      <c r="F36" s="286">
        <f>SUM('[2]Denver Air'!$HR$19:$HR$19)</f>
        <v>164</v>
      </c>
      <c r="G36" s="286">
        <f>SUM('[2]Denver Air'!$HD$19:$HD$19)</f>
        <v>110</v>
      </c>
      <c r="H36" s="285">
        <f>(F36-G36)/G36</f>
        <v>0.49090909090909091</v>
      </c>
      <c r="I36" s="287">
        <f>F36/$F$73</f>
        <v>7.4416916235593069E-3</v>
      </c>
      <c r="J36" s="283" t="s">
        <v>229</v>
      </c>
      <c r="K36" s="40"/>
      <c r="L36" s="284">
        <f>'[2]Denver Air'!$HR$41</f>
        <v>1348</v>
      </c>
      <c r="M36" s="286">
        <f>'[2]Denver Air'!$HD$41</f>
        <v>353</v>
      </c>
      <c r="N36" s="287">
        <f>(L36-M36)/M36</f>
        <v>2.8186968838526911</v>
      </c>
      <c r="O36" s="284">
        <f>SUM('[2]Denver Air'!$HR$41:$HR$41)</f>
        <v>1348</v>
      </c>
      <c r="P36" s="286">
        <f>SUM('[2]Denver Air'!$HD$41:$HD$41)</f>
        <v>353</v>
      </c>
      <c r="Q36" s="285">
        <f>(O36-P36)/P36</f>
        <v>2.8186968838526911</v>
      </c>
      <c r="R36" s="287">
        <f>O36/$O$73</f>
        <v>6.9695959133764024E-4</v>
      </c>
      <c r="S36" s="283" t="s">
        <v>229</v>
      </c>
      <c r="T36" s="40"/>
      <c r="U36" s="284">
        <f>'[2]Denver Air'!$HR$64</f>
        <v>0</v>
      </c>
      <c r="V36" s="286">
        <f>'[2]Denver Air'!$HD$64</f>
        <v>0</v>
      </c>
      <c r="W36" s="287" t="e">
        <f>(U36-V36)/V36</f>
        <v>#DIV/0!</v>
      </c>
      <c r="X36" s="284">
        <f>SUM('[2]Denver Air'!$HR$64:$HR$64)</f>
        <v>0</v>
      </c>
      <c r="Y36" s="286">
        <f>SUM('[2]Denver Air'!$HD$64:$HD$64)</f>
        <v>0</v>
      </c>
      <c r="Z36" s="285" t="e">
        <f>(X36-Y36)/Y36</f>
        <v>#DIV/0!</v>
      </c>
      <c r="AA36" s="287">
        <f>X36/$X$71</f>
        <v>0</v>
      </c>
    </row>
    <row r="37" spans="1:27" ht="14.1" customHeight="1" x14ac:dyDescent="0.2">
      <c r="A37" s="38"/>
      <c r="B37" s="40"/>
      <c r="C37" s="288"/>
      <c r="E37" s="66"/>
      <c r="F37" s="2"/>
      <c r="I37" s="66"/>
      <c r="J37" s="38"/>
      <c r="K37" s="40"/>
      <c r="L37" s="288"/>
      <c r="N37" s="66"/>
      <c r="O37" s="288"/>
      <c r="P37" s="2"/>
      <c r="Q37" s="3"/>
      <c r="R37" s="66"/>
      <c r="S37" s="38"/>
      <c r="T37" s="40"/>
      <c r="U37" s="288"/>
      <c r="V37" s="2"/>
      <c r="W37" s="66"/>
      <c r="X37" s="288"/>
      <c r="Y37" s="2"/>
      <c r="Z37" s="3"/>
      <c r="AA37" s="66"/>
    </row>
    <row r="38" spans="1:27" ht="14.1" customHeight="1" x14ac:dyDescent="0.2">
      <c r="A38" s="283" t="s">
        <v>18</v>
      </c>
      <c r="B38" s="290"/>
      <c r="C38" s="284">
        <f>SUM(C39:C45)</f>
        <v>16722</v>
      </c>
      <c r="D38" s="286">
        <f>SUM(D39:D45)</f>
        <v>15059</v>
      </c>
      <c r="E38" s="287">
        <f t="shared" ref="E38:E45" si="29">(C38-D38)/D38</f>
        <v>0.11043229962148882</v>
      </c>
      <c r="F38" s="289">
        <f>SUM(F39:F45)</f>
        <v>16722</v>
      </c>
      <c r="G38" s="289">
        <f>SUM(G39:G45)</f>
        <v>15059</v>
      </c>
      <c r="H38" s="285">
        <f>(F38-G38)/G38</f>
        <v>0.11043229962148882</v>
      </c>
      <c r="I38" s="287">
        <f t="shared" ref="I38:I45" si="30">F38/$F$73</f>
        <v>0.7587802885924313</v>
      </c>
      <c r="J38" s="283" t="s">
        <v>18</v>
      </c>
      <c r="K38" s="290"/>
      <c r="L38" s="284">
        <f>SUM(L39:L45)</f>
        <v>1390065</v>
      </c>
      <c r="M38" s="286">
        <f>SUM(M39:M45)</f>
        <v>753815</v>
      </c>
      <c r="N38" s="287">
        <f t="shared" ref="N38:N45" si="31">(L38-M38)/M38</f>
        <v>0.8440399832850235</v>
      </c>
      <c r="O38" s="284">
        <f>SUM(O39:O45)</f>
        <v>1390065</v>
      </c>
      <c r="P38" s="286">
        <f>SUM(P39:P45)</f>
        <v>753815</v>
      </c>
      <c r="Q38" s="285">
        <f t="shared" ref="Q38:Q45" si="32">(O38-P38)/P38</f>
        <v>0.8440399832850235</v>
      </c>
      <c r="R38" s="287">
        <f t="shared" ref="R38:R45" si="33">O38/$O$73</f>
        <v>0.71870855662667421</v>
      </c>
      <c r="S38" s="283" t="s">
        <v>18</v>
      </c>
      <c r="T38" s="290"/>
      <c r="U38" s="284">
        <f>SUM(U39:U45)</f>
        <v>4786988</v>
      </c>
      <c r="V38" s="286">
        <f>SUM(V39:V45)</f>
        <v>2397792</v>
      </c>
      <c r="W38" s="287">
        <f t="shared" ref="W38:W45" si="34">(U38-V38)/V38</f>
        <v>0.99641503516568575</v>
      </c>
      <c r="X38" s="284">
        <f>SUM(X39:X45)</f>
        <v>4786988</v>
      </c>
      <c r="Y38" s="286">
        <f>SUM(Y39:Y45)</f>
        <v>2397792</v>
      </c>
      <c r="Z38" s="285">
        <f t="shared" ref="Z38:Z41" si="35">(X38-Y38)/Y38</f>
        <v>0.99641503516568575</v>
      </c>
      <c r="AA38" s="287">
        <f t="shared" ref="AA38:AA45" si="36">X38/$X$73</f>
        <v>0.78295416034784382</v>
      </c>
    </row>
    <row r="39" spans="1:27" ht="14.1" customHeight="1" x14ac:dyDescent="0.2">
      <c r="A39" s="38"/>
      <c r="B39" s="40" t="s">
        <v>18</v>
      </c>
      <c r="C39" s="288">
        <f>[2]Delta!$HR$19</f>
        <v>9542</v>
      </c>
      <c r="D39" s="2">
        <f>[2]Delta!$HD$19</f>
        <v>6512</v>
      </c>
      <c r="E39" s="66">
        <f t="shared" si="29"/>
        <v>0.46529484029484031</v>
      </c>
      <c r="F39" s="2">
        <f>SUM([2]Delta!$HR$19:$HR$19)</f>
        <v>9542</v>
      </c>
      <c r="G39" s="2">
        <f>SUM([2]Delta!$HD$19:$HD$19)</f>
        <v>6512</v>
      </c>
      <c r="H39" s="3">
        <f t="shared" ref="H39:H45" si="37">(F39-G39)/G39</f>
        <v>0.46529484029484031</v>
      </c>
      <c r="I39" s="66">
        <f t="shared" si="30"/>
        <v>0.43297939921952988</v>
      </c>
      <c r="J39" s="38"/>
      <c r="K39" s="40" t="s">
        <v>18</v>
      </c>
      <c r="L39" s="288">
        <f>[2]Delta!$HR$41</f>
        <v>1105204</v>
      </c>
      <c r="M39" s="2">
        <f>[2]Delta!$HD$41</f>
        <v>500051</v>
      </c>
      <c r="N39" s="66">
        <f t="shared" si="31"/>
        <v>1.2101825613787394</v>
      </c>
      <c r="O39" s="288">
        <f>SUM([2]Delta!$HR$41:$HR$41)</f>
        <v>1105204</v>
      </c>
      <c r="P39" s="2">
        <f>SUM([2]Delta!$HD$41:$HD$41)</f>
        <v>500051</v>
      </c>
      <c r="Q39" s="3">
        <f t="shared" si="32"/>
        <v>1.2101825613787394</v>
      </c>
      <c r="R39" s="66">
        <f t="shared" si="33"/>
        <v>0.57142620785217013</v>
      </c>
      <c r="S39" s="38"/>
      <c r="T39" s="40" t="s">
        <v>18</v>
      </c>
      <c r="U39" s="288">
        <f>[2]Delta!$HR$64</f>
        <v>4786988</v>
      </c>
      <c r="V39" s="2">
        <f>[2]Delta!$HD$64</f>
        <v>2397792</v>
      </c>
      <c r="W39" s="66">
        <f t="shared" si="34"/>
        <v>0.99641503516568575</v>
      </c>
      <c r="X39" s="288">
        <f>SUM([2]Delta!$HR$64:$HR$64)</f>
        <v>4786988</v>
      </c>
      <c r="Y39" s="2">
        <f>SUM([2]Delta!$HD$64:$HD$64)</f>
        <v>2397792</v>
      </c>
      <c r="Z39" s="3">
        <f t="shared" si="35"/>
        <v>0.99641503516568575</v>
      </c>
      <c r="AA39" s="66">
        <f t="shared" si="36"/>
        <v>0.78295416034784382</v>
      </c>
    </row>
    <row r="40" spans="1:27" ht="14.1" customHeight="1" x14ac:dyDescent="0.2">
      <c r="A40" s="38"/>
      <c r="B40" s="291" t="s">
        <v>117</v>
      </c>
      <c r="C40" s="288">
        <f>[2]Compass!$HR$19</f>
        <v>0</v>
      </c>
      <c r="D40" s="2">
        <f>[2]Compass!$HD$19</f>
        <v>0</v>
      </c>
      <c r="E40" s="66" t="e">
        <f t="shared" si="29"/>
        <v>#DIV/0!</v>
      </c>
      <c r="F40" s="2">
        <f>SUM([2]Compass!$HR$19:$HR$19)</f>
        <v>0</v>
      </c>
      <c r="G40" s="2">
        <f>SUM([2]Compass!$HD$19:$HD$19)</f>
        <v>0</v>
      </c>
      <c r="H40" s="3" t="e">
        <f t="shared" si="37"/>
        <v>#DIV/0!</v>
      </c>
      <c r="I40" s="66">
        <f t="shared" si="30"/>
        <v>0</v>
      </c>
      <c r="J40" s="38"/>
      <c r="K40" s="291" t="s">
        <v>117</v>
      </c>
      <c r="L40" s="288">
        <f>[2]Compass!$HR$41</f>
        <v>0</v>
      </c>
      <c r="M40" s="2">
        <f>[2]Compass!$HD$41</f>
        <v>0</v>
      </c>
      <c r="N40" s="66" t="e">
        <f t="shared" si="31"/>
        <v>#DIV/0!</v>
      </c>
      <c r="O40" s="288">
        <f>SUM([2]Compass!$HR$41:$HR$41)</f>
        <v>0</v>
      </c>
      <c r="P40" s="2">
        <f>SUM([2]Compass!$HD$41:$HD$41)</f>
        <v>0</v>
      </c>
      <c r="Q40" s="3" t="e">
        <f t="shared" si="32"/>
        <v>#DIV/0!</v>
      </c>
      <c r="R40" s="66">
        <f t="shared" si="33"/>
        <v>0</v>
      </c>
      <c r="S40" s="38"/>
      <c r="T40" s="291" t="s">
        <v>117</v>
      </c>
      <c r="U40" s="288">
        <f>[2]Compass!$HR$64</f>
        <v>0</v>
      </c>
      <c r="V40" s="2">
        <f>[2]Compass!$HD$64</f>
        <v>0</v>
      </c>
      <c r="W40" s="66" t="e">
        <f t="shared" si="34"/>
        <v>#DIV/0!</v>
      </c>
      <c r="X40" s="288">
        <f>SUM([2]Compass!$HR$64:$HR$64)</f>
        <v>0</v>
      </c>
      <c r="Y40" s="2">
        <f>SUM([2]Compass!$HD$64:$HD$64)</f>
        <v>0</v>
      </c>
      <c r="Z40" s="3" t="e">
        <f t="shared" si="35"/>
        <v>#DIV/0!</v>
      </c>
      <c r="AA40" s="66">
        <f t="shared" si="36"/>
        <v>0</v>
      </c>
    </row>
    <row r="41" spans="1:27" ht="14.1" customHeight="1" x14ac:dyDescent="0.2">
      <c r="A41" s="38"/>
      <c r="B41" s="40" t="s">
        <v>158</v>
      </c>
      <c r="C41" s="288">
        <f>[2]Pinnacle!$HR$19</f>
        <v>1941</v>
      </c>
      <c r="D41" s="2">
        <f>[2]Pinnacle!$HD$19</f>
        <v>3350</v>
      </c>
      <c r="E41" s="66">
        <f t="shared" si="29"/>
        <v>-0.42059701492537316</v>
      </c>
      <c r="F41" s="2">
        <f>SUM([2]Pinnacle!$HR$19:$HR$19)</f>
        <v>1941</v>
      </c>
      <c r="G41" s="2">
        <f>SUM([2]Pinnacle!$HD$19:$HD$19)</f>
        <v>3350</v>
      </c>
      <c r="H41" s="3">
        <f t="shared" si="37"/>
        <v>-0.42059701492537316</v>
      </c>
      <c r="I41" s="66">
        <f t="shared" si="30"/>
        <v>8.8075142934930573E-2</v>
      </c>
      <c r="J41" s="38"/>
      <c r="K41" s="40" t="s">
        <v>158</v>
      </c>
      <c r="L41" s="288">
        <f>[2]Pinnacle!$HR$41</f>
        <v>75124</v>
      </c>
      <c r="M41" s="2">
        <f>[2]Pinnacle!$HD$41</f>
        <v>101257</v>
      </c>
      <c r="N41" s="66">
        <f t="shared" si="31"/>
        <v>-0.25808586073061618</v>
      </c>
      <c r="O41" s="288">
        <f>SUM([2]Pinnacle!$HR$41:$HR$41)</f>
        <v>75124</v>
      </c>
      <c r="P41" s="2">
        <f>SUM([2]Pinnacle!$HD$41:$HD$41)</f>
        <v>101257</v>
      </c>
      <c r="Q41" s="3">
        <f t="shared" si="32"/>
        <v>-0.25808586073061618</v>
      </c>
      <c r="R41" s="66">
        <f t="shared" si="33"/>
        <v>3.8841537343953181E-2</v>
      </c>
      <c r="S41" s="38"/>
      <c r="T41" s="40" t="s">
        <v>158</v>
      </c>
      <c r="U41" s="288">
        <f>[2]Pinnacle!$HR$64</f>
        <v>0</v>
      </c>
      <c r="V41" s="2">
        <f>[2]Pinnacle!$HD$64</f>
        <v>0</v>
      </c>
      <c r="W41" s="66" t="e">
        <f t="shared" si="34"/>
        <v>#DIV/0!</v>
      </c>
      <c r="X41" s="288">
        <f>SUM([2]Pinnacle!$HR$64:$HR$64)</f>
        <v>0</v>
      </c>
      <c r="Y41" s="2">
        <f>SUM([2]Pinnacle!$HD$64:$HD$64)</f>
        <v>0</v>
      </c>
      <c r="Z41" s="3" t="e">
        <f t="shared" si="35"/>
        <v>#DIV/0!</v>
      </c>
      <c r="AA41" s="66">
        <f t="shared" si="36"/>
        <v>0</v>
      </c>
    </row>
    <row r="42" spans="1:27" ht="14.1" customHeight="1" x14ac:dyDescent="0.2">
      <c r="A42" s="38"/>
      <c r="B42" s="40" t="s">
        <v>154</v>
      </c>
      <c r="C42" s="288">
        <f>'[2]Go Jet'!$HR$19</f>
        <v>0</v>
      </c>
      <c r="D42" s="2">
        <f>'[2]Go Jet'!$HD$19</f>
        <v>0</v>
      </c>
      <c r="E42" s="66" t="e">
        <f t="shared" si="29"/>
        <v>#DIV/0!</v>
      </c>
      <c r="F42" s="2">
        <f>SUM('[2]Go Jet'!$HR$19:$HR$19)</f>
        <v>0</v>
      </c>
      <c r="G42" s="2">
        <f>SUM('[2]Go Jet'!$HD$19:$HD$19)</f>
        <v>0</v>
      </c>
      <c r="H42" s="3" t="e">
        <f>(F42-G42)/G42</f>
        <v>#DIV/0!</v>
      </c>
      <c r="I42" s="66">
        <f t="shared" si="30"/>
        <v>0</v>
      </c>
      <c r="J42" s="38"/>
      <c r="K42" s="40" t="s">
        <v>154</v>
      </c>
      <c r="L42" s="288">
        <f>'[2]Go Jet'!$HR$41</f>
        <v>0</v>
      </c>
      <c r="M42" s="2">
        <f>'[2]Go Jet'!$HD$41</f>
        <v>0</v>
      </c>
      <c r="N42" s="66" t="e">
        <f t="shared" si="31"/>
        <v>#DIV/0!</v>
      </c>
      <c r="O42" s="288">
        <f>SUM('[2]Go Jet'!$HR$41:$HR$41)</f>
        <v>0</v>
      </c>
      <c r="P42" s="2">
        <f>SUM('[2]Go Jet'!$HD$41:$HD$41)</f>
        <v>0</v>
      </c>
      <c r="Q42" s="3" t="e">
        <f>(O42-P42)/P42</f>
        <v>#DIV/0!</v>
      </c>
      <c r="R42" s="66">
        <f t="shared" si="33"/>
        <v>0</v>
      </c>
      <c r="S42" s="38"/>
      <c r="T42" s="40" t="s">
        <v>154</v>
      </c>
      <c r="U42" s="288">
        <f>'[2]Go Jet'!$HR$64</f>
        <v>0</v>
      </c>
      <c r="V42" s="2">
        <f>'[2]Go Jet'!$HD$64</f>
        <v>0</v>
      </c>
      <c r="W42" s="66" t="e">
        <f t="shared" si="34"/>
        <v>#DIV/0!</v>
      </c>
      <c r="X42" s="288">
        <f>SUM('[2]Go Jet'!$HR$64:$HR$64)</f>
        <v>0</v>
      </c>
      <c r="Y42" s="2">
        <f>SUM('[2]Go Jet'!$HD$64:$HD$64)</f>
        <v>0</v>
      </c>
      <c r="Z42" s="3" t="e">
        <f>(X42-Y42)/Y42</f>
        <v>#DIV/0!</v>
      </c>
      <c r="AA42" s="66">
        <f t="shared" si="36"/>
        <v>0</v>
      </c>
    </row>
    <row r="43" spans="1:27" ht="14.1" customHeight="1" x14ac:dyDescent="0.2">
      <c r="A43" s="38"/>
      <c r="B43" s="40" t="s">
        <v>97</v>
      </c>
      <c r="C43" s="288">
        <f>'[2]Sky West'!$HR$19</f>
        <v>5239</v>
      </c>
      <c r="D43" s="2">
        <f>'[2]Sky West'!$HD$19</f>
        <v>5197</v>
      </c>
      <c r="E43" s="66">
        <f t="shared" si="29"/>
        <v>8.0815855301135265E-3</v>
      </c>
      <c r="F43" s="2">
        <f>SUM('[2]Sky West'!$HR$19:$HR$19)</f>
        <v>5239</v>
      </c>
      <c r="G43" s="2">
        <f>SUM('[2]Sky West'!$HD$19:$HD$19)</f>
        <v>5197</v>
      </c>
      <c r="H43" s="3">
        <f t="shared" si="37"/>
        <v>8.0815855301135265E-3</v>
      </c>
      <c r="I43" s="66">
        <f t="shared" si="30"/>
        <v>0.23772574643797079</v>
      </c>
      <c r="J43" s="38"/>
      <c r="K43" s="40" t="s">
        <v>97</v>
      </c>
      <c r="L43" s="288">
        <f>'[2]Sky West'!$HR$41</f>
        <v>209737</v>
      </c>
      <c r="M43" s="2">
        <f>'[2]Sky West'!$HD$41</f>
        <v>152507</v>
      </c>
      <c r="N43" s="66">
        <f t="shared" si="31"/>
        <v>0.37526146340823702</v>
      </c>
      <c r="O43" s="288">
        <f>SUM('[2]Sky West'!$HR$41:$HR$41)</f>
        <v>209737</v>
      </c>
      <c r="P43" s="2">
        <f>SUM('[2]Sky West'!$HD$41:$HD$41)</f>
        <v>152507</v>
      </c>
      <c r="Q43" s="3">
        <f t="shared" si="32"/>
        <v>0.37526146340823702</v>
      </c>
      <c r="R43" s="66">
        <f t="shared" si="33"/>
        <v>0.10844081143055093</v>
      </c>
      <c r="S43" s="38"/>
      <c r="T43" s="40" t="s">
        <v>97</v>
      </c>
      <c r="U43" s="288">
        <f>'[2]Sky West'!$HR$64</f>
        <v>0</v>
      </c>
      <c r="V43" s="2">
        <f>'[2]Sky West'!$HD$64</f>
        <v>0</v>
      </c>
      <c r="W43" s="66" t="e">
        <f t="shared" si="34"/>
        <v>#DIV/0!</v>
      </c>
      <c r="X43" s="288">
        <f>SUM('[2]Sky West'!$HR$64:$HR$64)</f>
        <v>0</v>
      </c>
      <c r="Y43" s="2">
        <f>SUM('[2]Sky West'!$HD$64:$HD$64)</f>
        <v>0</v>
      </c>
      <c r="Z43" s="3" t="e">
        <f t="shared" ref="Z43:Z45" si="38">(X43-Y43)/Y43</f>
        <v>#DIV/0!</v>
      </c>
      <c r="AA43" s="66">
        <f t="shared" si="36"/>
        <v>0</v>
      </c>
    </row>
    <row r="44" spans="1:27" ht="14.1" customHeight="1" x14ac:dyDescent="0.2">
      <c r="A44" s="38"/>
      <c r="B44" s="40" t="s">
        <v>131</v>
      </c>
      <c r="C44" s="288">
        <f>'[2]Shuttle America_Delta'!$HR$19</f>
        <v>0</v>
      </c>
      <c r="D44" s="2">
        <f>'[2]Shuttle America_Delta'!$HD$19</f>
        <v>0</v>
      </c>
      <c r="E44" s="66" t="e">
        <f t="shared" si="29"/>
        <v>#DIV/0!</v>
      </c>
      <c r="F44" s="2">
        <f>SUM('[2]Shuttle America_Delta'!$HR$19:$HR$19)</f>
        <v>0</v>
      </c>
      <c r="G44" s="2">
        <f>SUM('[2]Shuttle America_Delta'!$HD$19:$HD$19)</f>
        <v>0</v>
      </c>
      <c r="H44" s="3" t="e">
        <f t="shared" si="37"/>
        <v>#DIV/0!</v>
      </c>
      <c r="I44" s="66">
        <f t="shared" si="30"/>
        <v>0</v>
      </c>
      <c r="J44" s="38"/>
      <c r="K44" s="40" t="s">
        <v>131</v>
      </c>
      <c r="L44" s="288">
        <f>'[2]Shuttle America_Delta'!$HR$41</f>
        <v>0</v>
      </c>
      <c r="M44" s="2">
        <f>'[2]Shuttle America_Delta'!$HD$41</f>
        <v>0</v>
      </c>
      <c r="N44" s="66" t="e">
        <f t="shared" si="31"/>
        <v>#DIV/0!</v>
      </c>
      <c r="O44" s="288">
        <f>SUM('[2]Shuttle America_Delta'!$HR$41:$HR$41)</f>
        <v>0</v>
      </c>
      <c r="P44" s="2">
        <f>SUM('[2]Shuttle America_Delta'!$HD$41:$HD$41)</f>
        <v>0</v>
      </c>
      <c r="Q44" s="3" t="e">
        <f t="shared" si="32"/>
        <v>#DIV/0!</v>
      </c>
      <c r="R44" s="66">
        <f t="shared" si="33"/>
        <v>0</v>
      </c>
      <c r="S44" s="38"/>
      <c r="T44" s="40" t="s">
        <v>131</v>
      </c>
      <c r="U44" s="288">
        <f>'[2]Shuttle America_Delta'!$HR$64</f>
        <v>0</v>
      </c>
      <c r="V44" s="2">
        <f>'[2]Shuttle America_Delta'!$HD$64</f>
        <v>0</v>
      </c>
      <c r="W44" s="66" t="e">
        <f t="shared" si="34"/>
        <v>#DIV/0!</v>
      </c>
      <c r="X44" s="288">
        <f>SUM('[2]Shuttle America_Delta'!$HR$64:$HR$64)</f>
        <v>0</v>
      </c>
      <c r="Y44" s="2">
        <f>SUM('[2]Shuttle America_Delta'!$HD$64:$HD$64)</f>
        <v>0</v>
      </c>
      <c r="Z44" s="3" t="e">
        <f t="shared" si="38"/>
        <v>#DIV/0!</v>
      </c>
      <c r="AA44" s="66">
        <f t="shared" si="36"/>
        <v>0</v>
      </c>
    </row>
    <row r="45" spans="1:27" ht="14.1" customHeight="1" x14ac:dyDescent="0.2">
      <c r="A45" s="38"/>
      <c r="B45" s="343" t="s">
        <v>166</v>
      </c>
      <c r="C45" s="288">
        <f>'[2]Atlantic Southeast'!$HR$19</f>
        <v>0</v>
      </c>
      <c r="D45" s="2">
        <f>'[2]Atlantic Southeast'!$HD$19</f>
        <v>0</v>
      </c>
      <c r="E45" s="66" t="e">
        <f t="shared" si="29"/>
        <v>#DIV/0!</v>
      </c>
      <c r="F45" s="2">
        <f>SUM('[2]Atlantic Southeast'!$HR$19:$HR$19)</f>
        <v>0</v>
      </c>
      <c r="G45" s="2">
        <f>SUM('[2]Atlantic Southeast'!$HD$19:$HD$19)</f>
        <v>0</v>
      </c>
      <c r="H45" s="3" t="e">
        <f t="shared" si="37"/>
        <v>#DIV/0!</v>
      </c>
      <c r="I45" s="66">
        <f t="shared" si="30"/>
        <v>0</v>
      </c>
      <c r="J45" s="38"/>
      <c r="K45" s="343" t="s">
        <v>166</v>
      </c>
      <c r="L45" s="288">
        <f>'[2]Atlantic Southeast'!$HR$41</f>
        <v>0</v>
      </c>
      <c r="M45" s="2">
        <f>'[2]Atlantic Southeast'!$HD$41</f>
        <v>0</v>
      </c>
      <c r="N45" s="66" t="e">
        <f t="shared" si="31"/>
        <v>#DIV/0!</v>
      </c>
      <c r="O45" s="288">
        <f>SUM('[2]Atlantic Southeast'!$HR$41:$HR$41)</f>
        <v>0</v>
      </c>
      <c r="P45" s="2">
        <f>SUM('[2]Atlantic Southeast'!$HD$41:$HD$41)</f>
        <v>0</v>
      </c>
      <c r="Q45" s="3" t="e">
        <f t="shared" si="32"/>
        <v>#DIV/0!</v>
      </c>
      <c r="R45" s="66">
        <f t="shared" si="33"/>
        <v>0</v>
      </c>
      <c r="S45" s="38"/>
      <c r="T45" s="343" t="s">
        <v>166</v>
      </c>
      <c r="U45" s="288">
        <f>'[2]Atlantic Southeast'!$HR$64</f>
        <v>0</v>
      </c>
      <c r="V45" s="2">
        <f>'[2]Atlantic Southeast'!$HD$64</f>
        <v>0</v>
      </c>
      <c r="W45" s="66" t="e">
        <f t="shared" si="34"/>
        <v>#DIV/0!</v>
      </c>
      <c r="X45" s="288">
        <f>SUM('[2]Atlantic Southeast'!$HR$64:$HR$64)</f>
        <v>0</v>
      </c>
      <c r="Y45" s="2">
        <f>SUM('[2]Atlantic Southeast'!$HD$64:$HD$64)</f>
        <v>0</v>
      </c>
      <c r="Z45" s="3" t="e">
        <f t="shared" si="38"/>
        <v>#DIV/0!</v>
      </c>
      <c r="AA45" s="66">
        <f t="shared" si="36"/>
        <v>0</v>
      </c>
    </row>
    <row r="46" spans="1:27" ht="14.1" customHeight="1" x14ac:dyDescent="0.2">
      <c r="A46" s="38"/>
      <c r="B46" s="343"/>
      <c r="C46" s="288"/>
      <c r="E46" s="66"/>
      <c r="F46" s="2"/>
      <c r="I46" s="66"/>
      <c r="J46" s="38"/>
      <c r="K46" s="343"/>
      <c r="L46" s="288"/>
      <c r="N46" s="66"/>
      <c r="O46" s="288"/>
      <c r="P46" s="2"/>
      <c r="Q46" s="3"/>
      <c r="R46" s="66"/>
      <c r="S46" s="38"/>
      <c r="T46" s="343"/>
      <c r="U46" s="288"/>
      <c r="V46" s="2"/>
      <c r="W46" s="66"/>
      <c r="X46" s="288"/>
      <c r="Y46" s="2"/>
      <c r="Z46" s="3"/>
      <c r="AA46" s="66"/>
    </row>
    <row r="47" spans="1:27" ht="14.1" customHeight="1" x14ac:dyDescent="0.2">
      <c r="A47" s="283" t="s">
        <v>47</v>
      </c>
      <c r="B47" s="40"/>
      <c r="C47" s="284">
        <f>[2]Frontier!$HR$19</f>
        <v>170</v>
      </c>
      <c r="D47" s="286">
        <f>[2]Frontier!$HD$19</f>
        <v>51</v>
      </c>
      <c r="E47" s="287">
        <f>(C47-D47)/D47</f>
        <v>2.3333333333333335</v>
      </c>
      <c r="F47" s="286">
        <f>SUM([2]Frontier!$HR$19:$HR$19)</f>
        <v>170</v>
      </c>
      <c r="G47" s="286">
        <f>SUM([2]Frontier!$HD$19:$HD$19)</f>
        <v>51</v>
      </c>
      <c r="H47" s="285">
        <f>(F47-G47)/G47</f>
        <v>2.3333333333333335</v>
      </c>
      <c r="I47" s="287">
        <f>F47/$F$73</f>
        <v>7.7139486341773304E-3</v>
      </c>
      <c r="J47" s="283" t="s">
        <v>47</v>
      </c>
      <c r="K47" s="40"/>
      <c r="L47" s="284">
        <f>[2]Frontier!$HR$41</f>
        <v>18270</v>
      </c>
      <c r="M47" s="286">
        <f>[2]Frontier!$HD$41</f>
        <v>6658</v>
      </c>
      <c r="N47" s="287">
        <f>(L47-M47)/M47</f>
        <v>1.7440672874737158</v>
      </c>
      <c r="O47" s="284">
        <f>SUM([2]Frontier!$HR$41:$HR$41)</f>
        <v>18270</v>
      </c>
      <c r="P47" s="286">
        <f>SUM([2]Frontier!$HD$41:$HD$41)</f>
        <v>6658</v>
      </c>
      <c r="Q47" s="285">
        <f>(O47-P47)/P47</f>
        <v>1.7440672874737158</v>
      </c>
      <c r="R47" s="287">
        <f>O47/$O$73</f>
        <v>9.446180811378848E-3</v>
      </c>
      <c r="S47" s="283" t="s">
        <v>47</v>
      </c>
      <c r="T47" s="40"/>
      <c r="U47" s="284">
        <f>[2]Frontier!$HR$64</f>
        <v>0</v>
      </c>
      <c r="V47" s="286">
        <f>[2]Frontier!$HD$64</f>
        <v>0</v>
      </c>
      <c r="W47" s="287" t="e">
        <f>(U47-V47)/V47</f>
        <v>#DIV/0!</v>
      </c>
      <c r="X47" s="284">
        <f>SUM([2]Frontier!$HR$64:$HR$64)</f>
        <v>0</v>
      </c>
      <c r="Y47" s="286">
        <f>SUM([2]Frontier!$HD$64:$HD$64)</f>
        <v>0</v>
      </c>
      <c r="Z47" s="285" t="e">
        <f>(X47-Y47)/Y47</f>
        <v>#DIV/0!</v>
      </c>
      <c r="AA47" s="287">
        <f>X47/$X$73</f>
        <v>0</v>
      </c>
    </row>
    <row r="48" spans="1:27" ht="14.1" customHeight="1" x14ac:dyDescent="0.2">
      <c r="A48" s="283"/>
      <c r="B48" s="40"/>
      <c r="C48" s="284"/>
      <c r="D48" s="286"/>
      <c r="E48" s="287"/>
      <c r="F48" s="286"/>
      <c r="G48" s="286"/>
      <c r="H48" s="285"/>
      <c r="I48" s="287"/>
      <c r="J48" s="283"/>
      <c r="K48" s="40"/>
      <c r="L48" s="288"/>
      <c r="N48" s="66"/>
      <c r="O48" s="288"/>
      <c r="P48" s="2"/>
      <c r="Q48" s="3"/>
      <c r="R48" s="66"/>
      <c r="S48" s="283"/>
      <c r="T48" s="40"/>
      <c r="U48" s="288"/>
      <c r="V48" s="2"/>
      <c r="W48" s="66"/>
      <c r="X48" s="288"/>
      <c r="Y48" s="2"/>
      <c r="Z48" s="3"/>
      <c r="AA48" s="66"/>
    </row>
    <row r="49" spans="1:27" ht="14.1" customHeight="1" x14ac:dyDescent="0.2">
      <c r="A49" s="283" t="s">
        <v>48</v>
      </c>
      <c r="B49" s="40"/>
      <c r="C49" s="284">
        <f>[2]Icelandair!$HR$19</f>
        <v>0</v>
      </c>
      <c r="D49" s="286">
        <f>[2]Icelandair!$HD$19</f>
        <v>0</v>
      </c>
      <c r="E49" s="287" t="e">
        <f>(C49-D49)/D49</f>
        <v>#DIV/0!</v>
      </c>
      <c r="F49" s="286">
        <f>SUM([2]Icelandair!$HR$19:$HR$19)</f>
        <v>0</v>
      </c>
      <c r="G49" s="286">
        <f>SUM([2]Icelandair!$HD$19:$HD$19)</f>
        <v>0</v>
      </c>
      <c r="H49" s="285" t="e">
        <f>(F49-G49)/G49</f>
        <v>#DIV/0!</v>
      </c>
      <c r="I49" s="287">
        <f>F49/$F$73</f>
        <v>0</v>
      </c>
      <c r="J49" s="283" t="s">
        <v>48</v>
      </c>
      <c r="K49" s="40"/>
      <c r="L49" s="284">
        <f>[2]Icelandair!$HR$41</f>
        <v>0</v>
      </c>
      <c r="M49" s="286">
        <f>[2]Icelandair!$HD$41</f>
        <v>0</v>
      </c>
      <c r="N49" s="287" t="e">
        <f>(L49-M49)/M49</f>
        <v>#DIV/0!</v>
      </c>
      <c r="O49" s="284">
        <f>SUM([2]Icelandair!$HR$41:$HR$41)</f>
        <v>0</v>
      </c>
      <c r="P49" s="286">
        <f>SUM([2]Icelandair!$HD$41:$HD$41)</f>
        <v>0</v>
      </c>
      <c r="Q49" s="285" t="e">
        <f>(O49-P49)/P49</f>
        <v>#DIV/0!</v>
      </c>
      <c r="R49" s="287">
        <f>O49/$O$73</f>
        <v>0</v>
      </c>
      <c r="S49" s="283" t="s">
        <v>48</v>
      </c>
      <c r="T49" s="40"/>
      <c r="U49" s="284">
        <f>[2]Icelandair!$HR$64</f>
        <v>0</v>
      </c>
      <c r="V49" s="286">
        <f>[2]Icelandair!$HD$64</f>
        <v>0</v>
      </c>
      <c r="W49" s="287" t="e">
        <f>(U49-V49)/V49</f>
        <v>#DIV/0!</v>
      </c>
      <c r="X49" s="284">
        <f>SUM([2]Icelandair!$HR$64:$HR$64)</f>
        <v>0</v>
      </c>
      <c r="Y49" s="286">
        <f>SUM([2]Icelandair!$HD$64:$HD$64)</f>
        <v>0</v>
      </c>
      <c r="Z49" s="285" t="e">
        <f>(X49-Y49)/Y49</f>
        <v>#DIV/0!</v>
      </c>
      <c r="AA49" s="287">
        <f>X49/$X$73</f>
        <v>0</v>
      </c>
    </row>
    <row r="50" spans="1:27" ht="14.1" customHeight="1" x14ac:dyDescent="0.2">
      <c r="A50" s="283"/>
      <c r="B50" s="40"/>
      <c r="C50" s="284"/>
      <c r="D50" s="286"/>
      <c r="E50" s="287"/>
      <c r="F50" s="286"/>
      <c r="G50" s="286"/>
      <c r="H50" s="285"/>
      <c r="I50" s="287"/>
      <c r="J50" s="283"/>
      <c r="K50" s="40"/>
      <c r="L50" s="288"/>
      <c r="N50" s="66"/>
      <c r="O50" s="288"/>
      <c r="P50" s="2"/>
      <c r="Q50" s="3"/>
      <c r="R50" s="66"/>
      <c r="S50" s="283"/>
      <c r="T50" s="40"/>
      <c r="U50" s="288"/>
      <c r="V50" s="2"/>
      <c r="W50" s="66"/>
      <c r="X50" s="288"/>
      <c r="Y50" s="2"/>
      <c r="Z50" s="3"/>
      <c r="AA50" s="66"/>
    </row>
    <row r="51" spans="1:27" ht="14.1" customHeight="1" x14ac:dyDescent="0.2">
      <c r="A51" s="283" t="s">
        <v>199</v>
      </c>
      <c r="B51" s="40"/>
      <c r="C51" s="284">
        <f>'[2]Jet Blue'!$HR$19</f>
        <v>96</v>
      </c>
      <c r="D51" s="286">
        <f>'[2]Jet Blue'!$HD$19</f>
        <v>26</v>
      </c>
      <c r="E51" s="287">
        <f>(C51-D51)/D51</f>
        <v>2.6923076923076925</v>
      </c>
      <c r="F51" s="286">
        <f>SUM('[2]Jet Blue'!$HR$19:$HR$19)</f>
        <v>96</v>
      </c>
      <c r="G51" s="286">
        <f>SUM('[2]Jet Blue'!$HD$19:$HD$19)</f>
        <v>26</v>
      </c>
      <c r="H51" s="285">
        <f>(F51-G51)/G51</f>
        <v>2.6923076923076925</v>
      </c>
      <c r="I51" s="287">
        <f>F51/$F$73</f>
        <v>4.3561121698883747E-3</v>
      </c>
      <c r="J51" s="283" t="s">
        <v>199</v>
      </c>
      <c r="K51" s="40"/>
      <c r="L51" s="284">
        <f>'[2]Jet Blue'!$HR$41</f>
        <v>3762</v>
      </c>
      <c r="M51" s="286">
        <f>'[2]Jet Blue'!$HD$41</f>
        <v>1058</v>
      </c>
      <c r="N51" s="287">
        <f>(L51-M51)/M51</f>
        <v>2.555765595463138</v>
      </c>
      <c r="O51" s="284">
        <f>SUM('[2]Jet Blue'!$HR$41:$HR$41)</f>
        <v>3762</v>
      </c>
      <c r="P51" s="286">
        <f>SUM('[2]Jet Blue'!$HD$41:$HD$41)</f>
        <v>1058</v>
      </c>
      <c r="Q51" s="285">
        <f>(O51-P51)/P51</f>
        <v>2.555765595463138</v>
      </c>
      <c r="R51" s="287">
        <f>O51/$O$73</f>
        <v>1.9450756547568268E-3</v>
      </c>
      <c r="S51" s="283" t="s">
        <v>199</v>
      </c>
      <c r="T51" s="40"/>
      <c r="U51" s="284">
        <f>'[2]Jet Blue'!$HR$64</f>
        <v>0</v>
      </c>
      <c r="V51" s="286">
        <f>'[2]Jet Blue'!$HD$64</f>
        <v>0</v>
      </c>
      <c r="W51" s="287" t="e">
        <f>(U51-V51)/V51</f>
        <v>#DIV/0!</v>
      </c>
      <c r="X51" s="284">
        <f>SUM('[2]Jet Blue'!$HR$64:$HR$64)</f>
        <v>0</v>
      </c>
      <c r="Y51" s="286">
        <f>SUM('[2]Jet Blue'!$HD$64:$HD$64)</f>
        <v>0</v>
      </c>
      <c r="Z51" s="285" t="e">
        <f>(X51-Y51)/Y51</f>
        <v>#DIV/0!</v>
      </c>
      <c r="AA51" s="287">
        <f>X51/$X$73</f>
        <v>0</v>
      </c>
    </row>
    <row r="52" spans="1:27" ht="14.1" customHeight="1" x14ac:dyDescent="0.2">
      <c r="A52" s="283"/>
      <c r="B52" s="40"/>
      <c r="C52" s="284"/>
      <c r="D52" s="286"/>
      <c r="E52" s="287"/>
      <c r="F52" s="286"/>
      <c r="G52" s="286"/>
      <c r="H52" s="285"/>
      <c r="I52" s="287"/>
      <c r="J52" s="283"/>
      <c r="K52" s="40"/>
      <c r="L52" s="288"/>
      <c r="N52" s="66"/>
      <c r="O52" s="288"/>
      <c r="P52" s="2"/>
      <c r="Q52" s="3"/>
      <c r="R52" s="66"/>
      <c r="S52" s="283"/>
      <c r="T52" s="40"/>
      <c r="U52" s="288"/>
      <c r="V52" s="2"/>
      <c r="W52" s="66"/>
      <c r="X52" s="288"/>
      <c r="Y52" s="2"/>
      <c r="Z52" s="3"/>
      <c r="AA52" s="66"/>
    </row>
    <row r="53" spans="1:27" ht="14.1" customHeight="1" x14ac:dyDescent="0.2">
      <c r="A53" s="283" t="s">
        <v>194</v>
      </c>
      <c r="B53" s="40"/>
      <c r="C53" s="284">
        <f>[2]KLM!$HR$19</f>
        <v>28</v>
      </c>
      <c r="D53" s="286">
        <f>[2]KLM!$HD$19</f>
        <v>0</v>
      </c>
      <c r="E53" s="287" t="e">
        <f>(C53-D53)/D53</f>
        <v>#DIV/0!</v>
      </c>
      <c r="F53" s="286">
        <f>SUM([2]KLM!$HR$19:$HR$19)</f>
        <v>28</v>
      </c>
      <c r="G53" s="286">
        <f>SUM([2]KLM!$HD$19:$HD$19)</f>
        <v>0</v>
      </c>
      <c r="H53" s="285" t="e">
        <f>(F53-G53)/G53</f>
        <v>#DIV/0!</v>
      </c>
      <c r="I53" s="287">
        <f>F53/$F$73</f>
        <v>1.2705327162174426E-3</v>
      </c>
      <c r="J53" s="283" t="s">
        <v>194</v>
      </c>
      <c r="K53" s="40"/>
      <c r="L53" s="284">
        <f>[2]KLM!$HR$41</f>
        <v>4474</v>
      </c>
      <c r="M53" s="286">
        <f>[2]KLM!$HD$41</f>
        <v>0</v>
      </c>
      <c r="N53" s="287" t="e">
        <f>(L53-M53)/M53</f>
        <v>#DIV/0!</v>
      </c>
      <c r="O53" s="284">
        <f>SUM([2]KLM!$HR$41:$HR$41)</f>
        <v>4474</v>
      </c>
      <c r="P53" s="286">
        <f>SUM([2]KLM!$HD$41:$HD$41)</f>
        <v>0</v>
      </c>
      <c r="Q53" s="285" t="e">
        <f>(O53-P53)/P53</f>
        <v>#DIV/0!</v>
      </c>
      <c r="R53" s="287">
        <f>O53/$O$73</f>
        <v>2.3132026792615744E-3</v>
      </c>
      <c r="S53" s="283" t="s">
        <v>194</v>
      </c>
      <c r="T53" s="40"/>
      <c r="U53" s="284">
        <f>[2]KLM!$HR$64</f>
        <v>527865</v>
      </c>
      <c r="V53" s="286">
        <f>[2]KLM!$HD$64</f>
        <v>0</v>
      </c>
      <c r="W53" s="287" t="e">
        <f>(U53-V53)/V53</f>
        <v>#DIV/0!</v>
      </c>
      <c r="X53" s="284">
        <f>SUM([2]KLM!$HR$64:$HR$64)</f>
        <v>527865</v>
      </c>
      <c r="Y53" s="286">
        <f>SUM([2]KLM!$HD$64:$HD$64)</f>
        <v>0</v>
      </c>
      <c r="Z53" s="285" t="e">
        <f>(X53-Y53)/Y53</f>
        <v>#DIV/0!</v>
      </c>
      <c r="AA53" s="287">
        <f>X53/$X$73</f>
        <v>8.6336982221809327E-2</v>
      </c>
    </row>
    <row r="54" spans="1:27" ht="14.1" customHeight="1" x14ac:dyDescent="0.2">
      <c r="A54" s="283"/>
      <c r="B54" s="40"/>
      <c r="C54" s="284"/>
      <c r="D54" s="286"/>
      <c r="E54" s="287"/>
      <c r="F54" s="286"/>
      <c r="G54" s="286"/>
      <c r="H54" s="285"/>
      <c r="I54" s="287"/>
      <c r="J54" s="283"/>
      <c r="K54" s="40"/>
      <c r="L54" s="288"/>
      <c r="N54" s="66"/>
      <c r="O54" s="288"/>
      <c r="P54" s="2"/>
      <c r="Q54" s="3"/>
      <c r="R54" s="66"/>
      <c r="S54" s="283"/>
      <c r="T54" s="40"/>
      <c r="U54" s="288"/>
      <c r="V54" s="2"/>
      <c r="W54" s="66"/>
      <c r="X54" s="288"/>
      <c r="Y54" s="2"/>
      <c r="Z54" s="3"/>
      <c r="AA54" s="66"/>
    </row>
    <row r="55" spans="1:27" ht="14.1" customHeight="1" x14ac:dyDescent="0.2">
      <c r="A55" s="283" t="s">
        <v>129</v>
      </c>
      <c r="B55" s="40"/>
      <c r="C55" s="284">
        <f>[2]Southwest!$HR$19</f>
        <v>641</v>
      </c>
      <c r="D55" s="286">
        <f>[2]Southwest!$HD$19</f>
        <v>540</v>
      </c>
      <c r="E55" s="287">
        <f>(C55-D55)/D55</f>
        <v>0.18703703703703703</v>
      </c>
      <c r="F55" s="286">
        <f>SUM([2]Southwest!$HR$19:$HR$19)</f>
        <v>641</v>
      </c>
      <c r="G55" s="286">
        <f>SUM([2]Southwest!$HD$19:$HD$19)</f>
        <v>540</v>
      </c>
      <c r="H55" s="285">
        <f>(F55-G55)/G55</f>
        <v>0.18703703703703703</v>
      </c>
      <c r="I55" s="287">
        <f>F55/$F$73</f>
        <v>2.9086123967692168E-2</v>
      </c>
      <c r="J55" s="283" t="s">
        <v>129</v>
      </c>
      <c r="K55" s="40"/>
      <c r="L55" s="284">
        <f>[2]Southwest!$HR$41</f>
        <v>67384</v>
      </c>
      <c r="M55" s="286">
        <f>[2]Southwest!$HD$41</f>
        <v>47576</v>
      </c>
      <c r="N55" s="287">
        <f>(L55-M55)/M55</f>
        <v>0.41634437531528501</v>
      </c>
      <c r="O55" s="284">
        <f>SUM([2]Southwest!$HR$41:$HR$41)</f>
        <v>67384</v>
      </c>
      <c r="P55" s="286">
        <f>SUM([2]Southwest!$HD$41:$HD$41)</f>
        <v>47576</v>
      </c>
      <c r="Q55" s="285">
        <f>(O55-P55)/P55</f>
        <v>0.41634437531528501</v>
      </c>
      <c r="R55" s="287">
        <f>O55/$O$73</f>
        <v>3.4839707049477413E-2</v>
      </c>
      <c r="S55" s="283" t="s">
        <v>129</v>
      </c>
      <c r="T55" s="40"/>
      <c r="U55" s="284">
        <f>[2]Southwest!$HR$64</f>
        <v>192369</v>
      </c>
      <c r="V55" s="286">
        <f>[2]Southwest!$HD$64</f>
        <v>241966</v>
      </c>
      <c r="W55" s="287">
        <f>(U55-V55)/V55</f>
        <v>-0.20497507914335072</v>
      </c>
      <c r="X55" s="284">
        <f>SUM([2]Southwest!$HR$64:$HR$64)</f>
        <v>192369</v>
      </c>
      <c r="Y55" s="286">
        <f>SUM([2]Southwest!$HD$64:$HD$64)</f>
        <v>241966</v>
      </c>
      <c r="Z55" s="285">
        <f>(X55-Y55)/Y55</f>
        <v>-0.20497507914335072</v>
      </c>
      <c r="AA55" s="287">
        <f>X55/$X$73</f>
        <v>3.1463648722736381E-2</v>
      </c>
    </row>
    <row r="56" spans="1:27" ht="14.1" customHeight="1" x14ac:dyDescent="0.2">
      <c r="A56" s="283"/>
      <c r="B56" s="40"/>
      <c r="C56" s="284"/>
      <c r="D56" s="286"/>
      <c r="E56" s="287"/>
      <c r="F56" s="286"/>
      <c r="G56" s="286"/>
      <c r="H56" s="285"/>
      <c r="I56" s="287"/>
      <c r="J56" s="283"/>
      <c r="K56" s="40"/>
      <c r="L56" s="288"/>
      <c r="N56" s="66"/>
      <c r="O56" s="288"/>
      <c r="P56" s="2"/>
      <c r="Q56" s="3"/>
      <c r="R56" s="66"/>
      <c r="S56" s="283"/>
      <c r="T56" s="40"/>
      <c r="U56" s="288"/>
      <c r="V56" s="2"/>
      <c r="W56" s="66"/>
      <c r="X56" s="288"/>
      <c r="Y56" s="2"/>
      <c r="Z56" s="3"/>
      <c r="AA56" s="66"/>
    </row>
    <row r="57" spans="1:27" ht="14.1" customHeight="1" x14ac:dyDescent="0.2">
      <c r="A57" s="283" t="s">
        <v>155</v>
      </c>
      <c r="B57" s="40"/>
      <c r="C57" s="284">
        <f>[2]Spirit!$HR$19</f>
        <v>291</v>
      </c>
      <c r="D57" s="286">
        <f>[2]Spirit!$HD$19</f>
        <v>204</v>
      </c>
      <c r="E57" s="287">
        <f>(C57-D57)/D57</f>
        <v>0.4264705882352941</v>
      </c>
      <c r="F57" s="286">
        <f>SUM([2]Spirit!$HR$19:$HR$19)</f>
        <v>291</v>
      </c>
      <c r="G57" s="286">
        <f>SUM([2]Spirit!$HD$19:$HD$19)</f>
        <v>204</v>
      </c>
      <c r="H57" s="285">
        <f>(F57-G57)/G57</f>
        <v>0.4264705882352941</v>
      </c>
      <c r="I57" s="287">
        <f>F57/$F$73</f>
        <v>1.3204465014974135E-2</v>
      </c>
      <c r="J57" s="283" t="s">
        <v>155</v>
      </c>
      <c r="K57" s="40"/>
      <c r="L57" s="284">
        <f>[2]Spirit!$HR$41</f>
        <v>37272</v>
      </c>
      <c r="M57" s="286">
        <f>[2]Spirit!$HD$41</f>
        <v>26232</v>
      </c>
      <c r="N57" s="287">
        <f>(L57-M57)/M57</f>
        <v>0.42086001829826164</v>
      </c>
      <c r="O57" s="284">
        <f>SUM([2]Spirit!$HR$41:$HR$41)</f>
        <v>37272</v>
      </c>
      <c r="P57" s="286">
        <f>SUM([2]Spirit!$HD$41:$HD$41)</f>
        <v>26232</v>
      </c>
      <c r="Q57" s="285">
        <f>(O57-P57)/P57</f>
        <v>0.42086001829826164</v>
      </c>
      <c r="R57" s="287">
        <f>O57/$O$73</f>
        <v>1.9270829294018195E-2</v>
      </c>
      <c r="S57" s="283" t="s">
        <v>155</v>
      </c>
      <c r="T57" s="40"/>
      <c r="U57" s="284">
        <f>[2]Spirit!$HR$64</f>
        <v>0</v>
      </c>
      <c r="V57" s="286">
        <f>[2]Spirit!$HD$64</f>
        <v>0</v>
      </c>
      <c r="W57" s="287" t="e">
        <f>(U57-V57)/V57</f>
        <v>#DIV/0!</v>
      </c>
      <c r="X57" s="284">
        <f>SUM([2]Spirit!$HR$64:$HR$64)</f>
        <v>0</v>
      </c>
      <c r="Y57" s="286">
        <f>SUM([2]Spirit!$HD$64:$HD$64)</f>
        <v>0</v>
      </c>
      <c r="Z57" s="285" t="e">
        <f>(X57-Y57)/Y57</f>
        <v>#DIV/0!</v>
      </c>
      <c r="AA57" s="287">
        <f>X57/$X$73</f>
        <v>0</v>
      </c>
    </row>
    <row r="58" spans="1:27" ht="14.1" customHeight="1" x14ac:dyDescent="0.2">
      <c r="A58" s="283"/>
      <c r="B58" s="40"/>
      <c r="C58" s="284"/>
      <c r="D58" s="286"/>
      <c r="E58" s="287"/>
      <c r="F58" s="286"/>
      <c r="G58" s="286"/>
      <c r="H58" s="285"/>
      <c r="I58" s="287"/>
      <c r="J58" s="283"/>
      <c r="K58" s="40"/>
      <c r="L58" s="288"/>
      <c r="N58" s="66"/>
      <c r="O58" s="288"/>
      <c r="P58" s="2"/>
      <c r="Q58" s="3"/>
      <c r="R58" s="66">
        <f>O58/$O$73</f>
        <v>0</v>
      </c>
      <c r="S58" s="283"/>
      <c r="T58" s="40"/>
      <c r="U58" s="288"/>
      <c r="V58" s="2"/>
      <c r="W58" s="66"/>
      <c r="X58" s="288"/>
      <c r="Y58" s="2"/>
      <c r="Z58" s="3"/>
      <c r="AA58" s="66">
        <f>X58/$X$73</f>
        <v>0</v>
      </c>
    </row>
    <row r="59" spans="1:27" ht="14.1" customHeight="1" x14ac:dyDescent="0.2">
      <c r="A59" s="283" t="s">
        <v>49</v>
      </c>
      <c r="B59" s="40"/>
      <c r="C59" s="284">
        <f>'[2]Sun Country'!$HR$19</f>
        <v>1843</v>
      </c>
      <c r="D59" s="286">
        <f>'[2]Sun Country'!$HD$19</f>
        <v>1271</v>
      </c>
      <c r="E59" s="287">
        <f>(C59-D59)/D59</f>
        <v>0.45003933910306843</v>
      </c>
      <c r="F59" s="286">
        <f>SUM('[2]Sun Country'!$HR$19:$HR$19)</f>
        <v>1843</v>
      </c>
      <c r="G59" s="286">
        <f>SUM('[2]Sun Country'!$HD$19:$HD$19)</f>
        <v>1271</v>
      </c>
      <c r="H59" s="285">
        <f>(F59-G59)/G59</f>
        <v>0.45003933910306843</v>
      </c>
      <c r="I59" s="287">
        <f>F59/$F$73</f>
        <v>8.3628278428169528E-2</v>
      </c>
      <c r="J59" s="283" t="s">
        <v>49</v>
      </c>
      <c r="K59" s="40"/>
      <c r="L59" s="284">
        <f>'[2]Sun Country'!$HR$41</f>
        <v>228057</v>
      </c>
      <c r="M59" s="286">
        <f>'[2]Sun Country'!$HD$41</f>
        <v>126344</v>
      </c>
      <c r="N59" s="287">
        <f>(L59-M59)/M59</f>
        <v>0.80504812258595582</v>
      </c>
      <c r="O59" s="284">
        <f>SUM('[2]Sun Country'!$HR$41:$HR$41)</f>
        <v>228057</v>
      </c>
      <c r="P59" s="286">
        <f>SUM('[2]Sun Country'!$HD$41:$HD$41)</f>
        <v>126344</v>
      </c>
      <c r="Q59" s="285">
        <f>(O59-P59)/P59</f>
        <v>0.80504812258595582</v>
      </c>
      <c r="R59" s="287">
        <f>O59/$O$73</f>
        <v>0.11791284385881914</v>
      </c>
      <c r="S59" s="283" t="s">
        <v>49</v>
      </c>
      <c r="T59" s="40"/>
      <c r="U59" s="284">
        <f>'[2]Sun Country'!$HR$64</f>
        <v>324080</v>
      </c>
      <c r="V59" s="286">
        <f>'[2]Sun Country'!$HD$64</f>
        <v>396600</v>
      </c>
      <c r="W59" s="287">
        <f>(U59-V59)/V59</f>
        <v>-0.18285426122037318</v>
      </c>
      <c r="X59" s="284">
        <f>SUM('[2]Sun Country'!$HR$64:$HR$64)</f>
        <v>324080</v>
      </c>
      <c r="Y59" s="286">
        <f>SUM('[2]Sun Country'!$HD$64:$HD$64)</f>
        <v>396600</v>
      </c>
      <c r="Z59" s="285">
        <f>(X59-Y59)/Y59</f>
        <v>-0.18285426122037318</v>
      </c>
      <c r="AA59" s="287">
        <f>X59/$X$73</f>
        <v>5.3006145886626249E-2</v>
      </c>
    </row>
    <row r="60" spans="1:27" ht="14.1" customHeight="1" x14ac:dyDescent="0.2">
      <c r="A60" s="283"/>
      <c r="B60" s="40"/>
      <c r="C60" s="284"/>
      <c r="D60" s="286"/>
      <c r="E60" s="287"/>
      <c r="F60" s="286"/>
      <c r="G60" s="286"/>
      <c r="H60" s="285"/>
      <c r="I60" s="287"/>
      <c r="J60" s="283"/>
      <c r="K60" s="40"/>
      <c r="L60" s="288"/>
      <c r="N60" s="66"/>
      <c r="O60" s="288"/>
      <c r="P60" s="2"/>
      <c r="Q60" s="3"/>
      <c r="R60" s="66"/>
      <c r="S60" s="283"/>
      <c r="T60" s="40"/>
      <c r="U60" s="288"/>
      <c r="V60" s="2"/>
      <c r="W60" s="66"/>
      <c r="X60" s="288"/>
      <c r="Y60" s="2"/>
      <c r="Z60" s="3"/>
      <c r="AA60" s="66"/>
    </row>
    <row r="61" spans="1:27" ht="14.1" customHeight="1" x14ac:dyDescent="0.2">
      <c r="A61" s="283" t="s">
        <v>19</v>
      </c>
      <c r="B61" s="290"/>
      <c r="C61" s="284">
        <f>SUM(C62:C68)</f>
        <v>830</v>
      </c>
      <c r="D61" s="286">
        <f>SUM(D62:D68)</f>
        <v>574</v>
      </c>
      <c r="E61" s="287">
        <f t="shared" ref="E61:E68" si="39">(C61-D61)/D61</f>
        <v>0.44599303135888502</v>
      </c>
      <c r="F61" s="286">
        <f>SUM(F62:F68)</f>
        <v>830</v>
      </c>
      <c r="G61" s="286">
        <f>SUM(G62:G68)</f>
        <v>574</v>
      </c>
      <c r="H61" s="285">
        <f t="shared" ref="H61:H68" si="40">(F61-G61)/G61</f>
        <v>0.44599303135888502</v>
      </c>
      <c r="I61" s="287">
        <f t="shared" ref="I61:I68" si="41">F61/$F$73</f>
        <v>3.7662219802159905E-2</v>
      </c>
      <c r="J61" s="283" t="s">
        <v>19</v>
      </c>
      <c r="K61" s="290"/>
      <c r="L61" s="284">
        <f>SUM(L62:L68)</f>
        <v>75159</v>
      </c>
      <c r="M61" s="286">
        <f>SUM(M62:M68)</f>
        <v>37175</v>
      </c>
      <c r="N61" s="287">
        <f t="shared" ref="N61:N68" si="42">(L61-M61)/M61</f>
        <v>1.021761936785474</v>
      </c>
      <c r="O61" s="284">
        <f>SUM(O62:O68)</f>
        <v>75159</v>
      </c>
      <c r="P61" s="286">
        <f>SUM(P62:P68)</f>
        <v>37175</v>
      </c>
      <c r="Q61" s="285">
        <f t="shared" ref="Q61:Q68" si="43">(O61-P61)/P61</f>
        <v>1.021761936785474</v>
      </c>
      <c r="R61" s="287">
        <f t="shared" ref="R61:R68" si="44">O61/$O$73</f>
        <v>3.8859633475775743E-2</v>
      </c>
      <c r="S61" s="283" t="s">
        <v>19</v>
      </c>
      <c r="T61" s="290"/>
      <c r="U61" s="284">
        <f>SUM(U62:U68)</f>
        <v>89966</v>
      </c>
      <c r="V61" s="286">
        <f>SUM(V62:V68)</f>
        <v>62672</v>
      </c>
      <c r="W61" s="287">
        <f t="shared" ref="W61:W68" si="45">(U61-V61)/V61</f>
        <v>0.43550548889456214</v>
      </c>
      <c r="X61" s="284">
        <f>SUM(X62:X68)</f>
        <v>89966</v>
      </c>
      <c r="Y61" s="286">
        <f>SUM(Y62:Y68)</f>
        <v>62672</v>
      </c>
      <c r="Z61" s="285">
        <f t="shared" ref="Z61:Z68" si="46">(X61-Y61)/Y61</f>
        <v>0.43550548889456214</v>
      </c>
      <c r="AA61" s="287">
        <f t="shared" ref="AA61:AA68" si="47">X61/$X$73</f>
        <v>1.4714733772019926E-2</v>
      </c>
    </row>
    <row r="62" spans="1:27" ht="14.1" customHeight="1" x14ac:dyDescent="0.2">
      <c r="A62" s="38"/>
      <c r="B62" s="343" t="s">
        <v>19</v>
      </c>
      <c r="C62" s="288">
        <f>[2]United!$HR$19</f>
        <v>527</v>
      </c>
      <c r="D62" s="2">
        <f>[2]United!$HD$19+[2]Continental!$HD$19</f>
        <v>242</v>
      </c>
      <c r="E62" s="66">
        <f t="shared" si="39"/>
        <v>1.1776859504132231</v>
      </c>
      <c r="F62" s="2">
        <f>SUM([2]United!$HR$19:$HR$19)</f>
        <v>527</v>
      </c>
      <c r="G62" s="2">
        <f>SUM([2]United!$HD$19:$HD$19)+SUM([2]Continental!$HD$19:$HD$19)</f>
        <v>242</v>
      </c>
      <c r="H62" s="3">
        <f t="shared" si="40"/>
        <v>1.1776859504132231</v>
      </c>
      <c r="I62" s="66">
        <f t="shared" si="41"/>
        <v>2.3913240765949723E-2</v>
      </c>
      <c r="J62" s="38"/>
      <c r="K62" s="343" t="s">
        <v>19</v>
      </c>
      <c r="L62" s="288">
        <f>[2]United!$HR$41</f>
        <v>57743</v>
      </c>
      <c r="M62" s="2">
        <f>[2]United!$HD$41+[2]Continental!$HD$41</f>
        <v>21540</v>
      </c>
      <c r="N62" s="66">
        <f t="shared" si="42"/>
        <v>1.6807335190343546</v>
      </c>
      <c r="O62" s="288">
        <f>SUM([2]United!$HR$41:$HR$41)</f>
        <v>57743</v>
      </c>
      <c r="P62" s="2">
        <f>SUM([2]United!$HD$41:$HD$41)+SUM([2]Continental!$HD$41:$HD$41)</f>
        <v>21540</v>
      </c>
      <c r="Q62" s="3">
        <f t="shared" si="43"/>
        <v>1.6807335190343546</v>
      </c>
      <c r="R62" s="66">
        <f t="shared" si="44"/>
        <v>2.9854998280867476E-2</v>
      </c>
      <c r="S62" s="38"/>
      <c r="T62" s="343" t="s">
        <v>19</v>
      </c>
      <c r="U62" s="288">
        <f>[2]United!$HR$64</f>
        <v>89966</v>
      </c>
      <c r="V62" s="2">
        <f>[2]United!$HD$64+[2]Continental!$HD$64</f>
        <v>62672</v>
      </c>
      <c r="W62" s="66">
        <f t="shared" si="45"/>
        <v>0.43550548889456214</v>
      </c>
      <c r="X62" s="288">
        <f>SUM([2]United!$HR$64:$HR$64)</f>
        <v>89966</v>
      </c>
      <c r="Y62" s="2">
        <f>SUM([2]United!$HD$64:$HD$64)+SUM([2]Continental!$HD$64:$HD$64)</f>
        <v>62672</v>
      </c>
      <c r="Z62" s="3">
        <f t="shared" si="46"/>
        <v>0.43550548889456214</v>
      </c>
      <c r="AA62" s="66">
        <f t="shared" si="47"/>
        <v>1.4714733772019926E-2</v>
      </c>
    </row>
    <row r="63" spans="1:27" ht="14.1" customHeight="1" x14ac:dyDescent="0.2">
      <c r="A63" s="38"/>
      <c r="B63" s="343" t="s">
        <v>166</v>
      </c>
      <c r="C63" s="288">
        <f>'[2]Continental Express'!$HR$19</f>
        <v>0</v>
      </c>
      <c r="D63" s="2">
        <f>'[2]Continental Express'!$HD$19</f>
        <v>0</v>
      </c>
      <c r="E63" s="66" t="e">
        <f t="shared" si="39"/>
        <v>#DIV/0!</v>
      </c>
      <c r="F63" s="2">
        <f>SUM('[2]Continental Express'!$HR$19:$HR$19)</f>
        <v>0</v>
      </c>
      <c r="G63" s="2">
        <f>SUM('[2]Continental Express'!$HD$19:$HD$19)</f>
        <v>0</v>
      </c>
      <c r="H63" s="3" t="e">
        <f t="shared" si="40"/>
        <v>#DIV/0!</v>
      </c>
      <c r="I63" s="66">
        <f t="shared" si="41"/>
        <v>0</v>
      </c>
      <c r="J63" s="38"/>
      <c r="K63" s="343" t="s">
        <v>166</v>
      </c>
      <c r="L63" s="288">
        <f>'[2]Continental Express'!$HR$41</f>
        <v>0</v>
      </c>
      <c r="M63" s="2">
        <f>'[2]Continental Express'!$HD$41</f>
        <v>0</v>
      </c>
      <c r="N63" s="66" t="e">
        <f t="shared" si="42"/>
        <v>#DIV/0!</v>
      </c>
      <c r="O63" s="288">
        <f>SUM('[2]Continental Express'!$HR$41:$HR$41)</f>
        <v>0</v>
      </c>
      <c r="P63" s="2">
        <f>SUM('[2]Continental Express'!$HD$41:$HD$41)</f>
        <v>0</v>
      </c>
      <c r="Q63" s="3" t="e">
        <f t="shared" si="43"/>
        <v>#DIV/0!</v>
      </c>
      <c r="R63" s="66">
        <f t="shared" si="44"/>
        <v>0</v>
      </c>
      <c r="S63" s="38"/>
      <c r="T63" s="343" t="s">
        <v>166</v>
      </c>
      <c r="U63" s="288">
        <f>'[2]Continental Express'!$HR$64</f>
        <v>0</v>
      </c>
      <c r="V63" s="2">
        <f>'[2]Continental Express'!$HD$64</f>
        <v>0</v>
      </c>
      <c r="W63" s="66" t="e">
        <f t="shared" si="45"/>
        <v>#DIV/0!</v>
      </c>
      <c r="X63" s="288">
        <f>SUM('[2]Continental Express'!$HR$64:$HR$64)</f>
        <v>0</v>
      </c>
      <c r="Y63" s="2">
        <f>SUM('[2]Continental Express'!$HD$64:$HD$64)</f>
        <v>0</v>
      </c>
      <c r="Z63" s="3" t="e">
        <f t="shared" si="46"/>
        <v>#DIV/0!</v>
      </c>
      <c r="AA63" s="66">
        <f t="shared" si="47"/>
        <v>0</v>
      </c>
    </row>
    <row r="64" spans="1:27" ht="14.1" customHeight="1" x14ac:dyDescent="0.2">
      <c r="A64" s="38"/>
      <c r="B64" s="40" t="s">
        <v>154</v>
      </c>
      <c r="C64" s="288">
        <f>'[2]Go Jet_UA'!$HR$19</f>
        <v>0</v>
      </c>
      <c r="D64" s="2">
        <f>'[2]Go Jet_UA'!$HD$19</f>
        <v>0</v>
      </c>
      <c r="E64" s="66" t="e">
        <f t="shared" si="39"/>
        <v>#DIV/0!</v>
      </c>
      <c r="F64" s="2">
        <f>SUM('[2]Go Jet_UA'!$HR$19:$HR$19)</f>
        <v>0</v>
      </c>
      <c r="G64" s="2">
        <f>SUM('[2]Go Jet_UA'!$HD$19:$HD$19)</f>
        <v>0</v>
      </c>
      <c r="H64" s="3" t="e">
        <f t="shared" si="40"/>
        <v>#DIV/0!</v>
      </c>
      <c r="I64" s="66">
        <f t="shared" si="41"/>
        <v>0</v>
      </c>
      <c r="J64" s="38"/>
      <c r="K64" s="40" t="s">
        <v>154</v>
      </c>
      <c r="L64" s="288">
        <f>'[2]Go Jet_UA'!$HR$41</f>
        <v>0</v>
      </c>
      <c r="M64" s="2">
        <f>'[2]Go Jet_UA'!$HD$41</f>
        <v>0</v>
      </c>
      <c r="N64" s="66" t="e">
        <f t="shared" si="42"/>
        <v>#DIV/0!</v>
      </c>
      <c r="O64" s="288">
        <f>SUM('[2]Go Jet_UA'!$HR$41:$HR$41)</f>
        <v>0</v>
      </c>
      <c r="P64" s="2">
        <f>SUM('[2]Go Jet_UA'!$HD$41:$HD$41)</f>
        <v>0</v>
      </c>
      <c r="Q64" s="3" t="e">
        <f t="shared" si="43"/>
        <v>#DIV/0!</v>
      </c>
      <c r="R64" s="66">
        <f t="shared" si="44"/>
        <v>0</v>
      </c>
      <c r="S64" s="38"/>
      <c r="T64" s="40" t="s">
        <v>154</v>
      </c>
      <c r="U64" s="288">
        <f>'[2]Go Jet_UA'!$HR$64</f>
        <v>0</v>
      </c>
      <c r="V64" s="2">
        <f>'[2]Go Jet_UA'!$HD$64</f>
        <v>0</v>
      </c>
      <c r="W64" s="66" t="e">
        <f t="shared" si="45"/>
        <v>#DIV/0!</v>
      </c>
      <c r="X64" s="288">
        <f>SUM('[2]Go Jet_UA'!$HR$64:$HR$64)</f>
        <v>0</v>
      </c>
      <c r="Y64" s="2">
        <f>SUM('[2]Go Jet_UA'!$HD$64:$HD$64)</f>
        <v>0</v>
      </c>
      <c r="Z64" s="3" t="e">
        <f t="shared" si="46"/>
        <v>#DIV/0!</v>
      </c>
      <c r="AA64" s="66">
        <f t="shared" si="47"/>
        <v>0</v>
      </c>
    </row>
    <row r="65" spans="1:27" ht="14.1" customHeight="1" x14ac:dyDescent="0.2">
      <c r="A65" s="38"/>
      <c r="B65" s="40" t="s">
        <v>51</v>
      </c>
      <c r="C65" s="288">
        <f>[2]MESA_UA!$HR$19</f>
        <v>150</v>
      </c>
      <c r="D65" s="2">
        <f>[2]MESA_UA!$HD$19</f>
        <v>124</v>
      </c>
      <c r="E65" s="66">
        <f t="shared" si="39"/>
        <v>0.20967741935483872</v>
      </c>
      <c r="F65" s="2">
        <f>SUM([2]MESA_UA!$HR$19:$HR$19)</f>
        <v>150</v>
      </c>
      <c r="G65" s="2">
        <f>SUM([2]MESA_UA!$HD$19:$HD$19)</f>
        <v>124</v>
      </c>
      <c r="H65" s="3">
        <f>(F65-G65)/G65</f>
        <v>0.20967741935483872</v>
      </c>
      <c r="I65" s="66">
        <f t="shared" si="41"/>
        <v>6.8064252654505856E-3</v>
      </c>
      <c r="J65" s="38"/>
      <c r="K65" s="40" t="s">
        <v>51</v>
      </c>
      <c r="L65" s="288">
        <f>[2]MESA_UA!$HR$41</f>
        <v>8779</v>
      </c>
      <c r="M65" s="2">
        <f>[2]MESA_UA!$HD$41</f>
        <v>6039</v>
      </c>
      <c r="N65" s="66">
        <f t="shared" si="42"/>
        <v>0.45371750289783075</v>
      </c>
      <c r="O65" s="288">
        <f>SUM([2]MESA_UA!$HR$41:$HR$41)</f>
        <v>8779</v>
      </c>
      <c r="P65" s="2">
        <f>SUM([2]MESA_UA!$HD$41:$HD$41)</f>
        <v>6039</v>
      </c>
      <c r="Q65" s="3">
        <f t="shared" si="43"/>
        <v>0.45371750289783075</v>
      </c>
      <c r="R65" s="66">
        <f t="shared" si="44"/>
        <v>4.5390268934370499E-3</v>
      </c>
      <c r="S65" s="38"/>
      <c r="T65" s="40" t="s">
        <v>51</v>
      </c>
      <c r="U65" s="288">
        <f>[2]MESA_UA!$HR$64</f>
        <v>0</v>
      </c>
      <c r="V65" s="2">
        <f>[2]MESA_UA!$HD$64</f>
        <v>0</v>
      </c>
      <c r="W65" s="66" t="e">
        <f t="shared" si="45"/>
        <v>#DIV/0!</v>
      </c>
      <c r="X65" s="288">
        <f>SUM([2]MESA_UA!$HR$64:$HR$64)</f>
        <v>0</v>
      </c>
      <c r="Y65" s="2">
        <f>SUM([2]MESA_UA!$HD$64:$HD$64)</f>
        <v>0</v>
      </c>
      <c r="Z65" s="3" t="e">
        <f t="shared" si="46"/>
        <v>#DIV/0!</v>
      </c>
      <c r="AA65" s="66">
        <f t="shared" si="47"/>
        <v>0</v>
      </c>
    </row>
    <row r="66" spans="1:27" ht="14.1" customHeight="1" x14ac:dyDescent="0.2">
      <c r="A66" s="38"/>
      <c r="B66" s="343" t="s">
        <v>52</v>
      </c>
      <c r="C66" s="288">
        <f>[2]Republic_UA!$HR$19</f>
        <v>77</v>
      </c>
      <c r="D66" s="2">
        <f>[2]Republic_UA!$HD$19</f>
        <v>128</v>
      </c>
      <c r="E66" s="66">
        <f t="shared" si="39"/>
        <v>-0.3984375</v>
      </c>
      <c r="F66" s="2">
        <f>SUM([2]Republic_UA!$HR$19:$HR$19)</f>
        <v>77</v>
      </c>
      <c r="G66" s="2">
        <f>SUM([2]Republic_UA!$HD$19:$HD$19)</f>
        <v>128</v>
      </c>
      <c r="H66" s="3">
        <f t="shared" ref="H66" si="48">(F66-G66)/G66</f>
        <v>-0.3984375</v>
      </c>
      <c r="I66" s="66">
        <f t="shared" si="41"/>
        <v>3.493964969597967E-3</v>
      </c>
      <c r="J66" s="38"/>
      <c r="K66" s="343" t="s">
        <v>52</v>
      </c>
      <c r="L66" s="288">
        <f>[2]Republic_UA!$HR$41</f>
        <v>3915</v>
      </c>
      <c r="M66" s="2">
        <f>[2]Republic_UA!$HD$41</f>
        <v>5356</v>
      </c>
      <c r="N66" s="66">
        <f t="shared" si="42"/>
        <v>-0.2690440627333831</v>
      </c>
      <c r="O66" s="288">
        <f>SUM([2]Republic_UA!$HR$41:$HR$41)</f>
        <v>3915</v>
      </c>
      <c r="P66" s="2">
        <f>SUM([2]Republic_UA!$HD$41:$HD$41)</f>
        <v>5356</v>
      </c>
      <c r="Q66" s="3">
        <f t="shared" si="43"/>
        <v>-0.2690440627333831</v>
      </c>
      <c r="R66" s="66">
        <f t="shared" si="44"/>
        <v>2.0241816024383244E-3</v>
      </c>
      <c r="S66" s="38"/>
      <c r="T66" s="343" t="s">
        <v>52</v>
      </c>
      <c r="U66" s="288">
        <f>[2]Republic_UA!$HR$64</f>
        <v>0</v>
      </c>
      <c r="V66" s="2">
        <f>[2]Republic_UA!$HD$64</f>
        <v>0</v>
      </c>
      <c r="W66" s="66" t="e">
        <f t="shared" si="45"/>
        <v>#DIV/0!</v>
      </c>
      <c r="X66" s="288">
        <f>SUM([2]Republic_UA!$HR$64:$HR$64)</f>
        <v>0</v>
      </c>
      <c r="Y66" s="2">
        <f>SUM([2]Republic_UA!$HD$64:$HD$64)</f>
        <v>0</v>
      </c>
      <c r="Z66" s="3" t="e">
        <f t="shared" si="46"/>
        <v>#DIV/0!</v>
      </c>
      <c r="AA66" s="66">
        <f t="shared" si="47"/>
        <v>0</v>
      </c>
    </row>
    <row r="67" spans="1:27" ht="14.1" customHeight="1" x14ac:dyDescent="0.2">
      <c r="A67" s="38"/>
      <c r="B67" s="40" t="s">
        <v>97</v>
      </c>
      <c r="C67" s="288">
        <f>'[2]Sky West_UA'!$HR$19</f>
        <v>76</v>
      </c>
      <c r="D67" s="2">
        <f>'[2]Sky West_UA'!$HD$19+'[2]Sky West_CO'!$HD$19</f>
        <v>80</v>
      </c>
      <c r="E67" s="66">
        <f t="shared" si="39"/>
        <v>-0.05</v>
      </c>
      <c r="F67" s="2">
        <f>SUM('[2]Sky West_UA'!$HR$19:$HR$19)</f>
        <v>76</v>
      </c>
      <c r="G67" s="2">
        <f>SUM('[2]Sky West_UA'!$HD$19:$HD$19)+SUM('[2]Sky West_CO'!$HD$19:$HD$19)</f>
        <v>80</v>
      </c>
      <c r="H67" s="3">
        <f t="shared" si="40"/>
        <v>-0.05</v>
      </c>
      <c r="I67" s="66">
        <f t="shared" si="41"/>
        <v>3.4485888011616299E-3</v>
      </c>
      <c r="J67" s="38"/>
      <c r="K67" s="40" t="s">
        <v>97</v>
      </c>
      <c r="L67" s="288">
        <f>'[2]Sky West_UA'!$HR$41</f>
        <v>4722</v>
      </c>
      <c r="M67" s="2">
        <f>'[2]Sky West_UA'!$HD$41+'[2]Sky West_CO'!$HD$41</f>
        <v>4240</v>
      </c>
      <c r="N67" s="66">
        <f t="shared" si="42"/>
        <v>0.11367924528301887</v>
      </c>
      <c r="O67" s="288">
        <f>SUM('[2]Sky West_UA'!$HR$41:$HR$41)</f>
        <v>4722</v>
      </c>
      <c r="P67" s="2">
        <f>SUM('[2]Sky West_UA'!$HD$41:$HD$41)+SUM('[2]Sky West_CO'!$HD$41:$HD$41)</f>
        <v>4240</v>
      </c>
      <c r="Q67" s="3">
        <f t="shared" si="43"/>
        <v>0.11367924528301887</v>
      </c>
      <c r="R67" s="66">
        <f t="shared" si="44"/>
        <v>2.441426699032891E-3</v>
      </c>
      <c r="S67" s="38"/>
      <c r="T67" s="40" t="s">
        <v>97</v>
      </c>
      <c r="U67" s="288">
        <f>'[2]Sky West_UA'!$HR$64</f>
        <v>0</v>
      </c>
      <c r="V67" s="2">
        <f>'[2]Sky West_UA'!$HD$64+'[2]Sky West_CO'!$HD$64</f>
        <v>0</v>
      </c>
      <c r="W67" s="66" t="e">
        <f t="shared" si="45"/>
        <v>#DIV/0!</v>
      </c>
      <c r="X67" s="288">
        <f>SUM('[2]Sky West_UA'!$HR$64:$HR$64)</f>
        <v>0</v>
      </c>
      <c r="Y67" s="2">
        <f>SUM('[2]Sky West_UA'!$HD$64:$HD$64)+SUM('[2]Sky West_CO'!$HD$64:$HD$64)</f>
        <v>0</v>
      </c>
      <c r="Z67" s="3" t="e">
        <f t="shared" si="46"/>
        <v>#DIV/0!</v>
      </c>
      <c r="AA67" s="66">
        <f t="shared" si="47"/>
        <v>0</v>
      </c>
    </row>
    <row r="68" spans="1:27" ht="14.1" customHeight="1" x14ac:dyDescent="0.2">
      <c r="A68" s="38"/>
      <c r="B68" s="291" t="s">
        <v>131</v>
      </c>
      <c r="C68" s="288">
        <f>'[2]Shuttle America'!$HR$19</f>
        <v>0</v>
      </c>
      <c r="D68" s="2">
        <f>'[2]Shuttle America'!$HD$19</f>
        <v>0</v>
      </c>
      <c r="E68" s="66" t="e">
        <f t="shared" si="39"/>
        <v>#DIV/0!</v>
      </c>
      <c r="F68" s="2">
        <f>SUM('[2]Shuttle America'!$HR$19:$HR$19)</f>
        <v>0</v>
      </c>
      <c r="G68" s="2">
        <f>SUM('[2]Shuttle America'!$HD$19:$HD$19)</f>
        <v>0</v>
      </c>
      <c r="H68" s="3" t="e">
        <f t="shared" si="40"/>
        <v>#DIV/0!</v>
      </c>
      <c r="I68" s="66">
        <f t="shared" si="41"/>
        <v>0</v>
      </c>
      <c r="J68" s="38"/>
      <c r="K68" s="291" t="s">
        <v>131</v>
      </c>
      <c r="L68" s="288">
        <f>'[2]Shuttle America'!$HR$41</f>
        <v>0</v>
      </c>
      <c r="M68" s="2">
        <f>'[2]Shuttle America'!$HD$41</f>
        <v>0</v>
      </c>
      <c r="N68" s="66" t="e">
        <f t="shared" si="42"/>
        <v>#DIV/0!</v>
      </c>
      <c r="O68" s="288">
        <f>SUM('[2]Shuttle America'!$HR$41:$HR$41)</f>
        <v>0</v>
      </c>
      <c r="P68" s="2">
        <f>SUM('[2]Shuttle America'!$HD$41:$HD$41)</f>
        <v>0</v>
      </c>
      <c r="Q68" s="3" t="e">
        <f t="shared" si="43"/>
        <v>#DIV/0!</v>
      </c>
      <c r="R68" s="66">
        <f t="shared" si="44"/>
        <v>0</v>
      </c>
      <c r="S68" s="38"/>
      <c r="T68" s="291" t="s">
        <v>131</v>
      </c>
      <c r="U68" s="288">
        <f>'[2]Shuttle America'!$HR$64</f>
        <v>0</v>
      </c>
      <c r="V68" s="2">
        <f>'[2]Shuttle America'!$HD$64</f>
        <v>0</v>
      </c>
      <c r="W68" s="66" t="e">
        <f t="shared" si="45"/>
        <v>#DIV/0!</v>
      </c>
      <c r="X68" s="288">
        <f>SUM('[2]Shuttle America'!$HR$64:$HR$64)</f>
        <v>0</v>
      </c>
      <c r="Y68" s="2">
        <f>SUM('[2]Shuttle America'!$HD$64:$HD$64)</f>
        <v>0</v>
      </c>
      <c r="Z68" s="3" t="e">
        <f t="shared" si="46"/>
        <v>#DIV/0!</v>
      </c>
      <c r="AA68" s="66">
        <f t="shared" si="47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14017</v>
      </c>
      <c r="D71" s="353">
        <f>+D73-D72</f>
        <v>9625</v>
      </c>
      <c r="E71" s="354">
        <f>(C71-D71)/D71</f>
        <v>0.45631168831168833</v>
      </c>
      <c r="F71" s="353">
        <f>+F73-F72</f>
        <v>14017</v>
      </c>
      <c r="G71" s="353">
        <f>+G73-G72</f>
        <v>9625</v>
      </c>
      <c r="H71" s="354">
        <f>(F71-G71)/G71</f>
        <v>0.45631168831168833</v>
      </c>
      <c r="I71" s="386">
        <f>F71/$F$73</f>
        <v>0.63603775297213905</v>
      </c>
      <c r="K71" s="299" t="s">
        <v>133</v>
      </c>
      <c r="L71" s="353">
        <f>+L73-L72</f>
        <v>1610631</v>
      </c>
      <c r="M71" s="353">
        <f>+M73-M72</f>
        <v>777110</v>
      </c>
      <c r="N71" s="354">
        <f>(L71-M71)/M71</f>
        <v>1.0725907529178624</v>
      </c>
      <c r="O71" s="353">
        <f>+O73-O72</f>
        <v>1610631</v>
      </c>
      <c r="P71" s="353">
        <f>+P73-P72</f>
        <v>777110</v>
      </c>
      <c r="Q71" s="382">
        <f>(O71-P71)/P71</f>
        <v>1.0725907529178624</v>
      </c>
      <c r="R71" s="445">
        <f>+O71/O73</f>
        <v>0.83274831124312665</v>
      </c>
      <c r="S71" s="3"/>
      <c r="T71" s="299" t="s">
        <v>133</v>
      </c>
      <c r="U71" s="353">
        <f>+U73-U72</f>
        <v>6107344</v>
      </c>
      <c r="V71" s="353">
        <f>+V73-V72</f>
        <v>3258197</v>
      </c>
      <c r="W71" s="354">
        <f>(U71-V71)/V71</f>
        <v>0.87445510507805391</v>
      </c>
      <c r="X71" s="353">
        <f>+X73-X72</f>
        <v>6107344</v>
      </c>
      <c r="Y71" s="353">
        <f>+Y73-Y72</f>
        <v>3258197</v>
      </c>
      <c r="Z71" s="382">
        <f>(X71-Y71)/Y71</f>
        <v>0.87445510507805391</v>
      </c>
      <c r="AA71" s="445">
        <f>+X71/X73</f>
        <v>0.99891004395152905</v>
      </c>
    </row>
    <row r="72" spans="1:27" ht="14.1" customHeight="1" x14ac:dyDescent="0.2">
      <c r="B72" s="170" t="s">
        <v>134</v>
      </c>
      <c r="C72" s="355">
        <f>C68+C45+C43+C41+C40+C44+C25+C67+C64+C42+C63+C65+C30+C29+C26+C20+C8+C66+C27+C28+C10+C21+C9</f>
        <v>8021</v>
      </c>
      <c r="D72" s="355">
        <f>D68+D45+D43+D41+D40+D44+D25+D67+D64+D42+D63+D65+D30+D29+D26+D20+D8+D66+D27+D28+D10+D21+D9</f>
        <v>9147</v>
      </c>
      <c r="E72" s="300">
        <f>(C72-D72)/D72</f>
        <v>-0.12310047009948617</v>
      </c>
      <c r="F72" s="355">
        <f>F68+F45+F43+F41+F40+F44+F25+F67+F64+F42+F63+F65+F30+F29+F26+F20+F8+F66+F27+F28+F10+F21+F9</f>
        <v>8021</v>
      </c>
      <c r="G72" s="355">
        <f>G68+G45+G43+G41+G40+G44+G25+G67+G64+G42+G63+G65+G30+G29+G26+G20+G8+G66+G27+G28+G10+G21+G9</f>
        <v>9147</v>
      </c>
      <c r="H72" s="300">
        <f>(F72-G72)/G72</f>
        <v>-0.12310047009948617</v>
      </c>
      <c r="I72" s="387">
        <f>F72/$F$73</f>
        <v>0.36396224702786095</v>
      </c>
      <c r="K72" s="170" t="s">
        <v>134</v>
      </c>
      <c r="L72" s="355">
        <f>L68+L45+L43+L41+L40+L44+L25+L67+L64+L42+L63+L65+L30+L29+L26+L20+L8+L66+L27+L28+L10+L21+L9</f>
        <v>323484</v>
      </c>
      <c r="M72" s="355">
        <f>M68+M45+M43+M41+M40+M44+M25+M67+M64+M42+M63+M65+M30+M29+M26+M20+M8+M66+M27+M28+M10+M21+M9</f>
        <v>283771</v>
      </c>
      <c r="N72" s="300">
        <f>(L72-M72)/M72</f>
        <v>0.13994735191404337</v>
      </c>
      <c r="O72" s="355">
        <f>O68+O45+O43+O41+O40+O44+O25+O67+O64+O42+O63+O65+O30+O29+O26+O20+O8+O66+O27+O28+O10+O21+O9</f>
        <v>323484</v>
      </c>
      <c r="P72" s="355">
        <f>P68+P45+P43+P41+P40+P44+P25+P67+P64+P42+P63+P65+P30+P29+P26+P20+P8+P66+P27+P28+P10+P21+P9</f>
        <v>283771</v>
      </c>
      <c r="Q72" s="380">
        <f>(O72-P72)/P72</f>
        <v>0.13994735191404337</v>
      </c>
      <c r="R72" s="446">
        <f>+O72/O73</f>
        <v>0.1672516887568733</v>
      </c>
      <c r="S72" s="3"/>
      <c r="T72" s="170" t="s">
        <v>134</v>
      </c>
      <c r="U72" s="355">
        <f>U68+U45+U43+U41+U40+U44+U25+U67+U64+U42+U63+U65+U30+U29+U26+U20+U8+U66+U27+U28+U10+U21+U9</f>
        <v>6664</v>
      </c>
      <c r="V72" s="355">
        <f>V68+V45+V43+V41+V40+V44+V25+V67+V64+V42+V63+V65+V30+V29+V26+V20+V8+V66+V27+V28+V10+V21+V9</f>
        <v>265</v>
      </c>
      <c r="W72" s="300">
        <f>(U72-V72)/V72</f>
        <v>24.147169811320754</v>
      </c>
      <c r="X72" s="355">
        <f>X68+X45+X43+X41+X40+X44+X25+X67+X64+X42+X63+X65+X30+X29+X26+X20+X8+X66+X27+X28+X10+X21+X9</f>
        <v>6664</v>
      </c>
      <c r="Y72" s="355">
        <f>Y68+Y45+Y43+Y41+Y40+Y44+Y25+Y67+Y64+Y42+Y63+Y65+Y30+Y29+Y26+Y20+Y8+Y66+Y27+Y28+Y10+Y21+Y9</f>
        <v>265</v>
      </c>
      <c r="Z72" s="380">
        <f>(X72-Y72)/Y72</f>
        <v>24.147169811320754</v>
      </c>
      <c r="AA72" s="446">
        <f>+X72/X73</f>
        <v>1.0899560484709866E-3</v>
      </c>
    </row>
    <row r="73" spans="1:27" ht="14.1" customHeight="1" thickBot="1" x14ac:dyDescent="0.25">
      <c r="B73" s="170" t="s">
        <v>135</v>
      </c>
      <c r="C73" s="356">
        <f>C61+C59+C55+C49+C47+C38+C23+C18+C6+C57+C34+C32+C12+C53+C14+C51+C4+C36+C16</f>
        <v>22038</v>
      </c>
      <c r="D73" s="356">
        <f>D61+D59+D55+D49+D47+D38+D23+D18+D6+D57+D34+D32+D12+D53+D14+D51+D4+D36+D16</f>
        <v>18772</v>
      </c>
      <c r="E73" s="357">
        <f>(C73-D73)/D73</f>
        <v>0.17398252716812274</v>
      </c>
      <c r="F73" s="356">
        <f>F61+F59+F55+F49+F47+F38+F23+F18+F6+F57+F34+F32+F12+F53+F14+F51+F4+F36+F16</f>
        <v>22038</v>
      </c>
      <c r="G73" s="356">
        <f>G61+G59+G55+G49+G47+G38+G23+G18+G6+G57+G34+G32+G12+G53+G14+G51+G4+G36+G16</f>
        <v>18772</v>
      </c>
      <c r="H73" s="357">
        <f>(F73-G73)/G73</f>
        <v>0.17398252716812274</v>
      </c>
      <c r="I73" s="388">
        <f>+H73/H73</f>
        <v>1</v>
      </c>
      <c r="K73" s="170" t="s">
        <v>135</v>
      </c>
      <c r="L73" s="356">
        <f>L61+L59+L55+L49+L47+L38+L23+L18+L6+L57+L34+L32+L12+L53+L14+L51+L4+L36+L16</f>
        <v>1934115</v>
      </c>
      <c r="M73" s="356">
        <f>M61+M59+M55+M49+M47+M38+M23+M18+M6+M57+M34+M32+M12+M53+M14+M51+M4+M36+M16</f>
        <v>1060881</v>
      </c>
      <c r="N73" s="357">
        <f>(L73-M73)/M73</f>
        <v>0.8231215376653932</v>
      </c>
      <c r="O73" s="356">
        <f>O61+O59+O55+O49+O47+O38+O23+O18+O6+O57+O34+O32+O12+O53+O14+O51+O4+O36+O16</f>
        <v>1934115</v>
      </c>
      <c r="P73" s="356">
        <f>P61+P59+P55+P49+P47+P38+P23+P18+P6+P57+P34+P32+P12+P53+P14+P51+P4+P36+P16</f>
        <v>1060881</v>
      </c>
      <c r="Q73" s="444">
        <f>(O73-P73)/P73</f>
        <v>0.8231215376653932</v>
      </c>
      <c r="R73" s="388">
        <f>+Q73/Q73</f>
        <v>1</v>
      </c>
      <c r="S73" s="3"/>
      <c r="T73" s="170" t="s">
        <v>135</v>
      </c>
      <c r="U73" s="356">
        <f>U61+U59+U55+U49+U47+U38+U23+U18+U6+U57+U34+U32+U12+U53+U14+U51+U4+U36+U16</f>
        <v>6114008</v>
      </c>
      <c r="V73" s="356">
        <f>V61+V59+V55+V49+V47+V38+V23+V18+V6+V57+V34+V32+V12+V53+V14+V51+V4+V36+V16</f>
        <v>3258462</v>
      </c>
      <c r="W73" s="357">
        <f>(U73-V73)/V73</f>
        <v>0.87634779843987742</v>
      </c>
      <c r="X73" s="356">
        <f>X61+X59+X55+X49+X47+X38+X23+X18+X6+X57+X34+X32+X12+X53+X14+X51+X4+X36+X16</f>
        <v>6114008</v>
      </c>
      <c r="Y73" s="356">
        <f>Y61+Y59+Y55+Y49+Y47+Y38+Y23+Y18+Y6+Y57+Y34+Y32+Y12+Y53+Y14+Y51+Y4+Y36+Y16</f>
        <v>3258462</v>
      </c>
      <c r="Z73" s="444">
        <f>(X73-Y73)/Y73</f>
        <v>0.87634779843987742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6"/>
      <c r="V75" s="96"/>
      <c r="W75" s="96"/>
    </row>
    <row r="76" spans="1:27" x14ac:dyDescent="0.2">
      <c r="E76"/>
      <c r="F76" s="2"/>
      <c r="H76"/>
      <c r="I76"/>
      <c r="J76"/>
      <c r="K76"/>
      <c r="N76"/>
      <c r="O76" s="2"/>
      <c r="P76" s="2"/>
      <c r="U76" s="96"/>
      <c r="V76" s="96"/>
      <c r="W76" s="96"/>
    </row>
    <row r="77" spans="1:27" x14ac:dyDescent="0.2">
      <c r="E77"/>
      <c r="F77" s="2"/>
      <c r="H77"/>
      <c r="I77"/>
      <c r="J77"/>
      <c r="K77"/>
      <c r="N77"/>
      <c r="O77" s="2"/>
      <c r="P77" s="2"/>
      <c r="U77" s="96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January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10" zoomScaleNormal="100" zoomScaleSheetLayoutView="100" workbookViewId="0">
      <selection activeCell="K44" sqref="K4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3">
        <v>44562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[2]American!$HR$22</f>
        <v>35621</v>
      </c>
      <c r="C4" s="13">
        <f>[2]Delta!$HR$22+[2]Delta!$HR$32</f>
        <v>544026</v>
      </c>
      <c r="D4" s="13">
        <f>[2]United!$HR$22</f>
        <v>29264</v>
      </c>
      <c r="E4" s="13">
        <f>[2]Spirit!$HR$22</f>
        <v>19119</v>
      </c>
      <c r="F4" s="13">
        <f>[2]Condor!$HR$22</f>
        <v>0</v>
      </c>
      <c r="G4" s="13">
        <f>'[2]Air France'!$HR$32</f>
        <v>0</v>
      </c>
      <c r="H4" s="13">
        <f>'[2]Jet Blue'!$HR$22</f>
        <v>2038</v>
      </c>
      <c r="I4" s="13">
        <f>[2]KLM!$HR$22+[2]KLM!$HR$32</f>
        <v>2461</v>
      </c>
      <c r="J4" s="13">
        <f>'Other Major Airline Stats'!K5</f>
        <v>169851</v>
      </c>
      <c r="K4" s="219">
        <f>SUM(B4:J4)</f>
        <v>802380</v>
      </c>
    </row>
    <row r="5" spans="1:20" x14ac:dyDescent="0.2">
      <c r="A5" s="46" t="s">
        <v>31</v>
      </c>
      <c r="B5" s="7">
        <f>[2]American!$HR$23</f>
        <v>35773</v>
      </c>
      <c r="C5" s="7">
        <f>[2]Delta!$HR$23+[2]Delta!$HR$33</f>
        <v>561178</v>
      </c>
      <c r="D5" s="7">
        <f>[2]United!$HR$23</f>
        <v>28479</v>
      </c>
      <c r="E5" s="7">
        <f>[2]Spirit!$HR$23</f>
        <v>18153</v>
      </c>
      <c r="F5" s="7">
        <f>[2]Condor!$HR$23</f>
        <v>0</v>
      </c>
      <c r="G5" s="7">
        <f>'[2]Air France'!$HR$33</f>
        <v>0</v>
      </c>
      <c r="H5" s="7">
        <f>'[2]Jet Blue'!$HR$23</f>
        <v>1724</v>
      </c>
      <c r="I5" s="7">
        <f>[2]KLM!$HR$23+[2]KLM!$HR$33</f>
        <v>2013</v>
      </c>
      <c r="J5" s="7">
        <f>'Other Major Airline Stats'!K6</f>
        <v>160931</v>
      </c>
      <c r="K5" s="220">
        <f>SUM(B5:J5)</f>
        <v>808251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71394</v>
      </c>
      <c r="C6" s="25">
        <f t="shared" si="0"/>
        <v>1105204</v>
      </c>
      <c r="D6" s="25">
        <f t="shared" si="0"/>
        <v>57743</v>
      </c>
      <c r="E6" s="25">
        <f t="shared" si="0"/>
        <v>37272</v>
      </c>
      <c r="F6" s="25">
        <f t="shared" ref="F6:I6" si="1">SUM(F4:F5)</f>
        <v>0</v>
      </c>
      <c r="G6" s="25">
        <f t="shared" si="1"/>
        <v>0</v>
      </c>
      <c r="H6" s="25">
        <f t="shared" ref="H6" si="2">SUM(H4:H5)</f>
        <v>3762</v>
      </c>
      <c r="I6" s="25">
        <f t="shared" si="1"/>
        <v>4474</v>
      </c>
      <c r="J6" s="25">
        <f>SUM(J4:J5)</f>
        <v>330782</v>
      </c>
      <c r="K6" s="221">
        <f>SUM(B6:J6)</f>
        <v>1610631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[2]American!$HR$27</f>
        <v>1197</v>
      </c>
      <c r="C9" s="13">
        <f>[2]Delta!$HR$27+[2]Delta!$HR$37</f>
        <v>18996</v>
      </c>
      <c r="D9" s="13">
        <f>[2]United!$HR$27</f>
        <v>930</v>
      </c>
      <c r="E9" s="13">
        <f>[2]Spirit!$HR$27</f>
        <v>142</v>
      </c>
      <c r="F9" s="13">
        <f>[2]Condor!$HR$27</f>
        <v>0</v>
      </c>
      <c r="G9" s="13">
        <f>'[2]Air France'!$HR$37</f>
        <v>0</v>
      </c>
      <c r="H9" s="13">
        <f>'[2]Jet Blue'!$HR$27</f>
        <v>91</v>
      </c>
      <c r="I9" s="13">
        <f>[2]KLM!$HR$27+[2]KLM!$HR$37</f>
        <v>5</v>
      </c>
      <c r="J9" s="13">
        <f>'Other Major Airline Stats'!K10</f>
        <v>3004</v>
      </c>
      <c r="K9" s="219">
        <f>SUM(B9:J9)</f>
        <v>24365</v>
      </c>
      <c r="N9" s="244"/>
    </row>
    <row r="10" spans="1:20" x14ac:dyDescent="0.2">
      <c r="A10" s="46" t="s">
        <v>33</v>
      </c>
      <c r="B10" s="7">
        <f>[2]American!$HR$28</f>
        <v>1284</v>
      </c>
      <c r="C10" s="7">
        <f>[2]Delta!$HR$28+[2]Delta!$HR$38</f>
        <v>19265</v>
      </c>
      <c r="D10" s="7">
        <f>[2]United!$HR$28</f>
        <v>997</v>
      </c>
      <c r="E10" s="7">
        <f>[2]Spirit!$HR$28</f>
        <v>127</v>
      </c>
      <c r="F10" s="7">
        <f>[2]Condor!$HR$28</f>
        <v>0</v>
      </c>
      <c r="G10" s="7">
        <f>'[2]Air France'!$HR$38</f>
        <v>0</v>
      </c>
      <c r="H10" s="7">
        <f>'[2]Jet Blue'!$HR$28</f>
        <v>116</v>
      </c>
      <c r="I10" s="7">
        <f>[2]KLM!$HR$28+[2]KLM!$HR$38</f>
        <v>2</v>
      </c>
      <c r="J10" s="7">
        <f>'Other Major Airline Stats'!K11</f>
        <v>2982</v>
      </c>
      <c r="K10" s="220">
        <f>SUM(B10:J10)</f>
        <v>24773</v>
      </c>
    </row>
    <row r="11" spans="1:20" ht="15.75" thickBot="1" x14ac:dyDescent="0.3">
      <c r="A11" s="47" t="s">
        <v>34</v>
      </c>
      <c r="B11" s="222">
        <f t="shared" ref="B11:J11" si="3">SUM(B9:B10)</f>
        <v>2481</v>
      </c>
      <c r="C11" s="222">
        <f t="shared" si="3"/>
        <v>38261</v>
      </c>
      <c r="D11" s="222">
        <f t="shared" si="3"/>
        <v>1927</v>
      </c>
      <c r="E11" s="222">
        <f t="shared" si="3"/>
        <v>269</v>
      </c>
      <c r="F11" s="222">
        <f t="shared" ref="F11:I11" si="4">SUM(F9:F10)</f>
        <v>0</v>
      </c>
      <c r="G11" s="222">
        <f t="shared" si="4"/>
        <v>0</v>
      </c>
      <c r="H11" s="222">
        <f t="shared" ref="H11" si="5">SUM(H9:H10)</f>
        <v>207</v>
      </c>
      <c r="I11" s="222">
        <f t="shared" si="4"/>
        <v>7</v>
      </c>
      <c r="J11" s="222">
        <f t="shared" si="3"/>
        <v>5986</v>
      </c>
      <c r="K11" s="223">
        <f>SUM(B11:J11)</f>
        <v>49138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[2]American!$HR$4</f>
        <v>282</v>
      </c>
      <c r="C15" s="13">
        <f>[2]Delta!$HR$4+[2]Delta!$HR$15</f>
        <v>4765</v>
      </c>
      <c r="D15" s="13">
        <f>[2]United!$HR$4</f>
        <v>262</v>
      </c>
      <c r="E15" s="13">
        <f>[2]Spirit!$HR$4</f>
        <v>145</v>
      </c>
      <c r="F15" s="13">
        <f>[2]Condor!$HR$4</f>
        <v>0</v>
      </c>
      <c r="G15" s="13">
        <f>'[2]Air France'!$HR$15</f>
        <v>0</v>
      </c>
      <c r="H15" s="13">
        <f>'[2]Jet Blue'!$HR$4</f>
        <v>48</v>
      </c>
      <c r="I15" s="13">
        <f>[2]KLM!$HR$4+[2]KLM!$HR$15</f>
        <v>14</v>
      </c>
      <c r="J15" s="13">
        <f>'Other Major Airline Stats'!K16</f>
        <v>1394</v>
      </c>
      <c r="K15" s="18">
        <f>SUM(B15:J15)</f>
        <v>6910</v>
      </c>
    </row>
    <row r="16" spans="1:20" x14ac:dyDescent="0.2">
      <c r="A16" s="46" t="s">
        <v>23</v>
      </c>
      <c r="B16" s="7">
        <f>[2]American!$HR$5</f>
        <v>279</v>
      </c>
      <c r="C16" s="7">
        <f>[2]Delta!$HR$5+[2]Delta!$HR$16</f>
        <v>4768</v>
      </c>
      <c r="D16" s="7">
        <f>[2]United!$HR$5</f>
        <v>265</v>
      </c>
      <c r="E16" s="7">
        <f>[2]Spirit!$HR$5</f>
        <v>146</v>
      </c>
      <c r="F16" s="7">
        <f>[2]Condor!$HR$5</f>
        <v>0</v>
      </c>
      <c r="G16" s="7">
        <f>'[2]Air France'!$HR$16</f>
        <v>0</v>
      </c>
      <c r="H16" s="7">
        <f>'[2]Jet Blue'!$HR$5</f>
        <v>48</v>
      </c>
      <c r="I16" s="7">
        <f>[2]KLM!$HR$5+[2]KLM!$HR$16</f>
        <v>14</v>
      </c>
      <c r="J16" s="7">
        <f>'Other Major Airline Stats'!K17</f>
        <v>1388</v>
      </c>
      <c r="K16" s="24">
        <f>SUM(B16:J16)</f>
        <v>6908</v>
      </c>
    </row>
    <row r="17" spans="1:11" x14ac:dyDescent="0.2">
      <c r="A17" s="46" t="s">
        <v>24</v>
      </c>
      <c r="B17" s="226">
        <f t="shared" ref="B17:J17" si="6">SUM(B15:B16)</f>
        <v>561</v>
      </c>
      <c r="C17" s="224">
        <f t="shared" si="6"/>
        <v>9533</v>
      </c>
      <c r="D17" s="224">
        <f t="shared" si="6"/>
        <v>527</v>
      </c>
      <c r="E17" s="224">
        <f t="shared" si="6"/>
        <v>291</v>
      </c>
      <c r="F17" s="224">
        <f t="shared" ref="F17:I17" si="7">SUM(F15:F16)</f>
        <v>0</v>
      </c>
      <c r="G17" s="224">
        <f t="shared" si="7"/>
        <v>0</v>
      </c>
      <c r="H17" s="224">
        <f t="shared" ref="H17" si="8">SUM(H15:H16)</f>
        <v>96</v>
      </c>
      <c r="I17" s="224">
        <f t="shared" si="7"/>
        <v>28</v>
      </c>
      <c r="J17" s="224">
        <f t="shared" si="6"/>
        <v>2782</v>
      </c>
      <c r="K17" s="225">
        <f>SUM(B17:J17)</f>
        <v>13818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[2]American!$HR$8</f>
        <v>0</v>
      </c>
      <c r="C19" s="13">
        <f>[2]Delta!$HR$8</f>
        <v>1</v>
      </c>
      <c r="D19" s="13">
        <f>[2]United!$HR$8</f>
        <v>0</v>
      </c>
      <c r="E19" s="13">
        <f>[2]Spirit!$HR$8</f>
        <v>0</v>
      </c>
      <c r="F19" s="13">
        <f>[2]Condor!$HR$8</f>
        <v>0</v>
      </c>
      <c r="G19" s="13">
        <f>'[2]Air France'!$HR$8</f>
        <v>0</v>
      </c>
      <c r="H19" s="13">
        <f>'[2]Jet Blue'!$HR$8</f>
        <v>0</v>
      </c>
      <c r="I19" s="13">
        <f>[2]KLM!$HR$8</f>
        <v>0</v>
      </c>
      <c r="J19" s="13">
        <f>'Other Major Airline Stats'!K20</f>
        <v>91</v>
      </c>
      <c r="K19" s="18">
        <f>SUM(B19:J19)</f>
        <v>92</v>
      </c>
    </row>
    <row r="20" spans="1:11" x14ac:dyDescent="0.2">
      <c r="A20" s="46" t="s">
        <v>26</v>
      </c>
      <c r="B20" s="7">
        <f>[2]American!$HR$9</f>
        <v>0</v>
      </c>
      <c r="C20" s="7">
        <f>[2]Delta!$HR$9</f>
        <v>8</v>
      </c>
      <c r="D20" s="7">
        <f>[2]United!$HR$9</f>
        <v>0</v>
      </c>
      <c r="E20" s="7">
        <f>[2]Spirit!$HR$9</f>
        <v>0</v>
      </c>
      <c r="F20" s="7">
        <f>[2]Condor!$HR$9</f>
        <v>0</v>
      </c>
      <c r="G20" s="7">
        <f>'[2]Air France'!$HR$9</f>
        <v>0</v>
      </c>
      <c r="H20" s="7">
        <f>'[2]Jet Blue'!$HR$9</f>
        <v>0</v>
      </c>
      <c r="I20" s="7">
        <f>[2]KLM!$HR$9</f>
        <v>0</v>
      </c>
      <c r="J20" s="7">
        <f>'Other Major Airline Stats'!K21</f>
        <v>99</v>
      </c>
      <c r="K20" s="24">
        <f>SUM(B20:J20)</f>
        <v>107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9</v>
      </c>
      <c r="D21" s="224">
        <f t="shared" si="9"/>
        <v>0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0</v>
      </c>
      <c r="I21" s="224">
        <f t="shared" si="10"/>
        <v>0</v>
      </c>
      <c r="J21" s="224">
        <f t="shared" si="9"/>
        <v>190</v>
      </c>
      <c r="K21" s="146">
        <f>SUM(B21:J21)</f>
        <v>199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561</v>
      </c>
      <c r="C23" s="19">
        <f t="shared" si="12"/>
        <v>9542</v>
      </c>
      <c r="D23" s="19">
        <f t="shared" si="12"/>
        <v>527</v>
      </c>
      <c r="E23" s="19">
        <f>E17+E21</f>
        <v>291</v>
      </c>
      <c r="F23" s="19">
        <f t="shared" ref="F23:I23" si="13">F17+F21</f>
        <v>0</v>
      </c>
      <c r="G23" s="19">
        <f t="shared" si="13"/>
        <v>0</v>
      </c>
      <c r="H23" s="19">
        <f t="shared" ref="H23" si="14">H17+H21</f>
        <v>96</v>
      </c>
      <c r="I23" s="19">
        <f t="shared" si="13"/>
        <v>28</v>
      </c>
      <c r="J23" s="19">
        <f t="shared" si="12"/>
        <v>2972</v>
      </c>
      <c r="K23" s="20">
        <f>SUM(B23:J23)</f>
        <v>14017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[2]American!$HR$47</f>
        <v>24661</v>
      </c>
      <c r="C28" s="13">
        <f>[2]Delta!$HR$47</f>
        <v>1528209</v>
      </c>
      <c r="D28" s="13">
        <f>[2]United!$HR$47</f>
        <v>27892</v>
      </c>
      <c r="E28" s="13">
        <f>[2]Spirit!$HR$47</f>
        <v>0</v>
      </c>
      <c r="F28" s="13">
        <f>[2]Condor!$HR$47</f>
        <v>0</v>
      </c>
      <c r="G28" s="13">
        <f>'[2]Air France'!$HR$47</f>
        <v>0</v>
      </c>
      <c r="H28" s="13">
        <f>'[2]Jet Blue'!$HR$47</f>
        <v>0</v>
      </c>
      <c r="I28" s="13">
        <f>[2]KLM!$HR$47</f>
        <v>402938</v>
      </c>
      <c r="J28" s="13">
        <f>'Other Major Airline Stats'!K28</f>
        <v>169291</v>
      </c>
      <c r="K28" s="18">
        <f>SUM(B28:J28)</f>
        <v>2152991</v>
      </c>
    </row>
    <row r="29" spans="1:11" x14ac:dyDescent="0.2">
      <c r="A29" s="46" t="s">
        <v>38</v>
      </c>
      <c r="B29" s="7">
        <f>[2]American!$HR$48</f>
        <v>99781</v>
      </c>
      <c r="C29" s="7">
        <f>[2]Delta!$HR$48</f>
        <v>1180045</v>
      </c>
      <c r="D29" s="7">
        <f>[2]United!$HR$48</f>
        <v>18592</v>
      </c>
      <c r="E29" s="7">
        <f>[2]Spirit!$HR$48</f>
        <v>0</v>
      </c>
      <c r="F29" s="7">
        <f>[2]Condor!$HR$48</f>
        <v>0</v>
      </c>
      <c r="G29" s="7">
        <f>'[2]Air France'!$HR$48</f>
        <v>0</v>
      </c>
      <c r="H29" s="7">
        <f>'[2]Jet Blue'!$HR$48</f>
        <v>0</v>
      </c>
      <c r="I29" s="7">
        <f>[2]KLM!$HR$48</f>
        <v>0</v>
      </c>
      <c r="J29" s="7">
        <f>'Other Major Airline Stats'!K29</f>
        <v>89795</v>
      </c>
      <c r="K29" s="24">
        <f>SUM(B29:J29)</f>
        <v>1388213</v>
      </c>
    </row>
    <row r="30" spans="1:11" x14ac:dyDescent="0.2">
      <c r="A30" s="50" t="s">
        <v>39</v>
      </c>
      <c r="B30" s="226">
        <f t="shared" ref="B30:J30" si="15">SUM(B28:B29)</f>
        <v>124442</v>
      </c>
      <c r="C30" s="226">
        <f t="shared" si="15"/>
        <v>2708254</v>
      </c>
      <c r="D30" s="226">
        <f t="shared" si="15"/>
        <v>46484</v>
      </c>
      <c r="E30" s="226">
        <f t="shared" si="15"/>
        <v>0</v>
      </c>
      <c r="F30" s="226">
        <f t="shared" ref="F30:I30" si="16">SUM(F28:F29)</f>
        <v>0</v>
      </c>
      <c r="G30" s="226">
        <f t="shared" si="16"/>
        <v>0</v>
      </c>
      <c r="H30" s="226">
        <f t="shared" ref="H30" si="17">SUM(H28:H29)</f>
        <v>0</v>
      </c>
      <c r="I30" s="226">
        <f t="shared" si="16"/>
        <v>402938</v>
      </c>
      <c r="J30" s="226">
        <f t="shared" si="15"/>
        <v>259086</v>
      </c>
      <c r="K30" s="18">
        <f>SUM(B30:J30)</f>
        <v>3541204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[2]American!$HR$52</f>
        <v>5092</v>
      </c>
      <c r="C33" s="13">
        <f>[2]Delta!$HR$52</f>
        <v>1006376</v>
      </c>
      <c r="D33" s="13">
        <f>[2]United!$HR$52</f>
        <v>6671</v>
      </c>
      <c r="E33" s="13">
        <f>[2]Spirit!$HR$52</f>
        <v>0</v>
      </c>
      <c r="F33" s="13">
        <f>[2]Condor!$HR$52</f>
        <v>0</v>
      </c>
      <c r="G33" s="13">
        <f>'[2]Air France'!$HR$52</f>
        <v>0</v>
      </c>
      <c r="H33" s="13">
        <f>'[2]Jet Blue'!$HR$52</f>
        <v>0</v>
      </c>
      <c r="I33" s="13">
        <f>[2]KLM!$HR$52</f>
        <v>124927</v>
      </c>
      <c r="J33" s="13">
        <f>'Other Major Airline Stats'!K33</f>
        <v>44614</v>
      </c>
      <c r="K33" s="18">
        <f t="shared" si="18"/>
        <v>1187680</v>
      </c>
    </row>
    <row r="34" spans="1:11" x14ac:dyDescent="0.2">
      <c r="A34" s="46" t="s">
        <v>38</v>
      </c>
      <c r="B34" s="7">
        <f>[2]American!$HR$53</f>
        <v>47836</v>
      </c>
      <c r="C34" s="7">
        <f>[2]Delta!$HR$53</f>
        <v>1072358</v>
      </c>
      <c r="D34" s="7">
        <f>[2]United!$HR$53</f>
        <v>36811</v>
      </c>
      <c r="E34" s="7">
        <f>[2]Spirit!$HR$53</f>
        <v>0</v>
      </c>
      <c r="F34" s="7">
        <f>[2]Condor!$HR$53</f>
        <v>0</v>
      </c>
      <c r="G34" s="7">
        <f>'[2]Air France'!$HR$53</f>
        <v>0</v>
      </c>
      <c r="H34" s="7">
        <f>'[2]Jet Blue'!$HR$53</f>
        <v>0</v>
      </c>
      <c r="I34" s="7">
        <f>[2]KLM!$HR$53</f>
        <v>0</v>
      </c>
      <c r="J34" s="7">
        <f>'Other Major Airline Stats'!K34</f>
        <v>221455</v>
      </c>
      <c r="K34" s="24">
        <f t="shared" si="18"/>
        <v>1378460</v>
      </c>
    </row>
    <row r="35" spans="1:11" x14ac:dyDescent="0.2">
      <c r="A35" s="50" t="s">
        <v>41</v>
      </c>
      <c r="B35" s="226">
        <f t="shared" ref="B35:J35" si="19">SUM(B33:B34)</f>
        <v>52928</v>
      </c>
      <c r="C35" s="226">
        <f t="shared" si="19"/>
        <v>2078734</v>
      </c>
      <c r="D35" s="226">
        <f t="shared" si="19"/>
        <v>43482</v>
      </c>
      <c r="E35" s="226">
        <f t="shared" si="19"/>
        <v>0</v>
      </c>
      <c r="F35" s="226">
        <f t="shared" ref="F35:I35" si="20">SUM(F33:F34)</f>
        <v>0</v>
      </c>
      <c r="G35" s="226">
        <f t="shared" si="20"/>
        <v>0</v>
      </c>
      <c r="H35" s="226">
        <f t="shared" ref="H35" si="21">SUM(H33:H34)</f>
        <v>0</v>
      </c>
      <c r="I35" s="226">
        <f t="shared" si="20"/>
        <v>124927</v>
      </c>
      <c r="J35" s="226">
        <f t="shared" si="19"/>
        <v>266069</v>
      </c>
      <c r="K35" s="18">
        <f t="shared" si="18"/>
        <v>2566140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[2]American!$HR$57</f>
        <v>0</v>
      </c>
      <c r="C38" s="13">
        <f>[2]Delta!$HR$57</f>
        <v>0</v>
      </c>
      <c r="D38" s="13">
        <f>[2]United!$HR$57</f>
        <v>0</v>
      </c>
      <c r="E38" s="13">
        <f>[2]Spirit!$HR$57</f>
        <v>0</v>
      </c>
      <c r="F38" s="13">
        <f>[2]Condor!$HR$57</f>
        <v>0</v>
      </c>
      <c r="G38" s="13">
        <f>'[2]Air France'!$HR$57</f>
        <v>0</v>
      </c>
      <c r="H38" s="13">
        <f>'[2]Jet Blue'!$HR$57</f>
        <v>0</v>
      </c>
      <c r="I38" s="13">
        <f>[2]KLM!$HR$57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[2]American!$HR$58</f>
        <v>0</v>
      </c>
      <c r="C39" s="7">
        <f>[2]Delta!$HR$58</f>
        <v>0</v>
      </c>
      <c r="D39" s="7">
        <f>[2]United!$HR$58</f>
        <v>0</v>
      </c>
      <c r="E39" s="7">
        <f>[2]Spirit!$HR$58</f>
        <v>0</v>
      </c>
      <c r="F39" s="7">
        <f>[2]Condor!$HR$58</f>
        <v>0</v>
      </c>
      <c r="G39" s="7">
        <f>'[2]Air France'!$HR$58</f>
        <v>0</v>
      </c>
      <c r="H39" s="7">
        <f>'[2]Jet Blue'!$HR$58</f>
        <v>0</v>
      </c>
      <c r="I39" s="7">
        <f>[2]KLM!$HR$58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29753</v>
      </c>
      <c r="C43" s="13">
        <f t="shared" si="25"/>
        <v>2534585</v>
      </c>
      <c r="D43" s="13">
        <f t="shared" si="25"/>
        <v>34563</v>
      </c>
      <c r="E43" s="13">
        <f>E28+E33+E38</f>
        <v>0</v>
      </c>
      <c r="F43" s="13">
        <f t="shared" ref="F43:I43" si="26">F28+F33+F38</f>
        <v>0</v>
      </c>
      <c r="G43" s="13">
        <f t="shared" si="26"/>
        <v>0</v>
      </c>
      <c r="H43" s="13">
        <f t="shared" ref="H43" si="27">H28+H33+H38</f>
        <v>0</v>
      </c>
      <c r="I43" s="13">
        <f t="shared" si="26"/>
        <v>527865</v>
      </c>
      <c r="J43" s="13">
        <f t="shared" si="25"/>
        <v>213905</v>
      </c>
      <c r="K43" s="18">
        <f>SUM(B43:J43)</f>
        <v>3340671</v>
      </c>
    </row>
    <row r="44" spans="1:11" x14ac:dyDescent="0.2">
      <c r="A44" s="46" t="s">
        <v>38</v>
      </c>
      <c r="B44" s="7">
        <f t="shared" si="25"/>
        <v>147617</v>
      </c>
      <c r="C44" s="7">
        <f t="shared" si="25"/>
        <v>2252403</v>
      </c>
      <c r="D44" s="7">
        <f t="shared" si="25"/>
        <v>55403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311250</v>
      </c>
      <c r="K44" s="18">
        <f>SUM(B44:J44)</f>
        <v>2766673</v>
      </c>
    </row>
    <row r="45" spans="1:11" ht="15.75" thickBot="1" x14ac:dyDescent="0.3">
      <c r="A45" s="47" t="s">
        <v>46</v>
      </c>
      <c r="B45" s="227">
        <f t="shared" ref="B45:J45" si="30">SUM(B43:B44)</f>
        <v>177370</v>
      </c>
      <c r="C45" s="227">
        <f t="shared" si="30"/>
        <v>4786988</v>
      </c>
      <c r="D45" s="227">
        <f t="shared" si="30"/>
        <v>89966</v>
      </c>
      <c r="E45" s="227">
        <f t="shared" si="30"/>
        <v>0</v>
      </c>
      <c r="F45" s="227">
        <f t="shared" ref="F45:I45" si="31">SUM(F43:F44)</f>
        <v>0</v>
      </c>
      <c r="G45" s="227">
        <f t="shared" si="31"/>
        <v>0</v>
      </c>
      <c r="H45" s="227">
        <f t="shared" ref="H45" si="32">SUM(H43:H44)</f>
        <v>0</v>
      </c>
      <c r="I45" s="227">
        <f t="shared" si="31"/>
        <v>527865</v>
      </c>
      <c r="J45" s="227">
        <f t="shared" si="30"/>
        <v>525155</v>
      </c>
      <c r="K45" s="228">
        <f>SUM(B45:J45)</f>
        <v>6107344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[2]Delta!$HR$70+[2]Delta!$HR$73</f>
        <v>362220</v>
      </c>
      <c r="D47" s="241"/>
      <c r="E47" s="241"/>
      <c r="F47" s="241"/>
      <c r="G47" s="241"/>
      <c r="H47" s="241"/>
      <c r="I47" s="241"/>
      <c r="J47" s="241"/>
      <c r="K47" s="242">
        <f>SUM(B47:J47)</f>
        <v>362220</v>
      </c>
    </row>
    <row r="48" spans="1:11" hidden="1" x14ac:dyDescent="0.2">
      <c r="A48" s="302" t="s">
        <v>122</v>
      </c>
      <c r="C48" s="253">
        <f>[2]Delta!$HR$71+[2]Delta!$HR$74</f>
        <v>198958</v>
      </c>
      <c r="D48" s="241"/>
      <c r="E48" s="241"/>
      <c r="F48" s="241"/>
      <c r="G48" s="241"/>
      <c r="H48" s="241"/>
      <c r="I48" s="241"/>
      <c r="J48" s="241"/>
      <c r="K48" s="242">
        <f>SUM(B48:J48)</f>
        <v>198958</v>
      </c>
    </row>
    <row r="49" spans="1:11" hidden="1" x14ac:dyDescent="0.2">
      <c r="A49" s="303" t="s">
        <v>123</v>
      </c>
      <c r="C49" s="254">
        <f>SUM(C47:C48)</f>
        <v>561178</v>
      </c>
      <c r="K49" s="242">
        <f>SUM(B49:J49)</f>
        <v>561178</v>
      </c>
    </row>
    <row r="50" spans="1:11" x14ac:dyDescent="0.2">
      <c r="A50" s="301" t="s">
        <v>121</v>
      </c>
      <c r="B50" s="312"/>
      <c r="C50" s="256">
        <f>[2]Delta!$HR$70+[2]Delta!$HR$73</f>
        <v>362220</v>
      </c>
      <c r="D50" s="312"/>
      <c r="E50" s="256">
        <f>[2]Spirit!$HR$70+[2]Spirit!$HR$73</f>
        <v>0</v>
      </c>
      <c r="F50" s="312"/>
      <c r="G50" s="312"/>
      <c r="H50" s="312"/>
      <c r="I50" s="312"/>
      <c r="J50" s="255">
        <f>'Other Major Airline Stats'!K48</f>
        <v>143991</v>
      </c>
      <c r="K50" s="245">
        <f>SUM(B50:J50)</f>
        <v>506211</v>
      </c>
    </row>
    <row r="51" spans="1:11" x14ac:dyDescent="0.2">
      <c r="A51" s="314" t="s">
        <v>122</v>
      </c>
      <c r="B51" s="312"/>
      <c r="C51" s="256">
        <f>[2]Delta!$HR$71+[2]Delta!$HR$74</f>
        <v>198958</v>
      </c>
      <c r="D51" s="312"/>
      <c r="E51" s="256">
        <f>[2]Spirit!$HR$71+[2]Spirit!$HR$74</f>
        <v>0</v>
      </c>
      <c r="F51" s="312"/>
      <c r="G51" s="312"/>
      <c r="H51" s="312"/>
      <c r="I51" s="312"/>
      <c r="J51" s="255">
        <f>+'Other Major Airline Stats'!K49</f>
        <v>134</v>
      </c>
      <c r="K51" s="245">
        <f>SUM(B51:J51)</f>
        <v>199092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O22" sqref="O2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3">
        <v>44562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[2]Frontier!$HR$22+[2]Frontier!$HR$32</f>
        <v>9711</v>
      </c>
      <c r="C5" s="96">
        <f>'[2]Allegiant '!$HR$22</f>
        <v>4375</v>
      </c>
      <c r="D5" s="96">
        <f>'[2]Aer Lingus'!$HR$22+'[2]Aer Lingus'!$HR$32</f>
        <v>0</v>
      </c>
      <c r="E5" s="96">
        <f>'[2]Denver Air'!$HR$22+'[2]Denver Air'!$HR$32</f>
        <v>692</v>
      </c>
      <c r="F5" s="96">
        <f>'[2]Boutique Air'!$HR$22</f>
        <v>0</v>
      </c>
      <c r="G5" s="96">
        <f>[2]Icelandair!$HR$32</f>
        <v>0</v>
      </c>
      <c r="H5" s="96">
        <f>[2]Southwest!$HR$22</f>
        <v>33593</v>
      </c>
      <c r="I5" s="96">
        <f>'[2]Sun Country'!$HR$22+'[2]Sun Country'!$HR$32</f>
        <v>117723</v>
      </c>
      <c r="J5" s="96">
        <f>[2]Alaska!$HR$22</f>
        <v>3757</v>
      </c>
      <c r="K5" s="119">
        <f>SUM(B5:J5)</f>
        <v>169851</v>
      </c>
      <c r="N5" s="96"/>
    </row>
    <row r="6" spans="1:14" x14ac:dyDescent="0.2">
      <c r="A6" s="46" t="s">
        <v>31</v>
      </c>
      <c r="B6" s="96">
        <f>[2]Frontier!$HR$23+[2]Frontier!$HR$33</f>
        <v>8559</v>
      </c>
      <c r="C6" s="96">
        <f>'[2]Allegiant '!$HR$23</f>
        <v>3679</v>
      </c>
      <c r="D6" s="96">
        <f>'[2]Aer Lingus'!$HR$23+'[2]Aer Lingus'!$HR$33</f>
        <v>0</v>
      </c>
      <c r="E6" s="96">
        <f>'[2]Denver Air'!$HR$23+'[2]Denver Air'!$HR$33</f>
        <v>656</v>
      </c>
      <c r="F6" s="96">
        <f>'[2]Boutique Air'!$HR$23</f>
        <v>0</v>
      </c>
      <c r="G6" s="96">
        <f>[2]Icelandair!$HR$33</f>
        <v>0</v>
      </c>
      <c r="H6" s="96">
        <f>[2]Southwest!$HR$23</f>
        <v>33791</v>
      </c>
      <c r="I6" s="96">
        <f>'[2]Sun Country'!$HR$23+'[2]Sun Country'!$HR$33</f>
        <v>110334</v>
      </c>
      <c r="J6" s="96">
        <f>[2]Alaska!$HR$23</f>
        <v>3912</v>
      </c>
      <c r="K6" s="119">
        <f>SUM(B6:J6)</f>
        <v>160931</v>
      </c>
    </row>
    <row r="7" spans="1:14" ht="15" x14ac:dyDescent="0.25">
      <c r="A7" s="44" t="s">
        <v>7</v>
      </c>
      <c r="B7" s="127">
        <f>SUM(B5:B6)</f>
        <v>18270</v>
      </c>
      <c r="C7" s="127">
        <f t="shared" ref="C7:F7" si="0">SUM(C5:C6)</f>
        <v>8054</v>
      </c>
      <c r="D7" s="127">
        <f>SUM(D5:D6)</f>
        <v>0</v>
      </c>
      <c r="E7" s="127">
        <f>SUM(E5:E6)</f>
        <v>1348</v>
      </c>
      <c r="F7" s="127">
        <f t="shared" si="0"/>
        <v>0</v>
      </c>
      <c r="G7" s="127">
        <f t="shared" ref="G7:J7" si="1">SUM(G5:G6)</f>
        <v>0</v>
      </c>
      <c r="H7" s="127">
        <f t="shared" si="1"/>
        <v>67384</v>
      </c>
      <c r="I7" s="127">
        <f>SUM(I5:I6)</f>
        <v>228057</v>
      </c>
      <c r="J7" s="127">
        <f t="shared" si="1"/>
        <v>7669</v>
      </c>
      <c r="K7" s="128">
        <f>SUM(B7:J7)</f>
        <v>330782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[2]Frontier!$HR$27+[2]Frontier!$HR$37</f>
        <v>76</v>
      </c>
      <c r="C10" s="126">
        <f>'[2]Allegiant '!$HR$27</f>
        <v>0</v>
      </c>
      <c r="D10" s="395">
        <f>'[2]Aer Lingus'!$HR$27+'[2]Aer Lingus'!$HR$37</f>
        <v>0</v>
      </c>
      <c r="E10" s="126">
        <f>'[2]Denver Air'!$HR$27+'[2]Denver Air'!$HR$37</f>
        <v>49</v>
      </c>
      <c r="F10" s="126">
        <f>'[2]Boutique Air'!$HR$27</f>
        <v>0</v>
      </c>
      <c r="G10" s="126">
        <f>[2]Icelandair!$HR$37</f>
        <v>0</v>
      </c>
      <c r="H10" s="126">
        <f>[2]Southwest!$HR$27</f>
        <v>803</v>
      </c>
      <c r="I10" s="126">
        <f>'[2]Sun Country'!$HR$27+'[2]Sun Country'!$HR$37</f>
        <v>1928</v>
      </c>
      <c r="J10" s="126">
        <f>[2]Alaska!$HR$27</f>
        <v>148</v>
      </c>
      <c r="K10" s="119">
        <f>SUM(B10:J10)</f>
        <v>3004</v>
      </c>
    </row>
    <row r="11" spans="1:14" x14ac:dyDescent="0.2">
      <c r="A11" s="46" t="s">
        <v>33</v>
      </c>
      <c r="B11" s="129">
        <f>[2]Frontier!$HR$28+[2]Frontier!$HR$38</f>
        <v>72</v>
      </c>
      <c r="C11" s="129">
        <f>'[2]Allegiant '!$HR$28</f>
        <v>0</v>
      </c>
      <c r="D11" s="129">
        <f>'[2]Aer Lingus'!$HR$28+'[2]Aer Lingus'!$HR$38</f>
        <v>0</v>
      </c>
      <c r="E11" s="129">
        <f>'[2]Denver Air'!$HR$28+'[2]Denver Air'!$HR$38</f>
        <v>54</v>
      </c>
      <c r="F11" s="129">
        <f>'[2]Boutique Air'!$HR$28</f>
        <v>0</v>
      </c>
      <c r="G11" s="129">
        <f>[2]Icelandair!$HR$38</f>
        <v>0</v>
      </c>
      <c r="H11" s="129">
        <f>[2]Southwest!$HR$28</f>
        <v>887</v>
      </c>
      <c r="I11" s="129">
        <f>'[2]Sun Country'!$HR$28+'[2]Sun Country'!$HR$38</f>
        <v>1857</v>
      </c>
      <c r="J11" s="129">
        <f>[2]Alaska!$HR$28</f>
        <v>112</v>
      </c>
      <c r="K11" s="119">
        <f>SUM(B11:J11)</f>
        <v>2982</v>
      </c>
    </row>
    <row r="12" spans="1:14" ht="15.75" thickBot="1" x14ac:dyDescent="0.3">
      <c r="A12" s="47" t="s">
        <v>34</v>
      </c>
      <c r="B12" s="122">
        <f>SUM(B10:B11)</f>
        <v>148</v>
      </c>
      <c r="C12" s="122">
        <f t="shared" ref="C12:F12" si="2">SUM(C10:C11)</f>
        <v>0</v>
      </c>
      <c r="D12" s="122">
        <f>SUM(D10:D11)</f>
        <v>0</v>
      </c>
      <c r="E12" s="122">
        <f>SUM(E10:E11)</f>
        <v>103</v>
      </c>
      <c r="F12" s="122">
        <f t="shared" si="2"/>
        <v>0</v>
      </c>
      <c r="G12" s="122">
        <f t="shared" ref="G12:J12" si="3">SUM(G10:G11)</f>
        <v>0</v>
      </c>
      <c r="H12" s="122">
        <f t="shared" si="3"/>
        <v>1690</v>
      </c>
      <c r="I12" s="122">
        <f>SUM(I10:I11)</f>
        <v>3785</v>
      </c>
      <c r="J12" s="122">
        <f t="shared" si="3"/>
        <v>260</v>
      </c>
      <c r="K12" s="130">
        <f>SUM(B12:J12)</f>
        <v>5986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[2]Frontier!$HR$4+[2]Frontier!$HR$15</f>
        <v>85</v>
      </c>
      <c r="C16" s="86">
        <f>'[2]Allegiant '!$HR$4</f>
        <v>41</v>
      </c>
      <c r="D16" s="96">
        <f>'[2]Aer Lingus'!$HR$4+'[2]Aer Lingus'!$HR$15</f>
        <v>0</v>
      </c>
      <c r="E16" s="96">
        <f>'[2]Denver Air'!$HR$4+'[2]Denver Air'!$HR$15</f>
        <v>82</v>
      </c>
      <c r="F16" s="86">
        <f>'[2]Boutique Air'!$HR$4</f>
        <v>0</v>
      </c>
      <c r="G16" s="96">
        <f>[2]Icelandair!$HR$15</f>
        <v>0</v>
      </c>
      <c r="H16" s="86">
        <f>[2]Southwest!$HR$4</f>
        <v>322</v>
      </c>
      <c r="I16" s="96">
        <f>'[2]Sun Country'!$HR$4+'[2]Sun Country'!$HR$15</f>
        <v>829</v>
      </c>
      <c r="J16" s="96">
        <f>[2]Alaska!$HR$4</f>
        <v>35</v>
      </c>
      <c r="K16" s="119">
        <f>SUM(B16:J16)</f>
        <v>1394</v>
      </c>
    </row>
    <row r="17" spans="1:258" x14ac:dyDescent="0.2">
      <c r="A17" s="46" t="s">
        <v>23</v>
      </c>
      <c r="B17" s="96">
        <f>[2]Frontier!$HR$5+[2]Frontier!$HR$16</f>
        <v>85</v>
      </c>
      <c r="C17" s="86">
        <f>'[2]Allegiant '!$HR$5</f>
        <v>41</v>
      </c>
      <c r="D17" s="96">
        <f>'[2]Aer Lingus'!$HR$5+'[2]Aer Lingus'!$HR$16</f>
        <v>0</v>
      </c>
      <c r="E17" s="96">
        <f>'[2]Denver Air'!$HR$5+'[2]Denver Air'!$HR$16</f>
        <v>82</v>
      </c>
      <c r="F17" s="86">
        <f>'[2]Boutique Air'!$HR$5</f>
        <v>0</v>
      </c>
      <c r="G17" s="96">
        <f>[2]Icelandair!$HR$16</f>
        <v>0</v>
      </c>
      <c r="H17" s="86">
        <f>[2]Southwest!$HR$5</f>
        <v>319</v>
      </c>
      <c r="I17" s="96">
        <f>'[2]Sun Country'!$HR$5+'[2]Sun Country'!$HR$16</f>
        <v>827</v>
      </c>
      <c r="J17" s="96">
        <f>[2]Alaska!$HR$5</f>
        <v>34</v>
      </c>
      <c r="K17" s="119">
        <f>SUM(B17:J17)</f>
        <v>1388</v>
      </c>
    </row>
    <row r="18" spans="1:258" x14ac:dyDescent="0.2">
      <c r="A18" s="50" t="s">
        <v>24</v>
      </c>
      <c r="B18" s="120">
        <f t="shared" ref="B18" si="4">SUM(B16:B17)</f>
        <v>170</v>
      </c>
      <c r="C18" s="120">
        <f t="shared" ref="C18:F18" si="5">SUM(C16:C17)</f>
        <v>82</v>
      </c>
      <c r="D18" s="120">
        <f t="shared" si="5"/>
        <v>0</v>
      </c>
      <c r="E18" s="120">
        <f t="shared" si="5"/>
        <v>164</v>
      </c>
      <c r="F18" s="120">
        <f t="shared" si="5"/>
        <v>0</v>
      </c>
      <c r="G18" s="120">
        <f t="shared" ref="G18:J18" si="6">SUM(G16:G17)</f>
        <v>0</v>
      </c>
      <c r="H18" s="120">
        <f t="shared" si="6"/>
        <v>641</v>
      </c>
      <c r="I18" s="120">
        <f t="shared" si="6"/>
        <v>1656</v>
      </c>
      <c r="J18" s="120">
        <f t="shared" si="6"/>
        <v>69</v>
      </c>
      <c r="K18" s="121">
        <f>SUM(B18:J18)</f>
        <v>2782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[2]Frontier!$HR$8</f>
        <v>0</v>
      </c>
      <c r="C20" s="96">
        <f>'[2]Allegiant '!$HR$8</f>
        <v>0</v>
      </c>
      <c r="D20" s="96">
        <f>'[2]Aer Lingus'!$HR$8</f>
        <v>0</v>
      </c>
      <c r="E20" s="96">
        <f>'[2]Denver Air'!$HR$8</f>
        <v>0</v>
      </c>
      <c r="F20" s="96">
        <f>'[2]Boutique Air'!$HR$8</f>
        <v>0</v>
      </c>
      <c r="G20" s="96">
        <f>[2]Icelandair!$HR$8</f>
        <v>0</v>
      </c>
      <c r="H20" s="96">
        <f>[2]Southwest!$HR$8</f>
        <v>0</v>
      </c>
      <c r="I20" s="96">
        <f>'[2]Sun Country'!$HR$8</f>
        <v>90</v>
      </c>
      <c r="J20" s="96">
        <f>[2]Alaska!$HR$8</f>
        <v>1</v>
      </c>
      <c r="K20" s="119">
        <f>SUM(B20:J20)</f>
        <v>91</v>
      </c>
    </row>
    <row r="21" spans="1:258" x14ac:dyDescent="0.2">
      <c r="A21" s="46" t="s">
        <v>26</v>
      </c>
      <c r="B21" s="96">
        <f>[2]Frontier!$HR$9</f>
        <v>0</v>
      </c>
      <c r="C21" s="96">
        <f>'[2]Allegiant '!$HR$9</f>
        <v>0</v>
      </c>
      <c r="D21" s="96">
        <f>'[2]Aer Lingus'!$HR$9</f>
        <v>0</v>
      </c>
      <c r="E21" s="96">
        <f>'[2]Denver Air'!$HR$9</f>
        <v>0</v>
      </c>
      <c r="F21" s="96">
        <f>'[2]Boutique Air'!$HR$9</f>
        <v>0</v>
      </c>
      <c r="G21" s="96">
        <f>[2]Icelandair!$HR$9</f>
        <v>0</v>
      </c>
      <c r="H21" s="96">
        <f>[2]Southwest!$HR$9</f>
        <v>0</v>
      </c>
      <c r="I21" s="96">
        <f>'[2]Sun Country'!$HR$9</f>
        <v>97</v>
      </c>
      <c r="J21" s="96">
        <f>[2]Alaska!$HR$9</f>
        <v>2</v>
      </c>
      <c r="K21" s="119">
        <f>SUM(B21:J21)</f>
        <v>99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0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187</v>
      </c>
      <c r="J22" s="120">
        <f t="shared" si="9"/>
        <v>3</v>
      </c>
      <c r="K22" s="121">
        <f>SUM(B22:J22)</f>
        <v>190</v>
      </c>
    </row>
    <row r="23" spans="1:258" ht="15.75" thickBot="1" x14ac:dyDescent="0.3">
      <c r="A23" s="47" t="s">
        <v>28</v>
      </c>
      <c r="B23" s="122">
        <f t="shared" ref="B23" si="10">B22+B18</f>
        <v>170</v>
      </c>
      <c r="C23" s="122">
        <f t="shared" ref="C23:F23" si="11">C22+C18</f>
        <v>82</v>
      </c>
      <c r="D23" s="122">
        <f t="shared" si="11"/>
        <v>0</v>
      </c>
      <c r="E23" s="122">
        <f t="shared" si="11"/>
        <v>164</v>
      </c>
      <c r="F23" s="122">
        <f t="shared" si="11"/>
        <v>0</v>
      </c>
      <c r="G23" s="122">
        <f t="shared" ref="G23:J23" si="12">G22+G18</f>
        <v>0</v>
      </c>
      <c r="H23" s="122">
        <f t="shared" si="12"/>
        <v>641</v>
      </c>
      <c r="I23" s="122">
        <f t="shared" si="12"/>
        <v>1843</v>
      </c>
      <c r="J23" s="122">
        <f t="shared" si="12"/>
        <v>72</v>
      </c>
      <c r="K23" s="123">
        <f>SUM(B23:J23)</f>
        <v>2972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[2]Frontier!$HR$47</f>
        <v>0</v>
      </c>
      <c r="C28" s="96">
        <f>'[2]Allegiant '!$HR$47</f>
        <v>0</v>
      </c>
      <c r="D28" s="96">
        <f>'[2]Aer Lingus'!$HR$47</f>
        <v>0</v>
      </c>
      <c r="E28" s="96">
        <f>'[2]Denver Air'!$HR$47</f>
        <v>0</v>
      </c>
      <c r="F28" s="96">
        <f>'[2]Boutique Air'!$HR$47</f>
        <v>0</v>
      </c>
      <c r="G28" s="96">
        <f>[2]Icelandair!$HR$47</f>
        <v>0</v>
      </c>
      <c r="H28" s="96">
        <f>[2]Southwest!$HR$47</f>
        <v>153345</v>
      </c>
      <c r="I28" s="96">
        <f>'[2]Sun Country'!$HR$47</f>
        <v>13126</v>
      </c>
      <c r="J28" s="96">
        <f>[2]Alaska!$HR$47</f>
        <v>2820</v>
      </c>
      <c r="K28" s="119">
        <f>SUM(B28:J28)</f>
        <v>169291</v>
      </c>
    </row>
    <row r="29" spans="1:258" x14ac:dyDescent="0.2">
      <c r="A29" s="46" t="s">
        <v>38</v>
      </c>
      <c r="B29" s="96">
        <f>[2]Frontier!$HR$48</f>
        <v>0</v>
      </c>
      <c r="C29" s="96">
        <f>'[2]Allegiant '!$HR$48</f>
        <v>0</v>
      </c>
      <c r="D29" s="96">
        <f>'[2]Aer Lingus'!$HR$48</f>
        <v>0</v>
      </c>
      <c r="E29" s="96">
        <f>'[2]Denver Air'!$HR$48</f>
        <v>0</v>
      </c>
      <c r="F29" s="96">
        <f>'[2]Boutique Air'!$HR$48</f>
        <v>0</v>
      </c>
      <c r="G29" s="96">
        <f>[2]Icelandair!$HR$48</f>
        <v>0</v>
      </c>
      <c r="H29" s="96">
        <f>[2]Southwest!$HR$48</f>
        <v>0</v>
      </c>
      <c r="I29" s="96">
        <f>'[2]Sun Country'!$HR$48</f>
        <v>89795</v>
      </c>
      <c r="J29" s="96">
        <f>[2]Alaska!$HR$48</f>
        <v>0</v>
      </c>
      <c r="K29" s="119">
        <f>SUM(B29:J29)</f>
        <v>89795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0</v>
      </c>
      <c r="H30" s="134">
        <f t="shared" si="15"/>
        <v>153345</v>
      </c>
      <c r="I30" s="134">
        <f t="shared" si="15"/>
        <v>102921</v>
      </c>
      <c r="J30" s="134">
        <f t="shared" si="15"/>
        <v>2820</v>
      </c>
      <c r="K30" s="136">
        <f>SUM(B30:J30)</f>
        <v>259086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[2]Frontier!$HR$52</f>
        <v>0</v>
      </c>
      <c r="C33" s="96">
        <f>'[2]Allegiant '!$HR$52</f>
        <v>0</v>
      </c>
      <c r="D33" s="96">
        <f>'[2]Aer Lingus'!$HR$52</f>
        <v>0</v>
      </c>
      <c r="E33" s="96">
        <f>'[2]Denver Air'!$HR$52</f>
        <v>0</v>
      </c>
      <c r="F33" s="96">
        <f>'[2]Boutique Air'!$HR$52</f>
        <v>0</v>
      </c>
      <c r="G33" s="96">
        <f>[2]Icelandair!$HR$52</f>
        <v>0</v>
      </c>
      <c r="H33" s="96">
        <f>[2]Southwest!$HR$52</f>
        <v>39024</v>
      </c>
      <c r="I33" s="96">
        <f>'[2]Sun Country'!$HR$52</f>
        <v>189</v>
      </c>
      <c r="J33" s="96">
        <f>[2]Alaska!$HR$52</f>
        <v>5401</v>
      </c>
      <c r="K33" s="119">
        <f>SUM(B33:J33)</f>
        <v>44614</v>
      </c>
    </row>
    <row r="34" spans="1:11" x14ac:dyDescent="0.2">
      <c r="A34" s="46" t="s">
        <v>38</v>
      </c>
      <c r="B34" s="96">
        <f>[2]Frontier!$HR$53</f>
        <v>0</v>
      </c>
      <c r="C34" s="96">
        <f>'[2]Allegiant '!$HR$53</f>
        <v>0</v>
      </c>
      <c r="D34" s="96">
        <f>'[2]Aer Lingus'!$HR$53</f>
        <v>0</v>
      </c>
      <c r="E34" s="96">
        <f>'[2]Denver Air'!$HR$53</f>
        <v>0</v>
      </c>
      <c r="F34" s="96">
        <f>'[2]Boutique Air'!$HR$53</f>
        <v>0</v>
      </c>
      <c r="G34" s="96">
        <f>[2]Icelandair!$HR$53</f>
        <v>0</v>
      </c>
      <c r="H34" s="96">
        <f>[2]Southwest!$HR$53</f>
        <v>0</v>
      </c>
      <c r="I34" s="96">
        <f>'[2]Sun Country'!$HR$53</f>
        <v>220970</v>
      </c>
      <c r="J34" s="96">
        <f>[2]Alaska!$HR$53</f>
        <v>485</v>
      </c>
      <c r="K34" s="135">
        <f>SUM(B34:J34)</f>
        <v>221455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0</v>
      </c>
      <c r="H35" s="120">
        <f t="shared" si="18"/>
        <v>39024</v>
      </c>
      <c r="I35" s="120">
        <f t="shared" si="18"/>
        <v>221159</v>
      </c>
      <c r="J35" s="120">
        <f t="shared" si="18"/>
        <v>5886</v>
      </c>
      <c r="K35" s="136">
        <f>SUM(B35:J35)</f>
        <v>266069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[2]Frontier!$HR$57</f>
        <v>0</v>
      </c>
      <c r="C38" s="126">
        <f>'[2]Allegiant '!$HR$57</f>
        <v>0</v>
      </c>
      <c r="D38" s="395">
        <f>'[2]Aer Lingus'!$HR$57</f>
        <v>0</v>
      </c>
      <c r="E38" s="126">
        <f>'[2]Denver Air'!$HR$57</f>
        <v>0</v>
      </c>
      <c r="F38" s="126">
        <f>'[2]Boutique Air'!$HR$57</f>
        <v>0</v>
      </c>
      <c r="G38" s="126">
        <f>[2]Icelandair!$HR$57</f>
        <v>0</v>
      </c>
      <c r="H38" s="126">
        <f>[2]Southwest!$HR$57</f>
        <v>0</v>
      </c>
      <c r="I38" s="126">
        <f>'[2]Sun Country'!$HR$57</f>
        <v>0</v>
      </c>
      <c r="J38" s="126">
        <f>[2]Alaska!$HR$57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[2]Frontier!$HR$58</f>
        <v>0</v>
      </c>
      <c r="C39" s="129">
        <f>'[2]Allegiant '!$HR$58</f>
        <v>0</v>
      </c>
      <c r="D39" s="129">
        <f>'[2]Aer Lingus'!$HR$58</f>
        <v>0</v>
      </c>
      <c r="E39" s="129">
        <f>'[2]Denver Air'!$HR$58</f>
        <v>0</v>
      </c>
      <c r="F39" s="129">
        <f>'[2]Boutique Air'!$HR$58</f>
        <v>0</v>
      </c>
      <c r="G39" s="129">
        <f>[2]Icelandair!$HR$58</f>
        <v>0</v>
      </c>
      <c r="H39" s="129">
        <f>[2]Southwest!$HR$58</f>
        <v>0</v>
      </c>
      <c r="I39" s="129">
        <f>'[2]Sun Country'!$HR$58</f>
        <v>0</v>
      </c>
      <c r="J39" s="129">
        <f>[2]Alaska!$HR$58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0</v>
      </c>
      <c r="H43" s="126">
        <f t="shared" si="24"/>
        <v>192369</v>
      </c>
      <c r="I43" s="126">
        <f t="shared" si="24"/>
        <v>13315</v>
      </c>
      <c r="J43" s="126">
        <f t="shared" si="24"/>
        <v>8221</v>
      </c>
      <c r="K43" s="119">
        <f>SUM(B43:J43)</f>
        <v>213905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310765</v>
      </c>
      <c r="J44" s="129">
        <f t="shared" si="27"/>
        <v>485</v>
      </c>
      <c r="K44" s="119">
        <f>SUM(B44:J44)</f>
        <v>311250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0</v>
      </c>
      <c r="H45" s="138">
        <f t="shared" si="30"/>
        <v>192369</v>
      </c>
      <c r="I45" s="138">
        <f t="shared" si="30"/>
        <v>324080</v>
      </c>
      <c r="J45" s="138">
        <f t="shared" si="30"/>
        <v>8706</v>
      </c>
      <c r="K45" s="139">
        <f>SUM(B45:J45)</f>
        <v>525155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[2]Southwest!$HR$70+[2]Southwest!$HR$73</f>
        <v>33657</v>
      </c>
      <c r="I48" s="256">
        <f>'[2]Sun Country'!$HR$70+'[2]Sun Country'!$HR$73</f>
        <v>110334</v>
      </c>
      <c r="J48" s="312"/>
      <c r="K48" s="245">
        <f>SUM(B48:J48)</f>
        <v>143991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[2]Southwest!$HR$71+[2]Southwest!$HR$74</f>
        <v>134</v>
      </c>
      <c r="I49" s="256">
        <f>'[2]Sun Country'!$HR$71+'[2]Sun Country'!$HR$74</f>
        <v>0</v>
      </c>
      <c r="J49" s="312"/>
      <c r="K49" s="245">
        <f>SUM(B49:J49)</f>
        <v>134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January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topLeftCell="A7" zoomScaleNormal="100" zoomScaleSheetLayoutView="115" workbookViewId="0">
      <selection activeCell="M50" sqref="M50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3">
        <v>44562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[2]Pinnacle!$HR$22+[2]Pinnacle!$HR$32</f>
        <v>38055</v>
      </c>
      <c r="C5" s="88">
        <f>[2]MESA_UA!$HR$22</f>
        <v>4575</v>
      </c>
      <c r="D5" s="96">
        <f>'[2]Sky West'!$HR$22+'[2]Sky West'!$HR$32</f>
        <v>104301</v>
      </c>
      <c r="E5" s="96">
        <f>'[2]Sky West_UA'!$HR$22</f>
        <v>2200</v>
      </c>
      <c r="F5" s="96">
        <f>'[2]Sky West_AS'!$HR$22</f>
        <v>1516</v>
      </c>
      <c r="G5" s="96">
        <f>'[2]Sky West_AA'!$HR$22</f>
        <v>2015</v>
      </c>
      <c r="H5" s="96">
        <f>[2]Republic!$HR$22</f>
        <v>2654</v>
      </c>
      <c r="I5" s="96">
        <f>[2]Republic_UA!$HR$22</f>
        <v>1826</v>
      </c>
      <c r="J5" s="96">
        <f>'[2]Sky Regional'!$HR$32</f>
        <v>0</v>
      </c>
      <c r="K5" s="96">
        <f>'[2]American Eagle'!$HR$22</f>
        <v>930</v>
      </c>
      <c r="L5" s="96">
        <f>'Other Regional'!L5</f>
        <v>3027</v>
      </c>
      <c r="M5" s="89">
        <f>SUM(B5:L5)</f>
        <v>161099</v>
      </c>
    </row>
    <row r="6" spans="1:16" s="6" customFormat="1" x14ac:dyDescent="0.2">
      <c r="A6" s="46" t="s">
        <v>31</v>
      </c>
      <c r="B6" s="88">
        <f>[2]Pinnacle!$HR$23+[2]Pinnacle!$HR$33</f>
        <v>37069</v>
      </c>
      <c r="C6" s="88">
        <f>[2]MESA_UA!$HR$23</f>
        <v>4204</v>
      </c>
      <c r="D6" s="96">
        <f>'[2]Sky West'!$HR$23+'[2]Sky West'!$HR$33</f>
        <v>105436</v>
      </c>
      <c r="E6" s="96">
        <f>'[2]Sky West_UA'!$HR$23</f>
        <v>2522</v>
      </c>
      <c r="F6" s="96">
        <f>'[2]Sky West_AS'!$HR$23</f>
        <v>1251</v>
      </c>
      <c r="G6" s="96">
        <f>'[2]Sky West_AA'!$HR$23</f>
        <v>2286</v>
      </c>
      <c r="H6" s="96">
        <f>[2]Republic!$HR$23</f>
        <v>2464</v>
      </c>
      <c r="I6" s="96">
        <f>[2]Republic_UA!$HR$23</f>
        <v>2089</v>
      </c>
      <c r="J6" s="96">
        <f>'[2]Sky Regional'!$HR$33</f>
        <v>0</v>
      </c>
      <c r="K6" s="96">
        <f>'[2]American Eagle'!$HR$23</f>
        <v>1359</v>
      </c>
      <c r="L6" s="96">
        <f>'Other Regional'!L6</f>
        <v>3705</v>
      </c>
      <c r="M6" s="93">
        <f>SUM(B6:L6)</f>
        <v>162385</v>
      </c>
    </row>
    <row r="7" spans="1:16" ht="15" thickBot="1" x14ac:dyDescent="0.25">
      <c r="A7" s="55" t="s">
        <v>7</v>
      </c>
      <c r="B7" s="106">
        <f>SUM(B5:B6)</f>
        <v>75124</v>
      </c>
      <c r="C7" s="106">
        <f t="shared" ref="C7:L7" si="0">SUM(C5:C6)</f>
        <v>8779</v>
      </c>
      <c r="D7" s="106">
        <f t="shared" si="0"/>
        <v>209737</v>
      </c>
      <c r="E7" s="106">
        <f t="shared" si="0"/>
        <v>4722</v>
      </c>
      <c r="F7" s="106">
        <f t="shared" ref="F7:G7" si="1">SUM(F5:F6)</f>
        <v>2767</v>
      </c>
      <c r="G7" s="106">
        <f t="shared" si="1"/>
        <v>4301</v>
      </c>
      <c r="H7" s="106">
        <f t="shared" si="0"/>
        <v>5118</v>
      </c>
      <c r="I7" s="106">
        <f t="shared" si="0"/>
        <v>3915</v>
      </c>
      <c r="J7" s="106">
        <f t="shared" si="0"/>
        <v>0</v>
      </c>
      <c r="K7" s="106">
        <f t="shared" si="0"/>
        <v>2289</v>
      </c>
      <c r="L7" s="106">
        <f t="shared" si="0"/>
        <v>6732</v>
      </c>
      <c r="M7" s="107">
        <f>SUM(B7:L7)</f>
        <v>323484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[2]Pinnacle!$HR$27+[2]Pinnacle!$HR$37</f>
        <v>1541</v>
      </c>
      <c r="C10" s="88">
        <f>[2]MESA_UA!$HR$27</f>
        <v>130</v>
      </c>
      <c r="D10" s="96">
        <f>'[2]Sky West'!$HR$27+'[2]Sky West'!$HR$37</f>
        <v>3432</v>
      </c>
      <c r="E10" s="96">
        <f>'[2]Sky West_UA'!$HR$27</f>
        <v>109</v>
      </c>
      <c r="F10" s="96">
        <f>'[2]Sky West_AS'!$HR$27</f>
        <v>52</v>
      </c>
      <c r="G10" s="96">
        <f>'[2]Sky West_AA'!$HR$27</f>
        <v>98</v>
      </c>
      <c r="H10" s="96">
        <f>[2]Republic!$HR$27</f>
        <v>124</v>
      </c>
      <c r="I10" s="96">
        <f>[2]Republic_UA!$HR$27</f>
        <v>71</v>
      </c>
      <c r="J10" s="96">
        <f>'[2]Sky Regional'!$HR$37</f>
        <v>0</v>
      </c>
      <c r="K10" s="96">
        <f>'[2]American Eagle'!$HR$27</f>
        <v>64</v>
      </c>
      <c r="L10" s="96">
        <f>'Other Regional'!L10</f>
        <v>116</v>
      </c>
      <c r="M10" s="89">
        <f>SUM(B10:L10)</f>
        <v>5737</v>
      </c>
    </row>
    <row r="11" spans="1:16" x14ac:dyDescent="0.2">
      <c r="A11" s="46" t="s">
        <v>33</v>
      </c>
      <c r="B11" s="88">
        <f>[2]Pinnacle!$HR$28+[2]Pinnacle!$HR$38</f>
        <v>1430</v>
      </c>
      <c r="C11" s="88">
        <f>[2]MESA_UA!$HR$28</f>
        <v>142</v>
      </c>
      <c r="D11" s="96">
        <f>'[2]Sky West'!$HR$28+'[2]Sky West'!$HR$38</f>
        <v>3278</v>
      </c>
      <c r="E11" s="96">
        <f>'[2]Sky West_UA'!$HR$28</f>
        <v>75</v>
      </c>
      <c r="F11" s="96">
        <f>'[2]Sky West_AS'!$HR$28</f>
        <v>61</v>
      </c>
      <c r="G11" s="96">
        <f>'[2]Sky West_AA'!$HR$28</f>
        <v>97</v>
      </c>
      <c r="H11" s="96">
        <f>[2]Republic!$HR$28</f>
        <v>133</v>
      </c>
      <c r="I11" s="96">
        <f>[2]Republic_UA!$HR$28</f>
        <v>65</v>
      </c>
      <c r="J11" s="96">
        <f>'[2]Sky Regional'!$HR$38</f>
        <v>0</v>
      </c>
      <c r="K11" s="96">
        <f>'[2]American Eagle'!$HR$28</f>
        <v>52</v>
      </c>
      <c r="L11" s="96">
        <f>'Other Regional'!L11</f>
        <v>107</v>
      </c>
      <c r="M11" s="93">
        <f>SUM(B11:L11)</f>
        <v>5440</v>
      </c>
    </row>
    <row r="12" spans="1:16" ht="15" thickBot="1" x14ac:dyDescent="0.25">
      <c r="A12" s="56" t="s">
        <v>34</v>
      </c>
      <c r="B12" s="109">
        <f t="shared" ref="B12:L12" si="2">SUM(B10:B11)</f>
        <v>2971</v>
      </c>
      <c r="C12" s="109">
        <f t="shared" si="2"/>
        <v>272</v>
      </c>
      <c r="D12" s="109">
        <f t="shared" si="2"/>
        <v>6710</v>
      </c>
      <c r="E12" s="109">
        <f t="shared" si="2"/>
        <v>184</v>
      </c>
      <c r="F12" s="109">
        <f t="shared" ref="F12:G12" si="3">SUM(F10:F11)</f>
        <v>113</v>
      </c>
      <c r="G12" s="109">
        <f t="shared" si="3"/>
        <v>195</v>
      </c>
      <c r="H12" s="109">
        <f t="shared" si="2"/>
        <v>257</v>
      </c>
      <c r="I12" s="109">
        <f t="shared" si="2"/>
        <v>136</v>
      </c>
      <c r="J12" s="109">
        <f t="shared" si="2"/>
        <v>0</v>
      </c>
      <c r="K12" s="109">
        <f t="shared" si="2"/>
        <v>116</v>
      </c>
      <c r="L12" s="109">
        <f t="shared" si="2"/>
        <v>223</v>
      </c>
      <c r="M12" s="110">
        <f>SUM(B12:L12)</f>
        <v>11177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[2]Pinnacle!$HR$4+[2]Pinnacle!$HR$15</f>
        <v>968</v>
      </c>
      <c r="C15" s="87">
        <f>[2]MESA_UA!$HR$4</f>
        <v>74</v>
      </c>
      <c r="D15" s="86">
        <f>'[2]Sky West'!$HR$4+'[2]Sky West'!$HR$15</f>
        <v>2619</v>
      </c>
      <c r="E15" s="86">
        <f>'[2]Sky West_UA'!$HR$4</f>
        <v>38</v>
      </c>
      <c r="F15" s="86">
        <f>'[2]Sky West_AS'!$HR$4</f>
        <v>27</v>
      </c>
      <c r="G15" s="86">
        <f>'[2]Sky West_AA'!$HR$4</f>
        <v>43</v>
      </c>
      <c r="H15" s="88">
        <f>[2]Republic!$HR$4</f>
        <v>85</v>
      </c>
      <c r="I15" s="363">
        <f>[2]Republic_UA!$HR$4</f>
        <v>38</v>
      </c>
      <c r="J15" s="363">
        <f>'[2]Sky Regional'!$HR$15</f>
        <v>0</v>
      </c>
      <c r="K15" s="88">
        <f>'[2]American Eagle'!$HR$4</f>
        <v>33</v>
      </c>
      <c r="L15" s="87">
        <f>'Other Regional'!L15</f>
        <v>81</v>
      </c>
      <c r="M15" s="89">
        <f t="shared" ref="M15:M21" si="5">SUM(B15:L15)</f>
        <v>4006</v>
      </c>
    </row>
    <row r="16" spans="1:16" x14ac:dyDescent="0.2">
      <c r="A16" s="46" t="s">
        <v>54</v>
      </c>
      <c r="B16" s="7">
        <f>[2]Pinnacle!$HR$5+[2]Pinnacle!$HR$16</f>
        <v>973</v>
      </c>
      <c r="C16" s="91">
        <f>[2]MESA_UA!$HR$5</f>
        <v>76</v>
      </c>
      <c r="D16" s="90">
        <f>'[2]Sky West'!$HR$5+'[2]Sky West'!$HR$16</f>
        <v>2618</v>
      </c>
      <c r="E16" s="90">
        <f>'[2]Sky West_UA'!$HR$5</f>
        <v>38</v>
      </c>
      <c r="F16" s="90">
        <f>'[2]Sky West_AS'!$HR$5</f>
        <v>27</v>
      </c>
      <c r="G16" s="90">
        <f>'[2]Sky West_AA'!$HR$5</f>
        <v>43</v>
      </c>
      <c r="H16" s="92">
        <f>[2]Republic!$HR$5</f>
        <v>85</v>
      </c>
      <c r="I16" s="232">
        <f>[2]Republic_UA!$HR$5</f>
        <v>39</v>
      </c>
      <c r="J16" s="232">
        <f>'[2]Sky Regional'!$HR$16</f>
        <v>0</v>
      </c>
      <c r="K16" s="92">
        <f>'[2]American Eagle'!$HR$5</f>
        <v>33</v>
      </c>
      <c r="L16" s="91">
        <f>'Other Regional'!L16</f>
        <v>81</v>
      </c>
      <c r="M16" s="93">
        <f t="shared" si="5"/>
        <v>4013</v>
      </c>
      <c r="O16" s="96"/>
      <c r="P16" s="96"/>
    </row>
    <row r="17" spans="1:13" x14ac:dyDescent="0.2">
      <c r="A17" s="50" t="s">
        <v>55</v>
      </c>
      <c r="B17" s="94">
        <f t="shared" ref="B17:E17" si="6">SUM(B15:B16)</f>
        <v>1941</v>
      </c>
      <c r="C17" s="94">
        <f t="shared" si="6"/>
        <v>150</v>
      </c>
      <c r="D17" s="94">
        <f t="shared" si="6"/>
        <v>5237</v>
      </c>
      <c r="E17" s="94">
        <f t="shared" si="6"/>
        <v>76</v>
      </c>
      <c r="F17" s="94">
        <f t="shared" ref="F17:G17" si="7">SUM(F15:F16)</f>
        <v>54</v>
      </c>
      <c r="G17" s="94">
        <f t="shared" si="7"/>
        <v>86</v>
      </c>
      <c r="H17" s="94">
        <f>SUM(H15:H16)</f>
        <v>170</v>
      </c>
      <c r="I17" s="94">
        <f t="shared" ref="I17:J17" si="8">SUM(I15:I16)</f>
        <v>77</v>
      </c>
      <c r="J17" s="94">
        <f t="shared" si="8"/>
        <v>0</v>
      </c>
      <c r="K17" s="94">
        <f>SUM(K15:K16)</f>
        <v>66</v>
      </c>
      <c r="L17" s="94">
        <f>SUM(L15:L16)</f>
        <v>162</v>
      </c>
      <c r="M17" s="95">
        <f t="shared" si="5"/>
        <v>8019</v>
      </c>
    </row>
    <row r="18" spans="1:13" x14ac:dyDescent="0.2">
      <c r="A18" s="46" t="s">
        <v>56</v>
      </c>
      <c r="B18" s="96">
        <f>[2]Pinnacle!$HR$8</f>
        <v>0</v>
      </c>
      <c r="C18" s="88">
        <f>[2]MESA_UA!$HR$8</f>
        <v>0</v>
      </c>
      <c r="D18" s="96">
        <f>'[2]Sky West'!$HR$8</f>
        <v>0</v>
      </c>
      <c r="E18" s="96">
        <f>'[2]Sky West_UA'!$HR$8</f>
        <v>0</v>
      </c>
      <c r="F18" s="96">
        <f>'[2]Sky West_AS'!$HR$8</f>
        <v>0</v>
      </c>
      <c r="G18" s="96">
        <f>'[2]Sky West_AA'!$HR$8</f>
        <v>0</v>
      </c>
      <c r="H18" s="96">
        <f>[2]Republic!$HR$8</f>
        <v>0</v>
      </c>
      <c r="I18" s="96">
        <f>[2]Republic_UA!$HR$8</f>
        <v>0</v>
      </c>
      <c r="J18" s="96">
        <f>'[2]Sky Regional'!$HR$8</f>
        <v>0</v>
      </c>
      <c r="K18" s="96">
        <f>'[2]American Eagle'!$HR$8</f>
        <v>0</v>
      </c>
      <c r="L18" s="96">
        <f>'Other Regional'!L18</f>
        <v>0</v>
      </c>
      <c r="M18" s="89">
        <f t="shared" si="5"/>
        <v>0</v>
      </c>
    </row>
    <row r="19" spans="1:13" x14ac:dyDescent="0.2">
      <c r="A19" s="46" t="s">
        <v>57</v>
      </c>
      <c r="B19" s="97">
        <f>[2]Pinnacle!$HR$9</f>
        <v>0</v>
      </c>
      <c r="C19" s="92">
        <f>[2]MESA_UA!$HR$9</f>
        <v>0</v>
      </c>
      <c r="D19" s="97">
        <f>'[2]Sky West'!$HR$9</f>
        <v>2</v>
      </c>
      <c r="E19" s="97">
        <f>'[2]Sky West_UA'!$HR$9</f>
        <v>0</v>
      </c>
      <c r="F19" s="97">
        <f>'[2]Sky West_AS'!$HR$9</f>
        <v>0</v>
      </c>
      <c r="G19" s="97">
        <f>'[2]Sky West_AA'!$HR$9</f>
        <v>0</v>
      </c>
      <c r="H19" s="97">
        <f>[2]Republic!$HR$9</f>
        <v>0</v>
      </c>
      <c r="I19" s="97">
        <f>[2]Republic_UA!$HR$9</f>
        <v>0</v>
      </c>
      <c r="J19" s="97">
        <f>'[2]Sky Regional'!$HR$9</f>
        <v>0</v>
      </c>
      <c r="K19" s="97">
        <f>'[2]American Eagle'!$HR$9</f>
        <v>0</v>
      </c>
      <c r="L19" s="97">
        <f>'Other Regional'!L19</f>
        <v>0</v>
      </c>
      <c r="M19" s="93">
        <f t="shared" si="5"/>
        <v>2</v>
      </c>
    </row>
    <row r="20" spans="1:13" x14ac:dyDescent="0.2">
      <c r="A20" s="50" t="s">
        <v>58</v>
      </c>
      <c r="B20" s="94">
        <f t="shared" ref="B20:L20" si="9">SUM(B18:B19)</f>
        <v>0</v>
      </c>
      <c r="C20" s="94">
        <f t="shared" si="9"/>
        <v>0</v>
      </c>
      <c r="D20" s="94">
        <f t="shared" si="9"/>
        <v>2</v>
      </c>
      <c r="E20" s="94">
        <f t="shared" si="9"/>
        <v>0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0</v>
      </c>
      <c r="J20" s="94">
        <f t="shared" si="9"/>
        <v>0</v>
      </c>
      <c r="K20" s="94">
        <f t="shared" si="9"/>
        <v>0</v>
      </c>
      <c r="L20" s="94">
        <f t="shared" si="9"/>
        <v>0</v>
      </c>
      <c r="M20" s="95">
        <f t="shared" si="5"/>
        <v>2</v>
      </c>
    </row>
    <row r="21" spans="1:13" ht="15.75" thickBot="1" x14ac:dyDescent="0.3">
      <c r="A21" s="54" t="s">
        <v>28</v>
      </c>
      <c r="B21" s="98">
        <f>SUM(B20,B17)</f>
        <v>1941</v>
      </c>
      <c r="C21" s="98">
        <f t="shared" ref="C21:K21" si="11">SUM(C20,C17)</f>
        <v>150</v>
      </c>
      <c r="D21" s="98">
        <f t="shared" si="11"/>
        <v>5239</v>
      </c>
      <c r="E21" s="98">
        <f t="shared" si="11"/>
        <v>76</v>
      </c>
      <c r="F21" s="98">
        <f t="shared" ref="F21:G21" si="12">SUM(F20,F17)</f>
        <v>54</v>
      </c>
      <c r="G21" s="98">
        <f t="shared" si="12"/>
        <v>86</v>
      </c>
      <c r="H21" s="98">
        <f t="shared" si="11"/>
        <v>170</v>
      </c>
      <c r="I21" s="98">
        <f t="shared" si="11"/>
        <v>77</v>
      </c>
      <c r="J21" s="98">
        <f t="shared" si="11"/>
        <v>0</v>
      </c>
      <c r="K21" s="98">
        <f t="shared" si="11"/>
        <v>66</v>
      </c>
      <c r="L21" s="98">
        <f>SUM(L20,L17)</f>
        <v>162</v>
      </c>
      <c r="M21" s="99">
        <f t="shared" si="5"/>
        <v>8021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[2]Pinnacle!$HR$47</f>
        <v>0</v>
      </c>
      <c r="C25" s="88">
        <f>[2]MESA_UA!$HR$47</f>
        <v>0</v>
      </c>
      <c r="D25" s="96">
        <f>'[2]Sky West'!$HR$47</f>
        <v>0</v>
      </c>
      <c r="E25" s="96">
        <f>'[2]Sky West_UA'!$HR$47</f>
        <v>0</v>
      </c>
      <c r="F25" s="96">
        <f>'[2]Sky West_AS'!$HR$47</f>
        <v>645</v>
      </c>
      <c r="G25" s="96">
        <f>'[2]Sky West_AA'!$HR$47</f>
        <v>16</v>
      </c>
      <c r="H25" s="96">
        <f>[2]Republic!$HR$47</f>
        <v>0</v>
      </c>
      <c r="I25" s="96">
        <f>[2]Republic_UA!$HR$47</f>
        <v>0</v>
      </c>
      <c r="J25" s="96">
        <f>'[2]Sky Regional'!$HR$47</f>
        <v>0</v>
      </c>
      <c r="K25" s="96">
        <f>'[2]American Eagle'!$HR$47</f>
        <v>650</v>
      </c>
      <c r="L25" s="96">
        <f>'Other Regional'!L25</f>
        <v>344</v>
      </c>
      <c r="M25" s="89">
        <f>SUM(B25:L25)</f>
        <v>1655</v>
      </c>
    </row>
    <row r="26" spans="1:13" x14ac:dyDescent="0.2">
      <c r="A26" s="46" t="s">
        <v>38</v>
      </c>
      <c r="B26" s="96">
        <f>[2]Pinnacle!$HR$48</f>
        <v>0</v>
      </c>
      <c r="C26" s="88">
        <f>[2]MESA_UA!$HR$48</f>
        <v>0</v>
      </c>
      <c r="D26" s="96">
        <f>'[2]Sky West'!$HR$48</f>
        <v>0</v>
      </c>
      <c r="E26" s="96">
        <f>'[2]Sky West_UA'!$HR$48</f>
        <v>0</v>
      </c>
      <c r="F26" s="96">
        <f>'[2]Sky West_AS'!$HR$48</f>
        <v>0</v>
      </c>
      <c r="G26" s="96">
        <f>'[2]Sky West_AA'!$HR$48</f>
        <v>0</v>
      </c>
      <c r="H26" s="96">
        <f>[2]Republic!$HR$48</f>
        <v>0</v>
      </c>
      <c r="I26" s="96">
        <f>[2]Republic_UA!$HR$48</f>
        <v>0</v>
      </c>
      <c r="J26" s="96">
        <f>'[2]Sky Regional'!$HR$48</f>
        <v>0</v>
      </c>
      <c r="K26" s="96">
        <f>'[2]American Eagle'!$HR$48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645</v>
      </c>
      <c r="G27" s="106">
        <f t="shared" si="14"/>
        <v>16</v>
      </c>
      <c r="H27" s="106">
        <f t="shared" si="13"/>
        <v>0</v>
      </c>
      <c r="I27" s="106">
        <f t="shared" si="13"/>
        <v>0</v>
      </c>
      <c r="J27" s="106">
        <f t="shared" si="13"/>
        <v>0</v>
      </c>
      <c r="K27" s="106">
        <f t="shared" si="13"/>
        <v>650</v>
      </c>
      <c r="L27" s="106">
        <f t="shared" si="13"/>
        <v>344</v>
      </c>
      <c r="M27" s="107">
        <f>SUM(B27:L27)</f>
        <v>1655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[2]Pinnacle!$HR$52</f>
        <v>0</v>
      </c>
      <c r="C30" s="88">
        <f>[2]MESA_UA!$HR$52</f>
        <v>0</v>
      </c>
      <c r="D30" s="96">
        <f>'[2]Sky West'!$HR$52</f>
        <v>0</v>
      </c>
      <c r="E30" s="96">
        <f>'[2]Sky West_UA'!$HR$52</f>
        <v>0</v>
      </c>
      <c r="F30" s="96">
        <f>'[2]Sky West_AS'!$HR$52</f>
        <v>36</v>
      </c>
      <c r="G30" s="96">
        <f>'[2]Sky West_AA'!$HR$52</f>
        <v>1</v>
      </c>
      <c r="H30" s="96">
        <f>[2]Republic!$HR$52</f>
        <v>0</v>
      </c>
      <c r="I30" s="96">
        <f>[2]Republic_UA!$HR$52</f>
        <v>0</v>
      </c>
      <c r="J30" s="96">
        <f>'[2]Sky Regional'!$HR$52</f>
        <v>0</v>
      </c>
      <c r="K30" s="96">
        <f>'[2]American Eagle'!$HR$52</f>
        <v>0</v>
      </c>
      <c r="L30" s="96">
        <f>'Other Regional'!L30</f>
        <v>180</v>
      </c>
      <c r="M30" s="89">
        <f t="shared" ref="M30:M37" si="15">SUM(B30:L30)</f>
        <v>217</v>
      </c>
    </row>
    <row r="31" spans="1:13" x14ac:dyDescent="0.2">
      <c r="A31" s="46" t="s">
        <v>60</v>
      </c>
      <c r="B31" s="96">
        <f>[2]Pinnacle!$HR$53</f>
        <v>0</v>
      </c>
      <c r="C31" s="88">
        <f>[2]MESA_UA!$HR$53</f>
        <v>0</v>
      </c>
      <c r="D31" s="96">
        <f>'[2]Sky West'!$HR$53</f>
        <v>0</v>
      </c>
      <c r="E31" s="96">
        <f>'[2]Sky West_UA'!$HR$53</f>
        <v>0</v>
      </c>
      <c r="F31" s="96">
        <f>'[2]Sky West_AS'!$HR$53</f>
        <v>4243</v>
      </c>
      <c r="G31" s="96">
        <f>'[2]Sky West_AA'!$HR$53</f>
        <v>0</v>
      </c>
      <c r="H31" s="96">
        <f>[2]Republic!$HR$53</f>
        <v>0</v>
      </c>
      <c r="I31" s="96">
        <f>[2]Republic_UA!$HR$53</f>
        <v>0</v>
      </c>
      <c r="J31" s="96">
        <f>'[2]Sky Regional'!$HR$53</f>
        <v>0</v>
      </c>
      <c r="K31" s="96">
        <f>'[2]American Eagle'!$HR$53</f>
        <v>0</v>
      </c>
      <c r="L31" s="96">
        <f>'Other Regional'!L31</f>
        <v>549</v>
      </c>
      <c r="M31" s="89">
        <f t="shared" si="15"/>
        <v>4792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4279</v>
      </c>
      <c r="G32" s="106">
        <f t="shared" si="17"/>
        <v>1</v>
      </c>
      <c r="H32" s="106">
        <f t="shared" si="16"/>
        <v>0</v>
      </c>
      <c r="I32" s="106">
        <f t="shared" si="16"/>
        <v>0</v>
      </c>
      <c r="J32" s="106">
        <f t="shared" si="16"/>
        <v>0</v>
      </c>
      <c r="K32" s="106">
        <f t="shared" si="16"/>
        <v>0</v>
      </c>
      <c r="L32" s="106">
        <f>SUM(L30:L31)</f>
        <v>729</v>
      </c>
      <c r="M32" s="107">
        <f t="shared" si="15"/>
        <v>5009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[2]Pinnacle!$HR$57</f>
        <v>0</v>
      </c>
      <c r="C35" s="88">
        <f>[2]MESA_UA!$HR$57</f>
        <v>0</v>
      </c>
      <c r="D35" s="96">
        <f>'[2]Sky West'!$HR$57</f>
        <v>0</v>
      </c>
      <c r="E35" s="96">
        <f>'[2]Sky West_UA'!$HR$57</f>
        <v>0</v>
      </c>
      <c r="F35" s="96">
        <f>'[2]Sky West_AS'!$HR$57</f>
        <v>0</v>
      </c>
      <c r="G35" s="96">
        <f>'[2]Sky West_AA'!$HR$57</f>
        <v>0</v>
      </c>
      <c r="H35" s="96">
        <f>[2]Republic!$HR$57</f>
        <v>0</v>
      </c>
      <c r="I35" s="96">
        <f>[2]Republic!$HR$57</f>
        <v>0</v>
      </c>
      <c r="J35" s="96">
        <f>[2]Republic!$HR$57</f>
        <v>0</v>
      </c>
      <c r="K35" s="96">
        <f>'[2]American Eagle'!$HR$57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[2]Pinnacle!$HR$58</f>
        <v>0</v>
      </c>
      <c r="C36" s="88">
        <f>[2]MESA_UA!$HR$58</f>
        <v>0</v>
      </c>
      <c r="D36" s="96">
        <f>'[2]Sky West'!$HR$58</f>
        <v>0</v>
      </c>
      <c r="E36" s="96">
        <f>'[2]Sky West_UA'!$HR$58</f>
        <v>0</v>
      </c>
      <c r="F36" s="96">
        <f>'[2]Sky West_AS'!$HR$58</f>
        <v>0</v>
      </c>
      <c r="G36" s="96">
        <f>'[2]Sky West_AA'!$HR$58</f>
        <v>0</v>
      </c>
      <c r="H36" s="96">
        <f>[2]Republic!$HR$58</f>
        <v>0</v>
      </c>
      <c r="I36" s="96">
        <f>[2]Republic!$HR$58</f>
        <v>0</v>
      </c>
      <c r="J36" s="96">
        <f>[2]Republic!$HR$58</f>
        <v>0</v>
      </c>
      <c r="K36" s="96">
        <f>'[2]American Eagle'!$HR$58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681</v>
      </c>
      <c r="G40" s="96">
        <f t="shared" ref="G40" si="22">SUM(G35,G30,G25)</f>
        <v>17</v>
      </c>
      <c r="H40" s="96">
        <f t="shared" si="20"/>
        <v>0</v>
      </c>
      <c r="I40" s="96">
        <f t="shared" si="20"/>
        <v>0</v>
      </c>
      <c r="J40" s="96">
        <f t="shared" si="20"/>
        <v>0</v>
      </c>
      <c r="K40" s="96">
        <f>SUM(K35,K30,K25)</f>
        <v>650</v>
      </c>
      <c r="L40" s="96">
        <f>L35+L30+L25</f>
        <v>524</v>
      </c>
      <c r="M40" s="89">
        <f>SUM(B40:L40)</f>
        <v>1872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4243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549</v>
      </c>
      <c r="M41" s="89">
        <f>SUM(B41:L41)</f>
        <v>4792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4924</v>
      </c>
      <c r="G42" s="109">
        <f t="shared" ref="G42" si="24">SUM(G37,G32,G27)</f>
        <v>17</v>
      </c>
      <c r="H42" s="109">
        <f t="shared" si="20"/>
        <v>0</v>
      </c>
      <c r="I42" s="109">
        <f t="shared" si="20"/>
        <v>0</v>
      </c>
      <c r="J42" s="109">
        <f t="shared" si="20"/>
        <v>0</v>
      </c>
      <c r="K42" s="109">
        <f>SUM(K37,K32,K27)</f>
        <v>650</v>
      </c>
      <c r="L42" s="109">
        <f>SUM(L37,L32,L27)</f>
        <v>1073</v>
      </c>
      <c r="M42" s="110">
        <f>SUM(B42:L42)</f>
        <v>6664</v>
      </c>
    </row>
    <row r="44" spans="1:13" x14ac:dyDescent="0.2">
      <c r="A44" s="301" t="s">
        <v>121</v>
      </c>
      <c r="B44" s="255">
        <f>[2]Pinnacle!$HR$70+[2]Pinnacle!$HR$73</f>
        <v>10869</v>
      </c>
      <c r="D44" s="256">
        <f>'[2]Sky West'!$HR$70+'[2]Sky West'!$HR$73</f>
        <v>36285</v>
      </c>
      <c r="E44" s="2"/>
      <c r="F44" s="2"/>
      <c r="G44" s="2"/>
      <c r="L44" s="256">
        <f>+'Other Regional'!L46</f>
        <v>0</v>
      </c>
      <c r="M44" s="245">
        <f>SUM(B44:L44)</f>
        <v>47154</v>
      </c>
    </row>
    <row r="45" spans="1:13" x14ac:dyDescent="0.2">
      <c r="A45" s="314" t="s">
        <v>122</v>
      </c>
      <c r="B45" s="255">
        <f>[2]Pinnacle!$HR$71+[2]Pinnacle!$HR$74</f>
        <v>26200</v>
      </c>
      <c r="D45" s="256">
        <f>'[2]Sky West'!$HR$71+'[2]Sky West'!$HR$74</f>
        <v>69151</v>
      </c>
      <c r="E45" s="2"/>
      <c r="F45" s="2"/>
      <c r="G45" s="2"/>
      <c r="L45" s="256">
        <f>+'Other Regional'!L47</f>
        <v>0</v>
      </c>
      <c r="M45" s="245">
        <f>SUM(B45:L45)</f>
        <v>95351</v>
      </c>
    </row>
    <row r="46" spans="1:13" x14ac:dyDescent="0.2">
      <c r="A46" s="246" t="s">
        <v>123</v>
      </c>
      <c r="B46" s="247">
        <f>SUM(B44:B45)</f>
        <v>37069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January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D11" sqref="D1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3">
        <v>44562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'[2]Shuttle America'!$HR$22</f>
        <v>0</v>
      </c>
      <c r="C5" s="88">
        <f>'[2]Shuttle America_Delta'!$HR$22</f>
        <v>0</v>
      </c>
      <c r="D5" s="363">
        <f>[2]Horizon_AS!$HR$22+[2]Horizon_AS!$HR$32</f>
        <v>126</v>
      </c>
      <c r="E5" s="363">
        <f>'[2]Air Wisconsin'!$HR$22</f>
        <v>0</v>
      </c>
      <c r="F5" s="363">
        <f>[2]Jazz_AC!$HR$22+[2]Jazz_AC!$HR$32</f>
        <v>894</v>
      </c>
      <c r="G5" s="363">
        <f>[2]PSA!$HR$22</f>
        <v>2007</v>
      </c>
      <c r="H5" s="88">
        <f>'[2]Atlantic Southeast'!$HR$22+'[2]Atlantic Southeast'!$HR$32</f>
        <v>0</v>
      </c>
      <c r="I5" s="88">
        <f>'[2]Continental Express'!$HR$22</f>
        <v>0</v>
      </c>
      <c r="J5" s="96">
        <f>'[2]Go Jet_UA'!$HR$22</f>
        <v>0</v>
      </c>
      <c r="K5" s="13">
        <f>'[2]Go Jet'!$HR$22+'[2]Go Jet'!$HR$32</f>
        <v>0</v>
      </c>
      <c r="L5" s="89">
        <f>SUM(B5:K5)</f>
        <v>3027</v>
      </c>
    </row>
    <row r="6" spans="1:12" s="6" customFormat="1" x14ac:dyDescent="0.2">
      <c r="A6" s="46" t="s">
        <v>31</v>
      </c>
      <c r="B6" s="88">
        <f>'[2]Shuttle America'!$HR$23</f>
        <v>0</v>
      </c>
      <c r="C6" s="88">
        <f>'[2]Shuttle America_Delta'!$HR$23</f>
        <v>0</v>
      </c>
      <c r="D6" s="363">
        <f>[2]Horizon_AS!$HR$23+[2]Horizon_AS!$HR$33</f>
        <v>147</v>
      </c>
      <c r="E6" s="363">
        <f>'[2]Air Wisconsin'!$HR$23</f>
        <v>0</v>
      </c>
      <c r="F6" s="363">
        <f>[2]Jazz_AC!$HR$23+[2]Jazz_AC!$HR$33</f>
        <v>818</v>
      </c>
      <c r="G6" s="363">
        <f>[2]PSA!$HR$23</f>
        <v>2740</v>
      </c>
      <c r="H6" s="88">
        <f>'[2]Atlantic Southeast'!$HR$23+'[2]Atlantic Southeast'!$HR$33</f>
        <v>0</v>
      </c>
      <c r="I6" s="88">
        <f>'[2]Continental Express'!$HR$23</f>
        <v>0</v>
      </c>
      <c r="J6" s="96">
        <f>'[2]Go Jet_UA'!$HR$23</f>
        <v>0</v>
      </c>
      <c r="K6" s="7">
        <f>'[2]Go Jet'!$HR$23+'[2]Go Jet'!$HR$33</f>
        <v>0</v>
      </c>
      <c r="L6" s="93">
        <f>SUM(B6:K6)</f>
        <v>3705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273</v>
      </c>
      <c r="E7" s="106">
        <f t="shared" si="1"/>
        <v>0</v>
      </c>
      <c r="F7" s="106">
        <f t="shared" si="1"/>
        <v>1712</v>
      </c>
      <c r="G7" s="106">
        <f t="shared" si="0"/>
        <v>4747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6732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'[2]Shuttle America'!$HR$27</f>
        <v>0</v>
      </c>
      <c r="C10" s="88">
        <f>'[2]Shuttle America_Delta'!$HR$27</f>
        <v>0</v>
      </c>
      <c r="D10" s="363">
        <f>[2]Horizon_AS!$HR$27+[2]Horizon_AS!$HR$37</f>
        <v>3</v>
      </c>
      <c r="E10" s="363">
        <f>'[2]Air Wisconsin'!$HR$27</f>
        <v>0</v>
      </c>
      <c r="F10" s="363">
        <f>[2]Jazz_AC!$HR$27+[2]Jazz_AC!$HR$37</f>
        <v>16</v>
      </c>
      <c r="G10" s="363">
        <f>[2]PSA!$HR$27</f>
        <v>97</v>
      </c>
      <c r="H10" s="13">
        <f>'[2]Atlantic Southeast'!$HR$27+'[2]Atlantic Southeast'!$HR$37</f>
        <v>0</v>
      </c>
      <c r="I10" s="88">
        <f>'[2]Continental Express'!$HR$27</f>
        <v>0</v>
      </c>
      <c r="J10" s="96">
        <f>'[2]Go Jet_UA'!$HR$27</f>
        <v>0</v>
      </c>
      <c r="K10" s="13">
        <f>'[2]Go Jet'!$HR$27+'[2]Go Jet'!$HR$37</f>
        <v>0</v>
      </c>
      <c r="L10" s="89">
        <f>SUM(B10:K10)</f>
        <v>116</v>
      </c>
    </row>
    <row r="11" spans="1:12" x14ac:dyDescent="0.2">
      <c r="A11" s="46" t="s">
        <v>33</v>
      </c>
      <c r="B11" s="88">
        <f>'[2]Shuttle America'!$HR$28</f>
        <v>0</v>
      </c>
      <c r="C11" s="88">
        <f>'[2]Shuttle America_Delta'!$HR$28</f>
        <v>0</v>
      </c>
      <c r="D11" s="363">
        <f>[2]Horizon_AS!$HR$28+[2]Horizon_AS!$HR$38</f>
        <v>1</v>
      </c>
      <c r="E11" s="363">
        <f>'[2]Air Wisconsin'!$HR$28</f>
        <v>0</v>
      </c>
      <c r="F11" s="363">
        <f>[2]Jazz_AC!$HR$28+[2]Jazz_AC!$HR$38</f>
        <v>12</v>
      </c>
      <c r="G11" s="363">
        <f>[2]PSA!$HR$28</f>
        <v>94</v>
      </c>
      <c r="H11" s="7">
        <f>'[2]Atlantic Southeast'!$HR$28+'[2]Atlantic Southeast'!$HR$38</f>
        <v>0</v>
      </c>
      <c r="I11" s="88">
        <f>'[2]Continental Express'!$HR$28</f>
        <v>0</v>
      </c>
      <c r="J11" s="96">
        <f>'[2]Go Jet_UA'!$HR$28</f>
        <v>0</v>
      </c>
      <c r="K11" s="7">
        <f>'[2]Go Jet'!$HR$28+'[2]Go Jet'!$HR$38</f>
        <v>0</v>
      </c>
      <c r="L11" s="93">
        <f>SUM(B11:K11)</f>
        <v>107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4</v>
      </c>
      <c r="E12" s="109">
        <f t="shared" ref="E12:F12" si="3">SUM(E10:E11)</f>
        <v>0</v>
      </c>
      <c r="F12" s="109">
        <f t="shared" si="3"/>
        <v>28</v>
      </c>
      <c r="G12" s="109">
        <f t="shared" si="2"/>
        <v>191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223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'[2]Shuttle America'!$HR$4</f>
        <v>0</v>
      </c>
      <c r="C15" s="86">
        <f>'[2]Shuttle America_Delta'!$HR$4</f>
        <v>0</v>
      </c>
      <c r="D15" s="364">
        <f>[2]Horizon_AS!$HR$4</f>
        <v>2</v>
      </c>
      <c r="E15" s="364">
        <f>'[2]Air Wisconsin'!$HR$4</f>
        <v>0</v>
      </c>
      <c r="F15" s="364">
        <f>[2]Jazz_AC!$HR$4+[2]Jazz_AC!$HR$15</f>
        <v>27</v>
      </c>
      <c r="G15" s="364">
        <f>[2]PSA!$HR$4</f>
        <v>52</v>
      </c>
      <c r="H15" s="87">
        <f>'[2]Atlantic Southeast'!$HR$4+'[2]Atlantic Southeast'!$HR$15</f>
        <v>0</v>
      </c>
      <c r="I15" s="87">
        <f>'[2]Continental Express'!$HR$4</f>
        <v>0</v>
      </c>
      <c r="J15" s="86">
        <f>'[2]Go Jet_UA'!$HR$4</f>
        <v>0</v>
      </c>
      <c r="K15" s="13">
        <f>'[2]Go Jet'!$HR$4+'[2]Go Jet'!$HR$15</f>
        <v>0</v>
      </c>
      <c r="L15" s="89">
        <f t="shared" ref="L15:L21" si="6">SUM(B15:K15)</f>
        <v>81</v>
      </c>
    </row>
    <row r="16" spans="1:12" x14ac:dyDescent="0.2">
      <c r="A16" s="46" t="s">
        <v>54</v>
      </c>
      <c r="B16" s="90">
        <f>'[2]Shuttle America'!$HR$5</f>
        <v>0</v>
      </c>
      <c r="C16" s="90">
        <f>'[2]Shuttle America_Delta'!$HR$5</f>
        <v>0</v>
      </c>
      <c r="D16" s="365">
        <f>[2]Horizon_AS!$HR$5</f>
        <v>2</v>
      </c>
      <c r="E16" s="365">
        <f>'[2]Air Wisconsin'!$HR$5</f>
        <v>0</v>
      </c>
      <c r="F16" s="365">
        <f>[2]Jazz_AC!$HR$5+[2]Jazz_AC!$HR$16</f>
        <v>27</v>
      </c>
      <c r="G16" s="365">
        <f>[2]PSA!$HR$5</f>
        <v>52</v>
      </c>
      <c r="H16" s="91">
        <f>'[2]Atlantic Southeast'!$HR$5+'[2]Atlantic Southeast'!$HR$16</f>
        <v>0</v>
      </c>
      <c r="I16" s="91">
        <f>'[2]Continental Express'!$HR$5</f>
        <v>0</v>
      </c>
      <c r="J16" s="90">
        <f>'[2]Go Jet_UA'!$HR$5</f>
        <v>0</v>
      </c>
      <c r="K16" s="7">
        <f>'[2]Go Jet'!$HR$5+'[2]Go Jet'!$HR$16</f>
        <v>0</v>
      </c>
      <c r="L16" s="93">
        <f t="shared" si="6"/>
        <v>81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7">SUM(D15:D16)</f>
        <v>4</v>
      </c>
      <c r="E17" s="94">
        <f t="shared" ref="E17:F17" si="8">SUM(E15:E16)</f>
        <v>0</v>
      </c>
      <c r="F17" s="94">
        <f t="shared" si="8"/>
        <v>54</v>
      </c>
      <c r="G17" s="94">
        <f t="shared" si="7"/>
        <v>104</v>
      </c>
      <c r="H17" s="94">
        <f t="shared" ref="H17:J17" si="9">SUM(H15:H16)</f>
        <v>0</v>
      </c>
      <c r="I17" s="94">
        <f t="shared" si="9"/>
        <v>0</v>
      </c>
      <c r="J17" s="94">
        <f t="shared" si="9"/>
        <v>0</v>
      </c>
      <c r="K17" s="224">
        <f>SUM(K15:K16)</f>
        <v>0</v>
      </c>
      <c r="L17" s="95">
        <f t="shared" si="6"/>
        <v>162</v>
      </c>
    </row>
    <row r="18" spans="1:15" x14ac:dyDescent="0.2">
      <c r="A18" s="46" t="s">
        <v>56</v>
      </c>
      <c r="B18" s="96">
        <f>'[2]Shuttle America'!$HR$8</f>
        <v>0</v>
      </c>
      <c r="C18" s="96">
        <f>'[2]Shuttle America_Delta'!$HR$8</f>
        <v>0</v>
      </c>
      <c r="D18" s="96">
        <f>[2]Horizon_AS!$HR$8</f>
        <v>0</v>
      </c>
      <c r="E18" s="96">
        <f>'[2]Air Wisconsin'!$HR$8</f>
        <v>0</v>
      </c>
      <c r="F18" s="96">
        <f>[2]Jazz_AC!$HR$8</f>
        <v>0</v>
      </c>
      <c r="G18" s="96">
        <f>[2]PSA!$HR$8</f>
        <v>0</v>
      </c>
      <c r="H18" s="88">
        <f>'[2]Atlantic Southeast'!$HR$8</f>
        <v>0</v>
      </c>
      <c r="I18" s="88">
        <f>'[2]Continental Express'!$HR$8</f>
        <v>0</v>
      </c>
      <c r="J18" s="96">
        <f>'[2]Go Jet_UA'!$HR$8</f>
        <v>0</v>
      </c>
      <c r="K18" s="13">
        <f>'[2]Go Jet'!$HR$8</f>
        <v>0</v>
      </c>
      <c r="L18" s="89">
        <f t="shared" si="6"/>
        <v>0</v>
      </c>
      <c r="O18" s="304"/>
    </row>
    <row r="19" spans="1:15" x14ac:dyDescent="0.2">
      <c r="A19" s="46" t="s">
        <v>57</v>
      </c>
      <c r="B19" s="97">
        <f>'[2]Shuttle America'!$HR$9</f>
        <v>0</v>
      </c>
      <c r="C19" s="97">
        <f>'[2]Shuttle America_Delta'!$HR$9</f>
        <v>0</v>
      </c>
      <c r="D19" s="97">
        <f>[2]Horizon_AS!$HR$9</f>
        <v>0</v>
      </c>
      <c r="E19" s="97">
        <f>'[2]Air Wisconsin'!$HR$9</f>
        <v>0</v>
      </c>
      <c r="F19" s="97">
        <f>[2]Jazz_AC!$HR$9</f>
        <v>0</v>
      </c>
      <c r="G19" s="97">
        <f>[2]PSA!$HR$9</f>
        <v>0</v>
      </c>
      <c r="H19" s="92">
        <f>'[2]Atlantic Southeast'!$HR$9</f>
        <v>0</v>
      </c>
      <c r="I19" s="92">
        <f>'[2]Continental Express'!$HR$9</f>
        <v>0</v>
      </c>
      <c r="J19" s="97">
        <f>'[2]Go Jet_UA'!$HR$9</f>
        <v>0</v>
      </c>
      <c r="K19" s="7">
        <f>'[2]Go Jet'!$HR$9</f>
        <v>0</v>
      </c>
      <c r="L19" s="93">
        <f t="shared" si="6"/>
        <v>0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0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6"/>
        <v>0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4</v>
      </c>
      <c r="E21" s="98">
        <f t="shared" ref="E21:F21" si="14">SUM(E20,E17)</f>
        <v>0</v>
      </c>
      <c r="F21" s="98">
        <f t="shared" si="14"/>
        <v>54</v>
      </c>
      <c r="G21" s="98">
        <f t="shared" si="13"/>
        <v>104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6"/>
        <v>162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'[2]Shuttle America'!$HR$47</f>
        <v>0</v>
      </c>
      <c r="C25" s="96">
        <f>'[2]Shuttle America_Delta'!$HR$47</f>
        <v>0</v>
      </c>
      <c r="D25" s="96">
        <f>[2]Horizon_AS!$HR$47</f>
        <v>0</v>
      </c>
      <c r="E25" s="96">
        <f>'[2]Air Wisconsin'!$HR$47</f>
        <v>0</v>
      </c>
      <c r="F25" s="96">
        <f>[2]Jazz_AC!$HR$47</f>
        <v>0</v>
      </c>
      <c r="G25" s="96">
        <f>[2]PSA!$HR$47</f>
        <v>344</v>
      </c>
      <c r="H25" s="88">
        <f>'[2]Atlantic Southeast'!$HR$47</f>
        <v>0</v>
      </c>
      <c r="I25" s="88">
        <f>'[2]Continental Express'!$HR$47</f>
        <v>0</v>
      </c>
      <c r="J25" s="96">
        <f>'[2]Go Jet_UA'!$HR$47</f>
        <v>0</v>
      </c>
      <c r="K25" s="96">
        <f>'[2]Go Jet'!$HR$47</f>
        <v>0</v>
      </c>
      <c r="L25" s="89">
        <f>SUM(B25:K25)</f>
        <v>344</v>
      </c>
    </row>
    <row r="26" spans="1:15" x14ac:dyDescent="0.2">
      <c r="A26" s="46" t="s">
        <v>38</v>
      </c>
      <c r="B26" s="96">
        <f>'[2]Shuttle America'!$HR$48</f>
        <v>0</v>
      </c>
      <c r="C26" s="96">
        <f>'[2]Shuttle America_Delta'!$HR$48</f>
        <v>0</v>
      </c>
      <c r="D26" s="96">
        <f>[2]Horizon_AS!$HR$48</f>
        <v>0</v>
      </c>
      <c r="E26" s="96">
        <f>'[2]Air Wisconsin'!$HR$48</f>
        <v>0</v>
      </c>
      <c r="F26" s="96">
        <f>[2]Jazz_AC!$HR$48</f>
        <v>0</v>
      </c>
      <c r="G26" s="96">
        <f>[2]PSA!$HR$48</f>
        <v>0</v>
      </c>
      <c r="H26" s="88">
        <f>'[2]Atlantic Southeast'!$HR$48</f>
        <v>0</v>
      </c>
      <c r="I26" s="88">
        <f>'[2]Continental Express'!$HR$48</f>
        <v>0</v>
      </c>
      <c r="J26" s="96">
        <f>'[2]Go Jet_UA'!$HR$48</f>
        <v>0</v>
      </c>
      <c r="K26" s="96">
        <f>'[2]Go Jet'!$HR$48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0</v>
      </c>
      <c r="G27" s="106">
        <f t="shared" si="17"/>
        <v>344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344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'[2]Shuttle America'!$HR$52</f>
        <v>0</v>
      </c>
      <c r="C30" s="96">
        <f>'[2]Shuttle America_Delta'!$HR$52</f>
        <v>0</v>
      </c>
      <c r="D30" s="96">
        <f>[2]Horizon_AS!$HR$52</f>
        <v>0</v>
      </c>
      <c r="E30" s="96">
        <f>'[2]Air Wisconsin'!$HR$52</f>
        <v>0</v>
      </c>
      <c r="F30" s="96">
        <f>[2]Jazz_AC!$HR$52</f>
        <v>0</v>
      </c>
      <c r="G30" s="96">
        <f>[2]PSA!$HR$52</f>
        <v>180</v>
      </c>
      <c r="H30" s="88">
        <f>'[2]Atlantic Southeast'!$HR$52</f>
        <v>0</v>
      </c>
      <c r="I30" s="88">
        <f>'[2]Continental Express'!$HR$52</f>
        <v>0</v>
      </c>
      <c r="J30" s="96">
        <f>'[2]Go Jet_UA'!$HR$52</f>
        <v>0</v>
      </c>
      <c r="K30" s="96">
        <f>'[2]Go Jet'!$HR$52</f>
        <v>0</v>
      </c>
      <c r="L30" s="89">
        <f>SUM(B30:K30)</f>
        <v>180</v>
      </c>
    </row>
    <row r="31" spans="1:15" x14ac:dyDescent="0.2">
      <c r="A31" s="46" t="s">
        <v>60</v>
      </c>
      <c r="B31" s="96">
        <f>'[2]Shuttle America'!$HR$53</f>
        <v>0</v>
      </c>
      <c r="C31" s="96">
        <f>'[2]Shuttle America_Delta'!$HR$53</f>
        <v>0</v>
      </c>
      <c r="D31" s="96">
        <f>[2]Horizon_AS!$HR$53</f>
        <v>549</v>
      </c>
      <c r="E31" s="96">
        <f>'[2]Air Wisconsin'!$HR$53</f>
        <v>0</v>
      </c>
      <c r="F31" s="96">
        <f>[2]Jazz_AC!$HR$53</f>
        <v>0</v>
      </c>
      <c r="G31" s="96">
        <f>[2]PSA!$HR$53</f>
        <v>0</v>
      </c>
      <c r="H31" s="88">
        <f>'[2]Atlantic Southeast'!$HR$53</f>
        <v>0</v>
      </c>
      <c r="I31" s="88">
        <f>'[2]Continental Express'!$HR$53</f>
        <v>0</v>
      </c>
      <c r="J31" s="96">
        <f>'[2]Go Jet_UA'!$HR$53</f>
        <v>0</v>
      </c>
      <c r="K31" s="96">
        <f>'[2]Go Jet'!$HR$53</f>
        <v>0</v>
      </c>
      <c r="L31" s="89">
        <f>SUM(B31:K31)</f>
        <v>549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549</v>
      </c>
      <c r="E32" s="106">
        <f t="shared" si="21"/>
        <v>0</v>
      </c>
      <c r="F32" s="106">
        <f t="shared" si="21"/>
        <v>0</v>
      </c>
      <c r="G32" s="106">
        <f t="shared" si="20"/>
        <v>180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729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'[2]Shuttle America'!$HR$57</f>
        <v>0</v>
      </c>
      <c r="C35" s="96">
        <f>'[2]Shuttle America_Delta'!$HR$57</f>
        <v>0</v>
      </c>
      <c r="D35" s="96">
        <f>[2]Horizon_AS!$HR$57</f>
        <v>0</v>
      </c>
      <c r="E35" s="96">
        <f>'[2]Air Wisconsin'!$HR$57</f>
        <v>0</v>
      </c>
      <c r="F35" s="96">
        <f>[2]Jazz_AC!$HR$57</f>
        <v>0</v>
      </c>
      <c r="G35" s="96">
        <f>[2]PSA!$HR$57</f>
        <v>0</v>
      </c>
      <c r="H35" s="88">
        <f>'[2]Atlantic Southeast'!$HR$57</f>
        <v>0</v>
      </c>
      <c r="I35" s="88">
        <f>'[2]Continental Express'!$HR$57</f>
        <v>0</v>
      </c>
      <c r="J35" s="96">
        <f>'[2]Go Jet_UA'!$AJ$57</f>
        <v>0</v>
      </c>
      <c r="K35" s="96">
        <f>'[2]Go Jet'!$HR$57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'[2]Shuttle America'!BG$58</f>
        <v>0</v>
      </c>
      <c r="C36" s="96">
        <f>'[2]Shuttle America_Delta'!BH$58</f>
        <v>0</v>
      </c>
      <c r="D36" s="96">
        <f>[2]Horizon_AS!BF$58</f>
        <v>0</v>
      </c>
      <c r="E36" s="96">
        <f>'[2]Air Wisconsin'!BG$58</f>
        <v>0</v>
      </c>
      <c r="F36" s="96">
        <f>[2]Jazz_AC!BF$58</f>
        <v>0</v>
      </c>
      <c r="G36" s="96">
        <f>[2]PSA!BG$58</f>
        <v>0</v>
      </c>
      <c r="H36" s="88">
        <f>'[2]Atlantic Southeast'!BG$58</f>
        <v>0</v>
      </c>
      <c r="I36" s="88">
        <f>'[2]Continental Express'!BG$58</f>
        <v>0</v>
      </c>
      <c r="J36" s="96">
        <f>'[2]Go Jet_UA'!$AJ$58</f>
        <v>0</v>
      </c>
      <c r="K36" s="96">
        <f>'[2]Go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0</v>
      </c>
      <c r="G40" s="96">
        <f t="shared" si="27"/>
        <v>524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524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549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549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549</v>
      </c>
      <c r="E42" s="109">
        <f t="shared" ref="E42:F42" si="34">SUM(E40:E41)</f>
        <v>0</v>
      </c>
      <c r="F42" s="109">
        <f t="shared" si="34"/>
        <v>0</v>
      </c>
      <c r="G42" s="109">
        <f t="shared" si="33"/>
        <v>524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1073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'[2]Go Jet'!BK$70+'[2]Go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'[2]Go Jet'!BK$71+'[2]Go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'[2]Shuttle America_Delta'!$HR$70+'[2]Shuttle America_Delta'!$HR$73</f>
        <v>0</v>
      </c>
      <c r="D46" s="2"/>
      <c r="E46" s="2"/>
      <c r="H46" s="256">
        <f>'[2]Atlantic Southeast'!$HR$70+'[2]Atlantic Southeast'!$HR$73</f>
        <v>0</v>
      </c>
      <c r="K46" s="256">
        <f>'[2]Go Jet'!$HR$70+'[2]Go Jet'!$HR$73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'[2]Shuttle America_Delta'!$HR$71+'[2]Shuttle America_Delta'!$HR$74</f>
        <v>0</v>
      </c>
      <c r="D47" s="2"/>
      <c r="E47" s="2"/>
      <c r="H47" s="256">
        <f>'[2]Atlantic Southeast'!$HR$71+'[2]Atlantic Southeast'!$HR$74</f>
        <v>0</v>
      </c>
      <c r="K47" s="256">
        <f>'[2]Go Jet'!$HR$71+'[2]Go Jet'!$HR$74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January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2" sqref="E1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3">
        <v>44562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'[2]Charter Misc'!$HR$22</f>
        <v>324</v>
      </c>
      <c r="C5" s="152">
        <f>[2]Ryan!$HR$22</f>
        <v>0</v>
      </c>
      <c r="D5" s="152">
        <f>'[2]Charter Misc'!$HR$32</f>
        <v>0</v>
      </c>
      <c r="E5" s="152">
        <f>[2]Omni!$HR$32+[2]Omni!$HR$22</f>
        <v>0</v>
      </c>
      <c r="F5" s="152">
        <f>[2]Xtra!$HR$32+[2]Xtra!$HR$22</f>
        <v>0</v>
      </c>
      <c r="G5" s="273">
        <f>SUM(B5:F5)</f>
        <v>324</v>
      </c>
    </row>
    <row r="6" spans="1:17" x14ac:dyDescent="0.2">
      <c r="A6" s="46" t="s">
        <v>31</v>
      </c>
      <c r="B6" s="339">
        <f>'[2]Charter Misc'!$HR$23</f>
        <v>233</v>
      </c>
      <c r="C6" s="155">
        <f>[2]Ryan!$HR$23</f>
        <v>0</v>
      </c>
      <c r="D6" s="155">
        <f>'[2]Charter Misc'!$HR$33</f>
        <v>0</v>
      </c>
      <c r="E6" s="155">
        <f>[2]Omni!$HR$33+[2]Omni!$HR$23</f>
        <v>1835</v>
      </c>
      <c r="F6" s="155">
        <f>[2]Xtra!$HR$33+[2]Xtra!$HR$23</f>
        <v>0</v>
      </c>
      <c r="G6" s="272">
        <f>SUM(B6:F6)</f>
        <v>2068</v>
      </c>
    </row>
    <row r="7" spans="1:17" ht="15.75" thickBot="1" x14ac:dyDescent="0.3">
      <c r="A7" s="151" t="s">
        <v>7</v>
      </c>
      <c r="B7" s="340">
        <f>SUM(B5:B6)</f>
        <v>557</v>
      </c>
      <c r="C7" s="233">
        <f>SUM(C5:C6)</f>
        <v>0</v>
      </c>
      <c r="D7" s="233">
        <f>SUM(D5:D6)</f>
        <v>0</v>
      </c>
      <c r="E7" s="233">
        <f>SUM(E5:E6)</f>
        <v>1835</v>
      </c>
      <c r="F7" s="233">
        <f>SUM(F5:F6)</f>
        <v>0</v>
      </c>
      <c r="G7" s="234">
        <f>SUM(B7:F7)</f>
        <v>2392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'[2]Charter Misc'!$HR$4</f>
        <v>2</v>
      </c>
      <c r="C10" s="152">
        <f>[2]Ryan!$HR$4</f>
        <v>0</v>
      </c>
      <c r="D10" s="152">
        <f>'[2]Charter Misc'!$HR$15</f>
        <v>0</v>
      </c>
      <c r="E10" s="152">
        <f>[2]Omni!$HR$15+[2]Omni!$HR$4</f>
        <v>6</v>
      </c>
      <c r="F10" s="152">
        <f>[2]Xtra!$HR$15+[2]Xtra!$HR$4</f>
        <v>0</v>
      </c>
      <c r="G10" s="272">
        <f>SUM(B10:F10)</f>
        <v>8</v>
      </c>
    </row>
    <row r="11" spans="1:17" x14ac:dyDescent="0.2">
      <c r="A11" s="150" t="s">
        <v>80</v>
      </c>
      <c r="B11" s="338">
        <f>'[2]Charter Misc'!$HR$5</f>
        <v>2</v>
      </c>
      <c r="C11" s="152">
        <f>[2]Ryan!$HR$5</f>
        <v>0</v>
      </c>
      <c r="D11" s="152">
        <f>'[2]Charter Misc'!$HR$16</f>
        <v>0</v>
      </c>
      <c r="E11" s="152">
        <f>[2]Omni!$HR$16+[2]Omni!$HR$5</f>
        <v>6</v>
      </c>
      <c r="F11" s="152">
        <f>[2]Xtra!$HR$16+[2]Xtra!$HR$5</f>
        <v>0</v>
      </c>
      <c r="G11" s="272">
        <f>SUM(B11:F11)</f>
        <v>8</v>
      </c>
    </row>
    <row r="12" spans="1:17" ht="15.75" thickBot="1" x14ac:dyDescent="0.3">
      <c r="A12" s="215" t="s">
        <v>28</v>
      </c>
      <c r="B12" s="342">
        <f>SUM(B10:B11)</f>
        <v>4</v>
      </c>
      <c r="C12" s="235">
        <f>SUM(C10:C11)</f>
        <v>0</v>
      </c>
      <c r="D12" s="235">
        <f>SUM(D10:D11)</f>
        <v>0</v>
      </c>
      <c r="E12" s="235">
        <f>SUM(E10:E11)</f>
        <v>12</v>
      </c>
      <c r="F12" s="235">
        <f>SUM(F10:F11)</f>
        <v>0</v>
      </c>
      <c r="G12" s="236">
        <f>SUM(B12:F12)</f>
        <v>16</v>
      </c>
      <c r="Q12" s="96"/>
    </row>
    <row r="17" spans="1:16" x14ac:dyDescent="0.2">
      <c r="B17" s="456" t="s">
        <v>150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8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59" t="s">
        <v>118</v>
      </c>
      <c r="C19" s="460"/>
      <c r="D19" s="460"/>
      <c r="E19" s="461"/>
      <c r="G19" s="459" t="s">
        <v>119</v>
      </c>
      <c r="H19" s="462"/>
      <c r="I19" s="462"/>
      <c r="J19" s="463"/>
      <c r="L19" s="464" t="s">
        <v>120</v>
      </c>
      <c r="M19" s="465"/>
      <c r="N19" s="465"/>
      <c r="O19" s="466"/>
    </row>
    <row r="20" spans="1:16" ht="13.5" thickBot="1" x14ac:dyDescent="0.25">
      <c r="A20" s="177" t="s">
        <v>99</v>
      </c>
      <c r="B20" s="182" t="s">
        <v>100</v>
      </c>
      <c r="C20" s="440" t="s">
        <v>101</v>
      </c>
      <c r="D20" s="440" t="s">
        <v>242</v>
      </c>
      <c r="E20" s="437" t="s">
        <v>221</v>
      </c>
      <c r="F20" s="183" t="s">
        <v>96</v>
      </c>
      <c r="G20" s="5" t="s">
        <v>100</v>
      </c>
      <c r="H20" s="5" t="s">
        <v>101</v>
      </c>
      <c r="I20" s="5" t="s">
        <v>242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242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9">
        <f>+'Intl Detail'!Q4+'Intl Detail'!Q9</f>
        <v>79230</v>
      </c>
      <c r="C21" s="438">
        <f>+'Intl Detail'!Q5+'Intl Detail'!Q10</f>
        <v>75084</v>
      </c>
      <c r="D21" s="438">
        <f t="shared" ref="D21" si="0">SUM(B21:C21)</f>
        <v>154314</v>
      </c>
      <c r="E21" s="269">
        <f>[1]Charter!$D$21</f>
        <v>56397</v>
      </c>
      <c r="F21" s="271">
        <f t="shared" ref="F21:F32" si="1">(D21-E21)/E21</f>
        <v>1.7362093728389807</v>
      </c>
      <c r="G21" s="266">
        <f t="shared" ref="G21:H21" si="2">L21-B21</f>
        <v>914675</v>
      </c>
      <c r="H21" s="267">
        <f t="shared" si="2"/>
        <v>927833</v>
      </c>
      <c r="I21" s="267">
        <f t="shared" ref="I21" si="3">SUM(G21:H21)</f>
        <v>1842508</v>
      </c>
      <c r="J21" s="268">
        <f>[1]Charter!$I$21</f>
        <v>1054440</v>
      </c>
      <c r="K21" s="187">
        <f t="shared" ref="K21:K32" si="4">(I21-J21)/J21</f>
        <v>0.74738060012897845</v>
      </c>
      <c r="L21" s="266">
        <f>+'Monthly Summary'!B11</f>
        <v>993905</v>
      </c>
      <c r="M21" s="267">
        <f>+'Monthly Summary'!C11</f>
        <v>1002917</v>
      </c>
      <c r="N21" s="267">
        <f>SUM(L21:M21)</f>
        <v>1996822</v>
      </c>
      <c r="O21" s="268">
        <f>[1]Charter!$N$21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262"/>
      <c r="C22" s="264"/>
      <c r="D22" s="263"/>
      <c r="E22" s="270"/>
      <c r="F22" s="265" t="e">
        <f t="shared" si="1"/>
        <v>#DIV/0!</v>
      </c>
      <c r="G22" s="262"/>
      <c r="H22" s="264"/>
      <c r="I22" s="263"/>
      <c r="J22" s="270"/>
      <c r="K22" s="190" t="e">
        <f t="shared" si="4"/>
        <v>#DIV/0!</v>
      </c>
      <c r="L22" s="262"/>
      <c r="M22" s="264"/>
      <c r="N22" s="263"/>
      <c r="O22" s="270"/>
      <c r="P22" s="189" t="e">
        <f t="shared" ref="P22:P32" si="5">(N22-O22)/O22</f>
        <v>#DIV/0!</v>
      </c>
    </row>
    <row r="23" spans="1:16" ht="14.1" customHeight="1" x14ac:dyDescent="0.2">
      <c r="A23" s="188" t="s">
        <v>104</v>
      </c>
      <c r="B23" s="262"/>
      <c r="C23" s="264"/>
      <c r="D23" s="438"/>
      <c r="E23" s="270"/>
      <c r="F23" s="189" t="e">
        <f t="shared" si="1"/>
        <v>#DIV/0!</v>
      </c>
      <c r="G23" s="262"/>
      <c r="H23" s="264"/>
      <c r="I23" s="263"/>
      <c r="J23" s="270"/>
      <c r="K23" s="190" t="e">
        <f t="shared" si="4"/>
        <v>#DIV/0!</v>
      </c>
      <c r="L23" s="262"/>
      <c r="M23" s="264"/>
      <c r="N23" s="263"/>
      <c r="O23" s="270"/>
      <c r="P23" s="189" t="e">
        <f t="shared" si="5"/>
        <v>#DIV/0!</v>
      </c>
    </row>
    <row r="24" spans="1:16" ht="14.1" customHeight="1" x14ac:dyDescent="0.2">
      <c r="A24" s="188" t="s">
        <v>105</v>
      </c>
      <c r="B24" s="262"/>
      <c r="C24" s="264"/>
      <c r="D24" s="438"/>
      <c r="E24" s="270"/>
      <c r="F24" s="189" t="e">
        <f t="shared" si="1"/>
        <v>#DIV/0!</v>
      </c>
      <c r="G24" s="262"/>
      <c r="H24" s="264"/>
      <c r="I24" s="263"/>
      <c r="J24" s="270"/>
      <c r="K24" s="190" t="e">
        <f t="shared" si="4"/>
        <v>#DIV/0!</v>
      </c>
      <c r="L24" s="262"/>
      <c r="M24" s="264"/>
      <c r="N24" s="263"/>
      <c r="O24" s="270"/>
      <c r="P24" s="189" t="e">
        <f t="shared" si="5"/>
        <v>#DIV/0!</v>
      </c>
    </row>
    <row r="25" spans="1:16" ht="14.1" customHeight="1" x14ac:dyDescent="0.2">
      <c r="A25" s="175" t="s">
        <v>75</v>
      </c>
      <c r="B25" s="262"/>
      <c r="C25" s="264"/>
      <c r="D25" s="438"/>
      <c r="E25" s="270"/>
      <c r="F25" s="178" t="e">
        <f t="shared" si="1"/>
        <v>#DIV/0!</v>
      </c>
      <c r="G25" s="262"/>
      <c r="H25" s="264"/>
      <c r="I25" s="263"/>
      <c r="J25" s="270"/>
      <c r="K25" s="184" t="e">
        <f t="shared" si="4"/>
        <v>#DIV/0!</v>
      </c>
      <c r="L25" s="262"/>
      <c r="M25" s="264"/>
      <c r="N25" s="263"/>
      <c r="O25" s="270"/>
      <c r="P25" s="178" t="e">
        <f t="shared" si="5"/>
        <v>#DIV/0!</v>
      </c>
    </row>
    <row r="26" spans="1:16" ht="14.1" customHeight="1" x14ac:dyDescent="0.2">
      <c r="A26" s="188" t="s">
        <v>106</v>
      </c>
      <c r="B26" s="262"/>
      <c r="C26" s="264"/>
      <c r="D26" s="438"/>
      <c r="E26" s="270"/>
      <c r="F26" s="189" t="e">
        <f t="shared" si="1"/>
        <v>#DIV/0!</v>
      </c>
      <c r="G26" s="262"/>
      <c r="H26" s="264"/>
      <c r="I26" s="263"/>
      <c r="J26" s="270"/>
      <c r="K26" s="190" t="e">
        <f t="shared" si="4"/>
        <v>#DIV/0!</v>
      </c>
      <c r="L26" s="262"/>
      <c r="M26" s="264"/>
      <c r="N26" s="263"/>
      <c r="O26" s="270"/>
      <c r="P26" s="189" t="e">
        <f t="shared" si="5"/>
        <v>#DIV/0!</v>
      </c>
    </row>
    <row r="27" spans="1:16" ht="14.1" customHeight="1" x14ac:dyDescent="0.2">
      <c r="A27" s="175" t="s">
        <v>107</v>
      </c>
      <c r="B27" s="262"/>
      <c r="C27" s="264"/>
      <c r="D27" s="438"/>
      <c r="E27" s="270"/>
      <c r="F27" s="178" t="e">
        <f t="shared" si="1"/>
        <v>#DIV/0!</v>
      </c>
      <c r="G27" s="262"/>
      <c r="H27" s="264"/>
      <c r="I27" s="263"/>
      <c r="J27" s="270"/>
      <c r="K27" s="184" t="e">
        <f t="shared" si="4"/>
        <v>#DIV/0!</v>
      </c>
      <c r="L27" s="262"/>
      <c r="M27" s="264"/>
      <c r="N27" s="263"/>
      <c r="O27" s="270"/>
      <c r="P27" s="178" t="e">
        <f t="shared" si="5"/>
        <v>#DIV/0!</v>
      </c>
    </row>
    <row r="28" spans="1:16" ht="14.1" customHeight="1" x14ac:dyDescent="0.2">
      <c r="A28" s="188" t="s">
        <v>108</v>
      </c>
      <c r="B28" s="262"/>
      <c r="C28" s="264"/>
      <c r="D28" s="438"/>
      <c r="E28" s="270"/>
      <c r="F28" s="189" t="e">
        <f t="shared" si="1"/>
        <v>#DIV/0!</v>
      </c>
      <c r="G28" s="262"/>
      <c r="H28" s="264"/>
      <c r="I28" s="263"/>
      <c r="J28" s="270"/>
      <c r="K28" s="190" t="e">
        <f t="shared" si="4"/>
        <v>#DIV/0!</v>
      </c>
      <c r="L28" s="262"/>
      <c r="M28" s="264"/>
      <c r="N28" s="263"/>
      <c r="O28" s="270"/>
      <c r="P28" s="189" t="e">
        <f t="shared" si="5"/>
        <v>#DIV/0!</v>
      </c>
    </row>
    <row r="29" spans="1:16" ht="14.1" customHeight="1" x14ac:dyDescent="0.2">
      <c r="A29" s="175" t="s">
        <v>109</v>
      </c>
      <c r="B29" s="262"/>
      <c r="C29" s="264"/>
      <c r="D29" s="438"/>
      <c r="E29" s="270"/>
      <c r="F29" s="178" t="e">
        <f t="shared" si="1"/>
        <v>#DIV/0!</v>
      </c>
      <c r="G29" s="262"/>
      <c r="H29" s="264"/>
      <c r="I29" s="263"/>
      <c r="J29" s="270"/>
      <c r="K29" s="184" t="e">
        <f t="shared" si="4"/>
        <v>#DIV/0!</v>
      </c>
      <c r="L29" s="262"/>
      <c r="M29" s="264"/>
      <c r="N29" s="263"/>
      <c r="O29" s="270"/>
      <c r="P29" s="178" t="e">
        <f t="shared" si="5"/>
        <v>#DIV/0!</v>
      </c>
    </row>
    <row r="30" spans="1:16" ht="14.1" customHeight="1" x14ac:dyDescent="0.2">
      <c r="A30" s="188" t="s">
        <v>110</v>
      </c>
      <c r="B30" s="262"/>
      <c r="C30" s="264"/>
      <c r="D30" s="438"/>
      <c r="E30" s="270"/>
      <c r="F30" s="189" t="e">
        <f t="shared" si="1"/>
        <v>#DIV/0!</v>
      </c>
      <c r="G30" s="262"/>
      <c r="H30" s="264"/>
      <c r="I30" s="263"/>
      <c r="J30" s="270"/>
      <c r="K30" s="190" t="e">
        <f t="shared" si="4"/>
        <v>#DIV/0!</v>
      </c>
      <c r="L30" s="262"/>
      <c r="M30" s="264"/>
      <c r="N30" s="263"/>
      <c r="O30" s="270"/>
      <c r="P30" s="189" t="e">
        <f t="shared" si="5"/>
        <v>#DIV/0!</v>
      </c>
    </row>
    <row r="31" spans="1:16" ht="14.1" customHeight="1" x14ac:dyDescent="0.2">
      <c r="A31" s="175" t="s">
        <v>111</v>
      </c>
      <c r="B31" s="262"/>
      <c r="C31" s="264"/>
      <c r="D31" s="438"/>
      <c r="E31" s="270"/>
      <c r="F31" s="178" t="e">
        <f t="shared" si="1"/>
        <v>#DIV/0!</v>
      </c>
      <c r="G31" s="262"/>
      <c r="H31" s="264"/>
      <c r="I31" s="263"/>
      <c r="J31" s="270"/>
      <c r="K31" s="184" t="e">
        <f t="shared" si="4"/>
        <v>#DIV/0!</v>
      </c>
      <c r="L31" s="262"/>
      <c r="M31" s="264"/>
      <c r="N31" s="263"/>
      <c r="O31" s="270"/>
      <c r="P31" s="178" t="e">
        <f t="shared" si="5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1"/>
        <v>#DIV/0!</v>
      </c>
      <c r="G32" s="262"/>
      <c r="H32" s="264"/>
      <c r="I32" s="263"/>
      <c r="J32" s="270"/>
      <c r="K32" s="192" t="e">
        <f t="shared" si="4"/>
        <v>#DIV/0!</v>
      </c>
      <c r="L32" s="262"/>
      <c r="M32" s="264"/>
      <c r="N32" s="263"/>
      <c r="O32" s="270"/>
      <c r="P32" s="192" t="e">
        <f t="shared" si="5"/>
        <v>#DIV/0!</v>
      </c>
    </row>
    <row r="33" spans="1:16" ht="13.5" thickBot="1" x14ac:dyDescent="0.25">
      <c r="A33" s="185" t="s">
        <v>76</v>
      </c>
      <c r="B33" s="195">
        <f>SUM(B21:B32)</f>
        <v>79230</v>
      </c>
      <c r="C33" s="196">
        <f>SUM(C21:C32)</f>
        <v>75084</v>
      </c>
      <c r="D33" s="196">
        <f>SUM(D21:D32)</f>
        <v>154314</v>
      </c>
      <c r="E33" s="197">
        <f>SUM(E21:E32)</f>
        <v>56397</v>
      </c>
      <c r="F33" s="180">
        <f>(D33-E33)/E33</f>
        <v>1.7362093728389807</v>
      </c>
      <c r="G33" s="198">
        <f>SUM(G21:G32)</f>
        <v>914675</v>
      </c>
      <c r="H33" s="196">
        <f>SUM(H21:H32)</f>
        <v>927833</v>
      </c>
      <c r="I33" s="196">
        <f>SUM(I21:I32)</f>
        <v>1842508</v>
      </c>
      <c r="J33" s="199">
        <f>SUM(J21:J32)</f>
        <v>1054440</v>
      </c>
      <c r="K33" s="181">
        <f>(I33-J33)/J33</f>
        <v>0.74738060012897845</v>
      </c>
      <c r="L33" s="198">
        <f>SUM(L21:L32)</f>
        <v>993905</v>
      </c>
      <c r="M33" s="196">
        <f>SUM(M21:M32)</f>
        <v>1002917</v>
      </c>
      <c r="N33" s="196">
        <f>SUM(N21:N32)</f>
        <v>1996822</v>
      </c>
      <c r="O33" s="197">
        <f>SUM(O21:O32)</f>
        <v>1110837</v>
      </c>
      <c r="P33" s="179">
        <f>(N33-O33)/O33</f>
        <v>0.79758326379117728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January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zoomScaleNormal="100" workbookViewId="0">
      <selection activeCell="P30" sqref="P30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43" customFormat="1" ht="16.5" thickBot="1" x14ac:dyDescent="0.3">
      <c r="B1" s="467" t="s">
        <v>204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9"/>
    </row>
    <row r="2" spans="1:22" s="28" customFormat="1" ht="43.5" customHeight="1" thickBot="1" x14ac:dyDescent="0.25">
      <c r="A2" s="443">
        <v>44562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94" t="s">
        <v>202</v>
      </c>
      <c r="I2" s="352" t="s">
        <v>81</v>
      </c>
      <c r="J2" s="394" t="s">
        <v>177</v>
      </c>
      <c r="K2" s="351" t="s">
        <v>206</v>
      </c>
      <c r="L2" s="394" t="s">
        <v>85</v>
      </c>
      <c r="M2" s="351" t="s">
        <v>207</v>
      </c>
      <c r="N2" s="351" t="s">
        <v>208</v>
      </c>
      <c r="O2" s="351" t="s">
        <v>209</v>
      </c>
      <c r="P2" s="352" t="s">
        <v>82</v>
      </c>
      <c r="Q2" s="394" t="s">
        <v>127</v>
      </c>
      <c r="R2" s="394" t="s">
        <v>21</v>
      </c>
    </row>
    <row r="3" spans="1:22" ht="15" x14ac:dyDescent="0.25">
      <c r="A3" s="158" t="s">
        <v>9</v>
      </c>
      <c r="B3" s="402"/>
      <c r="C3" s="159"/>
      <c r="D3" s="159"/>
      <c r="E3" s="159"/>
      <c r="F3" s="30"/>
      <c r="G3" s="159"/>
      <c r="H3" s="30"/>
      <c r="I3" s="159"/>
      <c r="J3" s="30"/>
      <c r="K3" s="159"/>
      <c r="L3" s="30"/>
      <c r="M3" s="159"/>
      <c r="N3" s="159"/>
      <c r="O3" s="159"/>
      <c r="P3" s="159"/>
      <c r="Q3" s="30"/>
      <c r="R3" s="403"/>
      <c r="T3" s="370"/>
      <c r="U3" s="370"/>
      <c r="V3" s="370"/>
    </row>
    <row r="4" spans="1:22" x14ac:dyDescent="0.2">
      <c r="A4" s="38" t="s">
        <v>53</v>
      </c>
      <c r="B4" s="193">
        <f>'[2]Atlas Air'!$HR$4</f>
        <v>29</v>
      </c>
      <c r="C4" s="133">
        <f>[2]DHL!$HR$4+[2]DHL_Atlas!$HR$4+[2]DHL_Atlas!$HR$8+[2]DHL_Atlas!$HR$15</f>
        <v>0</v>
      </c>
      <c r="D4" s="133">
        <f>[2]Airborne!$HR$4+[2]Airborne!$HR$15</f>
        <v>0</v>
      </c>
      <c r="E4" s="96">
        <f>[2]DHL_Bemidji!$HR$4</f>
        <v>39</v>
      </c>
      <c r="F4" s="96">
        <f>[2]Bemidji!$HR$4</f>
        <v>201</v>
      </c>
      <c r="G4" s="133">
        <f>[2]DHL_Encore!$HR$4+[2]DHL_Encore!$HR$15</f>
        <v>0</v>
      </c>
      <c r="H4" s="133">
        <f>[2]Encore!$HR$4+[2]Encore!$HR$15</f>
        <v>0</v>
      </c>
      <c r="I4" s="133">
        <f>[2]FedEx!$HR$4+[2]FedEx!$HR$15</f>
        <v>126</v>
      </c>
      <c r="J4" s="133">
        <f>[2]IFL!$HR$4+[2]IFL!$HR$15</f>
        <v>12</v>
      </c>
      <c r="K4" s="133">
        <f>[2]DHL_Kalitta!$HR$4+[2]DHL_Kalitta!$HR$15</f>
        <v>0</v>
      </c>
      <c r="L4" s="96">
        <f>'[2]Mountain Cargo'!$HR$4</f>
        <v>17</v>
      </c>
      <c r="M4" s="133">
        <f>[2]DHL_Southair!$HR$4+[2]DHL_Southair!$HR$15</f>
        <v>0</v>
      </c>
      <c r="N4" s="133">
        <f>[2]DHL_Swift!$HR$4+[2]DHL_Swift!$HR$15</f>
        <v>32</v>
      </c>
      <c r="O4" s="133">
        <f>+'[2]Sun Country Cargo'!$HR$4+'[2]Sun Country Cargo'!$HR$8+'[2]Sun Country Cargo'!$HR$15</f>
        <v>59</v>
      </c>
      <c r="P4" s="133">
        <f>[2]UPS!$HR$4+[2]UPS!$HR$15</f>
        <v>144</v>
      </c>
      <c r="Q4" s="96">
        <f>'[2]Misc Cargo'!$HR$4</f>
        <v>0</v>
      </c>
      <c r="R4" s="404">
        <f>SUM(B4:Q4)</f>
        <v>659</v>
      </c>
      <c r="T4" s="370"/>
      <c r="U4" s="370"/>
      <c r="V4" s="231"/>
    </row>
    <row r="5" spans="1:22" x14ac:dyDescent="0.2">
      <c r="A5" s="38" t="s">
        <v>54</v>
      </c>
      <c r="B5" s="405">
        <f>'[2]Atlas Air'!$HR$5</f>
        <v>29</v>
      </c>
      <c r="C5" s="157">
        <f>[2]DHL!$HR$5+[2]DHL_Atlas!$HR$5+[2]DHL_Atlas!$HR$9+[2]DHL_Atlas!$HR$16</f>
        <v>0</v>
      </c>
      <c r="D5" s="157">
        <f>[2]Airborne!$HR$5</f>
        <v>0</v>
      </c>
      <c r="E5" s="97">
        <f>[2]DHL_Bemidji!$HR$5</f>
        <v>39</v>
      </c>
      <c r="F5" s="97">
        <f>[2]Bemidji!$HR$5</f>
        <v>201</v>
      </c>
      <c r="G5" s="157">
        <f>[2]DHL_Encore!$HR$5</f>
        <v>0</v>
      </c>
      <c r="H5" s="157">
        <f>[2]Encore!$HR$5</f>
        <v>0</v>
      </c>
      <c r="I5" s="157">
        <f>[2]FedEx!$HR$5</f>
        <v>126</v>
      </c>
      <c r="J5" s="157">
        <f>[2]IFL!$HR$5</f>
        <v>12</v>
      </c>
      <c r="K5" s="157">
        <f>[2]DHL_Kalitta!$HR$5</f>
        <v>0</v>
      </c>
      <c r="L5" s="97">
        <f>'[2]Mountain Cargo'!$HR$5</f>
        <v>17</v>
      </c>
      <c r="M5" s="157">
        <f>[2]DHL_Southair!$HR$5</f>
        <v>0</v>
      </c>
      <c r="N5" s="157">
        <f>[2]DHL_Swift!$HR$5</f>
        <v>32</v>
      </c>
      <c r="O5" s="157">
        <f>+'[2]Sun Country Cargo'!$HR$5+'[2]Sun Country Cargo'!$HR$9+'[2]Sun Country Cargo'!$HR$16</f>
        <v>61</v>
      </c>
      <c r="P5" s="157">
        <f>[2]UPS!$HR$5+[2]UPS!$HR$16</f>
        <v>143</v>
      </c>
      <c r="Q5" s="97">
        <f>'[2]Misc Cargo'!$HR$5</f>
        <v>0</v>
      </c>
      <c r="R5" s="404">
        <f>SUM(B5:Q5)</f>
        <v>660</v>
      </c>
      <c r="T5" s="370"/>
      <c r="U5" s="370"/>
      <c r="V5" s="231"/>
    </row>
    <row r="6" spans="1:22" s="156" customFormat="1" x14ac:dyDescent="0.2">
      <c r="A6" s="160" t="s">
        <v>55</v>
      </c>
      <c r="B6" s="406">
        <f t="shared" ref="B6:Q6" si="0">SUM(B4:B5)</f>
        <v>58</v>
      </c>
      <c r="C6" s="407">
        <f t="shared" si="0"/>
        <v>0</v>
      </c>
      <c r="D6" s="407">
        <f t="shared" ref="D6:E6" si="1">SUM(D4:D5)</f>
        <v>0</v>
      </c>
      <c r="E6" s="94">
        <f t="shared" si="1"/>
        <v>78</v>
      </c>
      <c r="F6" s="94">
        <f t="shared" si="0"/>
        <v>402</v>
      </c>
      <c r="G6" s="407">
        <f t="shared" si="0"/>
        <v>0</v>
      </c>
      <c r="H6" s="407">
        <f t="shared" si="0"/>
        <v>0</v>
      </c>
      <c r="I6" s="407">
        <f t="shared" si="0"/>
        <v>252</v>
      </c>
      <c r="J6" s="407">
        <f t="shared" si="0"/>
        <v>24</v>
      </c>
      <c r="K6" s="407">
        <f t="shared" si="0"/>
        <v>0</v>
      </c>
      <c r="L6" s="94">
        <f t="shared" si="0"/>
        <v>34</v>
      </c>
      <c r="M6" s="407">
        <f t="shared" si="0"/>
        <v>0</v>
      </c>
      <c r="N6" s="407">
        <f t="shared" si="0"/>
        <v>64</v>
      </c>
      <c r="O6" s="407">
        <f t="shared" si="0"/>
        <v>120</v>
      </c>
      <c r="P6" s="407">
        <f t="shared" si="0"/>
        <v>287</v>
      </c>
      <c r="Q6" s="94">
        <f t="shared" si="0"/>
        <v>0</v>
      </c>
      <c r="R6" s="404">
        <f t="shared" ref="R6:R10" si="2">SUM(B6:Q6)</f>
        <v>1319</v>
      </c>
      <c r="V6" s="312"/>
    </row>
    <row r="7" spans="1:22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96"/>
      <c r="M7" s="133"/>
      <c r="N7" s="133"/>
      <c r="O7" s="133"/>
      <c r="P7" s="133"/>
      <c r="Q7" s="96"/>
      <c r="R7" s="404"/>
      <c r="T7" s="348"/>
      <c r="U7" s="370"/>
      <c r="V7" s="231"/>
    </row>
    <row r="8" spans="1:22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96"/>
      <c r="M8" s="133"/>
      <c r="N8" s="133"/>
      <c r="O8" s="133"/>
      <c r="P8" s="133"/>
      <c r="Q8" s="96">
        <f>'[2]Misc Cargo'!$HR$8</f>
        <v>1</v>
      </c>
      <c r="R8" s="404">
        <f t="shared" si="2"/>
        <v>1</v>
      </c>
      <c r="T8" s="370"/>
      <c r="U8" s="370"/>
      <c r="V8" s="231"/>
    </row>
    <row r="9" spans="1:22" ht="15" x14ac:dyDescent="0.25">
      <c r="A9" s="38" t="s">
        <v>57</v>
      </c>
      <c r="B9" s="405"/>
      <c r="C9" s="157"/>
      <c r="D9" s="157"/>
      <c r="E9" s="97"/>
      <c r="F9" s="97"/>
      <c r="G9" s="157"/>
      <c r="H9" s="157"/>
      <c r="I9" s="157"/>
      <c r="J9" s="157"/>
      <c r="K9" s="157"/>
      <c r="L9" s="97"/>
      <c r="M9" s="157"/>
      <c r="N9" s="157"/>
      <c r="O9" s="157"/>
      <c r="P9" s="157"/>
      <c r="Q9" s="97">
        <f>'[2]Misc Cargo'!$HR$9</f>
        <v>1</v>
      </c>
      <c r="R9" s="404">
        <f t="shared" si="2"/>
        <v>1</v>
      </c>
      <c r="T9" s="370"/>
      <c r="U9" s="8"/>
      <c r="V9" s="231"/>
    </row>
    <row r="10" spans="1:22" s="156" customFormat="1" x14ac:dyDescent="0.2">
      <c r="A10" s="160" t="s">
        <v>58</v>
      </c>
      <c r="B10" s="406">
        <f t="shared" ref="B10:Q10" si="3">SUM(B8:B9)</f>
        <v>0</v>
      </c>
      <c r="C10" s="407">
        <f t="shared" si="3"/>
        <v>0</v>
      </c>
      <c r="D10" s="407">
        <f t="shared" ref="D10:E10" si="4">SUM(D8:D9)</f>
        <v>0</v>
      </c>
      <c r="E10" s="94">
        <f t="shared" si="4"/>
        <v>0</v>
      </c>
      <c r="F10" s="94">
        <f t="shared" si="3"/>
        <v>0</v>
      </c>
      <c r="G10" s="407">
        <f t="shared" si="3"/>
        <v>0</v>
      </c>
      <c r="H10" s="407">
        <f t="shared" si="3"/>
        <v>0</v>
      </c>
      <c r="I10" s="407">
        <f t="shared" si="3"/>
        <v>0</v>
      </c>
      <c r="J10" s="407">
        <f t="shared" si="3"/>
        <v>0</v>
      </c>
      <c r="K10" s="407">
        <f t="shared" si="3"/>
        <v>0</v>
      </c>
      <c r="L10" s="94">
        <f t="shared" si="3"/>
        <v>0</v>
      </c>
      <c r="M10" s="407">
        <f t="shared" si="3"/>
        <v>0</v>
      </c>
      <c r="N10" s="407">
        <f t="shared" si="3"/>
        <v>0</v>
      </c>
      <c r="O10" s="407">
        <f t="shared" si="3"/>
        <v>0</v>
      </c>
      <c r="P10" s="407">
        <f t="shared" si="3"/>
        <v>0</v>
      </c>
      <c r="Q10" s="94">
        <f t="shared" si="3"/>
        <v>2</v>
      </c>
      <c r="R10" s="404">
        <f t="shared" si="2"/>
        <v>2</v>
      </c>
      <c r="V10" s="312"/>
    </row>
    <row r="11" spans="1:22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96"/>
      <c r="M11" s="133"/>
      <c r="N11" s="133"/>
      <c r="O11" s="133"/>
      <c r="P11" s="133"/>
      <c r="Q11" s="96"/>
      <c r="R11" s="408"/>
      <c r="T11" s="370"/>
      <c r="U11" s="370"/>
      <c r="V11" s="231"/>
    </row>
    <row r="12" spans="1:22" ht="18" customHeight="1" thickBot="1" x14ac:dyDescent="0.25">
      <c r="A12" s="161" t="s">
        <v>28</v>
      </c>
      <c r="B12" s="409">
        <f t="shared" ref="B12:Q12" si="5">B6+B10</f>
        <v>58</v>
      </c>
      <c r="C12" s="162">
        <f t="shared" si="5"/>
        <v>0</v>
      </c>
      <c r="D12" s="162">
        <f t="shared" ref="D12:E12" si="6">D6+D10</f>
        <v>0</v>
      </c>
      <c r="E12" s="163">
        <f t="shared" si="6"/>
        <v>78</v>
      </c>
      <c r="F12" s="163">
        <f t="shared" si="5"/>
        <v>402</v>
      </c>
      <c r="G12" s="162">
        <f t="shared" si="5"/>
        <v>0</v>
      </c>
      <c r="H12" s="162">
        <f t="shared" si="5"/>
        <v>0</v>
      </c>
      <c r="I12" s="162">
        <f t="shared" si="5"/>
        <v>252</v>
      </c>
      <c r="J12" s="162">
        <f t="shared" si="5"/>
        <v>24</v>
      </c>
      <c r="K12" s="162">
        <f t="shared" si="5"/>
        <v>0</v>
      </c>
      <c r="L12" s="163">
        <f t="shared" si="5"/>
        <v>34</v>
      </c>
      <c r="M12" s="162">
        <f t="shared" si="5"/>
        <v>0</v>
      </c>
      <c r="N12" s="162">
        <f t="shared" si="5"/>
        <v>64</v>
      </c>
      <c r="O12" s="162">
        <f t="shared" si="5"/>
        <v>120</v>
      </c>
      <c r="P12" s="162">
        <f t="shared" si="5"/>
        <v>287</v>
      </c>
      <c r="Q12" s="163">
        <f t="shared" si="5"/>
        <v>2</v>
      </c>
      <c r="R12" s="410">
        <f>SUM(B12:Q12)</f>
        <v>1321</v>
      </c>
      <c r="T12" s="370"/>
      <c r="U12" s="370"/>
      <c r="V12" s="231"/>
    </row>
    <row r="13" spans="1:22" ht="18" customHeight="1" thickBot="1" x14ac:dyDescent="0.25">
      <c r="A13" s="147"/>
      <c r="B13" s="411"/>
      <c r="C13" s="412"/>
      <c r="D13" s="412"/>
      <c r="E13" s="286"/>
      <c r="F13" s="286"/>
      <c r="G13" s="412"/>
      <c r="H13" s="412"/>
      <c r="I13" s="412"/>
      <c r="J13" s="412"/>
      <c r="K13" s="412"/>
      <c r="L13" s="286"/>
      <c r="M13" s="412"/>
      <c r="N13" s="412"/>
      <c r="O13" s="412"/>
      <c r="P13" s="412"/>
      <c r="Q13" s="286"/>
      <c r="R13" s="2"/>
      <c r="T13" s="370"/>
      <c r="U13" s="370"/>
      <c r="V13" s="231"/>
    </row>
    <row r="14" spans="1:22" ht="15" x14ac:dyDescent="0.25">
      <c r="A14" s="164" t="s">
        <v>92</v>
      </c>
      <c r="B14" s="413"/>
      <c r="C14" s="165"/>
      <c r="D14" s="165"/>
      <c r="E14" s="62"/>
      <c r="F14" s="62"/>
      <c r="G14" s="165"/>
      <c r="H14" s="165"/>
      <c r="I14" s="165"/>
      <c r="J14" s="165"/>
      <c r="K14" s="165"/>
      <c r="L14" s="62"/>
      <c r="M14" s="165"/>
      <c r="N14" s="165"/>
      <c r="O14" s="165"/>
      <c r="P14" s="165"/>
      <c r="Q14" s="62"/>
      <c r="R14" s="414"/>
      <c r="T14" s="370"/>
      <c r="U14" s="370"/>
      <c r="V14" s="231"/>
    </row>
    <row r="15" spans="1:22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2"/>
      <c r="M15" s="133"/>
      <c r="N15" s="133"/>
      <c r="O15" s="133"/>
      <c r="P15" s="133"/>
      <c r="Q15" s="2"/>
      <c r="R15" s="150"/>
      <c r="T15" s="370"/>
      <c r="U15" s="370"/>
      <c r="V15" s="231"/>
    </row>
    <row r="16" spans="1:22" ht="12.75" customHeight="1" x14ac:dyDescent="0.2">
      <c r="A16" s="38" t="s">
        <v>37</v>
      </c>
      <c r="B16" s="193">
        <f>'[2]Atlas Air'!$HR$47</f>
        <v>2104024</v>
      </c>
      <c r="C16" s="133">
        <f>[2]DHL!$HR$47+[2]DHL_Atlas!$HR$47</f>
        <v>0</v>
      </c>
      <c r="D16" s="133">
        <f>[2]Airborne!$HR$47</f>
        <v>0</v>
      </c>
      <c r="E16" s="133">
        <f>[2]DHL_Bemidji!$HR$47</f>
        <v>48782</v>
      </c>
      <c r="F16" s="470" t="s">
        <v>86</v>
      </c>
      <c r="G16" s="133">
        <f>[2]DHL_Encore!$HR$47</f>
        <v>0</v>
      </c>
      <c r="H16" s="133">
        <f>[2]Encore!$HR$47</f>
        <v>0</v>
      </c>
      <c r="I16" s="133">
        <f>[2]FedEx!$HR$47</f>
        <v>7061826</v>
      </c>
      <c r="J16" s="133">
        <f>[2]IFL!$HR$47</f>
        <v>40577</v>
      </c>
      <c r="K16" s="133">
        <f>[2]DHL_Kalitta!$HR$47</f>
        <v>0</v>
      </c>
      <c r="L16" s="96">
        <f>'[2]Mountain Cargo'!$HR$47</f>
        <v>0</v>
      </c>
      <c r="M16" s="133">
        <f>[2]DHL_Southair!$HR$47</f>
        <v>0</v>
      </c>
      <c r="N16" s="133">
        <f>[2]DHL_Swift!$HR$47</f>
        <v>883434</v>
      </c>
      <c r="O16" s="133">
        <f>+'[2]Sun Country Cargo'!$HR$47</f>
        <v>2227648</v>
      </c>
      <c r="P16" s="133">
        <f>[2]UPS!$HR$47</f>
        <v>5810892</v>
      </c>
      <c r="Q16" s="96">
        <f>'[2]Misc Cargo'!$HR$47</f>
        <v>0</v>
      </c>
      <c r="R16" s="404">
        <f>SUM(B16:E16)+SUM(G16:Q16)</f>
        <v>18177183</v>
      </c>
      <c r="T16" s="370"/>
      <c r="U16" s="370"/>
      <c r="V16" s="231"/>
    </row>
    <row r="17" spans="1:22" x14ac:dyDescent="0.2">
      <c r="A17" s="38" t="s">
        <v>38</v>
      </c>
      <c r="B17" s="193">
        <f>'[2]Atlas Air'!$HR$48</f>
        <v>0</v>
      </c>
      <c r="C17" s="133">
        <f>[2]DHL!$HR$48</f>
        <v>0</v>
      </c>
      <c r="D17" s="133">
        <f>[2]Airborne!$HR$48</f>
        <v>0</v>
      </c>
      <c r="E17" s="133">
        <f>[2]DHL_Bemidji!$HR$48</f>
        <v>0</v>
      </c>
      <c r="F17" s="471"/>
      <c r="G17" s="133">
        <f>[2]DHL_Encore!$HR$48</f>
        <v>0</v>
      </c>
      <c r="H17" s="133">
        <f>[2]Encore!$HR$48</f>
        <v>0</v>
      </c>
      <c r="I17" s="133">
        <f>[2]FedEx!$HR$48</f>
        <v>0</v>
      </c>
      <c r="J17" s="133">
        <f>[2]IFL!$HR$48</f>
        <v>0</v>
      </c>
      <c r="K17" s="133">
        <f>[2]DHL_Kalitta!$HR$48</f>
        <v>0</v>
      </c>
      <c r="L17" s="96">
        <f>'[2]Mountain Cargo'!$HR$48</f>
        <v>38751</v>
      </c>
      <c r="M17" s="133">
        <f>[2]DHL_Southair!$HR$48</f>
        <v>0</v>
      </c>
      <c r="N17" s="133">
        <f>[2]DHL_Swift!$HR$48</f>
        <v>0</v>
      </c>
      <c r="O17" s="133">
        <f>+'[2]Sun Country Cargo'!$HR$48</f>
        <v>0</v>
      </c>
      <c r="P17" s="133">
        <f>[2]UPS!$HR$48</f>
        <v>794014</v>
      </c>
      <c r="Q17" s="96">
        <f>'[2]Misc Cargo'!$HR$48</f>
        <v>0</v>
      </c>
      <c r="R17" s="404">
        <f>SUM(B17:E17)+SUM(G17:Q17)</f>
        <v>832765</v>
      </c>
      <c r="T17" s="370"/>
      <c r="U17" s="370"/>
      <c r="V17" s="231"/>
    </row>
    <row r="18" spans="1:22" ht="18" customHeight="1" x14ac:dyDescent="0.2">
      <c r="A18" s="167" t="s">
        <v>39</v>
      </c>
      <c r="B18" s="415">
        <f>SUM(B16:B17)</f>
        <v>2104024</v>
      </c>
      <c r="C18" s="237">
        <f>SUM(C16:C17)</f>
        <v>0</v>
      </c>
      <c r="D18" s="237">
        <f>SUM(D16:D17)</f>
        <v>0</v>
      </c>
      <c r="E18" s="237">
        <f>SUM(E16:E17)</f>
        <v>48782</v>
      </c>
      <c r="F18" s="471"/>
      <c r="G18" s="237">
        <f>SUM(G16:G17)</f>
        <v>0</v>
      </c>
      <c r="H18" s="237">
        <f>SUM(H16:H17)</f>
        <v>0</v>
      </c>
      <c r="I18" s="237">
        <f>SUM(I16:I17)</f>
        <v>7061826</v>
      </c>
      <c r="J18" s="237">
        <f>SUM(J16:J17)</f>
        <v>40577</v>
      </c>
      <c r="K18" s="237">
        <f t="shared" ref="K18:Q18" si="7">SUM(K16:K17)</f>
        <v>0</v>
      </c>
      <c r="L18" s="238">
        <f t="shared" si="7"/>
        <v>38751</v>
      </c>
      <c r="M18" s="237">
        <f t="shared" si="7"/>
        <v>0</v>
      </c>
      <c r="N18" s="237">
        <f t="shared" si="7"/>
        <v>883434</v>
      </c>
      <c r="O18" s="237">
        <f t="shared" si="7"/>
        <v>2227648</v>
      </c>
      <c r="P18" s="237">
        <f t="shared" si="7"/>
        <v>6604906</v>
      </c>
      <c r="Q18" s="238">
        <f t="shared" si="7"/>
        <v>0</v>
      </c>
      <c r="R18" s="416">
        <f>SUM(B18:D18)+SUM(G18:Q18)</f>
        <v>18961166</v>
      </c>
      <c r="T18" s="370"/>
      <c r="U18" s="370"/>
      <c r="V18" s="231"/>
    </row>
    <row r="19" spans="1:22" x14ac:dyDescent="0.2">
      <c r="A19" s="38"/>
      <c r="B19" s="193"/>
      <c r="C19" s="133"/>
      <c r="D19" s="133"/>
      <c r="E19" s="133"/>
      <c r="F19" s="471"/>
      <c r="G19" s="133"/>
      <c r="H19" s="133"/>
      <c r="I19" s="133"/>
      <c r="J19" s="133"/>
      <c r="K19" s="133"/>
      <c r="L19" s="96"/>
      <c r="M19" s="133"/>
      <c r="N19" s="133"/>
      <c r="O19" s="133"/>
      <c r="P19" s="133"/>
      <c r="Q19" s="96"/>
      <c r="R19" s="404"/>
      <c r="T19" s="348"/>
      <c r="U19" s="370"/>
      <c r="V19" s="231"/>
    </row>
    <row r="20" spans="1:22" x14ac:dyDescent="0.2">
      <c r="A20" s="166" t="s">
        <v>87</v>
      </c>
      <c r="B20" s="193"/>
      <c r="C20" s="133"/>
      <c r="D20" s="133"/>
      <c r="E20" s="133"/>
      <c r="F20" s="471"/>
      <c r="G20" s="133"/>
      <c r="H20" s="133"/>
      <c r="I20" s="133"/>
      <c r="J20" s="133"/>
      <c r="K20" s="133"/>
      <c r="L20" s="96"/>
      <c r="M20" s="133"/>
      <c r="N20" s="133"/>
      <c r="O20" s="133"/>
      <c r="P20" s="133"/>
      <c r="Q20" s="96"/>
      <c r="R20" s="404"/>
      <c r="T20" s="348"/>
      <c r="U20" s="370"/>
      <c r="V20" s="231"/>
    </row>
    <row r="21" spans="1:22" x14ac:dyDescent="0.2">
      <c r="A21" s="38" t="s">
        <v>59</v>
      </c>
      <c r="B21" s="193">
        <f>'[2]Atlas Air'!$HR$52</f>
        <v>1029964</v>
      </c>
      <c r="C21" s="133">
        <f>[2]DHL!$HR$52+[2]DHL_Atlas!$HR$52</f>
        <v>0</v>
      </c>
      <c r="D21" s="133">
        <f>[2]Airborne!$HR$52</f>
        <v>0</v>
      </c>
      <c r="E21" s="133">
        <f>[2]DHL_Bemidji!$HR$52</f>
        <v>67910</v>
      </c>
      <c r="F21" s="471"/>
      <c r="G21" s="133">
        <f>[2]DHL_Encore!$HR$52</f>
        <v>0</v>
      </c>
      <c r="H21" s="133">
        <f>[2]Encore!$HR$52</f>
        <v>0</v>
      </c>
      <c r="I21" s="133">
        <f>[2]FedEx!$HR$52</f>
        <v>6138666</v>
      </c>
      <c r="J21" s="133">
        <f>[2]IFL!$HR$52</f>
        <v>0</v>
      </c>
      <c r="K21" s="133">
        <f>[2]DHL_Kalitta!$HR$52</f>
        <v>0</v>
      </c>
      <c r="L21" s="96">
        <f>'[2]Mountain Cargo'!$HR$52</f>
        <v>0</v>
      </c>
      <c r="M21" s="133">
        <f>[2]DHL_Southair!$HR$52</f>
        <v>0</v>
      </c>
      <c r="N21" s="133">
        <f>[2]DHL_Swift!$HR$52</f>
        <v>444805</v>
      </c>
      <c r="O21" s="133">
        <f>+'[2]Sun Country Cargo'!$HR$52</f>
        <v>1020227</v>
      </c>
      <c r="P21" s="133">
        <f>[2]UPS!$HR$52</f>
        <v>5031495</v>
      </c>
      <c r="Q21" s="96">
        <f>'[2]Misc Cargo'!$HR$52</f>
        <v>0</v>
      </c>
      <c r="R21" s="404">
        <f>SUM(B21:E21)+SUM(G21:Q21)</f>
        <v>13733067</v>
      </c>
      <c r="T21" s="370"/>
      <c r="U21" s="370"/>
      <c r="V21" s="231"/>
    </row>
    <row r="22" spans="1:22" x14ac:dyDescent="0.2">
      <c r="A22" s="38" t="s">
        <v>60</v>
      </c>
      <c r="B22" s="193">
        <f>'[2]Atlas Air'!$HR$53</f>
        <v>0</v>
      </c>
      <c r="C22" s="133">
        <f>[2]DHL!$HR$53</f>
        <v>0</v>
      </c>
      <c r="D22" s="133">
        <f>[2]Airborne!$HR$53</f>
        <v>0</v>
      </c>
      <c r="E22" s="133">
        <f>[2]DHL_Bemidji!$HR$53</f>
        <v>0</v>
      </c>
      <c r="F22" s="471"/>
      <c r="G22" s="133">
        <f>[2]DHL_Encore!$HR$53</f>
        <v>0</v>
      </c>
      <c r="H22" s="133">
        <f>[2]Encore!$HR$53</f>
        <v>0</v>
      </c>
      <c r="I22" s="133">
        <f>[2]FedEx!$HR$53</f>
        <v>0</v>
      </c>
      <c r="J22" s="133">
        <f>[2]IFL!$HR$53</f>
        <v>0</v>
      </c>
      <c r="K22" s="133">
        <f>[2]DHL_Kalitta!$HR$53</f>
        <v>0</v>
      </c>
      <c r="L22" s="96">
        <f>'[2]Mountain Cargo'!$HR$53</f>
        <v>91277</v>
      </c>
      <c r="M22" s="133">
        <f>[2]DHL_Southair!$HR$53</f>
        <v>0</v>
      </c>
      <c r="N22" s="133">
        <f>[2]DHL_Swift!$HR$53</f>
        <v>0</v>
      </c>
      <c r="O22" s="133">
        <f>+'[2]Sun Country Cargo'!$HR$53</f>
        <v>0</v>
      </c>
      <c r="P22" s="133">
        <f>[2]UPS!$HR$53</f>
        <v>491122</v>
      </c>
      <c r="Q22" s="96">
        <f>'[2]Misc Cargo'!$HR$53</f>
        <v>0</v>
      </c>
      <c r="R22" s="404">
        <f>SUM(B22:E22)+SUM(G22:Q22)</f>
        <v>582399</v>
      </c>
      <c r="T22" s="370"/>
      <c r="U22" s="370"/>
      <c r="V22" s="231"/>
    </row>
    <row r="23" spans="1:22" ht="18" customHeight="1" x14ac:dyDescent="0.2">
      <c r="A23" s="167" t="s">
        <v>41</v>
      </c>
      <c r="B23" s="415">
        <f>SUM(B21:B22)</f>
        <v>1029964</v>
      </c>
      <c r="C23" s="237">
        <f>SUM(C21:C22)</f>
        <v>0</v>
      </c>
      <c r="D23" s="237">
        <f t="shared" ref="D23:E23" si="8">SUM(D21:D22)</f>
        <v>0</v>
      </c>
      <c r="E23" s="237">
        <f t="shared" si="8"/>
        <v>67910</v>
      </c>
      <c r="F23" s="471"/>
      <c r="G23" s="237">
        <f t="shared" ref="G23:Q23" si="9">SUM(G21:G22)</f>
        <v>0</v>
      </c>
      <c r="H23" s="237">
        <f t="shared" si="9"/>
        <v>0</v>
      </c>
      <c r="I23" s="237">
        <f t="shared" si="9"/>
        <v>6138666</v>
      </c>
      <c r="J23" s="237">
        <f t="shared" si="9"/>
        <v>0</v>
      </c>
      <c r="K23" s="237">
        <f t="shared" si="9"/>
        <v>0</v>
      </c>
      <c r="L23" s="238">
        <f t="shared" si="9"/>
        <v>91277</v>
      </c>
      <c r="M23" s="237">
        <f t="shared" si="9"/>
        <v>0</v>
      </c>
      <c r="N23" s="237">
        <f t="shared" si="9"/>
        <v>444805</v>
      </c>
      <c r="O23" s="237">
        <f t="shared" si="9"/>
        <v>1020227</v>
      </c>
      <c r="P23" s="237">
        <f t="shared" si="9"/>
        <v>5522617</v>
      </c>
      <c r="Q23" s="238">
        <f t="shared" si="9"/>
        <v>0</v>
      </c>
      <c r="R23" s="416">
        <f>SUM(B23:D23)+SUM(G23:Q23)</f>
        <v>14247556</v>
      </c>
      <c r="T23" s="370"/>
      <c r="U23" s="370"/>
      <c r="V23" s="231"/>
    </row>
    <row r="24" spans="1:22" x14ac:dyDescent="0.2">
      <c r="A24" s="38"/>
      <c r="B24" s="193"/>
      <c r="C24" s="133"/>
      <c r="D24" s="133"/>
      <c r="E24" s="133"/>
      <c r="F24" s="471"/>
      <c r="G24" s="133"/>
      <c r="H24" s="133"/>
      <c r="I24" s="133"/>
      <c r="J24" s="133"/>
      <c r="K24" s="133"/>
      <c r="L24" s="96"/>
      <c r="M24" s="133"/>
      <c r="N24" s="133"/>
      <c r="O24" s="133"/>
      <c r="P24" s="133"/>
      <c r="Q24" s="96"/>
      <c r="R24" s="404"/>
      <c r="T24" s="370"/>
      <c r="U24" s="370"/>
      <c r="V24" s="231"/>
    </row>
    <row r="25" spans="1:22" x14ac:dyDescent="0.2">
      <c r="A25" s="166" t="s">
        <v>94</v>
      </c>
      <c r="B25" s="193"/>
      <c r="C25" s="133"/>
      <c r="D25" s="133"/>
      <c r="E25" s="133"/>
      <c r="F25" s="471"/>
      <c r="G25" s="133"/>
      <c r="H25" s="133"/>
      <c r="I25" s="133"/>
      <c r="J25" s="133"/>
      <c r="K25" s="133"/>
      <c r="L25" s="96"/>
      <c r="M25" s="133"/>
      <c r="N25" s="133"/>
      <c r="O25" s="133"/>
      <c r="P25" s="133"/>
      <c r="Q25" s="96"/>
      <c r="R25" s="404"/>
      <c r="T25" s="370"/>
      <c r="U25" s="370"/>
      <c r="V25" s="231"/>
    </row>
    <row r="26" spans="1:22" x14ac:dyDescent="0.2">
      <c r="A26" s="38" t="s">
        <v>59</v>
      </c>
      <c r="B26" s="193">
        <f>'[2]Atlas Air'!$HR$57</f>
        <v>0</v>
      </c>
      <c r="C26" s="133">
        <f>[2]DHL!$HR$57</f>
        <v>0</v>
      </c>
      <c r="D26" s="133">
        <f>[2]Airborne!$HR$57</f>
        <v>0</v>
      </c>
      <c r="E26" s="133">
        <f>[2]DHL_Bemidji!$HR$57</f>
        <v>0</v>
      </c>
      <c r="F26" s="471"/>
      <c r="G26" s="133">
        <f>[2]DHL_Encore!$HR$57</f>
        <v>0</v>
      </c>
      <c r="H26" s="133">
        <f>[2]Encore!$HR$57</f>
        <v>0</v>
      </c>
      <c r="I26" s="133">
        <f>[2]FedEx!$HR$57</f>
        <v>0</v>
      </c>
      <c r="J26" s="133">
        <f>[2]IFL!$HR$57</f>
        <v>0</v>
      </c>
      <c r="K26" s="133">
        <f>[2]DHL_Kalitta!$HR$57</f>
        <v>0</v>
      </c>
      <c r="L26" s="96">
        <f>'[2]Mountain Cargo'!$HR$57</f>
        <v>0</v>
      </c>
      <c r="M26" s="133">
        <f>[2]DHL_Southair!$HR$57</f>
        <v>0</v>
      </c>
      <c r="N26" s="133">
        <f>[2]DHL_Swift!$HR$57</f>
        <v>0</v>
      </c>
      <c r="O26" s="133">
        <f>+'[2]Sun Country Cargo'!$HR$57</f>
        <v>0</v>
      </c>
      <c r="P26" s="133">
        <f>[2]UPS!$HR$57</f>
        <v>0</v>
      </c>
      <c r="Q26" s="96">
        <f>'[2]Misc Cargo'!$HR$57</f>
        <v>0</v>
      </c>
      <c r="R26" s="404">
        <f>SUM(B26:D26)+SUM(G26:Q26)</f>
        <v>0</v>
      </c>
      <c r="T26" s="370"/>
      <c r="U26" s="370"/>
      <c r="V26" s="370"/>
    </row>
    <row r="27" spans="1:22" x14ac:dyDescent="0.2">
      <c r="A27" s="38" t="s">
        <v>60</v>
      </c>
      <c r="B27" s="193">
        <f>'[2]Atlas Air'!$HR$58</f>
        <v>0</v>
      </c>
      <c r="C27" s="133">
        <f>[2]DHL!$HR$58</f>
        <v>0</v>
      </c>
      <c r="D27" s="133">
        <f>[2]Airborne!$HR$58</f>
        <v>0</v>
      </c>
      <c r="E27" s="133">
        <f>[2]DHL_Bemidji!$HR$58</f>
        <v>0</v>
      </c>
      <c r="F27" s="471"/>
      <c r="G27" s="133">
        <f>[2]DHL_Encore!$HR$58</f>
        <v>0</v>
      </c>
      <c r="H27" s="133">
        <f>[2]Encore!$HR$58</f>
        <v>0</v>
      </c>
      <c r="I27" s="133">
        <f>[2]FedEx!$HR$58</f>
        <v>0</v>
      </c>
      <c r="J27" s="133">
        <f>[2]IFL!$HR$58</f>
        <v>0</v>
      </c>
      <c r="K27" s="133">
        <f>[2]DHL_Kalitta!$HR$58</f>
        <v>0</v>
      </c>
      <c r="L27" s="96">
        <f>'[2]Mountain Cargo'!$HR$58</f>
        <v>0</v>
      </c>
      <c r="M27" s="133">
        <f>[2]DHL_Southair!$HR$58</f>
        <v>0</v>
      </c>
      <c r="N27" s="133">
        <f>[2]DHL_Swift!$HR$58</f>
        <v>0</v>
      </c>
      <c r="O27" s="133">
        <f>+'[2]Sun Country Cargo'!$HR$58</f>
        <v>0</v>
      </c>
      <c r="P27" s="133">
        <f>[2]UPS!$HR$58</f>
        <v>0</v>
      </c>
      <c r="Q27" s="96">
        <f>'[2]Misc Cargo'!$HR$58</f>
        <v>0</v>
      </c>
      <c r="R27" s="404">
        <f>SUM(B27:D27)+SUM(G27:Q27)</f>
        <v>0</v>
      </c>
      <c r="T27" s="370"/>
      <c r="U27" s="370"/>
      <c r="V27" s="231"/>
    </row>
    <row r="28" spans="1:22" ht="18" customHeight="1" x14ac:dyDescent="0.2">
      <c r="A28" s="167" t="s">
        <v>43</v>
      </c>
      <c r="B28" s="415">
        <f>SUM(B26:B27)</f>
        <v>0</v>
      </c>
      <c r="C28" s="237">
        <f>SUM(C26:C27)</f>
        <v>0</v>
      </c>
      <c r="D28" s="237">
        <f t="shared" ref="D28:E28" si="10">SUM(D26:D27)</f>
        <v>0</v>
      </c>
      <c r="E28" s="237">
        <f t="shared" si="10"/>
        <v>0</v>
      </c>
      <c r="F28" s="471"/>
      <c r="G28" s="237">
        <f t="shared" ref="G28:Q28" si="11">SUM(G26:G27)</f>
        <v>0</v>
      </c>
      <c r="H28" s="237">
        <f t="shared" si="11"/>
        <v>0</v>
      </c>
      <c r="I28" s="237">
        <f t="shared" si="11"/>
        <v>0</v>
      </c>
      <c r="J28" s="237">
        <f t="shared" si="11"/>
        <v>0</v>
      </c>
      <c r="K28" s="237">
        <f t="shared" si="11"/>
        <v>0</v>
      </c>
      <c r="L28" s="238">
        <f t="shared" si="11"/>
        <v>0</v>
      </c>
      <c r="M28" s="237">
        <f t="shared" si="11"/>
        <v>0</v>
      </c>
      <c r="N28" s="237">
        <f t="shared" si="11"/>
        <v>0</v>
      </c>
      <c r="O28" s="237">
        <f t="shared" si="11"/>
        <v>0</v>
      </c>
      <c r="P28" s="237">
        <f t="shared" si="11"/>
        <v>0</v>
      </c>
      <c r="Q28" s="238">
        <f t="shared" si="11"/>
        <v>0</v>
      </c>
      <c r="R28" s="416">
        <f>SUM(B28:D28)+SUM(G28:Q28)</f>
        <v>0</v>
      </c>
      <c r="T28" s="370"/>
      <c r="U28" s="370"/>
      <c r="V28" s="370"/>
    </row>
    <row r="29" spans="1:22" x14ac:dyDescent="0.2">
      <c r="A29" s="38"/>
      <c r="B29" s="193"/>
      <c r="C29" s="133"/>
      <c r="D29" s="133"/>
      <c r="E29" s="133"/>
      <c r="F29" s="471"/>
      <c r="G29" s="133"/>
      <c r="H29" s="133"/>
      <c r="I29" s="133"/>
      <c r="J29" s="133"/>
      <c r="K29" s="133"/>
      <c r="L29" s="96"/>
      <c r="M29" s="133"/>
      <c r="N29" s="133"/>
      <c r="O29" s="133"/>
      <c r="P29" s="133"/>
      <c r="Q29" s="96"/>
      <c r="R29" s="404"/>
      <c r="T29" s="370"/>
      <c r="U29" s="370"/>
      <c r="V29" s="370"/>
    </row>
    <row r="30" spans="1:22" x14ac:dyDescent="0.2">
      <c r="A30" s="168" t="s">
        <v>44</v>
      </c>
      <c r="B30" s="193"/>
      <c r="C30" s="133"/>
      <c r="D30" s="133"/>
      <c r="E30" s="133"/>
      <c r="F30" s="471"/>
      <c r="G30" s="133"/>
      <c r="H30" s="133"/>
      <c r="I30" s="133"/>
      <c r="J30" s="133"/>
      <c r="K30" s="133"/>
      <c r="L30" s="96"/>
      <c r="M30" s="133"/>
      <c r="N30" s="133"/>
      <c r="O30" s="133"/>
      <c r="P30" s="133"/>
      <c r="Q30" s="96"/>
      <c r="R30" s="404"/>
      <c r="T30" s="370"/>
      <c r="U30" s="370"/>
      <c r="V30" s="370"/>
    </row>
    <row r="31" spans="1:22" x14ac:dyDescent="0.2">
      <c r="A31" s="38" t="s">
        <v>88</v>
      </c>
      <c r="B31" s="193">
        <f>B26+B21+B16</f>
        <v>3133988</v>
      </c>
      <c r="C31" s="133">
        <f t="shared" ref="C31:Q33" si="12">C26+C21+C16</f>
        <v>0</v>
      </c>
      <c r="D31" s="133">
        <f t="shared" si="12"/>
        <v>0</v>
      </c>
      <c r="E31" s="133">
        <f t="shared" si="12"/>
        <v>116692</v>
      </c>
      <c r="F31" s="471"/>
      <c r="G31" s="133">
        <f t="shared" ref="G31:O33" si="13">G26+G21+G16</f>
        <v>0</v>
      </c>
      <c r="H31" s="133">
        <f t="shared" si="13"/>
        <v>0</v>
      </c>
      <c r="I31" s="133">
        <f t="shared" si="13"/>
        <v>13200492</v>
      </c>
      <c r="J31" s="133">
        <f t="shared" si="13"/>
        <v>40577</v>
      </c>
      <c r="K31" s="133">
        <f t="shared" si="13"/>
        <v>0</v>
      </c>
      <c r="L31" s="96">
        <f>L26+L21+L16</f>
        <v>0</v>
      </c>
      <c r="M31" s="133">
        <f t="shared" si="13"/>
        <v>0</v>
      </c>
      <c r="N31" s="133">
        <f t="shared" si="13"/>
        <v>1328239</v>
      </c>
      <c r="O31" s="133">
        <f t="shared" si="13"/>
        <v>3247875</v>
      </c>
      <c r="P31" s="133">
        <f t="shared" si="12"/>
        <v>10842387</v>
      </c>
      <c r="Q31" s="96">
        <f>Q26+Q21+Q16</f>
        <v>0</v>
      </c>
      <c r="R31" s="404">
        <f>SUM(B31:E31)+SUM(G31:Q31)</f>
        <v>31910250</v>
      </c>
    </row>
    <row r="32" spans="1:22" x14ac:dyDescent="0.2">
      <c r="A32" s="38" t="s">
        <v>60</v>
      </c>
      <c r="B32" s="193">
        <f>B27+B22+B17</f>
        <v>0</v>
      </c>
      <c r="C32" s="133">
        <f t="shared" si="12"/>
        <v>0</v>
      </c>
      <c r="D32" s="133">
        <f t="shared" si="12"/>
        <v>0</v>
      </c>
      <c r="E32" s="133">
        <f t="shared" si="12"/>
        <v>0</v>
      </c>
      <c r="F32" s="472"/>
      <c r="G32" s="133">
        <f t="shared" si="13"/>
        <v>0</v>
      </c>
      <c r="H32" s="133">
        <f t="shared" si="13"/>
        <v>0</v>
      </c>
      <c r="I32" s="133">
        <f t="shared" si="13"/>
        <v>0</v>
      </c>
      <c r="J32" s="133">
        <f t="shared" si="13"/>
        <v>0</v>
      </c>
      <c r="K32" s="133">
        <f t="shared" si="13"/>
        <v>0</v>
      </c>
      <c r="L32" s="96">
        <f>L27+L22+L17</f>
        <v>130028</v>
      </c>
      <c r="M32" s="133">
        <f t="shared" si="13"/>
        <v>0</v>
      </c>
      <c r="N32" s="133">
        <f t="shared" si="13"/>
        <v>0</v>
      </c>
      <c r="O32" s="133">
        <f t="shared" si="13"/>
        <v>0</v>
      </c>
      <c r="P32" s="133">
        <f t="shared" si="12"/>
        <v>1285136</v>
      </c>
      <c r="Q32" s="96">
        <f>Q27+Q22+Q17</f>
        <v>0</v>
      </c>
      <c r="R32" s="404">
        <f>SUM(B32:E32)+SUM(G32:Q32)</f>
        <v>1415164</v>
      </c>
    </row>
    <row r="33" spans="1:18" ht="18" customHeight="1" thickBot="1" x14ac:dyDescent="0.25">
      <c r="A33" s="161" t="s">
        <v>46</v>
      </c>
      <c r="B33" s="409">
        <f>B28+B23+B18</f>
        <v>3133988</v>
      </c>
      <c r="C33" s="162">
        <f t="shared" ref="C33:H33" si="14">C28+C23+C18</f>
        <v>0</v>
      </c>
      <c r="D33" s="162">
        <f t="shared" si="14"/>
        <v>0</v>
      </c>
      <c r="E33" s="162">
        <f t="shared" si="14"/>
        <v>116692</v>
      </c>
      <c r="F33" s="239">
        <f t="shared" si="14"/>
        <v>0</v>
      </c>
      <c r="G33" s="162">
        <f t="shared" si="14"/>
        <v>0</v>
      </c>
      <c r="H33" s="162">
        <f t="shared" si="14"/>
        <v>0</v>
      </c>
      <c r="I33" s="162">
        <f t="shared" si="13"/>
        <v>13200492</v>
      </c>
      <c r="J33" s="162">
        <f t="shared" si="13"/>
        <v>40577</v>
      </c>
      <c r="K33" s="162">
        <f t="shared" si="13"/>
        <v>0</v>
      </c>
      <c r="L33" s="163">
        <f>L28+L23+L18</f>
        <v>130028</v>
      </c>
      <c r="M33" s="162">
        <f t="shared" si="13"/>
        <v>0</v>
      </c>
      <c r="N33" s="162">
        <f t="shared" si="13"/>
        <v>1328239</v>
      </c>
      <c r="O33" s="162">
        <f t="shared" si="12"/>
        <v>3247875</v>
      </c>
      <c r="P33" s="162">
        <f t="shared" si="12"/>
        <v>12127523</v>
      </c>
      <c r="Q33" s="163">
        <f t="shared" si="12"/>
        <v>0</v>
      </c>
      <c r="R33" s="410">
        <f>SUM(B33:E33)+SUM(G33:Q33)</f>
        <v>33325414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4" orientation="landscape" r:id="rId1"/>
  <headerFooter alignWithMargins="0">
    <oddHeader>&amp;L
Schedule 7
&amp;CMinneapolis-St. Paul International Airport
&amp;"Arial,Bold"Cargo
January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25" sqref="E2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4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8"/>
      <c r="N1" s="9"/>
      <c r="O1" s="9"/>
      <c r="P1" s="9"/>
      <c r="Q1" s="9"/>
      <c r="R1" s="9"/>
    </row>
    <row r="2" spans="1:18" s="9" customFormat="1" ht="30" customHeight="1" thickBot="1" x14ac:dyDescent="0.25">
      <c r="A2" s="443">
        <v>44562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243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8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2152991</v>
      </c>
      <c r="C5" s="96">
        <f>'Regional Major'!M25</f>
        <v>1655</v>
      </c>
      <c r="D5" s="96">
        <f>Cargo!R16</f>
        <v>18177183</v>
      </c>
      <c r="E5" s="96">
        <f>SUM(B5:D5)</f>
        <v>20331829</v>
      </c>
      <c r="F5" s="96">
        <f>E5*0.00045359237</f>
        <v>9222.3625025447291</v>
      </c>
      <c r="G5" s="96">
        <f>'[1]Cargo Summary'!F5</f>
        <v>7577.4392562437797</v>
      </c>
      <c r="H5" s="78">
        <f>(F5-G5)/G5</f>
        <v>0.21708168032433109</v>
      </c>
      <c r="I5" s="96">
        <f>+F5</f>
        <v>9222.3625025447291</v>
      </c>
      <c r="J5" s="96">
        <f>+G5</f>
        <v>7577.4392562437797</v>
      </c>
      <c r="K5" s="66">
        <f>(I5-J5)/J5</f>
        <v>0.21708168032433109</v>
      </c>
      <c r="M5" s="14"/>
      <c r="O5" s="447"/>
    </row>
    <row r="6" spans="1:18" x14ac:dyDescent="0.2">
      <c r="A6" s="46" t="s">
        <v>16</v>
      </c>
      <c r="B6" s="140">
        <f>'Major Airline Stats'!K29</f>
        <v>1388213</v>
      </c>
      <c r="C6" s="96">
        <f>'Regional Major'!M26</f>
        <v>0</v>
      </c>
      <c r="D6" s="96">
        <f>Cargo!R17</f>
        <v>832765</v>
      </c>
      <c r="E6" s="96">
        <f>SUM(B6:D6)</f>
        <v>2220978</v>
      </c>
      <c r="F6" s="96">
        <f>E6*0.00045359237</f>
        <v>1007.41867473786</v>
      </c>
      <c r="G6" s="96">
        <f>'[1]Cargo Summary'!F6</f>
        <v>820.55766917739993</v>
      </c>
      <c r="H6" s="3">
        <f>(F6-G6)/G6</f>
        <v>0.22772440326806789</v>
      </c>
      <c r="I6" s="96">
        <f>+F6</f>
        <v>1007.41867473786</v>
      </c>
      <c r="J6" s="96">
        <f>+G6</f>
        <v>820.55766917739993</v>
      </c>
      <c r="K6" s="66">
        <f>(I6-J6)/J6</f>
        <v>0.22772440326806789</v>
      </c>
      <c r="M6" s="14"/>
    </row>
    <row r="7" spans="1:18" ht="18" customHeight="1" thickBot="1" x14ac:dyDescent="0.25">
      <c r="A7" s="55" t="s">
        <v>71</v>
      </c>
      <c r="B7" s="142">
        <f>SUM(B5:B6)</f>
        <v>3541204</v>
      </c>
      <c r="C7" s="106">
        <f t="shared" ref="C7:J7" si="0">SUM(C5:C6)</f>
        <v>1655</v>
      </c>
      <c r="D7" s="106">
        <f t="shared" si="0"/>
        <v>19009948</v>
      </c>
      <c r="E7" s="106">
        <f t="shared" si="0"/>
        <v>22552807</v>
      </c>
      <c r="F7" s="106">
        <f t="shared" si="0"/>
        <v>10229.78117728259</v>
      </c>
      <c r="G7" s="106">
        <f t="shared" si="0"/>
        <v>8397.9969254211792</v>
      </c>
      <c r="H7" s="29">
        <f>(F7-G7)/G7</f>
        <v>0.21812156733667087</v>
      </c>
      <c r="I7" s="106">
        <f t="shared" si="0"/>
        <v>10229.78117728259</v>
      </c>
      <c r="J7" s="106">
        <f t="shared" si="0"/>
        <v>8397.9969254211792</v>
      </c>
      <c r="K7" s="252">
        <f>(I7-J7)/J7</f>
        <v>0.21812156733667087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1187680</v>
      </c>
      <c r="C10" s="96">
        <f>'Regional Major'!M30</f>
        <v>217</v>
      </c>
      <c r="D10" s="96">
        <f>Cargo!R21</f>
        <v>13733067</v>
      </c>
      <c r="E10" s="96">
        <f>SUM(B10:D10)</f>
        <v>14920964</v>
      </c>
      <c r="F10" s="96">
        <f>E10*0.00045359237</f>
        <v>6768.0354234446795</v>
      </c>
      <c r="G10" s="96">
        <f>'[1]Cargo Summary'!F10</f>
        <v>6766.9771924454699</v>
      </c>
      <c r="H10" s="3">
        <f>(F10-G10)/G10</f>
        <v>1.5638164118404551E-4</v>
      </c>
      <c r="I10" s="96">
        <f>+F10</f>
        <v>6768.0354234446795</v>
      </c>
      <c r="J10" s="96">
        <f>+G10</f>
        <v>6766.9771924454699</v>
      </c>
      <c r="K10" s="66">
        <f>(I10-J10)/J10</f>
        <v>1.5638164118404551E-4</v>
      </c>
      <c r="M10" s="14"/>
      <c r="O10" s="447"/>
    </row>
    <row r="11" spans="1:18" x14ac:dyDescent="0.2">
      <c r="A11" s="46" t="s">
        <v>16</v>
      </c>
      <c r="B11" s="140">
        <f>'Major Airline Stats'!K34</f>
        <v>1378460</v>
      </c>
      <c r="C11" s="96">
        <f>'Regional Major'!M31</f>
        <v>4792</v>
      </c>
      <c r="D11" s="96">
        <f>Cargo!R22</f>
        <v>582399</v>
      </c>
      <c r="E11" s="96">
        <f>SUM(B11:D11)</f>
        <v>1965651</v>
      </c>
      <c r="F11" s="96">
        <f>E11*0.00045359237</f>
        <v>891.60429568286997</v>
      </c>
      <c r="G11" s="96">
        <f>'[1]Cargo Summary'!F11</f>
        <v>982.53459731965995</v>
      </c>
      <c r="H11" s="26">
        <f>(F11-G11)/G11</f>
        <v>-9.2546666432761257E-2</v>
      </c>
      <c r="I11" s="96">
        <f>+F11</f>
        <v>891.60429568286997</v>
      </c>
      <c r="J11" s="96">
        <f>+G11</f>
        <v>982.53459731965995</v>
      </c>
      <c r="K11" s="66">
        <f>(I11-J11)/J11</f>
        <v>-9.2546666432761257E-2</v>
      </c>
      <c r="M11" s="14"/>
    </row>
    <row r="12" spans="1:18" ht="18" customHeight="1" thickBot="1" x14ac:dyDescent="0.25">
      <c r="A12" s="55" t="s">
        <v>72</v>
      </c>
      <c r="B12" s="142">
        <f>SUM(B10:B11)</f>
        <v>2566140</v>
      </c>
      <c r="C12" s="106">
        <f t="shared" ref="C12:J12" si="1">SUM(C10:C11)</f>
        <v>5009</v>
      </c>
      <c r="D12" s="106">
        <f t="shared" si="1"/>
        <v>14315466</v>
      </c>
      <c r="E12" s="106">
        <f t="shared" si="1"/>
        <v>16886615</v>
      </c>
      <c r="F12" s="106">
        <f t="shared" si="1"/>
        <v>7659.6397191275491</v>
      </c>
      <c r="G12" s="106">
        <f t="shared" si="1"/>
        <v>7749.5117897651298</v>
      </c>
      <c r="H12" s="29">
        <f>(F12-G12)/G12</f>
        <v>-1.1597126770782616E-2</v>
      </c>
      <c r="I12" s="106">
        <f>SUM(I10:I11)</f>
        <v>7659.6397191275491</v>
      </c>
      <c r="J12" s="106">
        <f t="shared" si="1"/>
        <v>7749.5117897651298</v>
      </c>
      <c r="K12" s="252">
        <f>(I12-J12)/J12</f>
        <v>-1.1597126770782616E-2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Cargo!R26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</f>
        <v>0</v>
      </c>
      <c r="J15" s="96">
        <f>+G15</f>
        <v>0</v>
      </c>
      <c r="K15" s="66" t="e">
        <f>(I15-J15)/J15</f>
        <v>#DIV/0!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Cargo!R27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</f>
        <v>0</v>
      </c>
      <c r="J16" s="96">
        <f>+G16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</v>
      </c>
      <c r="K17" s="252" t="e">
        <f>(I17-J17)/J17</f>
        <v>#DIV/0!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 t="shared" ref="B20:D21" si="3">B15+B10+B5</f>
        <v>3340671</v>
      </c>
      <c r="C20" s="96">
        <f t="shared" si="3"/>
        <v>1872</v>
      </c>
      <c r="D20" s="96">
        <f t="shared" si="3"/>
        <v>31910250</v>
      </c>
      <c r="E20" s="96">
        <f>SUM(B20:D20)</f>
        <v>35252793</v>
      </c>
      <c r="F20" s="96">
        <f>E20*0.00045359237</f>
        <v>15990.397925989409</v>
      </c>
      <c r="G20" s="96">
        <f>'[1]Cargo Summary'!F20</f>
        <v>14344.41644868925</v>
      </c>
      <c r="H20" s="3">
        <f>(F20-G20)/G20</f>
        <v>0.11474718983431109</v>
      </c>
      <c r="I20" s="96">
        <f>+F20</f>
        <v>15990.397925989409</v>
      </c>
      <c r="J20" s="96">
        <f>+G20</f>
        <v>14344.41644868925</v>
      </c>
      <c r="K20" s="66">
        <f>(I20-J20)/J20</f>
        <v>0.11474718983431109</v>
      </c>
      <c r="M20" s="14"/>
    </row>
    <row r="21" spans="1:13" x14ac:dyDescent="0.2">
      <c r="A21" s="46" t="s">
        <v>16</v>
      </c>
      <c r="B21" s="140">
        <f t="shared" si="3"/>
        <v>2766673</v>
      </c>
      <c r="C21" s="97">
        <f t="shared" si="3"/>
        <v>4792</v>
      </c>
      <c r="D21" s="97">
        <f t="shared" si="3"/>
        <v>1415164</v>
      </c>
      <c r="E21" s="96">
        <f>SUM(B21:D21)</f>
        <v>4186629</v>
      </c>
      <c r="F21" s="96">
        <f>E21*0.00045359237</f>
        <v>1899.02297042073</v>
      </c>
      <c r="G21" s="96">
        <f>'[1]Cargo Summary'!F21</f>
        <v>1803.0922664970599</v>
      </c>
      <c r="H21" s="3">
        <f>(F21-G21)/G21</f>
        <v>5.3203435956185721E-2</v>
      </c>
      <c r="I21" s="96">
        <f>+F21</f>
        <v>1899.02297042073</v>
      </c>
      <c r="J21" s="96">
        <f>+G21</f>
        <v>1803.0922664970599</v>
      </c>
      <c r="K21" s="66">
        <f>(I21-J21)/J21</f>
        <v>5.3203435956185721E-2</v>
      </c>
      <c r="M21" s="14"/>
    </row>
    <row r="22" spans="1:13" ht="18" customHeight="1" thickBot="1" x14ac:dyDescent="0.25">
      <c r="A22" s="68" t="s">
        <v>62</v>
      </c>
      <c r="B22" s="143">
        <f>SUM(B20:B21)</f>
        <v>6107344</v>
      </c>
      <c r="C22" s="144">
        <f t="shared" ref="C22:J22" si="4">SUM(C20:C21)</f>
        <v>6664</v>
      </c>
      <c r="D22" s="144">
        <f t="shared" si="4"/>
        <v>33325414</v>
      </c>
      <c r="E22" s="144">
        <f t="shared" si="4"/>
        <v>39439422</v>
      </c>
      <c r="F22" s="144">
        <f t="shared" si="4"/>
        <v>17889.420896410138</v>
      </c>
      <c r="G22" s="144">
        <f t="shared" si="4"/>
        <v>16147.50871518631</v>
      </c>
      <c r="H22" s="258">
        <f>(F22-G22)/G22</f>
        <v>0.10787498009433526</v>
      </c>
      <c r="I22" s="144">
        <f>SUM(I20:I21)</f>
        <v>17889.420896410138</v>
      </c>
      <c r="J22" s="144">
        <f t="shared" si="4"/>
        <v>16147.50871518631</v>
      </c>
      <c r="K22" s="259">
        <f>(I22-J22)/J22</f>
        <v>0.10787498009433526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H36" sqref="H36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6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1.42578125" style="173" bestFit="1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0.42578125" style="434" customWidth="1"/>
  </cols>
  <sheetData>
    <row r="1" spans="1:20" ht="13.5" thickBot="1" x14ac:dyDescent="0.25">
      <c r="F1" s="172"/>
      <c r="K1"/>
    </row>
    <row r="2" spans="1:20" s="9" customFormat="1" ht="26.25" thickBot="1" x14ac:dyDescent="0.25">
      <c r="A2" s="479" t="s">
        <v>187</v>
      </c>
      <c r="B2" s="480"/>
      <c r="C2" s="366" t="s">
        <v>244</v>
      </c>
      <c r="D2" s="367" t="s">
        <v>223</v>
      </c>
      <c r="E2" s="441" t="s">
        <v>95</v>
      </c>
      <c r="F2" s="369" t="s">
        <v>245</v>
      </c>
      <c r="G2" s="367" t="s">
        <v>224</v>
      </c>
      <c r="H2" s="442" t="s">
        <v>96</v>
      </c>
      <c r="I2" s="368" t="s">
        <v>137</v>
      </c>
      <c r="J2" s="479" t="s">
        <v>183</v>
      </c>
      <c r="K2" s="480"/>
      <c r="L2" s="366" t="s">
        <v>244</v>
      </c>
      <c r="M2" s="367" t="s">
        <v>223</v>
      </c>
      <c r="N2" s="441" t="s">
        <v>95</v>
      </c>
      <c r="O2" s="369" t="s">
        <v>245</v>
      </c>
      <c r="P2" s="367" t="s">
        <v>224</v>
      </c>
      <c r="Q2" s="442" t="s">
        <v>96</v>
      </c>
      <c r="R2" s="368" t="s">
        <v>137</v>
      </c>
      <c r="T2" s="435"/>
    </row>
    <row r="3" spans="1:20" s="9" customFormat="1" ht="13.5" customHeight="1" thickBot="1" x14ac:dyDescent="0.25">
      <c r="A3" s="481">
        <v>44562</v>
      </c>
      <c r="B3" s="482"/>
      <c r="C3" s="483" t="s">
        <v>9</v>
      </c>
      <c r="D3" s="484"/>
      <c r="E3" s="484"/>
      <c r="F3" s="484"/>
      <c r="G3" s="484"/>
      <c r="H3" s="485"/>
      <c r="I3" s="401"/>
      <c r="J3" s="481">
        <f>+A3</f>
        <v>44562</v>
      </c>
      <c r="K3" s="482"/>
      <c r="L3" s="476" t="s">
        <v>184</v>
      </c>
      <c r="M3" s="477"/>
      <c r="N3" s="477"/>
      <c r="O3" s="477"/>
      <c r="P3" s="477"/>
      <c r="Q3" s="477"/>
      <c r="R3" s="478"/>
      <c r="T3" s="435"/>
    </row>
    <row r="4" spans="1:20" x14ac:dyDescent="0.2">
      <c r="A4" s="276"/>
      <c r="B4" s="277"/>
      <c r="C4" s="278"/>
      <c r="D4" s="279"/>
      <c r="E4" s="280"/>
      <c r="F4" s="417"/>
      <c r="G4" s="279"/>
      <c r="H4" s="378"/>
      <c r="I4" s="280"/>
      <c r="J4" s="281"/>
      <c r="K4" s="277"/>
      <c r="L4" s="288"/>
      <c r="N4" s="66"/>
      <c r="O4" s="38"/>
      <c r="R4" s="40"/>
    </row>
    <row r="5" spans="1:20" ht="14.1" customHeight="1" x14ac:dyDescent="0.2">
      <c r="A5" s="283" t="s">
        <v>210</v>
      </c>
      <c r="B5" s="40"/>
      <c r="C5" s="418">
        <f>SUM(C6:C7)</f>
        <v>178</v>
      </c>
      <c r="D5" s="418">
        <f>SUM(D6:D7)</f>
        <v>60</v>
      </c>
      <c r="E5" s="419">
        <f>(C5-D5)/D5</f>
        <v>1.9666666666666666</v>
      </c>
      <c r="F5" s="418">
        <f>SUM(F6:F7)</f>
        <v>178</v>
      </c>
      <c r="G5" s="418">
        <f>SUM(G6:G7)</f>
        <v>60</v>
      </c>
      <c r="H5" s="420">
        <f>(F5-G5)/G5</f>
        <v>1.9666666666666666</v>
      </c>
      <c r="I5" s="419">
        <f>+F5/$F$33</f>
        <v>0.13474640423921272</v>
      </c>
      <c r="J5" s="283" t="s">
        <v>210</v>
      </c>
      <c r="K5" s="40"/>
      <c r="L5" s="418">
        <f>SUM(L6:L7)</f>
        <v>6381863</v>
      </c>
      <c r="M5" s="418">
        <f>SUM(M6:M7)</f>
        <v>1472380</v>
      </c>
      <c r="N5" s="419">
        <f>(L5-M5)/M5</f>
        <v>3.3343858243116586</v>
      </c>
      <c r="O5" s="418">
        <f>SUM(O6:O7)</f>
        <v>6381863</v>
      </c>
      <c r="P5" s="418">
        <f>SUM(P6:P7)</f>
        <v>1472380</v>
      </c>
      <c r="Q5" s="420">
        <f>(O5-P5)/P5</f>
        <v>3.3343858243116586</v>
      </c>
      <c r="R5" s="419">
        <f>O5/$O$33</f>
        <v>0.19150138689949958</v>
      </c>
    </row>
    <row r="6" spans="1:20" ht="14.1" customHeight="1" x14ac:dyDescent="0.2">
      <c r="A6" s="38"/>
      <c r="B6" s="343" t="s">
        <v>211</v>
      </c>
      <c r="C6" s="347">
        <f>+'[2]Atlas Air'!$HR$19</f>
        <v>58</v>
      </c>
      <c r="D6" s="231">
        <f>+'[2]Atlas Air'!$HD$19</f>
        <v>0</v>
      </c>
      <c r="E6" s="349" t="e">
        <f>(C6-D6)/D6</f>
        <v>#DIV/0!</v>
      </c>
      <c r="F6" s="347">
        <f>+SUM('[2]Atlas Air'!$HR$19:$HR$19)</f>
        <v>58</v>
      </c>
      <c r="G6" s="231">
        <f>+SUM('[2]Atlas Air'!$HD$19:$HD$19)</f>
        <v>0</v>
      </c>
      <c r="H6" s="348" t="e">
        <f>(F6-G6)/G6</f>
        <v>#DIV/0!</v>
      </c>
      <c r="I6" s="349">
        <f>+F6/$F$33</f>
        <v>4.3906131718395157E-2</v>
      </c>
      <c r="J6" s="38"/>
      <c r="K6" s="343" t="s">
        <v>211</v>
      </c>
      <c r="L6" s="347">
        <f>+'[2]Atlas Air'!$HR$64</f>
        <v>3133988</v>
      </c>
      <c r="M6" s="231">
        <f>+'[2]Atlas Air'!$HD$64</f>
        <v>0</v>
      </c>
      <c r="N6" s="349" t="e">
        <f>(L6-M6)/M6</f>
        <v>#DIV/0!</v>
      </c>
      <c r="O6" s="231">
        <f>+SUM('[2]Atlas Air'!$HR$64:$HR$64)</f>
        <v>3133988</v>
      </c>
      <c r="P6" s="231">
        <f>+SUM('[2]Atlas Air'!$HD$64:$HD$64)</f>
        <v>0</v>
      </c>
      <c r="Q6" s="348" t="e">
        <f>(O6-P6)/P6</f>
        <v>#DIV/0!</v>
      </c>
      <c r="R6" s="349">
        <f>O6/$O$33</f>
        <v>9.4041982494200968E-2</v>
      </c>
    </row>
    <row r="7" spans="1:20" ht="14.1" customHeight="1" x14ac:dyDescent="0.2">
      <c r="A7" s="38"/>
      <c r="B7" s="343" t="s">
        <v>49</v>
      </c>
      <c r="C7" s="347">
        <f>+'[2]Sun Country Cargo'!$HR$19</f>
        <v>120</v>
      </c>
      <c r="D7" s="231">
        <f>+'[2]Sun Country Cargo'!$HD$19</f>
        <v>60</v>
      </c>
      <c r="E7" s="349">
        <f>(C7-D7)/D7</f>
        <v>1</v>
      </c>
      <c r="F7" s="347">
        <f>+SUM('[2]Sun Country Cargo'!$HR$19:$HR$19)</f>
        <v>120</v>
      </c>
      <c r="G7" s="231">
        <f>+SUM('[2]Sun Country Cargo'!$HD$19:$HD$19)</f>
        <v>60</v>
      </c>
      <c r="H7" s="348">
        <f>(F7-G7)/G7</f>
        <v>1</v>
      </c>
      <c r="I7" s="349">
        <f>+F7/$F$33</f>
        <v>9.0840272520817569E-2</v>
      </c>
      <c r="J7" s="38"/>
      <c r="K7" s="343" t="s">
        <v>49</v>
      </c>
      <c r="L7" s="347">
        <f>+'[2]Sun Country Cargo'!$HR$64</f>
        <v>3247875</v>
      </c>
      <c r="M7" s="231">
        <f>+'[2]Sun Country Cargo'!$HD$64</f>
        <v>1472380</v>
      </c>
      <c r="N7" s="349">
        <f>(L7-M7)/M7</f>
        <v>1.2058673711949361</v>
      </c>
      <c r="O7" s="231">
        <f>+SUM('[2]Sun Country Cargo'!$HR$64:$HR$64)</f>
        <v>3247875</v>
      </c>
      <c r="P7" s="231">
        <f>+SUM('[2]Sun Country Cargo'!$HD$64:$HD$64)</f>
        <v>1472380</v>
      </c>
      <c r="Q7" s="348">
        <f>(O7-P7)/P7</f>
        <v>1.2058673711949361</v>
      </c>
      <c r="R7" s="349">
        <f>O7/$O$33</f>
        <v>9.7459404405298614E-2</v>
      </c>
    </row>
    <row r="8" spans="1:20" ht="14.1" customHeight="1" x14ac:dyDescent="0.2">
      <c r="A8" s="38"/>
      <c r="B8" s="40"/>
      <c r="F8" s="421"/>
      <c r="I8" s="66"/>
      <c r="J8" s="399"/>
      <c r="K8" s="40"/>
      <c r="N8" s="66"/>
      <c r="R8" s="40"/>
    </row>
    <row r="9" spans="1:20" ht="14.1" customHeight="1" x14ac:dyDescent="0.2">
      <c r="A9" s="283" t="s">
        <v>212</v>
      </c>
      <c r="B9" s="40"/>
      <c r="C9" s="418">
        <f>SUM(C10:C17)</f>
        <v>142</v>
      </c>
      <c r="D9" s="418">
        <f>SUM(D10:D17)</f>
        <v>122</v>
      </c>
      <c r="E9" s="419">
        <f>(C9-D9)/D9</f>
        <v>0.16393442622950818</v>
      </c>
      <c r="F9" s="418">
        <f>SUM(F10:F17)</f>
        <v>142</v>
      </c>
      <c r="G9" s="418">
        <f>SUM(G10:G17)</f>
        <v>122</v>
      </c>
      <c r="H9" s="420">
        <f>(F9-G9)/G9</f>
        <v>0.16393442622950818</v>
      </c>
      <c r="I9" s="419">
        <f t="shared" ref="I9:I17" si="0">+F9/$F$33</f>
        <v>0.10749432248296745</v>
      </c>
      <c r="J9" s="283" t="s">
        <v>212</v>
      </c>
      <c r="K9" s="40"/>
      <c r="L9" s="418">
        <f>SUM(L10:L17)</f>
        <v>1444931</v>
      </c>
      <c r="M9" s="418">
        <f>SUM(M10:M17)</f>
        <v>1252548</v>
      </c>
      <c r="N9" s="419">
        <f t="shared" ref="N9:N17" si="1">(L9-M9)/M9</f>
        <v>0.15359331538591733</v>
      </c>
      <c r="O9" s="418">
        <f>SUM(O10:O17)</f>
        <v>1444931</v>
      </c>
      <c r="P9" s="418">
        <f>SUM(P10:P17)</f>
        <v>1252548</v>
      </c>
      <c r="Q9" s="420">
        <f t="shared" ref="Q9:Q17" si="2">(O9-P9)/P9</f>
        <v>0.15359331538591733</v>
      </c>
      <c r="R9" s="419">
        <f t="shared" ref="R9:R17" si="3">O9/$O$33</f>
        <v>4.3358231048532508E-2</v>
      </c>
    </row>
    <row r="10" spans="1:20" ht="14.1" customHeight="1" x14ac:dyDescent="0.2">
      <c r="A10" s="283"/>
      <c r="B10" s="343" t="s">
        <v>213</v>
      </c>
      <c r="C10" s="347">
        <f>+[2]Airborne!$HR$19</f>
        <v>0</v>
      </c>
      <c r="D10" s="231">
        <f>+[2]Airborne!$HD$19</f>
        <v>0</v>
      </c>
      <c r="E10" s="349" t="e">
        <f>(C10-D10)/D10</f>
        <v>#DIV/0!</v>
      </c>
      <c r="F10" s="347">
        <f>+SUM([2]Airborne!$HR$19:$HR$19)</f>
        <v>0</v>
      </c>
      <c r="G10" s="231">
        <f>+SUM([2]Airborne!$HD$19:$HD$19)</f>
        <v>0</v>
      </c>
      <c r="H10" s="348" t="e">
        <f>(F10-G10)/G10</f>
        <v>#DIV/0!</v>
      </c>
      <c r="I10" s="349">
        <f t="shared" si="0"/>
        <v>0</v>
      </c>
      <c r="J10" s="283"/>
      <c r="K10" s="343" t="s">
        <v>213</v>
      </c>
      <c r="L10" s="347">
        <f>+[2]Airborne!$HR$64</f>
        <v>0</v>
      </c>
      <c r="M10" s="231">
        <f>+[2]Airborne!$HD$64</f>
        <v>0</v>
      </c>
      <c r="N10" s="349" t="e">
        <f t="shared" si="1"/>
        <v>#DIV/0!</v>
      </c>
      <c r="O10" s="347">
        <f>+SUM([2]Airborne!$HR$64:$HR$64)</f>
        <v>0</v>
      </c>
      <c r="P10" s="231">
        <f>+SUM([2]Airborne!$HD$64:$HD$64)</f>
        <v>0</v>
      </c>
      <c r="Q10" s="348" t="e">
        <f t="shared" si="2"/>
        <v>#DIV/0!</v>
      </c>
      <c r="R10" s="349">
        <f t="shared" si="3"/>
        <v>0</v>
      </c>
    </row>
    <row r="11" spans="1:20" ht="14.1" customHeight="1" x14ac:dyDescent="0.2">
      <c r="A11" s="283"/>
      <c r="B11" s="40" t="s">
        <v>211</v>
      </c>
      <c r="C11" s="347">
        <f>+[2]DHL_Atlas!$HR$19</f>
        <v>0</v>
      </c>
      <c r="D11" s="231">
        <f>+[2]DHL_Atlas!$HD$19</f>
        <v>0</v>
      </c>
      <c r="E11" s="349" t="e">
        <f t="shared" ref="E11:E17" si="4">(C11-D11)/D11</f>
        <v>#DIV/0!</v>
      </c>
      <c r="F11" s="347">
        <f>+SUM([2]DHL_Atlas!$HR$19:$HR$19)</f>
        <v>0</v>
      </c>
      <c r="G11" s="231">
        <f>+SUM([2]DHL_Atlas!$HD$19:$HD$19)</f>
        <v>0</v>
      </c>
      <c r="H11" s="348" t="e">
        <f t="shared" ref="H11:H17" si="5">(F11-G11)/G11</f>
        <v>#DIV/0!</v>
      </c>
      <c r="I11" s="349">
        <f t="shared" si="0"/>
        <v>0</v>
      </c>
      <c r="J11" s="283"/>
      <c r="K11" s="40" t="s">
        <v>211</v>
      </c>
      <c r="L11" s="347">
        <f>+[2]DHL_Atlas!$HR$64</f>
        <v>0</v>
      </c>
      <c r="M11" s="231">
        <f>+[2]DHL_Atlas!$HD$64</f>
        <v>0</v>
      </c>
      <c r="N11" s="349" t="e">
        <f t="shared" si="1"/>
        <v>#DIV/0!</v>
      </c>
      <c r="O11" s="347">
        <f>+SUM([2]DHL_Atlas!$HR$64:$HR$64)</f>
        <v>0</v>
      </c>
      <c r="P11" s="231">
        <f>+SUM([2]DHL_Atlas!$HD$64:$HD$64)</f>
        <v>0</v>
      </c>
      <c r="Q11" s="348" t="e">
        <f t="shared" si="2"/>
        <v>#DIV/0!</v>
      </c>
      <c r="R11" s="349">
        <f t="shared" si="3"/>
        <v>0</v>
      </c>
    </row>
    <row r="12" spans="1:20" ht="14.1" customHeight="1" x14ac:dyDescent="0.2">
      <c r="A12" s="283"/>
      <c r="B12" s="40" t="s">
        <v>214</v>
      </c>
      <c r="C12" s="347">
        <f>+[2]DHL!$HR$19</f>
        <v>0</v>
      </c>
      <c r="D12" s="231">
        <f>+[2]DHL!$HD$19</f>
        <v>0</v>
      </c>
      <c r="E12" s="349" t="e">
        <f t="shared" si="4"/>
        <v>#DIV/0!</v>
      </c>
      <c r="F12" s="347">
        <f>+SUM([2]DHL!$HR$19:$HR$19)</f>
        <v>0</v>
      </c>
      <c r="G12" s="231">
        <f>+SUM([2]DHL!$HD$19:$HD$19)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+[2]DHL!$HR$64</f>
        <v>0</v>
      </c>
      <c r="M12" s="231">
        <f>+[2]DHL!$HD$64</f>
        <v>0</v>
      </c>
      <c r="N12" s="349" t="e">
        <f t="shared" si="1"/>
        <v>#DIV/0!</v>
      </c>
      <c r="O12" s="347">
        <f>+SUM([2]DHL!$HR$64:$HR$64)</f>
        <v>0</v>
      </c>
      <c r="P12" s="231">
        <f>+SUM([2]DHL!$HD$64:$HD$64)</f>
        <v>0</v>
      </c>
      <c r="Q12" s="348" t="e">
        <f t="shared" si="2"/>
        <v>#DIV/0!</v>
      </c>
      <c r="R12" s="349">
        <f t="shared" si="3"/>
        <v>0</v>
      </c>
    </row>
    <row r="13" spans="1:20" ht="14.1" customHeight="1" x14ac:dyDescent="0.2">
      <c r="A13" s="283"/>
      <c r="B13" s="343" t="s">
        <v>83</v>
      </c>
      <c r="C13" s="347">
        <f>+[2]DHL_Bemidji!$HR$19</f>
        <v>78</v>
      </c>
      <c r="D13" s="231">
        <f>+[2]DHL_Bemidji!$HD$19</f>
        <v>0</v>
      </c>
      <c r="E13" s="349" t="e">
        <f>(C13-D13)/D13</f>
        <v>#DIV/0!</v>
      </c>
      <c r="F13" s="347">
        <f>+SUM([2]DHL_Bemidji!$HR$19:$HR$19)</f>
        <v>78</v>
      </c>
      <c r="G13" s="231">
        <f>+SUM([2]DHL_Bemidji!$HD$19:$HD$19)</f>
        <v>0</v>
      </c>
      <c r="H13" s="348" t="e">
        <f t="shared" si="5"/>
        <v>#DIV/0!</v>
      </c>
      <c r="I13" s="349">
        <f t="shared" si="0"/>
        <v>5.9046177138531414E-2</v>
      </c>
      <c r="J13" s="283"/>
      <c r="K13" s="343" t="s">
        <v>83</v>
      </c>
      <c r="L13" s="347">
        <f>+[2]DHL_Bemidji!$HR$64</f>
        <v>116692</v>
      </c>
      <c r="M13" s="231">
        <f>+[2]DHL_Bemidji!$HD$64</f>
        <v>0</v>
      </c>
      <c r="N13" s="349" t="e">
        <f t="shared" ref="N13" si="6">(L13-M13)/M13</f>
        <v>#DIV/0!</v>
      </c>
      <c r="O13" s="347">
        <f>+SUM([2]DHL_Bemidji!$HR$64:$HR$64)</f>
        <v>116692</v>
      </c>
      <c r="P13" s="231">
        <f>+SUM([2]DHL_Bemidji!$HD$64:$HD$64)</f>
        <v>0</v>
      </c>
      <c r="Q13" s="348" t="e">
        <f t="shared" ref="Q13" si="7">(O13-P13)/P13</f>
        <v>#DIV/0!</v>
      </c>
      <c r="R13" s="349">
        <f t="shared" si="3"/>
        <v>3.5015919082055516E-3</v>
      </c>
    </row>
    <row r="14" spans="1:20" ht="14.1" customHeight="1" x14ac:dyDescent="0.2">
      <c r="A14" s="283"/>
      <c r="B14" s="40" t="s">
        <v>201</v>
      </c>
      <c r="C14" s="347">
        <f>+[2]Encore!$HR$19+[2]DHL_Encore!$HR$12</f>
        <v>0</v>
      </c>
      <c r="D14" s="231">
        <f>+[2]Encore!$HD$19+[2]DHL_Encore!$HD$19</f>
        <v>78</v>
      </c>
      <c r="E14" s="349">
        <f t="shared" si="4"/>
        <v>-1</v>
      </c>
      <c r="F14" s="347">
        <f>+SUM([2]Encore!$HR$19:$HR$19)+SUM([2]DHL_Encore!$HR$19:$HR$19)</f>
        <v>0</v>
      </c>
      <c r="G14" s="231">
        <f>+SUM([2]Encore!$HD$19:$HD$19)+SUM([2]DHL_Encore!$HD$19:$HD$19)</f>
        <v>78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+[2]Encore!$HR$64+[2]DHL_Encore!$HR$64</f>
        <v>0</v>
      </c>
      <c r="M14" s="231">
        <f>+[2]Encore!$HD$64+[2]DHL_Encore!$HD$64</f>
        <v>129551</v>
      </c>
      <c r="N14" s="349">
        <f t="shared" si="1"/>
        <v>-1</v>
      </c>
      <c r="O14" s="347">
        <f>+SUM([2]Encore!$HR$64:$HR$64)+SUM([2]DHL_Encore!$HR$64:$HR$64)</f>
        <v>0</v>
      </c>
      <c r="P14" s="231">
        <f>+SUM([2]Encore!$HD$64:$HD$64)+SUM([2]DHL_Encore!$HD$64:$HD$64)</f>
        <v>129551</v>
      </c>
      <c r="Q14" s="348">
        <f t="shared" si="2"/>
        <v>-1</v>
      </c>
      <c r="R14" s="349">
        <f t="shared" si="3"/>
        <v>0</v>
      </c>
    </row>
    <row r="15" spans="1:20" ht="14.1" customHeight="1" x14ac:dyDescent="0.2">
      <c r="A15" s="283"/>
      <c r="B15" s="40" t="s">
        <v>215</v>
      </c>
      <c r="C15" s="347">
        <f>+[2]DHL_Kalitta!$HR$19</f>
        <v>0</v>
      </c>
      <c r="D15" s="231">
        <f>+[2]DHL_Kalitta!$HD$19</f>
        <v>8</v>
      </c>
      <c r="E15" s="349">
        <f t="shared" si="4"/>
        <v>-1</v>
      </c>
      <c r="F15" s="347">
        <f>+SUM([2]DHL_Kalitta!$HR$19:$HR$19)</f>
        <v>0</v>
      </c>
      <c r="G15" s="231">
        <f>+SUM([2]DHL_Kalitta!$HD$19:$HD$19)</f>
        <v>8</v>
      </c>
      <c r="H15" s="348">
        <f t="shared" si="5"/>
        <v>-1</v>
      </c>
      <c r="I15" s="349">
        <f t="shared" si="0"/>
        <v>0</v>
      </c>
      <c r="J15" s="283"/>
      <c r="K15" s="40" t="s">
        <v>215</v>
      </c>
      <c r="L15" s="347">
        <f>+[2]DHL_Kalitta!$HR$64</f>
        <v>0</v>
      </c>
      <c r="M15" s="231">
        <f>+[2]DHL_Kalitta!$HD$64</f>
        <v>190513</v>
      </c>
      <c r="N15" s="349">
        <f t="shared" si="1"/>
        <v>-1</v>
      </c>
      <c r="O15" s="347">
        <f>+SUM([2]DHL_Kalitta!$HR$64:$HR$64)</f>
        <v>0</v>
      </c>
      <c r="P15" s="231">
        <f>+SUM([2]DHL_Kalitta!$HD$64:$HD$64)</f>
        <v>190513</v>
      </c>
      <c r="Q15" s="348">
        <f t="shared" si="2"/>
        <v>-1</v>
      </c>
      <c r="R15" s="349">
        <f t="shared" si="3"/>
        <v>0</v>
      </c>
    </row>
    <row r="16" spans="1:20" ht="14.1" customHeight="1" x14ac:dyDescent="0.2">
      <c r="A16" s="283"/>
      <c r="B16" s="40" t="s">
        <v>216</v>
      </c>
      <c r="C16" s="347">
        <f>+[2]DHL_Southair!$HR$19</f>
        <v>0</v>
      </c>
      <c r="D16" s="231">
        <f>+[2]DHL_Southair!$HD$19</f>
        <v>0</v>
      </c>
      <c r="E16" s="349" t="e">
        <f t="shared" si="4"/>
        <v>#DIV/0!</v>
      </c>
      <c r="F16" s="347">
        <f>+SUM([2]DHL_Southair!$HR$19:$HR$19)</f>
        <v>0</v>
      </c>
      <c r="G16" s="231">
        <f>+SUM([2]DHL_Southair!$HD$19:$HD$19)</f>
        <v>0</v>
      </c>
      <c r="H16" s="348" t="e">
        <f t="shared" si="5"/>
        <v>#DIV/0!</v>
      </c>
      <c r="I16" s="349">
        <f t="shared" si="0"/>
        <v>0</v>
      </c>
      <c r="J16" s="283"/>
      <c r="K16" s="40" t="s">
        <v>216</v>
      </c>
      <c r="L16" s="347">
        <f>+[2]DHL_Southair!$HR$64</f>
        <v>0</v>
      </c>
      <c r="M16" s="231">
        <f>+[2]DHL_Southair!$HD$64</f>
        <v>0</v>
      </c>
      <c r="N16" s="349" t="e">
        <f t="shared" si="1"/>
        <v>#DIV/0!</v>
      </c>
      <c r="O16" s="347">
        <f>+SUM([2]DHL_Southair!$HR$64:$HR$64)</f>
        <v>0</v>
      </c>
      <c r="P16" s="231">
        <f>+SUM([2]DHL_Southair!$HD$64:$HD$64)</f>
        <v>0</v>
      </c>
      <c r="Q16" s="348" t="e">
        <f t="shared" si="2"/>
        <v>#DIV/0!</v>
      </c>
      <c r="R16" s="349">
        <f t="shared" si="3"/>
        <v>0</v>
      </c>
    </row>
    <row r="17" spans="1:20" ht="14.1" customHeight="1" x14ac:dyDescent="0.2">
      <c r="A17" s="283"/>
      <c r="B17" s="40" t="s">
        <v>217</v>
      </c>
      <c r="C17" s="347">
        <f>+[2]DHL_Swift!$HR$19</f>
        <v>64</v>
      </c>
      <c r="D17" s="231">
        <f>+[2]DHL_Swift!$HD$19</f>
        <v>36</v>
      </c>
      <c r="E17" s="349">
        <f t="shared" si="4"/>
        <v>0.77777777777777779</v>
      </c>
      <c r="F17" s="347">
        <f>+SUM([2]DHL_Swift!$HR$19:$HR$19)</f>
        <v>64</v>
      </c>
      <c r="G17" s="231">
        <f>+SUM([2]DHL_Swift!$HD$19:$HD$19)</f>
        <v>36</v>
      </c>
      <c r="H17" s="348">
        <f t="shared" si="5"/>
        <v>0.77777777777777779</v>
      </c>
      <c r="I17" s="349">
        <f t="shared" si="0"/>
        <v>4.8448145344436033E-2</v>
      </c>
      <c r="J17" s="283"/>
      <c r="K17" s="40" t="s">
        <v>217</v>
      </c>
      <c r="L17" s="347">
        <f>+[2]DHL_Swift!$HR$64</f>
        <v>1328239</v>
      </c>
      <c r="M17" s="231">
        <f>+[2]DHL_Swift!$HD$64</f>
        <v>932484</v>
      </c>
      <c r="N17" s="349">
        <f t="shared" si="1"/>
        <v>0.42440942686416067</v>
      </c>
      <c r="O17" s="347">
        <f>+SUM([2]DHL_Swift!$HR$64:$HR$64)</f>
        <v>1328239</v>
      </c>
      <c r="P17" s="231">
        <f>+SUM([2]DHL_Swift!$HD$64:$HD$64)</f>
        <v>932484</v>
      </c>
      <c r="Q17" s="348">
        <f t="shared" si="2"/>
        <v>0.42440942686416067</v>
      </c>
      <c r="R17" s="349">
        <f t="shared" si="3"/>
        <v>3.9856639140326958E-2</v>
      </c>
    </row>
    <row r="18" spans="1:20" ht="14.1" customHeight="1" x14ac:dyDescent="0.2">
      <c r="A18" s="283"/>
      <c r="B18" s="40"/>
      <c r="C18" s="284"/>
      <c r="D18" s="286"/>
      <c r="E18" s="287"/>
      <c r="F18" s="284"/>
      <c r="G18" s="286"/>
      <c r="H18" s="285"/>
      <c r="I18" s="287"/>
      <c r="J18" s="283"/>
      <c r="K18" s="40"/>
      <c r="L18" s="288"/>
      <c r="N18" s="66"/>
      <c r="O18" s="288"/>
      <c r="P18" s="286"/>
      <c r="Q18" s="3"/>
      <c r="R18" s="66"/>
    </row>
    <row r="19" spans="1:20" ht="14.1" customHeight="1" x14ac:dyDescent="0.2">
      <c r="A19" s="283" t="s">
        <v>185</v>
      </c>
      <c r="B19" s="40"/>
      <c r="C19" s="422">
        <f>SUM(C20:C23)</f>
        <v>310</v>
      </c>
      <c r="D19" s="418">
        <f>SUM(D20:D23)</f>
        <v>346</v>
      </c>
      <c r="E19" s="419">
        <f>(C19-D19)/D19</f>
        <v>-0.10404624277456648</v>
      </c>
      <c r="F19" s="422">
        <f>SUM(F20:F23)</f>
        <v>310</v>
      </c>
      <c r="G19" s="418">
        <f>SUM(G20:G23)</f>
        <v>346</v>
      </c>
      <c r="H19" s="420">
        <f t="shared" ref="H19:H20" si="8">(F19-G19)/G19</f>
        <v>-0.10404624277456648</v>
      </c>
      <c r="I19" s="419">
        <f>+F19/$F$33</f>
        <v>0.23467070401211204</v>
      </c>
      <c r="J19" s="283" t="s">
        <v>185</v>
      </c>
      <c r="K19" s="40"/>
      <c r="L19" s="422">
        <f>SUM(L20:L23)</f>
        <v>13371097</v>
      </c>
      <c r="M19" s="418">
        <f>SUM(M20:M23)</f>
        <v>16896937</v>
      </c>
      <c r="N19" s="419">
        <f>(L19-M19)/M19</f>
        <v>-0.2086674052226152</v>
      </c>
      <c r="O19" s="422">
        <f>SUM(O20:O23)</f>
        <v>13371097</v>
      </c>
      <c r="P19" s="418">
        <f>SUM(P20:P23)</f>
        <v>16896937</v>
      </c>
      <c r="Q19" s="420">
        <f t="shared" ref="Q19:Q21" si="9">(O19-P19)/P19</f>
        <v>-0.2086674052226152</v>
      </c>
      <c r="R19" s="419">
        <f>O19/$O$33</f>
        <v>0.40122823380378708</v>
      </c>
    </row>
    <row r="20" spans="1:20" ht="14.1" customHeight="1" x14ac:dyDescent="0.2">
      <c r="A20" s="38"/>
      <c r="B20" s="343" t="s">
        <v>185</v>
      </c>
      <c r="C20" s="347">
        <f>+[2]FedEx!$HR$19</f>
        <v>252</v>
      </c>
      <c r="D20" s="231">
        <f>+[2]FedEx!$HD$19</f>
        <v>274</v>
      </c>
      <c r="E20" s="349">
        <f>(C20-D20)/D20</f>
        <v>-8.0291970802919707E-2</v>
      </c>
      <c r="F20" s="347">
        <f>+SUM([2]FedEx!$HR$19:$HR$19)</f>
        <v>252</v>
      </c>
      <c r="G20" s="231">
        <f>+SUM([2]FedEx!$HD$19:$HD$19)</f>
        <v>274</v>
      </c>
      <c r="H20" s="348">
        <f t="shared" si="8"/>
        <v>-8.0291970802919707E-2</v>
      </c>
      <c r="I20" s="349">
        <f>+F20/$F$33</f>
        <v>0.19076457229371688</v>
      </c>
      <c r="J20" s="283"/>
      <c r="K20" s="343" t="s">
        <v>185</v>
      </c>
      <c r="L20" s="347">
        <f>+[2]FedEx!$HR$64</f>
        <v>13200492</v>
      </c>
      <c r="M20" s="231">
        <f>+[2]FedEx!$HD$64</f>
        <v>16720724</v>
      </c>
      <c r="N20" s="349">
        <f>(L20-M20)/M20</f>
        <v>-0.2105310750898107</v>
      </c>
      <c r="O20" s="347">
        <f>+SUM([2]FedEx!$HR$64:$HR$64)</f>
        <v>13200492</v>
      </c>
      <c r="P20" s="231">
        <f>+SUM([2]FedEx!$HD$64:$HD$64)</f>
        <v>16720724</v>
      </c>
      <c r="Q20" s="348">
        <f t="shared" si="9"/>
        <v>-0.2105310750898107</v>
      </c>
      <c r="R20" s="349">
        <f>O20/$O$33</f>
        <v>0.39610886754475128</v>
      </c>
    </row>
    <row r="21" spans="1:20" ht="14.1" customHeight="1" x14ac:dyDescent="0.2">
      <c r="A21" s="38"/>
      <c r="B21" s="343" t="s">
        <v>218</v>
      </c>
      <c r="C21" s="347">
        <f>+'[2]Mountain Cargo'!$HR$19</f>
        <v>34</v>
      </c>
      <c r="D21" s="231">
        <f>+'[2]Mountain Cargo'!$HD$19</f>
        <v>42</v>
      </c>
      <c r="E21" s="349">
        <f>(C21-D21)/D21</f>
        <v>-0.19047619047619047</v>
      </c>
      <c r="F21" s="347">
        <f>+SUM('[2]Mountain Cargo'!$HR$19:$HR$19)</f>
        <v>34</v>
      </c>
      <c r="G21" s="231">
        <f>+SUM('[2]Mountain Cargo'!$HD$19:$HD$19)</f>
        <v>42</v>
      </c>
      <c r="H21" s="348">
        <f>(F21-G21)/G21</f>
        <v>-0.19047619047619047</v>
      </c>
      <c r="I21" s="349">
        <f>+F21/$F$33</f>
        <v>2.5738077214231644E-2</v>
      </c>
      <c r="J21" s="399"/>
      <c r="K21" s="343" t="s">
        <v>218</v>
      </c>
      <c r="L21" s="347">
        <f>+'[2]Mountain Cargo'!$HR$64</f>
        <v>130028</v>
      </c>
      <c r="M21" s="231">
        <f>+'[2]Mountain Cargo'!$HD$64</f>
        <v>129010</v>
      </c>
      <c r="N21" s="349">
        <f>(L21-M21)/M21</f>
        <v>7.8908611735524371E-3</v>
      </c>
      <c r="O21" s="347">
        <f>+SUM('[2]Mountain Cargo'!$HR$64:$HR$64)</f>
        <v>130028</v>
      </c>
      <c r="P21" s="231">
        <f>+SUM('[2]Mountain Cargo'!$HD$64:$HD$64)</f>
        <v>129010</v>
      </c>
      <c r="Q21" s="348">
        <f t="shared" si="9"/>
        <v>7.8908611735524371E-3</v>
      </c>
      <c r="R21" s="349">
        <f>O21/$O$33</f>
        <v>3.9017669817995359E-3</v>
      </c>
    </row>
    <row r="22" spans="1:20" ht="14.1" customHeight="1" x14ac:dyDescent="0.2">
      <c r="A22" s="38"/>
      <c r="B22" s="343" t="s">
        <v>177</v>
      </c>
      <c r="C22" s="347">
        <f>+[2]IFL!$HR$19</f>
        <v>24</v>
      </c>
      <c r="D22" s="231">
        <f>+[2]IFL!$HD$19</f>
        <v>30</v>
      </c>
      <c r="E22" s="349">
        <f>(C22-D22)/D22</f>
        <v>-0.2</v>
      </c>
      <c r="F22" s="347">
        <f>+SUM([2]IFL!$HR$19:$HR$19)</f>
        <v>24</v>
      </c>
      <c r="G22" s="231">
        <f>+SUM([2]IFL!$HD$19:$HD$19)</f>
        <v>30</v>
      </c>
      <c r="H22" s="348">
        <f>(F22-G22)/G22</f>
        <v>-0.2</v>
      </c>
      <c r="I22" s="349">
        <f>+F22/$F$33</f>
        <v>1.8168054504163512E-2</v>
      </c>
      <c r="J22" s="399"/>
      <c r="K22" s="343" t="s">
        <v>177</v>
      </c>
      <c r="L22" s="347">
        <f>+[2]IFL!$HR$64</f>
        <v>40577</v>
      </c>
      <c r="M22" s="231">
        <f>+[2]IFL!$HD$64</f>
        <v>47203</v>
      </c>
      <c r="N22" s="349">
        <f>(L22-M22)/M22</f>
        <v>-0.14037243395546894</v>
      </c>
      <c r="O22" s="347">
        <f>+SUM([2]IFL!$HR$64:$HR$64)</f>
        <v>40577</v>
      </c>
      <c r="P22" s="231">
        <f>+SUM([2]IFL!$HD$64:$HD$64)</f>
        <v>47203</v>
      </c>
      <c r="Q22" s="348">
        <f>(O22-P22)/P22</f>
        <v>-0.14037243395546894</v>
      </c>
      <c r="R22" s="349">
        <f>O22/$O$33</f>
        <v>1.2175992772362858E-3</v>
      </c>
    </row>
    <row r="23" spans="1:20" ht="14.1" customHeight="1" x14ac:dyDescent="0.2">
      <c r="A23" s="283"/>
      <c r="B23" s="343" t="s">
        <v>84</v>
      </c>
      <c r="C23" s="347">
        <f>+'[2]CSA Air'!$HR$19</f>
        <v>0</v>
      </c>
      <c r="D23" s="231">
        <f>+'[2]CSA Air'!$HD$19</f>
        <v>0</v>
      </c>
      <c r="E23" s="349" t="e">
        <f>(C23-D23)/D23</f>
        <v>#DIV/0!</v>
      </c>
      <c r="F23" s="347">
        <f>+SUM('[2]CSA Air'!$HR$19:$HR$19)</f>
        <v>0</v>
      </c>
      <c r="G23" s="231">
        <f>+SUM('[2]CSA Air'!$HD$19:$HD$19)</f>
        <v>0</v>
      </c>
      <c r="H23" s="348" t="e">
        <f t="shared" ref="H23" si="10">(F23-G23)/G23</f>
        <v>#DIV/0!</v>
      </c>
      <c r="I23" s="349">
        <f>+F23/$F$33</f>
        <v>0</v>
      </c>
      <c r="J23" s="283"/>
      <c r="K23" s="343" t="s">
        <v>84</v>
      </c>
      <c r="L23" s="347">
        <f>+'[2]CSA Air'!$HR$64</f>
        <v>0</v>
      </c>
      <c r="M23" s="231">
        <f>+'[2]CSA Air'!$HD$64</f>
        <v>0</v>
      </c>
      <c r="N23" s="349" t="e">
        <f>(L23-M23)/M23</f>
        <v>#DIV/0!</v>
      </c>
      <c r="O23" s="347">
        <f>+SUM('[2]CSA Air'!$HR$64:$HR$64)</f>
        <v>0</v>
      </c>
      <c r="P23" s="231">
        <f>+SUM('[2]CSA Air'!$HD$64:$HD$64)</f>
        <v>0</v>
      </c>
      <c r="Q23" s="348" t="e">
        <f t="shared" ref="Q23" si="11">(O23-P23)/P23</f>
        <v>#DIV/0!</v>
      </c>
      <c r="R23" s="349">
        <f>O23/$O$33</f>
        <v>0</v>
      </c>
    </row>
    <row r="24" spans="1:20" ht="14.1" customHeight="1" x14ac:dyDescent="0.2">
      <c r="A24" s="283"/>
      <c r="B24" s="40"/>
      <c r="C24" s="284"/>
      <c r="D24" s="286"/>
      <c r="E24" s="287"/>
      <c r="F24" s="284"/>
      <c r="G24" s="286"/>
      <c r="H24" s="285"/>
      <c r="I24" s="287"/>
      <c r="J24" s="283"/>
      <c r="K24" s="40"/>
      <c r="L24" s="288"/>
      <c r="N24" s="66"/>
      <c r="O24" s="288"/>
      <c r="P24" s="2"/>
      <c r="Q24" s="3"/>
      <c r="R24" s="66"/>
      <c r="S24" s="261"/>
    </row>
    <row r="25" spans="1:20" ht="14.1" customHeight="1" x14ac:dyDescent="0.2">
      <c r="A25" s="283" t="s">
        <v>82</v>
      </c>
      <c r="B25" s="40"/>
      <c r="C25" s="418">
        <f>SUM(C26:C27)</f>
        <v>689</v>
      </c>
      <c r="D25" s="418">
        <f>SUM(D26:D27)</f>
        <v>680</v>
      </c>
      <c r="E25" s="419">
        <f>(C25-D25)/D25</f>
        <v>1.3235294117647059E-2</v>
      </c>
      <c r="F25" s="418">
        <f>SUM(F26:F27)</f>
        <v>689</v>
      </c>
      <c r="G25" s="418">
        <f>SUM(G26:G27)</f>
        <v>680</v>
      </c>
      <c r="H25" s="420">
        <f>(F25-G25)/G25</f>
        <v>1.3235294117647059E-2</v>
      </c>
      <c r="I25" s="419">
        <f>+F25/$F$33</f>
        <v>0.52157456472369412</v>
      </c>
      <c r="J25" s="283" t="s">
        <v>82</v>
      </c>
      <c r="K25" s="40"/>
      <c r="L25" s="418">
        <f>SUM(L26:L27)</f>
        <v>12127523</v>
      </c>
      <c r="M25" s="418">
        <f>SUM(M26:M27)</f>
        <v>12716054</v>
      </c>
      <c r="N25" s="419">
        <f>(L25-M25)/M25</f>
        <v>-4.6282518145959434E-2</v>
      </c>
      <c r="O25" s="418">
        <f>SUM(O26:O27)</f>
        <v>12127523</v>
      </c>
      <c r="P25" s="418">
        <f>SUM(P26:P27)</f>
        <v>12716054</v>
      </c>
      <c r="Q25" s="420">
        <f>(O25-P25)/P25</f>
        <v>-4.6282518145959434E-2</v>
      </c>
      <c r="R25" s="419">
        <f>O25/$O$33</f>
        <v>0.3639121482481808</v>
      </c>
      <c r="S25" s="370"/>
      <c r="T25" s="436"/>
    </row>
    <row r="26" spans="1:20" ht="14.1" customHeight="1" x14ac:dyDescent="0.2">
      <c r="A26" s="283"/>
      <c r="B26" s="343" t="s">
        <v>82</v>
      </c>
      <c r="C26" s="347">
        <f>+[2]UPS!$HR$19</f>
        <v>287</v>
      </c>
      <c r="D26" s="231">
        <f>+[2]UPS!$HD$19</f>
        <v>304</v>
      </c>
      <c r="E26" s="349">
        <f>(C26-D26)/D26</f>
        <v>-5.5921052631578948E-2</v>
      </c>
      <c r="F26" s="347">
        <f>+SUM([2]UPS!$HR$19:$HR$19)</f>
        <v>287</v>
      </c>
      <c r="G26" s="231">
        <f>+SUM([2]UPS!$HD$19:$HD$19)</f>
        <v>304</v>
      </c>
      <c r="H26" s="348">
        <f>(F26-G26)/G26</f>
        <v>-5.5921052631578948E-2</v>
      </c>
      <c r="I26" s="349">
        <f>+F26/$F$33</f>
        <v>0.21725965177895534</v>
      </c>
      <c r="J26" s="283"/>
      <c r="K26" s="343" t="s">
        <v>82</v>
      </c>
      <c r="L26" s="347">
        <f>+[2]UPS!$HR$64</f>
        <v>12127523</v>
      </c>
      <c r="M26" s="231">
        <f>+[2]UPS!$HD$64</f>
        <v>12716054</v>
      </c>
      <c r="N26" s="349">
        <f>(L26-M26)/M26</f>
        <v>-4.6282518145959434E-2</v>
      </c>
      <c r="O26" s="347">
        <f>+SUM([2]UPS!$HR$64:$HR$64)</f>
        <v>12127523</v>
      </c>
      <c r="P26" s="231">
        <f>+SUM([2]UPS!$HD$64:$HD$64)</f>
        <v>12716054</v>
      </c>
      <c r="Q26" s="348">
        <f>(O26-P26)/P26</f>
        <v>-4.6282518145959434E-2</v>
      </c>
      <c r="R26" s="349">
        <f>O26/$O$33</f>
        <v>0.3639121482481808</v>
      </c>
      <c r="S26" s="370"/>
      <c r="T26" s="436"/>
    </row>
    <row r="27" spans="1:20" x14ac:dyDescent="0.2">
      <c r="A27" s="283"/>
      <c r="B27" s="343" t="s">
        <v>83</v>
      </c>
      <c r="C27" s="347">
        <f>+[2]Bemidji!$HR$19</f>
        <v>402</v>
      </c>
      <c r="D27" s="231">
        <f>+[2]Bemidji!$HD$19</f>
        <v>376</v>
      </c>
      <c r="E27" s="349">
        <f>(C27-D27)/D27</f>
        <v>6.9148936170212769E-2</v>
      </c>
      <c r="F27" s="347">
        <f>+SUM([2]Bemidji!$HR$19:$HR$19)</f>
        <v>402</v>
      </c>
      <c r="G27" s="231">
        <f>+SUM([2]Bemidji!$HD$19:$HD$19)</f>
        <v>376</v>
      </c>
      <c r="H27" s="348">
        <f t="shared" ref="H27" si="12">(F27-G27)/G27</f>
        <v>6.9148936170212769E-2</v>
      </c>
      <c r="I27" s="349">
        <f>+F27/$F$33</f>
        <v>0.30431491294473884</v>
      </c>
      <c r="J27" s="283"/>
      <c r="K27" s="343" t="s">
        <v>83</v>
      </c>
      <c r="L27" s="473" t="s">
        <v>188</v>
      </c>
      <c r="M27" s="474"/>
      <c r="N27" s="474"/>
      <c r="O27" s="474"/>
      <c r="P27" s="474"/>
      <c r="Q27" s="474"/>
      <c r="R27" s="475"/>
    </row>
    <row r="28" spans="1:20" x14ac:dyDescent="0.2">
      <c r="A28" s="38"/>
      <c r="B28" s="40"/>
      <c r="C28" s="284"/>
      <c r="E28" s="66"/>
      <c r="F28" s="288"/>
      <c r="I28" s="66"/>
      <c r="J28" s="38"/>
      <c r="K28" s="40"/>
      <c r="L28" s="288"/>
      <c r="N28" s="66"/>
      <c r="O28" s="288"/>
      <c r="P28" s="2"/>
      <c r="Q28" s="3"/>
      <c r="R28" s="66"/>
    </row>
    <row r="29" spans="1:20" x14ac:dyDescent="0.2">
      <c r="A29" s="283" t="s">
        <v>127</v>
      </c>
      <c r="B29" s="40"/>
      <c r="C29" s="422">
        <f>+'[2]Misc Cargo'!$HR$19</f>
        <v>2</v>
      </c>
      <c r="D29" s="418">
        <f>+'[2]Misc Cargo'!$HD$19</f>
        <v>2</v>
      </c>
      <c r="E29" s="419">
        <f>(C29-D29)/D29</f>
        <v>0</v>
      </c>
      <c r="F29" s="422">
        <f>+SUM('[2]Misc Cargo'!$HR$19:$HR$19)</f>
        <v>2</v>
      </c>
      <c r="G29" s="418">
        <f>+SUM('[2]Misc Cargo'!$HD$19:$HD$19)</f>
        <v>2</v>
      </c>
      <c r="H29" s="420">
        <f>(F29-G29)/G29</f>
        <v>0</v>
      </c>
      <c r="I29" s="419">
        <f>+F29/$F$33</f>
        <v>1.514004542013626E-3</v>
      </c>
      <c r="J29" s="283" t="s">
        <v>127</v>
      </c>
      <c r="K29" s="40"/>
      <c r="L29" s="422">
        <f>+'[2]Misc Cargo'!$HR$64</f>
        <v>0</v>
      </c>
      <c r="M29" s="418">
        <f>+'[2]Misc Cargo'!$HD$64</f>
        <v>2782</v>
      </c>
      <c r="N29" s="419">
        <f>(L29-M29)/M29</f>
        <v>-1</v>
      </c>
      <c r="O29" s="422">
        <f>+SUM('[2]Misc Cargo'!$HR$64:$HR$64)</f>
        <v>0</v>
      </c>
      <c r="P29" s="418">
        <f>+SUM('[2]Misc Cargo'!$HD$64:$HD$64)</f>
        <v>2782</v>
      </c>
      <c r="Q29" s="420">
        <f>(O29-P29)/P29</f>
        <v>-1</v>
      </c>
      <c r="R29" s="419">
        <f>O29/$O$33</f>
        <v>0</v>
      </c>
    </row>
    <row r="30" spans="1:20" x14ac:dyDescent="0.2">
      <c r="A30" s="38"/>
      <c r="B30" s="40"/>
      <c r="C30" s="284"/>
      <c r="E30" s="66"/>
      <c r="F30" s="288"/>
      <c r="I30" s="66"/>
      <c r="J30" s="38"/>
      <c r="K30" s="40"/>
      <c r="L30" s="288"/>
      <c r="N30" s="66"/>
      <c r="O30" s="288"/>
      <c r="P30" s="2"/>
      <c r="Q30" s="3"/>
      <c r="R30" s="66"/>
    </row>
    <row r="31" spans="1:20" ht="13.5" thickBot="1" x14ac:dyDescent="0.25">
      <c r="A31" s="371"/>
      <c r="B31" s="372"/>
      <c r="C31" s="423"/>
      <c r="D31" s="424"/>
      <c r="E31" s="425"/>
      <c r="F31" s="423"/>
      <c r="G31" s="424"/>
      <c r="H31" s="426"/>
      <c r="I31" s="425"/>
      <c r="J31" s="283"/>
      <c r="K31" s="40"/>
      <c r="L31" s="292"/>
      <c r="M31" s="294"/>
      <c r="N31" s="295"/>
      <c r="O31" s="292"/>
      <c r="P31" s="294"/>
      <c r="Q31" s="293"/>
      <c r="R31" s="372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73" t="s">
        <v>186</v>
      </c>
      <c r="C33" s="374">
        <f>+C29+C25+C19+C9+C5</f>
        <v>1321</v>
      </c>
      <c r="D33" s="374">
        <f>+D29+D25+D19+D9+D5</f>
        <v>1210</v>
      </c>
      <c r="E33" s="375">
        <f>(C33-D33)/D33</f>
        <v>9.173553719008265E-2</v>
      </c>
      <c r="F33" s="374">
        <f>+F29+F25+F19+F9+F5</f>
        <v>1321</v>
      </c>
      <c r="G33" s="374">
        <f>+G29+G25+G19+G9+G5</f>
        <v>1210</v>
      </c>
      <c r="H33" s="376">
        <f>(F33-G33)/G33</f>
        <v>9.173553719008265E-2</v>
      </c>
      <c r="I33" s="385"/>
      <c r="J33"/>
      <c r="K33" s="373" t="s">
        <v>186</v>
      </c>
      <c r="L33" s="374">
        <f>+L29+L25+L19+L9+L5</f>
        <v>33325414</v>
      </c>
      <c r="M33" s="374">
        <f>+M29+M25+M19+M9+M5</f>
        <v>32340701</v>
      </c>
      <c r="N33" s="377">
        <f>(L33-M33)/M33</f>
        <v>3.044810315026876E-2</v>
      </c>
      <c r="O33" s="374">
        <f>+O29+O25+O19+O9+O5</f>
        <v>33325414</v>
      </c>
      <c r="P33" s="374">
        <f>+P29+P25+P19+P9+P5</f>
        <v>32340701</v>
      </c>
      <c r="Q33" s="376">
        <f t="shared" ref="Q33" si="13">(O33-P33)/P33</f>
        <v>3.044810315026876E-2</v>
      </c>
      <c r="R33" s="385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 s="9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F98" s="172"/>
      <c r="K98"/>
    </row>
    <row r="99" spans="4:14" x14ac:dyDescent="0.2">
      <c r="F99" s="172"/>
      <c r="K99"/>
    </row>
    <row r="100" spans="4:14" x14ac:dyDescent="0.2">
      <c r="F100" s="172"/>
      <c r="K100"/>
    </row>
    <row r="101" spans="4:14" x14ac:dyDescent="0.2">
      <c r="F101" s="172"/>
      <c r="K101"/>
    </row>
    <row r="102" spans="4:14" x14ac:dyDescent="0.2">
      <c r="F102" s="172"/>
      <c r="K102"/>
    </row>
    <row r="103" spans="4:14" x14ac:dyDescent="0.2">
      <c r="F103" s="172"/>
      <c r="K103"/>
    </row>
    <row r="104" spans="4:14" x14ac:dyDescent="0.2">
      <c r="F104" s="172"/>
      <c r="K104"/>
    </row>
    <row r="105" spans="4:14" x14ac:dyDescent="0.2">
      <c r="F105" s="172"/>
      <c r="K105"/>
    </row>
    <row r="106" spans="4:14" x14ac:dyDescent="0.2">
      <c r="F106" s="172"/>
      <c r="K106"/>
    </row>
    <row r="107" spans="4:14" x14ac:dyDescent="0.2">
      <c r="F107" s="172"/>
      <c r="K107"/>
    </row>
    <row r="108" spans="4:14" x14ac:dyDescent="0.2">
      <c r="F108" s="172"/>
      <c r="K108"/>
    </row>
    <row r="109" spans="4:14" x14ac:dyDescent="0.2">
      <c r="F109" s="172"/>
      <c r="K109"/>
    </row>
    <row r="110" spans="4:14" x14ac:dyDescent="0.2">
      <c r="F110" s="172"/>
      <c r="K110"/>
    </row>
    <row r="111" spans="4:14" x14ac:dyDescent="0.2">
      <c r="F111" s="172"/>
      <c r="K111"/>
    </row>
    <row r="112" spans="4:14" x14ac:dyDescent="0.2">
      <c r="F112" s="172"/>
      <c r="K112"/>
    </row>
    <row r="113" spans="6:11" x14ac:dyDescent="0.2">
      <c r="F113" s="172"/>
      <c r="K113"/>
    </row>
    <row r="114" spans="6:11" x14ac:dyDescent="0.2">
      <c r="F114" s="172"/>
      <c r="K114"/>
    </row>
    <row r="115" spans="6:11" x14ac:dyDescent="0.2">
      <c r="F115" s="172"/>
      <c r="K115"/>
    </row>
    <row r="116" spans="6:11" x14ac:dyDescent="0.2">
      <c r="F116" s="172"/>
      <c r="K116"/>
    </row>
    <row r="117" spans="6:11" x14ac:dyDescent="0.2">
      <c r="F117" s="172"/>
      <c r="K117"/>
    </row>
    <row r="118" spans="6:11" x14ac:dyDescent="0.2">
      <c r="F118" s="172"/>
      <c r="K118"/>
    </row>
    <row r="119" spans="6:11" x14ac:dyDescent="0.2">
      <c r="F119" s="172"/>
      <c r="K119"/>
    </row>
    <row r="120" spans="6:11" x14ac:dyDescent="0.2">
      <c r="F120" s="172"/>
      <c r="K120"/>
    </row>
    <row r="121" spans="6:11" x14ac:dyDescent="0.2">
      <c r="F121" s="172"/>
      <c r="K121"/>
    </row>
    <row r="122" spans="6:11" x14ac:dyDescent="0.2">
      <c r="F122" s="172"/>
      <c r="K122"/>
    </row>
    <row r="123" spans="6:11" x14ac:dyDescent="0.2">
      <c r="F123" s="172"/>
      <c r="K123"/>
    </row>
    <row r="124" spans="6:11" x14ac:dyDescent="0.2">
      <c r="F124" s="172"/>
      <c r="K124"/>
    </row>
    <row r="125" spans="6:11" x14ac:dyDescent="0.2">
      <c r="F125" s="172"/>
      <c r="K125"/>
    </row>
    <row r="126" spans="6:11" x14ac:dyDescent="0.2">
      <c r="F126" s="172"/>
      <c r="K126"/>
    </row>
    <row r="127" spans="6:11" x14ac:dyDescent="0.2">
      <c r="F127" s="172"/>
      <c r="K127"/>
    </row>
    <row r="128" spans="6:11" x14ac:dyDescent="0.2">
      <c r="F128" s="172"/>
      <c r="K128"/>
    </row>
    <row r="129" spans="6:11" x14ac:dyDescent="0.2">
      <c r="F129" s="172"/>
      <c r="K129"/>
    </row>
    <row r="130" spans="6:11" x14ac:dyDescent="0.2">
      <c r="F130" s="172"/>
      <c r="K130"/>
    </row>
    <row r="131" spans="6:11" x14ac:dyDescent="0.2">
      <c r="F131" s="172"/>
      <c r="K131"/>
    </row>
    <row r="132" spans="6:11" x14ac:dyDescent="0.2">
      <c r="F132" s="172"/>
      <c r="K132"/>
    </row>
    <row r="133" spans="6:11" x14ac:dyDescent="0.2">
      <c r="F133" s="172"/>
      <c r="K133"/>
    </row>
    <row r="134" spans="6:11" x14ac:dyDescent="0.2">
      <c r="F134" s="172"/>
      <c r="K134"/>
    </row>
    <row r="135" spans="6:11" x14ac:dyDescent="0.2">
      <c r="F135" s="172"/>
      <c r="K135"/>
    </row>
    <row r="136" spans="6:11" x14ac:dyDescent="0.2">
      <c r="F136" s="172"/>
      <c r="K136"/>
    </row>
    <row r="137" spans="6:11" x14ac:dyDescent="0.2">
      <c r="F137" s="172"/>
      <c r="K137"/>
    </row>
    <row r="138" spans="6:11" x14ac:dyDescent="0.2">
      <c r="F138" s="172"/>
      <c r="K138"/>
    </row>
    <row r="139" spans="6:11" x14ac:dyDescent="0.2">
      <c r="F139" s="172"/>
      <c r="K139"/>
    </row>
    <row r="140" spans="6:11" x14ac:dyDescent="0.2">
      <c r="F140" s="172"/>
      <c r="K140"/>
    </row>
    <row r="141" spans="6:11" x14ac:dyDescent="0.2">
      <c r="F141" s="172"/>
      <c r="K141"/>
    </row>
    <row r="142" spans="6:11" x14ac:dyDescent="0.2">
      <c r="F142" s="172"/>
      <c r="K142"/>
    </row>
    <row r="143" spans="6:11" x14ac:dyDescent="0.2">
      <c r="F143" s="172"/>
      <c r="K143"/>
    </row>
    <row r="144" spans="6:11" x14ac:dyDescent="0.2">
      <c r="F144" s="172"/>
      <c r="K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1048576" spans="20:20" x14ac:dyDescent="0.2">
      <c r="T1048576" s="434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January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2023-01-26T18:08:55Z</dcterms:modified>
</cp:coreProperties>
</file>