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72E5E3DF-FEB7-4927-8944-3FC8654488EE}" xr6:coauthVersionLast="47" xr6:coauthVersionMax="47" xr10:uidLastSave="{00000000-0000-0000-0000-000000000000}"/>
  <bookViews>
    <workbookView xWindow="28680" yWindow="-120" windowWidth="29040" windowHeight="15840" tabRatio="78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6" l="1"/>
  <c r="J34" i="16"/>
  <c r="J28" i="16"/>
  <c r="J27" i="16"/>
  <c r="J22" i="16"/>
  <c r="J21" i="16"/>
  <c r="J17" i="16"/>
  <c r="J16" i="16"/>
  <c r="J10" i="16"/>
  <c r="J9" i="16"/>
  <c r="J5" i="16"/>
  <c r="J4" i="16"/>
  <c r="H27" i="8"/>
  <c r="H26" i="8"/>
  <c r="H22" i="8"/>
  <c r="H21" i="8"/>
  <c r="H23" i="8" s="1"/>
  <c r="H17" i="8"/>
  <c r="H16" i="8"/>
  <c r="H5" i="8"/>
  <c r="H4" i="8"/>
  <c r="H10" i="8"/>
  <c r="C21" i="8"/>
  <c r="C16" i="8"/>
  <c r="C4" i="8"/>
  <c r="C5" i="8"/>
  <c r="H6" i="8" l="1"/>
  <c r="H12" i="8" s="1"/>
  <c r="H18" i="8"/>
  <c r="H31" i="8"/>
  <c r="H32" i="8"/>
  <c r="H28" i="8"/>
  <c r="H33" i="8" l="1"/>
  <c r="P16" i="17"/>
  <c r="O16" i="17"/>
  <c r="M16" i="17"/>
  <c r="L16" i="17"/>
  <c r="G16" i="17"/>
  <c r="F16" i="17"/>
  <c r="D16" i="17"/>
  <c r="C16" i="17"/>
  <c r="N27" i="8"/>
  <c r="N26" i="8"/>
  <c r="N22" i="8"/>
  <c r="N21" i="8"/>
  <c r="N17" i="8"/>
  <c r="N16" i="8"/>
  <c r="N5" i="8"/>
  <c r="N4" i="8"/>
  <c r="G11" i="3" l="1"/>
  <c r="P35" i="16" l="1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R27" i="8"/>
  <c r="Q27" i="8"/>
  <c r="P27" i="8"/>
  <c r="O27" i="8"/>
  <c r="M27" i="8"/>
  <c r="L27" i="8"/>
  <c r="K27" i="8"/>
  <c r="J27" i="8"/>
  <c r="I27" i="8"/>
  <c r="G27" i="8"/>
  <c r="E27" i="8"/>
  <c r="D27" i="8"/>
  <c r="C27" i="8"/>
  <c r="B27" i="8"/>
  <c r="R26" i="8"/>
  <c r="Q26" i="8"/>
  <c r="P26" i="8"/>
  <c r="O26" i="8"/>
  <c r="M26" i="8"/>
  <c r="L26" i="8"/>
  <c r="K26" i="8"/>
  <c r="J26" i="8"/>
  <c r="I26" i="8"/>
  <c r="G26" i="8"/>
  <c r="E26" i="8"/>
  <c r="D26" i="8"/>
  <c r="C26" i="8"/>
  <c r="B26" i="8"/>
  <c r="R22" i="8"/>
  <c r="Q22" i="8"/>
  <c r="P22" i="8"/>
  <c r="O22" i="8"/>
  <c r="M22" i="8"/>
  <c r="L22" i="8"/>
  <c r="K22" i="8"/>
  <c r="J22" i="8"/>
  <c r="I22" i="8"/>
  <c r="G22" i="8"/>
  <c r="E22" i="8"/>
  <c r="D22" i="8"/>
  <c r="C22" i="8"/>
  <c r="B22" i="8"/>
  <c r="R21" i="8"/>
  <c r="Q21" i="8"/>
  <c r="P21" i="8"/>
  <c r="O21" i="8"/>
  <c r="M21" i="8"/>
  <c r="L21" i="8"/>
  <c r="K21" i="8"/>
  <c r="J21" i="8"/>
  <c r="I21" i="8"/>
  <c r="G21" i="8"/>
  <c r="E21" i="8"/>
  <c r="D21" i="8"/>
  <c r="B21" i="8"/>
  <c r="R17" i="8"/>
  <c r="Q17" i="8"/>
  <c r="P17" i="8"/>
  <c r="O17" i="8"/>
  <c r="M17" i="8"/>
  <c r="L17" i="8"/>
  <c r="K17" i="8"/>
  <c r="J17" i="8"/>
  <c r="I17" i="8"/>
  <c r="G17" i="8"/>
  <c r="E17" i="8"/>
  <c r="D17" i="8"/>
  <c r="C17" i="8"/>
  <c r="B17" i="8"/>
  <c r="R16" i="8"/>
  <c r="Q16" i="8"/>
  <c r="P16" i="8"/>
  <c r="O16" i="8"/>
  <c r="M16" i="8"/>
  <c r="L16" i="8"/>
  <c r="K16" i="8"/>
  <c r="J16" i="8"/>
  <c r="I16" i="8"/>
  <c r="G16" i="8"/>
  <c r="E16" i="8"/>
  <c r="D16" i="8"/>
  <c r="B16" i="8"/>
  <c r="R9" i="8"/>
  <c r="R8" i="8"/>
  <c r="R5" i="8"/>
  <c r="Q5" i="8"/>
  <c r="P5" i="8"/>
  <c r="O5" i="8"/>
  <c r="M5" i="8"/>
  <c r="L5" i="8"/>
  <c r="K5" i="8"/>
  <c r="J5" i="8"/>
  <c r="I5" i="8"/>
  <c r="G5" i="8"/>
  <c r="F5" i="8"/>
  <c r="E5" i="8"/>
  <c r="D5" i="8"/>
  <c r="B5" i="8"/>
  <c r="R4" i="8"/>
  <c r="Q4" i="8"/>
  <c r="P4" i="8"/>
  <c r="O4" i="8"/>
  <c r="M4" i="8"/>
  <c r="L4" i="8"/>
  <c r="K4" i="8"/>
  <c r="J4" i="8"/>
  <c r="I4" i="8"/>
  <c r="G4" i="8"/>
  <c r="F4" i="8"/>
  <c r="E4" i="8"/>
  <c r="D4" i="8"/>
  <c r="B4" i="8"/>
  <c r="G21" i="5"/>
  <c r="G20" i="5"/>
  <c r="G16" i="5"/>
  <c r="G15" i="5"/>
  <c r="G11" i="5"/>
  <c r="G10" i="5"/>
  <c r="G6" i="5"/>
  <c r="G5" i="5"/>
  <c r="O21" i="7"/>
  <c r="J21" i="7"/>
  <c r="E21" i="7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N10" i="2" s="1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B37" i="1"/>
  <c r="B36" i="1"/>
  <c r="D37" i="1"/>
  <c r="D36" i="1"/>
  <c r="E28" i="1"/>
  <c r="E27" i="1"/>
  <c r="E17" i="1"/>
  <c r="E18" i="1"/>
  <c r="E19" i="1"/>
  <c r="E20" i="1"/>
  <c r="E21" i="1"/>
  <c r="E16" i="1"/>
  <c r="E10" i="1"/>
  <c r="E6" i="1"/>
  <c r="E7" i="1"/>
  <c r="E5" i="1"/>
  <c r="C21" i="1"/>
  <c r="B21" i="1"/>
  <c r="C20" i="1"/>
  <c r="B20" i="1"/>
  <c r="J21" i="5" l="1"/>
  <c r="J20" i="5"/>
  <c r="J16" i="5"/>
  <c r="J15" i="5"/>
  <c r="J11" i="5"/>
  <c r="J10" i="5"/>
  <c r="J6" i="5"/>
  <c r="J5" i="5"/>
  <c r="H28" i="1" l="1"/>
  <c r="H27" i="1"/>
  <c r="H20" i="1"/>
  <c r="H17" i="1"/>
  <c r="H16" i="1"/>
  <c r="H18" i="1" l="1"/>
  <c r="H19" i="1"/>
  <c r="H5" i="1"/>
  <c r="H6" i="1"/>
  <c r="H21" i="1"/>
  <c r="H7" i="1"/>
  <c r="H10" i="1"/>
  <c r="O30" i="16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M72" i="9"/>
  <c r="P72" i="9"/>
  <c r="V72" i="9"/>
  <c r="Y72" i="9"/>
  <c r="X72" i="9" l="1"/>
  <c r="U72" i="9"/>
  <c r="C72" i="9"/>
  <c r="F72" i="9"/>
  <c r="L72" i="9"/>
  <c r="O72" i="9"/>
  <c r="D9" i="17"/>
  <c r="C9" i="17"/>
  <c r="G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16" i="3" l="1"/>
  <c r="K17" i="3"/>
  <c r="K20" i="3"/>
  <c r="K21" i="3"/>
  <c r="K17" i="4" l="1"/>
  <c r="H17" i="4"/>
  <c r="T1048576" i="17" l="1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W71" i="9" s="1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3" i="17" l="1"/>
  <c r="N10" i="17"/>
  <c r="P5" i="17"/>
  <c r="J6" i="8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19" i="17"/>
  <c r="M9" i="17"/>
  <c r="M18" i="8"/>
  <c r="I28" i="8"/>
  <c r="E6" i="17"/>
  <c r="E12" i="17"/>
  <c r="E15" i="17"/>
  <c r="E17" i="17"/>
  <c r="E23" i="17"/>
  <c r="E27" i="17"/>
  <c r="G25" i="17"/>
  <c r="N14" i="17"/>
  <c r="K6" i="8"/>
  <c r="K12" i="8" s="1"/>
  <c r="C19" i="17"/>
  <c r="H23" i="17"/>
  <c r="F6" i="8"/>
  <c r="F12" i="8" s="1"/>
  <c r="J18" i="8"/>
  <c r="R18" i="8"/>
  <c r="G23" i="8"/>
  <c r="P23" i="8"/>
  <c r="N28" i="8"/>
  <c r="Q28" i="8"/>
  <c r="F19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19" i="17"/>
  <c r="D25" i="17"/>
  <c r="M6" i="16"/>
  <c r="G19" i="17"/>
  <c r="Q20" i="17"/>
  <c r="L23" i="8"/>
  <c r="B32" i="8"/>
  <c r="O6" i="8"/>
  <c r="O12" i="8" s="1"/>
  <c r="K32" i="8"/>
  <c r="B31" i="8"/>
  <c r="N6" i="17"/>
  <c r="E7" i="17"/>
  <c r="E14" i="17"/>
  <c r="E16" i="17"/>
  <c r="E22" i="17"/>
  <c r="E26" i="17"/>
  <c r="N29" i="17"/>
  <c r="N7" i="17"/>
  <c r="N16" i="17"/>
  <c r="N22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7" i="16"/>
  <c r="M31" i="8"/>
  <c r="G32" i="8"/>
  <c r="N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8" i="16"/>
  <c r="M23" i="16"/>
  <c r="S31" i="8" l="1"/>
  <c r="S32" i="8"/>
  <c r="E19" i="17"/>
  <c r="S18" i="8"/>
  <c r="S23" i="8"/>
  <c r="S28" i="8"/>
  <c r="Q5" i="17"/>
  <c r="P33" i="17"/>
  <c r="N19" i="17"/>
  <c r="R33" i="8"/>
  <c r="I33" i="8"/>
  <c r="K33" i="8"/>
  <c r="N9" i="17"/>
  <c r="N33" i="8"/>
  <c r="L33" i="8"/>
  <c r="Q33" i="8"/>
  <c r="C33" i="8"/>
  <c r="O33" i="8"/>
  <c r="M33" i="8"/>
  <c r="G33" i="8"/>
  <c r="D33" i="17"/>
  <c r="S6" i="8"/>
  <c r="J33" i="8"/>
  <c r="G33" i="17"/>
  <c r="H19" i="17"/>
  <c r="E5" i="17"/>
  <c r="N5" i="17"/>
  <c r="D10" i="5"/>
  <c r="P33" i="8"/>
  <c r="D11" i="5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R12" i="8"/>
  <c r="S12" i="8" s="1"/>
  <c r="B33" i="8"/>
  <c r="Q55" i="9"/>
  <c r="E55" i="9"/>
  <c r="N55" i="9"/>
  <c r="H55" i="9"/>
  <c r="S33" i="8" l="1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1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B33" i="1" l="1"/>
  <c r="C21" i="7"/>
  <c r="F31" i="7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D33" i="1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D19" i="1"/>
  <c r="L20" i="4"/>
  <c r="M20" i="4" s="1"/>
  <c r="G7" i="7"/>
  <c r="Q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G19" i="1" l="1"/>
  <c r="F32" i="7"/>
  <c r="F30" i="7"/>
  <c r="F29" i="7"/>
  <c r="F28" i="7"/>
  <c r="K23" i="3"/>
  <c r="F27" i="7"/>
  <c r="F26" i="7"/>
  <c r="F25" i="7"/>
  <c r="F23" i="7"/>
  <c r="F22" i="7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L21" i="15"/>
  <c r="D6" i="1"/>
  <c r="G6" i="1" s="1"/>
  <c r="C8" i="1"/>
  <c r="C33" i="7"/>
  <c r="B10" i="1"/>
  <c r="D21" i="7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F5" i="5" s="1"/>
  <c r="I5" i="5" s="1"/>
  <c r="F21" i="7" l="1"/>
  <c r="G16" i="1"/>
  <c r="C33" i="1"/>
  <c r="B32" i="1"/>
  <c r="D32" i="1" s="1"/>
  <c r="I7" i="1"/>
  <c r="I19" i="1"/>
  <c r="B20" i="5"/>
  <c r="E20" i="5" s="1"/>
  <c r="D10" i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1" i="7" s="1"/>
  <c r="B11" i="1"/>
  <c r="L21" i="7" s="1"/>
  <c r="D33" i="7"/>
  <c r="D28" i="1"/>
  <c r="G28" i="1" s="1"/>
  <c r="B22" i="1"/>
  <c r="B29" i="1"/>
  <c r="C12" i="5"/>
  <c r="C21" i="5"/>
  <c r="E11" i="5"/>
  <c r="F11" i="5" s="1"/>
  <c r="I11" i="5" s="1"/>
  <c r="C29" i="1"/>
  <c r="F16" i="1"/>
  <c r="D22" i="1"/>
  <c r="F22" i="1" s="1"/>
  <c r="D22" i="5"/>
  <c r="F15" i="5"/>
  <c r="I15" i="5" s="1"/>
  <c r="E17" i="5"/>
  <c r="D27" i="1" s="1"/>
  <c r="G27" i="1" s="1"/>
  <c r="F17" i="1"/>
  <c r="G10" i="1" l="1"/>
  <c r="N21" i="7"/>
  <c r="P31" i="7"/>
  <c r="I17" i="5"/>
  <c r="I12" i="5"/>
  <c r="P29" i="7"/>
  <c r="P27" i="7"/>
  <c r="P26" i="7"/>
  <c r="P24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K31" i="7" l="1"/>
  <c r="P32" i="7"/>
  <c r="K30" i="7"/>
  <c r="P30" i="7"/>
  <c r="K29" i="7"/>
  <c r="I22" i="5"/>
  <c r="K28" i="7"/>
  <c r="P28" i="7"/>
  <c r="K24" i="7"/>
  <c r="K27" i="7"/>
  <c r="K26" i="7"/>
  <c r="K25" i="7"/>
  <c r="P25" i="7"/>
  <c r="M33" i="7"/>
  <c r="P22" i="7"/>
  <c r="P23" i="7"/>
  <c r="K22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3" i="7"/>
  <c r="K21" i="5"/>
  <c r="E32" i="1"/>
  <c r="K20" i="5"/>
  <c r="K22" i="5"/>
  <c r="N33" i="7" l="1"/>
  <c r="P33" i="7" s="1"/>
  <c r="L33" i="7"/>
  <c r="G21" i="7"/>
  <c r="G33" i="7" l="1"/>
  <c r="I21" i="7"/>
  <c r="P21" i="7"/>
  <c r="I33" i="7" l="1"/>
  <c r="K21" i="7"/>
  <c r="K33" i="7" l="1"/>
</calcChain>
</file>

<file path=xl/sharedStrings.xml><?xml version="1.0" encoding="utf-8"?>
<sst xmlns="http://schemas.openxmlformats.org/spreadsheetml/2006/main" count="699" uniqueCount="251">
  <si>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</si>
  <si>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</si>
  <si>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</si>
  <si>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</si>
  <si>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</si>
  <si>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</si>
  <si>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</si>
  <si>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</si>
  <si>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</si>
  <si>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</si>
  <si>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</si>
  <si>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</si>
  <si>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</si>
  <si>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</si>
  <si>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</si>
  <si>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</si>
  <si>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</si>
  <si>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</si>
  <si>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</si>
  <si>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</si>
  <si>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</si>
  <si>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</si>
  <si>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</si>
  <si>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</si>
  <si>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</si>
  <si>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</si>
  <si>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</si>
  <si>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</si>
  <si>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</si>
  <si>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</si>
  <si>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</si>
  <si>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</si>
  <si>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</si>
  <si>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</si>
  <si>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</si>
  <si>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</si>
  <si>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</si>
  <si>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</si>
  <si>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</si>
  <si>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</si>
  <si>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</si>
  <si>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</si>
  <si>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</si>
  <si>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</si>
  <si>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</si>
  <si>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</si>
  <si>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</si>
  <si>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</si>
  <si>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</si>
  <si>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</si>
  <si>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</si>
  <si>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</si>
  <si>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</si>
  <si>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</si>
  <si>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</si>
  <si>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</si>
  <si>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</si>
  <si>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</si>
  <si>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</si>
  <si>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</si>
  <si>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</si>
  <si>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</si>
  <si>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</si>
  <si>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</si>
  <si>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</si>
  <si>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</si>
  <si>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</si>
  <si>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</si>
  <si>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</si>
  <si>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</si>
  <si>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</si>
  <si>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</si>
  <si>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</si>
  <si>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</si>
  <si>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</si>
  <si>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</si>
  <si>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</si>
  <si>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</si>
  <si>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</si>
  <si>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</si>
  <si>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</si>
  <si>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</si>
  <si>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</si>
  <si>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</si>
  <si>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</si>
  <si>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</si>
  <si>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</si>
  <si>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</si>
  <si>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</si>
  <si>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</si>
  <si>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</si>
  <si>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</si>
  <si>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</si>
  <si>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</si>
  <si>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</si>
  <si>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</si>
  <si>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</si>
  <si>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</si>
  <si>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</si>
  <si>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</si>
  <si>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</si>
  <si>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</si>
  <si>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</si>
  <si>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</si>
  <si>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</si>
  <si>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</si>
  <si>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</si>
  <si>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</si>
  <si>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</si>
  <si>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</si>
  <si>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</si>
  <si>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</si>
  <si>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</si>
  <si>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</si>
  <si>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</si>
  <si>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</si>
  <si>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</si>
  <si>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</si>
  <si>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</si>
  <si>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</si>
  <si>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</si>
  <si>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</si>
  <si>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</si>
  <si>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</si>
  <si>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</si>
  <si>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</si>
  <si>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</si>
  <si>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</si>
  <si>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</si>
  <si>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</si>
  <si>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</si>
  <si>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</si>
  <si>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</si>
  <si>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</si>
  <si>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</si>
  <si>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</si>
  <si>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</si>
  <si>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</si>
  <si>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</si>
  <si>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</si>
  <si>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</si>
  <si>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</si>
  <si>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</si>
  <si>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</si>
  <si>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</si>
  <si>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</si>
  <si>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</si>
  <si>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</si>
  <si>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</si>
  <si>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</si>
  <si>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</si>
  <si>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</si>
  <si>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</si>
  <si>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</si>
  <si>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</si>
  <si>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</si>
  <si>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</si>
  <si>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</si>
  <si>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</si>
  <si>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</si>
  <si>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</si>
  <si>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</si>
  <si>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</si>
  <si>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</si>
  <si>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</si>
  <si>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</si>
  <si>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</si>
  <si>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</si>
  <si>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</si>
  <si>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</si>
  <si>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</si>
  <si>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</si>
  <si>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</si>
  <si>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</si>
  <si>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</si>
  <si>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</si>
  <si>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</si>
  <si>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</si>
  <si>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</si>
  <si>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</si>
  <si>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</si>
  <si>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</si>
  <si>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</si>
  <si>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</si>
  <si>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</si>
  <si>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</si>
  <si>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</si>
  <si>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</si>
  <si>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</si>
  <si>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</si>
  <si>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</si>
  <si>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</si>
  <si>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</si>
  <si>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</si>
  <si>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</si>
  <si>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</si>
  <si>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</si>
  <si>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</si>
  <si>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</si>
  <si>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</si>
  <si>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</si>
  <si>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</si>
  <si>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</si>
  <si>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</si>
  <si>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</si>
  <si>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</si>
  <si>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</si>
  <si>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</si>
  <si>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</si>
  <si>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</si>
  <si>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</si>
  <si>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</si>
  <si>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</si>
  <si>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</si>
  <si>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</si>
  <si>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</si>
  <si>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</si>
  <si>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</si>
  <si>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</si>
  <si>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</si>
  <si>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</si>
  <si>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</si>
  <si>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</si>
  <si>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</si>
  <si>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</si>
  <si>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</si>
  <si>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</si>
  <si>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</si>
  <si>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</si>
  <si>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</si>
  <si>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</si>
  <si>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</si>
  <si>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</si>
  <si>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</si>
  <si>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</si>
  <si>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</si>
  <si>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</si>
  <si>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>January 2022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</si>
  <si>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</si>
  <si>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</si>
  <si>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</si>
  <si>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</si>
  <si>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</si>
  <si>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</si>
  <si>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</si>
  <si>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</si>
  <si>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</si>
  <si>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</si>
  <si>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</si>
  <si>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Jazz Air - Air Canada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</si>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</sst>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3" fontId="0" fillId="0" borderId="78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vertical="center" wrapText="1"/>
    </xf>
    <xf numFmtId="3" fontId="4" fillId="2" borderId="72" xfId="0" applyNumberFormat="1" applyFont="1" applyFill="1" applyBorder="1" applyAlignment="1">
      <alignment horizontal="center" vertical="center" wrapText="1"/>
    </xf>
    <xf numFmtId="1" fontId="4" fillId="2" borderId="72" xfId="0" applyNumberFormat="1" applyFont="1" applyFill="1" applyBorder="1" applyAlignment="1">
      <alignment horizontal="center" vertical="center" wrapText="1"/>
    </xf>
    <xf numFmtId="10" fontId="4" fillId="2" borderId="72" xfId="0" applyNumberFormat="1" applyFont="1" applyFill="1" applyBorder="1" applyAlignment="1">
      <alignment horizontal="center" vertical="center" wrapText="1"/>
    </xf>
    <xf numFmtId="3" fontId="4" fillId="5" borderId="72" xfId="0" applyNumberFormat="1" applyFont="1" applyFill="1" applyBorder="1" applyAlignment="1">
      <alignment horizontal="center" vertical="center" wrapText="1"/>
    </xf>
    <xf numFmtId="10" fontId="4" fillId="5" borderId="72" xfId="0" applyNumberFormat="1" applyFont="1" applyFill="1" applyBorder="1" applyAlignment="1">
      <alignment horizontal="center" vertical="center"/>
    </xf>
    <xf numFmtId="0" fontId="4" fillId="5" borderId="72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/>
    </xf>
    <xf numFmtId="10" fontId="4" fillId="5" borderId="72" xfId="0" applyNumberFormat="1" applyFont="1" applyFill="1" applyBorder="1" applyAlignment="1">
      <alignment horizontal="center" vertical="center" wrapText="1"/>
    </xf>
    <xf numFmtId="3" fontId="4" fillId="15" borderId="72" xfId="0" applyNumberFormat="1" applyFont="1" applyFill="1" applyBorder="1" applyAlignment="1">
      <alignment horizontal="center" vertical="center" wrapText="1"/>
    </xf>
    <xf numFmtId="10" fontId="4" fillId="15" borderId="72" xfId="0" applyNumberFormat="1" applyFont="1" applyFill="1" applyBorder="1" applyAlignment="1">
      <alignment horizontal="center" vertical="center"/>
    </xf>
    <xf numFmtId="0" fontId="4" fillId="15" borderId="72" xfId="0" applyFont="1" applyFill="1" applyBorder="1" applyAlignment="1">
      <alignment horizontal="center" vertical="center" wrapText="1"/>
    </xf>
    <xf numFmtId="0" fontId="4" fillId="15" borderId="72" xfId="0" applyFont="1" applyFill="1" applyBorder="1" applyAlignment="1">
      <alignment horizontal="center" vertical="center"/>
    </xf>
    <xf numFmtId="10" fontId="4" fillId="15" borderId="72" xfId="0" applyNumberFormat="1" applyFont="1" applyFill="1" applyBorder="1" applyAlignment="1">
      <alignment horizontal="center" vertic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1610631</v>
          </cell>
        </row>
        <row r="6">
          <cell r="D6">
            <v>323484</v>
          </cell>
        </row>
        <row r="7">
          <cell r="D7">
            <v>2392</v>
          </cell>
        </row>
        <row r="10">
          <cell r="D10">
            <v>60315</v>
          </cell>
        </row>
        <row r="16">
          <cell r="D16">
            <v>14017</v>
          </cell>
        </row>
        <row r="17">
          <cell r="D17">
            <v>8021</v>
          </cell>
        </row>
        <row r="18">
          <cell r="D18">
            <v>16</v>
          </cell>
        </row>
        <row r="19">
          <cell r="D19">
            <v>1321</v>
          </cell>
        </row>
        <row r="20">
          <cell r="D20">
            <v>1096</v>
          </cell>
        </row>
        <row r="21">
          <cell r="D21">
            <v>110</v>
          </cell>
        </row>
        <row r="27">
          <cell r="D27">
            <v>15990.397925989408</v>
          </cell>
        </row>
        <row r="28">
          <cell r="D28">
            <v>1899.02297042073</v>
          </cell>
        </row>
        <row r="32">
          <cell r="B32">
            <v>678261</v>
          </cell>
          <cell r="D32">
            <v>678261</v>
          </cell>
        </row>
        <row r="33">
          <cell r="B33">
            <v>294443</v>
          </cell>
          <cell r="D33">
            <v>294443</v>
          </cell>
        </row>
      </sheetData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>
        <row r="5">
          <cell r="F5">
            <v>9222.3625025447291</v>
          </cell>
        </row>
        <row r="6">
          <cell r="F6">
            <v>1007.41867473786</v>
          </cell>
        </row>
        <row r="10">
          <cell r="F10">
            <v>6768.0354234446795</v>
          </cell>
        </row>
        <row r="11">
          <cell r="F11">
            <v>891.60429568286997</v>
          </cell>
        </row>
        <row r="15">
          <cell r="F15">
            <v>0</v>
          </cell>
        </row>
        <row r="16">
          <cell r="F16">
            <v>0</v>
          </cell>
        </row>
        <row r="20">
          <cell r="F20">
            <v>15990.397925989409</v>
          </cell>
        </row>
        <row r="21">
          <cell r="F21">
            <v>1899.02297042073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R19">
            <v>0</v>
          </cell>
        </row>
        <row r="41">
          <cell r="HR41">
            <v>0</v>
          </cell>
        </row>
        <row r="64">
          <cell r="HR64">
            <v>0</v>
          </cell>
        </row>
      </sheetData>
      <sheetData sheetId="3"/>
      <sheetData sheetId="4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5">
        <row r="4">
          <cell r="IF4">
            <v>37</v>
          </cell>
        </row>
        <row r="5">
          <cell r="IF5">
            <v>37</v>
          </cell>
        </row>
        <row r="19">
          <cell r="HR19">
            <v>82</v>
          </cell>
          <cell r="IF19">
            <v>74</v>
          </cell>
        </row>
        <row r="22">
          <cell r="IF22">
            <v>5427</v>
          </cell>
        </row>
        <row r="23">
          <cell r="IF23">
            <v>6050</v>
          </cell>
        </row>
        <row r="41">
          <cell r="HR41">
            <v>8054</v>
          </cell>
          <cell r="IF41">
            <v>11477</v>
          </cell>
        </row>
        <row r="64">
          <cell r="HR64">
            <v>0</v>
          </cell>
          <cell r="IF64">
            <v>0</v>
          </cell>
        </row>
      </sheetData>
      <sheetData sheetId="6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7">
        <row r="4">
          <cell r="IF4">
            <v>49</v>
          </cell>
        </row>
        <row r="5">
          <cell r="IF5">
            <v>49</v>
          </cell>
        </row>
        <row r="19">
          <cell r="HR19">
            <v>72</v>
          </cell>
          <cell r="IF19">
            <v>98</v>
          </cell>
        </row>
        <row r="22">
          <cell r="IF22">
            <v>6226</v>
          </cell>
        </row>
        <row r="23">
          <cell r="IF23">
            <v>6626</v>
          </cell>
        </row>
        <row r="27">
          <cell r="IF27">
            <v>265</v>
          </cell>
        </row>
        <row r="28">
          <cell r="IF28">
            <v>273</v>
          </cell>
        </row>
        <row r="41">
          <cell r="HR41">
            <v>7669</v>
          </cell>
          <cell r="IF41">
            <v>12852</v>
          </cell>
        </row>
        <row r="47">
          <cell r="IF47">
            <v>10865</v>
          </cell>
        </row>
        <row r="52">
          <cell r="IF52">
            <v>7824</v>
          </cell>
        </row>
        <row r="64">
          <cell r="HR64">
            <v>8706</v>
          </cell>
          <cell r="IF64">
            <v>18689</v>
          </cell>
        </row>
      </sheetData>
      <sheetData sheetId="8"/>
      <sheetData sheetId="9">
        <row r="4">
          <cell r="IF4">
            <v>309</v>
          </cell>
        </row>
        <row r="5">
          <cell r="IF5">
            <v>310</v>
          </cell>
        </row>
        <row r="19">
          <cell r="HR19">
            <v>561</v>
          </cell>
          <cell r="IF19">
            <v>619</v>
          </cell>
        </row>
        <row r="22">
          <cell r="IF22">
            <v>43370</v>
          </cell>
        </row>
        <row r="23">
          <cell r="IF23">
            <v>44082</v>
          </cell>
        </row>
        <row r="27">
          <cell r="IF27">
            <v>1494</v>
          </cell>
        </row>
        <row r="28">
          <cell r="IF28">
            <v>1730</v>
          </cell>
        </row>
        <row r="41">
          <cell r="HR41">
            <v>71394</v>
          </cell>
          <cell r="IF41">
            <v>87452</v>
          </cell>
        </row>
        <row r="47">
          <cell r="IF47">
            <v>18173</v>
          </cell>
        </row>
        <row r="48">
          <cell r="IF48">
            <v>23136</v>
          </cell>
        </row>
        <row r="52">
          <cell r="IF52">
            <v>5130</v>
          </cell>
        </row>
        <row r="53">
          <cell r="IF53">
            <v>10981</v>
          </cell>
        </row>
        <row r="64">
          <cell r="HR64">
            <v>177370</v>
          </cell>
          <cell r="IF64">
            <v>57420</v>
          </cell>
        </row>
      </sheetData>
      <sheetData sheetId="10"/>
      <sheetData sheetId="11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12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13">
        <row r="4">
          <cell r="IF4">
            <v>4713</v>
          </cell>
        </row>
        <row r="5">
          <cell r="IF5">
            <v>4705</v>
          </cell>
        </row>
        <row r="8">
          <cell r="IF8">
            <v>3</v>
          </cell>
        </row>
        <row r="9">
          <cell r="IF9">
            <v>6</v>
          </cell>
        </row>
        <row r="15">
          <cell r="IF15">
            <v>547</v>
          </cell>
        </row>
        <row r="16">
          <cell r="IF16">
            <v>557</v>
          </cell>
        </row>
        <row r="19">
          <cell r="HR19">
            <v>9542</v>
          </cell>
          <cell r="IF19">
            <v>10531</v>
          </cell>
        </row>
        <row r="22">
          <cell r="IF22">
            <v>590114</v>
          </cell>
        </row>
        <row r="23">
          <cell r="IF23">
            <v>613180</v>
          </cell>
        </row>
        <row r="27">
          <cell r="IF27">
            <v>20964</v>
          </cell>
        </row>
        <row r="28">
          <cell r="IF28">
            <v>21291</v>
          </cell>
        </row>
        <row r="32">
          <cell r="IF32">
            <v>88572</v>
          </cell>
        </row>
        <row r="33">
          <cell r="IF33">
            <v>86065</v>
          </cell>
        </row>
        <row r="37">
          <cell r="IF37">
            <v>2550</v>
          </cell>
        </row>
        <row r="38">
          <cell r="IF38">
            <v>2234</v>
          </cell>
        </row>
        <row r="41">
          <cell r="HR41">
            <v>1105204</v>
          </cell>
          <cell r="IF41">
            <v>1377931</v>
          </cell>
        </row>
        <row r="47">
          <cell r="IF47">
            <v>2452042</v>
          </cell>
        </row>
        <row r="48">
          <cell r="IF48">
            <v>1010471</v>
          </cell>
        </row>
        <row r="52">
          <cell r="IF52">
            <v>1463105</v>
          </cell>
        </row>
        <row r="53">
          <cell r="IF53">
            <v>1058468</v>
          </cell>
        </row>
        <row r="64">
          <cell r="HR64">
            <v>4786988</v>
          </cell>
          <cell r="IF64">
            <v>5984086</v>
          </cell>
        </row>
        <row r="70">
          <cell r="IF70">
            <v>401397</v>
          </cell>
        </row>
        <row r="71">
          <cell r="IF71">
            <v>211783</v>
          </cell>
        </row>
        <row r="73">
          <cell r="IF73">
            <v>56339</v>
          </cell>
        </row>
        <row r="74">
          <cell r="IF74">
            <v>29726</v>
          </cell>
        </row>
      </sheetData>
      <sheetData sheetId="14">
        <row r="4">
          <cell r="IF4">
            <v>80</v>
          </cell>
        </row>
        <row r="5">
          <cell r="IF5">
            <v>80</v>
          </cell>
        </row>
        <row r="19">
          <cell r="HR19">
            <v>164</v>
          </cell>
          <cell r="IF19">
            <v>160</v>
          </cell>
        </row>
        <row r="22">
          <cell r="IF22">
            <v>730</v>
          </cell>
        </row>
        <row r="23">
          <cell r="IF23">
            <v>753</v>
          </cell>
        </row>
        <row r="27">
          <cell r="IF27">
            <v>22</v>
          </cell>
        </row>
        <row r="28">
          <cell r="IF28">
            <v>30</v>
          </cell>
        </row>
        <row r="41">
          <cell r="HR41">
            <v>1348</v>
          </cell>
          <cell r="IF41">
            <v>1483</v>
          </cell>
        </row>
        <row r="64">
          <cell r="HR64">
            <v>0</v>
          </cell>
          <cell r="IF64">
            <v>0</v>
          </cell>
        </row>
      </sheetData>
      <sheetData sheetId="15">
        <row r="4">
          <cell r="IF4">
            <v>47</v>
          </cell>
        </row>
        <row r="5">
          <cell r="IF5">
            <v>47</v>
          </cell>
        </row>
        <row r="19">
          <cell r="HR19">
            <v>170</v>
          </cell>
          <cell r="IF19">
            <v>94</v>
          </cell>
        </row>
        <row r="22">
          <cell r="IF22">
            <v>7153</v>
          </cell>
        </row>
        <row r="23">
          <cell r="IF23">
            <v>7357</v>
          </cell>
        </row>
        <row r="27">
          <cell r="IF27">
            <v>42</v>
          </cell>
        </row>
        <row r="28">
          <cell r="IF28">
            <v>41</v>
          </cell>
        </row>
        <row r="41">
          <cell r="HR41">
            <v>18270</v>
          </cell>
          <cell r="IF41">
            <v>14510</v>
          </cell>
        </row>
        <row r="64">
          <cell r="HR64">
            <v>0</v>
          </cell>
          <cell r="IF64">
            <v>0</v>
          </cell>
        </row>
      </sheetData>
      <sheetData sheetId="16">
        <row r="15">
          <cell r="IF15">
            <v>3</v>
          </cell>
        </row>
        <row r="16">
          <cell r="IF16">
            <v>3</v>
          </cell>
        </row>
        <row r="19">
          <cell r="HR19">
            <v>0</v>
          </cell>
          <cell r="IF19">
            <v>6</v>
          </cell>
        </row>
        <row r="32">
          <cell r="IF32">
            <v>457</v>
          </cell>
        </row>
        <row r="33">
          <cell r="IF33">
            <v>274</v>
          </cell>
        </row>
        <row r="38">
          <cell r="IF38">
            <v>10</v>
          </cell>
        </row>
        <row r="41">
          <cell r="HR41">
            <v>0</v>
          </cell>
          <cell r="IF41">
            <v>731</v>
          </cell>
        </row>
        <row r="47">
          <cell r="IF47">
            <v>337</v>
          </cell>
        </row>
        <row r="64">
          <cell r="HR64">
            <v>0</v>
          </cell>
          <cell r="IF64">
            <v>337</v>
          </cell>
        </row>
      </sheetData>
      <sheetData sheetId="17">
        <row r="4">
          <cell r="IF4">
            <v>62</v>
          </cell>
        </row>
        <row r="5">
          <cell r="IF5">
            <v>62</v>
          </cell>
        </row>
        <row r="19">
          <cell r="HR19">
            <v>96</v>
          </cell>
          <cell r="IF19">
            <v>124</v>
          </cell>
        </row>
        <row r="22">
          <cell r="IF22">
            <v>4354</v>
          </cell>
        </row>
        <row r="23">
          <cell r="IF23">
            <v>4461</v>
          </cell>
        </row>
        <row r="27">
          <cell r="IF27">
            <v>159</v>
          </cell>
        </row>
        <row r="28">
          <cell r="IF28">
            <v>200</v>
          </cell>
        </row>
        <row r="41">
          <cell r="HR41">
            <v>3762</v>
          </cell>
          <cell r="IF41">
            <v>8815</v>
          </cell>
        </row>
        <row r="64">
          <cell r="HR64">
            <v>0</v>
          </cell>
          <cell r="IF64">
            <v>0</v>
          </cell>
        </row>
      </sheetData>
      <sheetData sheetId="18">
        <row r="15">
          <cell r="IF15">
            <v>17</v>
          </cell>
        </row>
        <row r="16">
          <cell r="IF16">
            <v>17</v>
          </cell>
        </row>
        <row r="19">
          <cell r="HR19">
            <v>28</v>
          </cell>
          <cell r="IF19">
            <v>34</v>
          </cell>
        </row>
        <row r="32">
          <cell r="IF32">
            <v>3775</v>
          </cell>
        </row>
        <row r="33">
          <cell r="IF33">
            <v>2893</v>
          </cell>
        </row>
        <row r="37">
          <cell r="IF37">
            <v>6</v>
          </cell>
        </row>
        <row r="38">
          <cell r="IF38">
            <v>3</v>
          </cell>
        </row>
        <row r="41">
          <cell r="HR41">
            <v>4474</v>
          </cell>
          <cell r="IF41">
            <v>6668</v>
          </cell>
        </row>
        <row r="47">
          <cell r="IF47">
            <v>533686</v>
          </cell>
        </row>
        <row r="52">
          <cell r="IF52">
            <v>68984</v>
          </cell>
        </row>
        <row r="64">
          <cell r="HR64">
            <v>527865</v>
          </cell>
          <cell r="IF64">
            <v>602670</v>
          </cell>
        </row>
      </sheetData>
      <sheetData sheetId="19"/>
      <sheetData sheetId="20"/>
      <sheetData sheetId="21"/>
      <sheetData sheetId="22">
        <row r="4">
          <cell r="IF4">
            <v>454</v>
          </cell>
        </row>
        <row r="5">
          <cell r="IF5">
            <v>454</v>
          </cell>
        </row>
        <row r="19">
          <cell r="HR19">
            <v>641</v>
          </cell>
          <cell r="IF19">
            <v>908</v>
          </cell>
        </row>
        <row r="22">
          <cell r="IF22">
            <v>43626</v>
          </cell>
        </row>
        <row r="23">
          <cell r="IF23">
            <v>44998</v>
          </cell>
        </row>
        <row r="27">
          <cell r="IF27">
            <v>1180</v>
          </cell>
        </row>
        <row r="28">
          <cell r="IF28">
            <v>1307</v>
          </cell>
        </row>
        <row r="41">
          <cell r="HR41">
            <v>67384</v>
          </cell>
          <cell r="IF41">
            <v>88624</v>
          </cell>
        </row>
        <row r="47">
          <cell r="IF47">
            <v>130616</v>
          </cell>
        </row>
        <row r="52">
          <cell r="IF52">
            <v>46031</v>
          </cell>
        </row>
        <row r="64">
          <cell r="HR64">
            <v>192369</v>
          </cell>
          <cell r="IF64">
            <v>176647</v>
          </cell>
        </row>
        <row r="70">
          <cell r="IF70">
            <v>44917</v>
          </cell>
        </row>
        <row r="71">
          <cell r="IF71">
            <v>81</v>
          </cell>
        </row>
      </sheetData>
      <sheetData sheetId="23">
        <row r="4">
          <cell r="IF4">
            <v>191</v>
          </cell>
        </row>
        <row r="5">
          <cell r="IF5">
            <v>190</v>
          </cell>
        </row>
        <row r="19">
          <cell r="HR19">
            <v>291</v>
          </cell>
          <cell r="IF19">
            <v>381</v>
          </cell>
        </row>
        <row r="22">
          <cell r="IF22">
            <v>19928</v>
          </cell>
        </row>
        <row r="23">
          <cell r="IF23">
            <v>23011</v>
          </cell>
        </row>
        <row r="27">
          <cell r="IF27">
            <v>1499</v>
          </cell>
        </row>
        <row r="28">
          <cell r="IF28">
            <v>169</v>
          </cell>
        </row>
        <row r="41">
          <cell r="HR41">
            <v>37272</v>
          </cell>
          <cell r="IF41">
            <v>42939</v>
          </cell>
        </row>
        <row r="64">
          <cell r="HR64">
            <v>0</v>
          </cell>
          <cell r="IF64">
            <v>0</v>
          </cell>
        </row>
      </sheetData>
      <sheetData sheetId="24">
        <row r="4">
          <cell r="IF4">
            <v>649</v>
          </cell>
        </row>
        <row r="5">
          <cell r="IF5">
            <v>642</v>
          </cell>
        </row>
        <row r="8">
          <cell r="IF8">
            <v>76</v>
          </cell>
        </row>
        <row r="9">
          <cell r="IF9">
            <v>85</v>
          </cell>
        </row>
        <row r="15">
          <cell r="IF15">
            <v>170</v>
          </cell>
        </row>
        <row r="16">
          <cell r="IF16">
            <v>170</v>
          </cell>
        </row>
        <row r="19">
          <cell r="HR19">
            <v>1843</v>
          </cell>
          <cell r="IF19">
            <v>1792</v>
          </cell>
        </row>
        <row r="22">
          <cell r="IF22">
            <v>97945</v>
          </cell>
        </row>
        <row r="23">
          <cell r="IF23">
            <v>101693</v>
          </cell>
        </row>
        <row r="27">
          <cell r="IF27">
            <v>1788</v>
          </cell>
        </row>
        <row r="28">
          <cell r="IF28">
            <v>1941</v>
          </cell>
        </row>
        <row r="32">
          <cell r="IF32">
            <v>26499</v>
          </cell>
        </row>
        <row r="33">
          <cell r="IF33">
            <v>27098</v>
          </cell>
        </row>
        <row r="37">
          <cell r="IF37">
            <v>375</v>
          </cell>
        </row>
        <row r="38">
          <cell r="IF38">
            <v>389</v>
          </cell>
        </row>
        <row r="41">
          <cell r="HR41">
            <v>228057</v>
          </cell>
          <cell r="IF41">
            <v>253235</v>
          </cell>
        </row>
        <row r="47">
          <cell r="IF47">
            <v>2195</v>
          </cell>
        </row>
        <row r="48">
          <cell r="IF48">
            <v>26939</v>
          </cell>
        </row>
        <row r="53">
          <cell r="IF53">
            <v>11083</v>
          </cell>
        </row>
        <row r="64">
          <cell r="HR64">
            <v>324080</v>
          </cell>
          <cell r="IF64">
            <v>40217</v>
          </cell>
        </row>
        <row r="70">
          <cell r="IF70">
            <v>101693</v>
          </cell>
        </row>
        <row r="73">
          <cell r="IF73">
            <v>27098</v>
          </cell>
        </row>
      </sheetData>
      <sheetData sheetId="25"/>
      <sheetData sheetId="26"/>
      <sheetData sheetId="27">
        <row r="4">
          <cell r="IF4">
            <v>390</v>
          </cell>
        </row>
        <row r="5">
          <cell r="IF5">
            <v>388</v>
          </cell>
        </row>
        <row r="8">
          <cell r="IF8">
            <v>1</v>
          </cell>
        </row>
        <row r="9">
          <cell r="IF9">
            <v>1</v>
          </cell>
        </row>
        <row r="19">
          <cell r="HR19">
            <v>527</v>
          </cell>
          <cell r="IF19">
            <v>780</v>
          </cell>
        </row>
        <row r="22">
          <cell r="IF22">
            <v>51895</v>
          </cell>
        </row>
        <row r="23">
          <cell r="IF23">
            <v>51678</v>
          </cell>
        </row>
        <row r="27">
          <cell r="IF27">
            <v>1644</v>
          </cell>
        </row>
        <row r="28">
          <cell r="IF28">
            <v>1575</v>
          </cell>
        </row>
        <row r="41">
          <cell r="HR41">
            <v>57743</v>
          </cell>
          <cell r="IF41">
            <v>103573</v>
          </cell>
        </row>
        <row r="47">
          <cell r="IF47">
            <v>46081</v>
          </cell>
        </row>
        <row r="48">
          <cell r="IF48">
            <v>61403</v>
          </cell>
        </row>
        <row r="52">
          <cell r="IF52">
            <v>22860</v>
          </cell>
        </row>
        <row r="53">
          <cell r="IF53">
            <v>2348</v>
          </cell>
        </row>
        <row r="64">
          <cell r="HR64">
            <v>89966</v>
          </cell>
          <cell r="IF64">
            <v>132692</v>
          </cell>
        </row>
      </sheetData>
      <sheetData sheetId="28"/>
      <sheetData sheetId="29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30">
        <row r="4">
          <cell r="IF4">
            <v>54</v>
          </cell>
        </row>
        <row r="5">
          <cell r="IF5">
            <v>55</v>
          </cell>
        </row>
        <row r="19">
          <cell r="HR19">
            <v>66</v>
          </cell>
          <cell r="IF19">
            <v>109</v>
          </cell>
        </row>
        <row r="22">
          <cell r="IF22">
            <v>2482</v>
          </cell>
        </row>
        <row r="23">
          <cell r="IF23">
            <v>2692</v>
          </cell>
        </row>
        <row r="27">
          <cell r="IF27">
            <v>119</v>
          </cell>
        </row>
        <row r="28">
          <cell r="IF28">
            <v>74</v>
          </cell>
        </row>
        <row r="41">
          <cell r="HR41">
            <v>2289</v>
          </cell>
          <cell r="IF41">
            <v>5174</v>
          </cell>
        </row>
        <row r="47">
          <cell r="IF47">
            <v>986</v>
          </cell>
        </row>
        <row r="52">
          <cell r="IF52">
            <v>1242</v>
          </cell>
        </row>
        <row r="64">
          <cell r="HR64">
            <v>650</v>
          </cell>
          <cell r="IF64">
            <v>2228</v>
          </cell>
        </row>
      </sheetData>
      <sheetData sheetId="31">
        <row r="4">
          <cell r="IF4">
            <v>1</v>
          </cell>
        </row>
        <row r="5">
          <cell r="IF5">
            <v>1</v>
          </cell>
        </row>
        <row r="19">
          <cell r="HR19">
            <v>0</v>
          </cell>
          <cell r="IF19">
            <v>2</v>
          </cell>
        </row>
        <row r="22">
          <cell r="IF22">
            <v>35</v>
          </cell>
        </row>
        <row r="27">
          <cell r="IF27">
            <v>1</v>
          </cell>
        </row>
        <row r="41">
          <cell r="HR41">
            <v>0</v>
          </cell>
          <cell r="IF41">
            <v>35</v>
          </cell>
        </row>
        <row r="64">
          <cell r="HR64">
            <v>0</v>
          </cell>
          <cell r="IF64">
            <v>0</v>
          </cell>
        </row>
      </sheetData>
      <sheetData sheetId="32">
        <row r="19">
          <cell r="HR19">
            <v>4</v>
          </cell>
          <cell r="IF19">
            <v>0</v>
          </cell>
        </row>
        <row r="41">
          <cell r="HR41">
            <v>273</v>
          </cell>
          <cell r="IF41">
            <v>0</v>
          </cell>
        </row>
        <row r="64">
          <cell r="HR64">
            <v>549</v>
          </cell>
          <cell r="IF64">
            <v>0</v>
          </cell>
        </row>
      </sheetData>
      <sheetData sheetId="33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34"/>
      <sheetData sheetId="35"/>
      <sheetData sheetId="36"/>
      <sheetData sheetId="37"/>
      <sheetData sheetId="38"/>
      <sheetData sheetId="39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40"/>
      <sheetData sheetId="41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42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43">
        <row r="4">
          <cell r="IF4">
            <v>7</v>
          </cell>
        </row>
        <row r="5">
          <cell r="IF5">
            <v>7</v>
          </cell>
        </row>
        <row r="8">
          <cell r="IF8">
            <v>1</v>
          </cell>
        </row>
        <row r="9">
          <cell r="IF9">
            <v>1</v>
          </cell>
        </row>
        <row r="19">
          <cell r="HR19">
            <v>76</v>
          </cell>
          <cell r="IF19">
            <v>16</v>
          </cell>
        </row>
        <row r="22">
          <cell r="IF22">
            <v>270</v>
          </cell>
        </row>
        <row r="23">
          <cell r="IF23">
            <v>291</v>
          </cell>
        </row>
        <row r="27">
          <cell r="IF27">
            <v>7</v>
          </cell>
        </row>
        <row r="28">
          <cell r="IF28">
            <v>6</v>
          </cell>
        </row>
        <row r="41">
          <cell r="HR41">
            <v>4722</v>
          </cell>
          <cell r="IF41">
            <v>561</v>
          </cell>
        </row>
        <row r="64">
          <cell r="HR64">
            <v>0</v>
          </cell>
          <cell r="IF64">
            <v>0</v>
          </cell>
        </row>
      </sheetData>
      <sheetData sheetId="44">
        <row r="15">
          <cell r="IF15">
            <v>76</v>
          </cell>
        </row>
        <row r="16">
          <cell r="IF16">
            <v>5</v>
          </cell>
        </row>
        <row r="19">
          <cell r="HR19">
            <v>54</v>
          </cell>
          <cell r="IF19">
            <v>81</v>
          </cell>
        </row>
        <row r="32">
          <cell r="IF32">
            <v>3422</v>
          </cell>
        </row>
        <row r="33">
          <cell r="IF33">
            <v>3291</v>
          </cell>
        </row>
        <row r="37">
          <cell r="IF37">
            <v>62</v>
          </cell>
        </row>
        <row r="38">
          <cell r="IF38">
            <v>57</v>
          </cell>
        </row>
        <row r="41">
          <cell r="HR41">
            <v>1712</v>
          </cell>
          <cell r="IF41">
            <v>6713</v>
          </cell>
        </row>
        <row r="47">
          <cell r="IF47">
            <v>1400</v>
          </cell>
        </row>
        <row r="52">
          <cell r="IF52">
            <v>1500</v>
          </cell>
        </row>
        <row r="64">
          <cell r="HR64">
            <v>0</v>
          </cell>
          <cell r="IF64">
            <v>2900</v>
          </cell>
        </row>
      </sheetData>
      <sheetData sheetId="45">
        <row r="4">
          <cell r="IF4">
            <v>3</v>
          </cell>
        </row>
        <row r="5">
          <cell r="IF5">
            <v>3</v>
          </cell>
        </row>
        <row r="19">
          <cell r="HR19">
            <v>150</v>
          </cell>
          <cell r="IF19">
            <v>6</v>
          </cell>
        </row>
        <row r="22">
          <cell r="IF22">
            <v>192</v>
          </cell>
        </row>
        <row r="23">
          <cell r="IF23">
            <v>224</v>
          </cell>
        </row>
        <row r="27">
          <cell r="IF27">
            <v>5</v>
          </cell>
        </row>
        <row r="28">
          <cell r="IF28">
            <v>2</v>
          </cell>
        </row>
        <row r="41">
          <cell r="HR41">
            <v>8779</v>
          </cell>
          <cell r="IF41">
            <v>416</v>
          </cell>
        </row>
        <row r="64">
          <cell r="HR64">
            <v>0</v>
          </cell>
          <cell r="IF64">
            <v>0</v>
          </cell>
        </row>
      </sheetData>
      <sheetData sheetId="46"/>
      <sheetData sheetId="47"/>
      <sheetData sheetId="48">
        <row r="4">
          <cell r="IF4">
            <v>942</v>
          </cell>
        </row>
        <row r="5">
          <cell r="IF5">
            <v>941</v>
          </cell>
        </row>
        <row r="9">
          <cell r="IF9">
            <v>1</v>
          </cell>
        </row>
        <row r="15">
          <cell r="IF15">
            <v>1</v>
          </cell>
        </row>
        <row r="16">
          <cell r="IF16">
            <v>1</v>
          </cell>
        </row>
        <row r="19">
          <cell r="HR19">
            <v>1941</v>
          </cell>
          <cell r="IF19">
            <v>1886</v>
          </cell>
        </row>
        <row r="22">
          <cell r="IF22">
            <v>52838</v>
          </cell>
        </row>
        <row r="23">
          <cell r="IF23">
            <v>52114</v>
          </cell>
        </row>
        <row r="27">
          <cell r="IF27">
            <v>2071</v>
          </cell>
        </row>
        <row r="28">
          <cell r="IF28">
            <v>2090</v>
          </cell>
        </row>
        <row r="41">
          <cell r="HR41">
            <v>75124</v>
          </cell>
          <cell r="IF41">
            <v>104952</v>
          </cell>
        </row>
        <row r="64">
          <cell r="HR64">
            <v>0</v>
          </cell>
          <cell r="IF64">
            <v>0</v>
          </cell>
        </row>
        <row r="70">
          <cell r="IF70">
            <v>20050</v>
          </cell>
        </row>
        <row r="71">
          <cell r="IF71">
            <v>32064</v>
          </cell>
        </row>
      </sheetData>
      <sheetData sheetId="49">
        <row r="4">
          <cell r="IF4">
            <v>55</v>
          </cell>
        </row>
        <row r="5">
          <cell r="IF5">
            <v>55</v>
          </cell>
        </row>
        <row r="19">
          <cell r="HR19">
            <v>104</v>
          </cell>
          <cell r="IF19">
            <v>110</v>
          </cell>
        </row>
        <row r="22">
          <cell r="IF22">
            <v>2448</v>
          </cell>
        </row>
        <row r="23">
          <cell r="IF23">
            <v>2542</v>
          </cell>
        </row>
        <row r="27">
          <cell r="IF27">
            <v>82</v>
          </cell>
        </row>
        <row r="28">
          <cell r="IF28">
            <v>105</v>
          </cell>
        </row>
        <row r="41">
          <cell r="HR41">
            <v>4747</v>
          </cell>
          <cell r="IF41">
            <v>4990</v>
          </cell>
        </row>
        <row r="64">
          <cell r="HR64">
            <v>524</v>
          </cell>
          <cell r="IF64">
            <v>0</v>
          </cell>
        </row>
      </sheetData>
      <sheetData sheetId="50">
        <row r="4">
          <cell r="IF4">
            <v>79</v>
          </cell>
        </row>
        <row r="5">
          <cell r="IF5">
            <v>79</v>
          </cell>
        </row>
        <row r="19">
          <cell r="HR19">
            <v>170</v>
          </cell>
          <cell r="IF19">
            <v>158</v>
          </cell>
        </row>
        <row r="22">
          <cell r="IF22">
            <v>3775</v>
          </cell>
        </row>
        <row r="23">
          <cell r="IF23">
            <v>3717</v>
          </cell>
        </row>
        <row r="27">
          <cell r="IF27">
            <v>143</v>
          </cell>
        </row>
        <row r="28">
          <cell r="IF28">
            <v>151</v>
          </cell>
        </row>
        <row r="41">
          <cell r="HR41">
            <v>5118</v>
          </cell>
          <cell r="IF41">
            <v>7492</v>
          </cell>
        </row>
        <row r="47">
          <cell r="IF47">
            <v>1260</v>
          </cell>
        </row>
        <row r="64">
          <cell r="HR64">
            <v>0</v>
          </cell>
          <cell r="IF64">
            <v>1260</v>
          </cell>
        </row>
      </sheetData>
      <sheetData sheetId="51">
        <row r="4">
          <cell r="IF4">
            <v>42</v>
          </cell>
        </row>
        <row r="5">
          <cell r="IF5">
            <v>42</v>
          </cell>
        </row>
        <row r="19">
          <cell r="HR19">
            <v>77</v>
          </cell>
          <cell r="IF19">
            <v>84</v>
          </cell>
        </row>
        <row r="22">
          <cell r="IF22">
            <v>2344</v>
          </cell>
        </row>
        <row r="23">
          <cell r="IF23">
            <v>2733</v>
          </cell>
        </row>
        <row r="27">
          <cell r="IF27">
            <v>139</v>
          </cell>
        </row>
        <row r="28">
          <cell r="IF28">
            <v>104</v>
          </cell>
        </row>
        <row r="41">
          <cell r="HR41">
            <v>3915</v>
          </cell>
          <cell r="IF41">
            <v>5077</v>
          </cell>
        </row>
        <row r="64">
          <cell r="HR64">
            <v>0</v>
          </cell>
          <cell r="IF64">
            <v>0</v>
          </cell>
        </row>
      </sheetData>
      <sheetData sheetId="52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53">
        <row r="4">
          <cell r="IF4">
            <v>1851</v>
          </cell>
        </row>
        <row r="5">
          <cell r="IF5">
            <v>1860</v>
          </cell>
        </row>
        <row r="8">
          <cell r="IF8">
            <v>0</v>
          </cell>
        </row>
        <row r="9">
          <cell r="IF9">
            <v>2</v>
          </cell>
        </row>
        <row r="15">
          <cell r="IF15">
            <v>80</v>
          </cell>
        </row>
        <row r="16">
          <cell r="IF16">
            <v>81</v>
          </cell>
        </row>
        <row r="19">
          <cell r="HR19">
            <v>5239</v>
          </cell>
          <cell r="IF19">
            <v>3874</v>
          </cell>
        </row>
        <row r="22">
          <cell r="IF22">
            <v>81808</v>
          </cell>
        </row>
        <row r="23">
          <cell r="IF23">
            <v>83697</v>
          </cell>
        </row>
        <row r="27">
          <cell r="IF27">
            <v>2684</v>
          </cell>
        </row>
        <row r="28">
          <cell r="IF28">
            <v>2720</v>
          </cell>
        </row>
        <row r="32">
          <cell r="IF32">
            <v>3772</v>
          </cell>
        </row>
        <row r="33">
          <cell r="IF33">
            <v>3916</v>
          </cell>
        </row>
        <row r="37">
          <cell r="IF37">
            <v>96</v>
          </cell>
        </row>
        <row r="38">
          <cell r="IF38">
            <v>73</v>
          </cell>
        </row>
        <row r="41">
          <cell r="HR41">
            <v>209737</v>
          </cell>
          <cell r="IF41">
            <v>173193</v>
          </cell>
        </row>
        <row r="64">
          <cell r="HR64">
            <v>0</v>
          </cell>
          <cell r="IF64">
            <v>0</v>
          </cell>
        </row>
        <row r="70">
          <cell r="IF70">
            <v>30708</v>
          </cell>
        </row>
        <row r="71">
          <cell r="IF71">
            <v>52989</v>
          </cell>
        </row>
        <row r="73">
          <cell r="IF73">
            <v>1437</v>
          </cell>
        </row>
        <row r="74">
          <cell r="IF74">
            <v>2479</v>
          </cell>
        </row>
      </sheetData>
      <sheetData sheetId="54"/>
      <sheetData sheetId="55">
        <row r="19">
          <cell r="HR19">
            <v>86</v>
          </cell>
          <cell r="IF19">
            <v>0</v>
          </cell>
        </row>
        <row r="41">
          <cell r="HR41">
            <v>4301</v>
          </cell>
          <cell r="IF41">
            <v>0</v>
          </cell>
        </row>
        <row r="64">
          <cell r="HR64">
            <v>17</v>
          </cell>
          <cell r="IF64">
            <v>0</v>
          </cell>
        </row>
      </sheetData>
      <sheetData sheetId="56">
        <row r="19">
          <cell r="HR19">
            <v>54</v>
          </cell>
          <cell r="IF19">
            <v>0</v>
          </cell>
        </row>
        <row r="41">
          <cell r="HR41">
            <v>2767</v>
          </cell>
          <cell r="IF41">
            <v>0</v>
          </cell>
        </row>
        <row r="64">
          <cell r="HR64">
            <v>4924</v>
          </cell>
          <cell r="IF64">
            <v>0</v>
          </cell>
        </row>
      </sheetData>
      <sheetData sheetId="57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58">
        <row r="19">
          <cell r="HR19">
            <v>0</v>
          </cell>
          <cell r="IF19">
            <v>0</v>
          </cell>
        </row>
        <row r="41">
          <cell r="HR41">
            <v>0</v>
          </cell>
          <cell r="IF41">
            <v>0</v>
          </cell>
        </row>
        <row r="64">
          <cell r="HR64">
            <v>0</v>
          </cell>
          <cell r="IF64">
            <v>0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>
        <row r="15">
          <cell r="IF15">
            <v>1</v>
          </cell>
        </row>
        <row r="32">
          <cell r="IF32">
            <v>65</v>
          </cell>
        </row>
      </sheetData>
      <sheetData sheetId="67">
        <row r="4">
          <cell r="IF4">
            <v>32</v>
          </cell>
        </row>
        <row r="5">
          <cell r="IF5">
            <v>32</v>
          </cell>
        </row>
        <row r="19">
          <cell r="HR19">
            <v>58</v>
          </cell>
          <cell r="IF19">
            <v>64</v>
          </cell>
        </row>
        <row r="47">
          <cell r="IF47">
            <v>1393407</v>
          </cell>
        </row>
        <row r="52">
          <cell r="IF52">
            <v>1549707</v>
          </cell>
        </row>
        <row r="64">
          <cell r="HR64">
            <v>3133988</v>
          </cell>
          <cell r="IF64">
            <v>2943114</v>
          </cell>
        </row>
      </sheetData>
      <sheetData sheetId="68">
        <row r="4">
          <cell r="IF4">
            <v>59</v>
          </cell>
        </row>
        <row r="5">
          <cell r="IF5">
            <v>58</v>
          </cell>
        </row>
        <row r="19">
          <cell r="HR19">
            <v>120</v>
          </cell>
          <cell r="IF19">
            <v>117</v>
          </cell>
        </row>
        <row r="47">
          <cell r="IF47">
            <v>1171565</v>
          </cell>
        </row>
        <row r="52">
          <cell r="IF52">
            <v>1455145</v>
          </cell>
        </row>
        <row r="64">
          <cell r="HR64">
            <v>3247875</v>
          </cell>
          <cell r="IF64">
            <v>2626710</v>
          </cell>
        </row>
      </sheetData>
      <sheetData sheetId="69">
        <row r="4">
          <cell r="IF4">
            <v>1</v>
          </cell>
        </row>
        <row r="5">
          <cell r="IF5">
            <v>1</v>
          </cell>
        </row>
        <row r="19">
          <cell r="HR19">
            <v>0</v>
          </cell>
          <cell r="IF19">
            <v>2</v>
          </cell>
        </row>
        <row r="47">
          <cell r="IF47">
            <v>13386</v>
          </cell>
        </row>
        <row r="52">
          <cell r="IF52">
            <v>22562</v>
          </cell>
        </row>
        <row r="64">
          <cell r="HR64">
            <v>0</v>
          </cell>
          <cell r="IF64">
            <v>35948</v>
          </cell>
        </row>
      </sheetData>
      <sheetData sheetId="70">
        <row r="19">
          <cell r="HR19">
            <v>0</v>
          </cell>
          <cell r="IF19">
            <v>0</v>
          </cell>
        </row>
        <row r="64">
          <cell r="HR64">
            <v>0</v>
          </cell>
          <cell r="IF64">
            <v>0</v>
          </cell>
        </row>
      </sheetData>
      <sheetData sheetId="71">
        <row r="19">
          <cell r="HR19">
            <v>0</v>
          </cell>
          <cell r="IF19">
            <v>0</v>
          </cell>
        </row>
        <row r="64">
          <cell r="HR64">
            <v>0</v>
          </cell>
          <cell r="IF64">
            <v>0</v>
          </cell>
        </row>
      </sheetData>
      <sheetData sheetId="72">
        <row r="4">
          <cell r="IF4">
            <v>16</v>
          </cell>
        </row>
        <row r="5">
          <cell r="IF5">
            <v>16</v>
          </cell>
        </row>
        <row r="19">
          <cell r="HR19">
            <v>0</v>
          </cell>
          <cell r="IF19">
            <v>32</v>
          </cell>
        </row>
        <row r="47">
          <cell r="IF47">
            <v>537867</v>
          </cell>
        </row>
        <row r="52">
          <cell r="IF52">
            <v>305774</v>
          </cell>
        </row>
        <row r="64">
          <cell r="HR64">
            <v>0</v>
          </cell>
          <cell r="IF64">
            <v>843641</v>
          </cell>
        </row>
      </sheetData>
      <sheetData sheetId="73">
        <row r="4">
          <cell r="IF4">
            <v>28</v>
          </cell>
        </row>
        <row r="5">
          <cell r="IF5">
            <v>28</v>
          </cell>
        </row>
        <row r="19">
          <cell r="HR19">
            <v>78</v>
          </cell>
          <cell r="IF19">
            <v>56</v>
          </cell>
        </row>
        <row r="47">
          <cell r="IF47">
            <v>38395</v>
          </cell>
        </row>
        <row r="52">
          <cell r="IF52">
            <v>35623</v>
          </cell>
        </row>
        <row r="64">
          <cell r="HR64">
            <v>116692</v>
          </cell>
          <cell r="IF64">
            <v>74018</v>
          </cell>
        </row>
      </sheetData>
      <sheetData sheetId="74">
        <row r="12">
          <cell r="IF12">
            <v>0</v>
          </cell>
        </row>
        <row r="19">
          <cell r="HR19">
            <v>0</v>
          </cell>
          <cell r="IF19">
            <v>0</v>
          </cell>
        </row>
        <row r="64">
          <cell r="HR64">
            <v>0</v>
          </cell>
          <cell r="IF64">
            <v>0</v>
          </cell>
        </row>
      </sheetData>
      <sheetData sheetId="75">
        <row r="19">
          <cell r="HR19">
            <v>0</v>
          </cell>
          <cell r="IF19">
            <v>0</v>
          </cell>
        </row>
        <row r="64">
          <cell r="HR64">
            <v>0</v>
          </cell>
          <cell r="IF64">
            <v>0</v>
          </cell>
        </row>
      </sheetData>
      <sheetData sheetId="76">
        <row r="4">
          <cell r="IF4">
            <v>6</v>
          </cell>
        </row>
        <row r="5">
          <cell r="IF5">
            <v>6</v>
          </cell>
        </row>
        <row r="47">
          <cell r="IF47">
            <v>131489</v>
          </cell>
        </row>
        <row r="52">
          <cell r="IF52">
            <v>89895</v>
          </cell>
        </row>
      </sheetData>
      <sheetData sheetId="77"/>
      <sheetData sheetId="78">
        <row r="4">
          <cell r="IF4">
            <v>7</v>
          </cell>
        </row>
        <row r="5">
          <cell r="IF5">
            <v>7</v>
          </cell>
        </row>
        <row r="19">
          <cell r="HR19">
            <v>64</v>
          </cell>
          <cell r="IF19">
            <v>14</v>
          </cell>
        </row>
        <row r="47">
          <cell r="IF47">
            <v>159523</v>
          </cell>
        </row>
        <row r="52">
          <cell r="IF52">
            <v>5728</v>
          </cell>
        </row>
        <row r="64">
          <cell r="HR64">
            <v>1328239</v>
          </cell>
          <cell r="IF64">
            <v>165251</v>
          </cell>
        </row>
      </sheetData>
      <sheetData sheetId="79">
        <row r="19">
          <cell r="HR19">
            <v>0</v>
          </cell>
          <cell r="IF19">
            <v>0</v>
          </cell>
        </row>
        <row r="64">
          <cell r="HR64">
            <v>0</v>
          </cell>
          <cell r="IF64">
            <v>0</v>
          </cell>
        </row>
      </sheetData>
      <sheetData sheetId="80"/>
      <sheetData sheetId="81">
        <row r="4">
          <cell r="IF4">
            <v>90</v>
          </cell>
        </row>
        <row r="5">
          <cell r="IF5">
            <v>90</v>
          </cell>
        </row>
        <row r="19">
          <cell r="HR19">
            <v>252</v>
          </cell>
          <cell r="IF19">
            <v>180</v>
          </cell>
        </row>
        <row r="47">
          <cell r="IF47">
            <v>6259922</v>
          </cell>
        </row>
        <row r="52">
          <cell r="IF52">
            <v>6022233</v>
          </cell>
        </row>
        <row r="64">
          <cell r="HR64">
            <v>13200492</v>
          </cell>
          <cell r="IF64">
            <v>12282155</v>
          </cell>
        </row>
      </sheetData>
      <sheetData sheetId="82">
        <row r="4">
          <cell r="IF4">
            <v>18</v>
          </cell>
        </row>
        <row r="5">
          <cell r="IF5">
            <v>18</v>
          </cell>
        </row>
        <row r="19">
          <cell r="HR19">
            <v>34</v>
          </cell>
          <cell r="IF19">
            <v>36</v>
          </cell>
        </row>
        <row r="48">
          <cell r="IF48">
            <v>37315</v>
          </cell>
        </row>
        <row r="53">
          <cell r="IF53">
            <v>69323</v>
          </cell>
        </row>
        <row r="64">
          <cell r="HR64">
            <v>130028</v>
          </cell>
          <cell r="IF64">
            <v>106638</v>
          </cell>
        </row>
      </sheetData>
      <sheetData sheetId="83">
        <row r="4">
          <cell r="IF4">
            <v>11</v>
          </cell>
        </row>
        <row r="5">
          <cell r="IF5">
            <v>11</v>
          </cell>
        </row>
        <row r="19">
          <cell r="HR19">
            <v>24</v>
          </cell>
          <cell r="IF19">
            <v>22</v>
          </cell>
        </row>
        <row r="47">
          <cell r="IF47">
            <v>59582</v>
          </cell>
        </row>
        <row r="52">
          <cell r="IF52">
            <v>7751</v>
          </cell>
        </row>
        <row r="64">
          <cell r="HR64">
            <v>40577</v>
          </cell>
          <cell r="IF64">
            <v>67333</v>
          </cell>
        </row>
      </sheetData>
      <sheetData sheetId="84">
        <row r="4">
          <cell r="IF4">
            <v>119</v>
          </cell>
        </row>
        <row r="5">
          <cell r="IF5">
            <v>119</v>
          </cell>
        </row>
        <row r="19">
          <cell r="HR19">
            <v>287</v>
          </cell>
          <cell r="IF19">
            <v>238</v>
          </cell>
        </row>
        <row r="47">
          <cell r="IF47">
            <v>4857247</v>
          </cell>
        </row>
        <row r="48">
          <cell r="IF48">
            <v>598783</v>
          </cell>
        </row>
        <row r="52">
          <cell r="IF52">
            <v>4479645</v>
          </cell>
        </row>
        <row r="53">
          <cell r="IF53">
            <v>274950</v>
          </cell>
        </row>
        <row r="64">
          <cell r="HR64">
            <v>12127523</v>
          </cell>
          <cell r="IF64">
            <v>10210625</v>
          </cell>
        </row>
      </sheetData>
      <sheetData sheetId="85"/>
      <sheetData sheetId="86"/>
      <sheetData sheetId="87"/>
      <sheetData sheetId="88">
        <row r="4">
          <cell r="IF4">
            <v>177</v>
          </cell>
        </row>
        <row r="5">
          <cell r="IF5">
            <v>177</v>
          </cell>
        </row>
        <row r="19">
          <cell r="HR19">
            <v>402</v>
          </cell>
          <cell r="IF19">
            <v>354</v>
          </cell>
        </row>
      </sheetData>
      <sheetData sheetId="89">
        <row r="19">
          <cell r="HR19">
            <v>0</v>
          </cell>
          <cell r="IF19">
            <v>0</v>
          </cell>
        </row>
        <row r="64">
          <cell r="HR64">
            <v>0</v>
          </cell>
          <cell r="IF64">
            <v>0</v>
          </cell>
        </row>
      </sheetData>
      <sheetData sheetId="90">
        <row r="19">
          <cell r="HR19">
            <v>2</v>
          </cell>
          <cell r="IF19">
            <v>0</v>
          </cell>
        </row>
        <row r="64">
          <cell r="HR64">
            <v>0</v>
          </cell>
          <cell r="IF64">
            <v>0</v>
          </cell>
        </row>
      </sheetData>
      <sheetData sheetId="91">
        <row r="4">
          <cell r="IF4">
            <v>42</v>
          </cell>
        </row>
        <row r="5">
          <cell r="IF5">
            <v>44</v>
          </cell>
        </row>
      </sheetData>
      <sheetData sheetId="92">
        <row r="4">
          <cell r="IF4">
            <v>649</v>
          </cell>
        </row>
        <row r="5">
          <cell r="IF5">
            <v>648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D18" sqref="D18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1" width="11.28515625" bestFit="1" customWidth="1"/>
    <col min="12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19">
        <v>44927</v>
      </c>
      <c r="B2" s="10"/>
      <c r="C2" s="10"/>
      <c r="D2" s="449" t="s">
        <v>235</v>
      </c>
      <c r="E2" s="449" t="s">
        <v>227</v>
      </c>
      <c r="F2" s="5"/>
      <c r="G2" s="5"/>
      <c r="H2" s="5"/>
      <c r="I2" s="5"/>
      <c r="J2" s="5"/>
    </row>
    <row r="3" spans="1:14" ht="13.5" thickBot="1" x14ac:dyDescent="0.25">
      <c r="A3" s="304"/>
      <c r="B3" s="5" t="s">
        <v>0</v>
      </c>
      <c r="C3" s="5" t="s">
        <v>1</v>
      </c>
      <c r="D3" s="450"/>
      <c r="E3" s="451"/>
      <c r="F3" s="5" t="s">
        <v>2</v>
      </c>
      <c r="G3" s="5" t="s">
        <v>236</v>
      </c>
      <c r="H3" s="5" t="s">
        <v>228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26">
        <f>'Major Airline Stats'!K4</f>
        <v>990071</v>
      </c>
      <c r="C5" s="10">
        <f>'Major Airline Stats'!K5</f>
        <v>1020219</v>
      </c>
      <c r="D5" s="2">
        <f>'Major Airline Stats'!K6</f>
        <v>2010290</v>
      </c>
      <c r="E5" s="2">
        <f>'[1]Monthly Summary'!D5</f>
        <v>1610631</v>
      </c>
      <c r="F5" s="3">
        <f>(D5-E5)/E5</f>
        <v>0.24813815206586734</v>
      </c>
      <c r="G5" s="2">
        <f>+D5</f>
        <v>2010290</v>
      </c>
      <c r="H5" s="2">
        <f>+E5</f>
        <v>1610631</v>
      </c>
      <c r="I5" s="65">
        <f>(G5-H5)/H5</f>
        <v>0.24813815206586734</v>
      </c>
      <c r="J5" s="2"/>
    </row>
    <row r="6" spans="1:14" x14ac:dyDescent="0.2">
      <c r="A6" s="50" t="s">
        <v>5</v>
      </c>
      <c r="B6" s="226">
        <f>'Regional Major'!M5</f>
        <v>153386</v>
      </c>
      <c r="C6" s="226">
        <f>'Regional Major'!M6</f>
        <v>155217</v>
      </c>
      <c r="D6" s="2">
        <f>B6+C6</f>
        <v>308603</v>
      </c>
      <c r="E6" s="2">
        <f>'[1]Monthly Summary'!D6</f>
        <v>323484</v>
      </c>
      <c r="F6" s="3">
        <f>(D6-E6)/E6</f>
        <v>-4.6002275228450247E-2</v>
      </c>
      <c r="G6" s="2">
        <f t="shared" ref="G6:G7" si="0">+D6</f>
        <v>308603</v>
      </c>
      <c r="H6" s="2">
        <f t="shared" ref="H6:H7" si="1">+E6</f>
        <v>323484</v>
      </c>
      <c r="I6" s="65">
        <f>(G6-H6)/H6</f>
        <v>-4.6002275228450247E-2</v>
      </c>
      <c r="K6" s="2"/>
    </row>
    <row r="7" spans="1:14" x14ac:dyDescent="0.2">
      <c r="A7" s="50" t="s">
        <v>6</v>
      </c>
      <c r="B7" s="2">
        <f>Charter!G5</f>
        <v>65</v>
      </c>
      <c r="C7" s="226">
        <f>Charter!G6</f>
        <v>0</v>
      </c>
      <c r="D7" s="2">
        <f>B7+C7</f>
        <v>65</v>
      </c>
      <c r="E7" s="2">
        <f>'[1]Monthly Summary'!D7</f>
        <v>2392</v>
      </c>
      <c r="F7" s="3">
        <f>(D7-E7)/E7</f>
        <v>-0.97282608695652173</v>
      </c>
      <c r="G7" s="2">
        <f t="shared" si="0"/>
        <v>65</v>
      </c>
      <c r="H7" s="2">
        <f t="shared" si="1"/>
        <v>2392</v>
      </c>
      <c r="I7" s="65">
        <f>(G7-H7)/H7</f>
        <v>-0.97282608695652173</v>
      </c>
      <c r="K7" s="2"/>
    </row>
    <row r="8" spans="1:14" x14ac:dyDescent="0.2">
      <c r="A8" s="52" t="s">
        <v>7</v>
      </c>
      <c r="B8" s="119">
        <f>SUM(B5:B7)</f>
        <v>1143522</v>
      </c>
      <c r="C8" s="119">
        <f>SUM(C5:C7)</f>
        <v>1175436</v>
      </c>
      <c r="D8" s="119">
        <f>SUM(D5:D7)</f>
        <v>2318958</v>
      </c>
      <c r="E8" s="119">
        <f>SUM(E5:E7)</f>
        <v>1936507</v>
      </c>
      <c r="F8" s="71">
        <f>(D8-E8)/E8</f>
        <v>0.19749528403460456</v>
      </c>
      <c r="G8" s="119">
        <f>SUM(G5:G7)</f>
        <v>2318958</v>
      </c>
      <c r="H8" s="119">
        <f>SUM(H5:H7)</f>
        <v>1936507</v>
      </c>
      <c r="I8" s="70">
        <f>(G8-H8)/H8</f>
        <v>0.19749528403460456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27">
        <f>'Major Airline Stats'!K9+'Regional Major'!M10</f>
        <v>37397</v>
      </c>
      <c r="C10" s="227">
        <f>'Major Airline Stats'!K10+'Regional Major'!M11</f>
        <v>36575</v>
      </c>
      <c r="D10" s="96">
        <f>SUM(B10:C10)</f>
        <v>73972</v>
      </c>
      <c r="E10" s="426">
        <f>'[1]Monthly Summary'!D10</f>
        <v>60315</v>
      </c>
      <c r="F10" s="72">
        <f>(D10-E10)/E10</f>
        <v>0.22642792008621404</v>
      </c>
      <c r="G10" s="425">
        <f t="shared" ref="G10" si="2">+D10</f>
        <v>73972</v>
      </c>
      <c r="H10" s="425">
        <f t="shared" ref="H10" si="3">+E10</f>
        <v>60315</v>
      </c>
      <c r="I10" s="75">
        <f>(G10-H10)/H10</f>
        <v>0.22642792008621404</v>
      </c>
      <c r="J10" s="169"/>
    </row>
    <row r="11" spans="1:14" ht="15.75" thickBot="1" x14ac:dyDescent="0.3">
      <c r="A11" s="51" t="s">
        <v>13</v>
      </c>
      <c r="B11" s="206">
        <f>B10+B8</f>
        <v>1180919</v>
      </c>
      <c r="C11" s="206">
        <f>C10+C8</f>
        <v>1212011</v>
      </c>
      <c r="D11" s="206">
        <f>D10+D8</f>
        <v>2392930</v>
      </c>
      <c r="E11" s="206">
        <f>E10+E8</f>
        <v>1996822</v>
      </c>
      <c r="F11" s="73">
        <f>(D11-E11)/E11</f>
        <v>0.19836920867258073</v>
      </c>
      <c r="G11" s="206">
        <f>G8+G10</f>
        <v>2392930</v>
      </c>
      <c r="H11" s="206">
        <f>H8+H10</f>
        <v>1996822</v>
      </c>
      <c r="I11" s="76">
        <f>(G11-H11)/H11</f>
        <v>0.19836920867258073</v>
      </c>
    </row>
    <row r="12" spans="1:14" ht="15" x14ac:dyDescent="0.25">
      <c r="A12" s="8"/>
      <c r="B12" s="99"/>
      <c r="C12" s="99"/>
      <c r="D12" s="99"/>
      <c r="E12" s="99"/>
      <c r="F12" s="208"/>
      <c r="G12" s="99"/>
      <c r="H12" s="99"/>
      <c r="I12" s="209"/>
      <c r="K12" s="95"/>
    </row>
    <row r="13" spans="1:14" ht="16.5" customHeight="1" x14ac:dyDescent="0.2">
      <c r="B13" s="10"/>
      <c r="C13" s="10"/>
      <c r="D13" s="449" t="s">
        <v>235</v>
      </c>
      <c r="E13" s="449" t="s">
        <v>227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0"/>
      <c r="E14" s="451"/>
      <c r="F14" s="5" t="s">
        <v>2</v>
      </c>
      <c r="G14" s="5" t="s">
        <v>236</v>
      </c>
      <c r="H14" s="5" t="s">
        <v>228</v>
      </c>
      <c r="I14" s="5" t="s">
        <v>2</v>
      </c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200"/>
    </row>
    <row r="16" spans="1:14" x14ac:dyDescent="0.2">
      <c r="A16" s="50" t="s">
        <v>4</v>
      </c>
      <c r="B16" s="235">
        <f>'Major Airline Stats'!K15+'Major Airline Stats'!K19</f>
        <v>7798</v>
      </c>
      <c r="C16" s="235">
        <f>'Major Airline Stats'!K16+'Major Airline Stats'!K20</f>
        <v>7803</v>
      </c>
      <c r="D16" s="31">
        <f t="shared" ref="D16:D21" si="4">SUM(B16:C16)</f>
        <v>15601</v>
      </c>
      <c r="E16" s="2">
        <f>'[1]Monthly Summary'!D16</f>
        <v>14017</v>
      </c>
      <c r="F16" s="74">
        <f t="shared" ref="F16:F22" si="5">(D16-E16)/E16</f>
        <v>0.11300563601341229</v>
      </c>
      <c r="G16" s="2">
        <f>+D16</f>
        <v>15601</v>
      </c>
      <c r="H16" s="2">
        <f>+E16</f>
        <v>14017</v>
      </c>
      <c r="I16" s="201">
        <f t="shared" ref="I16:I22" si="6">(G16-H16)/H16</f>
        <v>0.11300563601341229</v>
      </c>
      <c r="N16" s="95"/>
    </row>
    <row r="17" spans="1:12" x14ac:dyDescent="0.2">
      <c r="A17" s="50" t="s">
        <v>5</v>
      </c>
      <c r="B17" s="31">
        <f>'Regional Major'!M15+'Regional Major'!M18</f>
        <v>3192</v>
      </c>
      <c r="C17" s="31">
        <f>'Regional Major'!M16+'Regional Major'!M19</f>
        <v>3134</v>
      </c>
      <c r="D17" s="31">
        <f>SUM(B17:C17)</f>
        <v>6326</v>
      </c>
      <c r="E17" s="2">
        <f>'[1]Monthly Summary'!D17</f>
        <v>8021</v>
      </c>
      <c r="F17" s="74">
        <f t="shared" si="5"/>
        <v>-0.21132028425383367</v>
      </c>
      <c r="G17" s="2">
        <f t="shared" ref="G17:G21" si="7">+D17</f>
        <v>6326</v>
      </c>
      <c r="H17" s="2">
        <f t="shared" ref="H17:H21" si="8">+E17</f>
        <v>8021</v>
      </c>
      <c r="I17" s="201">
        <f t="shared" si="6"/>
        <v>-0.21132028425383367</v>
      </c>
      <c r="L17" s="2"/>
    </row>
    <row r="18" spans="1:12" x14ac:dyDescent="0.2">
      <c r="A18" s="50" t="s">
        <v>10</v>
      </c>
      <c r="B18" s="31">
        <f>Charter!G10</f>
        <v>1</v>
      </c>
      <c r="C18" s="31">
        <f>Charter!G11</f>
        <v>0</v>
      </c>
      <c r="D18" s="31">
        <f t="shared" si="4"/>
        <v>1</v>
      </c>
      <c r="E18" s="2">
        <f>'[1]Monthly Summary'!D18</f>
        <v>16</v>
      </c>
      <c r="F18" s="74">
        <f t="shared" si="5"/>
        <v>-0.9375</v>
      </c>
      <c r="G18" s="2">
        <f t="shared" si="7"/>
        <v>1</v>
      </c>
      <c r="H18" s="2">
        <f t="shared" si="8"/>
        <v>16</v>
      </c>
      <c r="I18" s="201">
        <f t="shared" si="6"/>
        <v>-0.9375</v>
      </c>
    </row>
    <row r="19" spans="1:12" x14ac:dyDescent="0.2">
      <c r="A19" s="50" t="s">
        <v>11</v>
      </c>
      <c r="B19" s="31">
        <f>Cargo!S4+Cargo!S8</f>
        <v>564</v>
      </c>
      <c r="C19" s="31">
        <f>Cargo!S5+Cargo!S9</f>
        <v>563</v>
      </c>
      <c r="D19" s="31">
        <f t="shared" si="4"/>
        <v>1127</v>
      </c>
      <c r="E19" s="2">
        <f>'[1]Monthly Summary'!D19</f>
        <v>1321</v>
      </c>
      <c r="F19" s="74">
        <f t="shared" si="5"/>
        <v>-0.14685844057532171</v>
      </c>
      <c r="G19" s="2">
        <f t="shared" si="7"/>
        <v>1127</v>
      </c>
      <c r="H19" s="2">
        <f t="shared" si="8"/>
        <v>1321</v>
      </c>
      <c r="I19" s="201">
        <f t="shared" si="6"/>
        <v>-0.14685844057532171</v>
      </c>
    </row>
    <row r="20" spans="1:12" x14ac:dyDescent="0.2">
      <c r="A20" s="50" t="s">
        <v>148</v>
      </c>
      <c r="B20" s="31">
        <f>'[2]General Avation'!$IF$4</f>
        <v>649</v>
      </c>
      <c r="C20" s="31">
        <f>'[2]General Avation'!$IF$5</f>
        <v>648</v>
      </c>
      <c r="D20" s="31">
        <f t="shared" si="4"/>
        <v>1297</v>
      </c>
      <c r="E20" s="2">
        <f>'[1]Monthly Summary'!D20</f>
        <v>1096</v>
      </c>
      <c r="F20" s="74">
        <f t="shared" si="5"/>
        <v>0.18339416058394162</v>
      </c>
      <c r="G20" s="2">
        <f t="shared" si="7"/>
        <v>1297</v>
      </c>
      <c r="H20" s="2">
        <f t="shared" si="8"/>
        <v>1096</v>
      </c>
      <c r="I20" s="201">
        <f t="shared" si="6"/>
        <v>0.18339416058394162</v>
      </c>
    </row>
    <row r="21" spans="1:12" ht="12.75" customHeight="1" x14ac:dyDescent="0.2">
      <c r="A21" s="50" t="s">
        <v>12</v>
      </c>
      <c r="B21" s="11">
        <f>'[2]Military '!$IF$4</f>
        <v>42</v>
      </c>
      <c r="C21" s="11">
        <f>'[2]Military '!$IF$5</f>
        <v>44</v>
      </c>
      <c r="D21" s="11">
        <f t="shared" si="4"/>
        <v>86</v>
      </c>
      <c r="E21" s="426">
        <f>'[1]Monthly Summary'!D21</f>
        <v>110</v>
      </c>
      <c r="F21" s="199">
        <f t="shared" si="5"/>
        <v>-0.21818181818181817</v>
      </c>
      <c r="G21" s="425">
        <f t="shared" si="7"/>
        <v>86</v>
      </c>
      <c r="H21" s="425">
        <f t="shared" si="8"/>
        <v>110</v>
      </c>
      <c r="I21" s="202">
        <f t="shared" si="6"/>
        <v>-0.21818181818181817</v>
      </c>
    </row>
    <row r="22" spans="1:12" ht="15.75" thickBot="1" x14ac:dyDescent="0.3">
      <c r="A22" s="51" t="s">
        <v>28</v>
      </c>
      <c r="B22" s="207">
        <f>SUM(B16:B21)</f>
        <v>12246</v>
      </c>
      <c r="C22" s="207">
        <f>SUM(C16:C21)</f>
        <v>12192</v>
      </c>
      <c r="D22" s="207">
        <f>SUM(D16:D21)</f>
        <v>24438</v>
      </c>
      <c r="E22" s="207">
        <f>SUM(E16:E21)</f>
        <v>24581</v>
      </c>
      <c r="F22" s="204">
        <f t="shared" si="5"/>
        <v>-5.8175013221593913E-3</v>
      </c>
      <c r="G22" s="207">
        <f>SUM(G16:G21)</f>
        <v>24438</v>
      </c>
      <c r="H22" s="207">
        <f>SUM(H16:H21)</f>
        <v>24581</v>
      </c>
      <c r="I22" s="205">
        <f t="shared" si="6"/>
        <v>-5.8175013221593913E-3</v>
      </c>
    </row>
    <row r="23" spans="1:12" x14ac:dyDescent="0.2">
      <c r="B23" s="95"/>
      <c r="C23" s="95"/>
      <c r="L23" s="2"/>
    </row>
    <row r="24" spans="1:12" ht="12.75" customHeight="1" x14ac:dyDescent="0.2">
      <c r="B24" s="10"/>
      <c r="C24" s="10"/>
      <c r="D24" s="449" t="s">
        <v>235</v>
      </c>
      <c r="E24" s="449" t="s">
        <v>227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0"/>
      <c r="E25" s="451"/>
      <c r="F25" s="5" t="s">
        <v>2</v>
      </c>
      <c r="G25" s="5" t="s">
        <v>236</v>
      </c>
      <c r="H25" s="5" t="s">
        <v>228</v>
      </c>
      <c r="I25" s="5" t="s">
        <v>2</v>
      </c>
    </row>
    <row r="26" spans="1:12" ht="15" x14ac:dyDescent="0.25">
      <c r="A26" s="48" t="s">
        <v>126</v>
      </c>
      <c r="B26" s="35"/>
      <c r="C26" s="35"/>
      <c r="D26" s="35"/>
      <c r="E26" s="35"/>
      <c r="F26" s="35"/>
      <c r="G26" s="35"/>
      <c r="H26" s="35"/>
      <c r="I26" s="36"/>
    </row>
    <row r="27" spans="1:12" x14ac:dyDescent="0.2">
      <c r="A27" s="45" t="s">
        <v>15</v>
      </c>
      <c r="B27" s="13">
        <f>(Cargo!S16+'Major Airline Stats'!K28+'Regional Major'!M25)*0.00045359237</f>
        <v>8083.0269196168801</v>
      </c>
      <c r="C27" s="13">
        <f>(Cargo!S21+'Major Airline Stats'!K33+'Regional Major'!M30)*0.00045359237</f>
        <v>7071.8402530614294</v>
      </c>
      <c r="D27" s="13">
        <f>(SUM(B27:C27)+('Cargo Summary'!E17*0.00045359237))</f>
        <v>15154.86717267831</v>
      </c>
      <c r="E27" s="2">
        <f>'[1]Monthly Summary'!D27</f>
        <v>15990.397925989408</v>
      </c>
      <c r="F27" s="77">
        <f>(D27-E27)/E27</f>
        <v>-5.2252030073191479E-2</v>
      </c>
      <c r="G27" s="2">
        <f>+D27</f>
        <v>15154.86717267831</v>
      </c>
      <c r="H27" s="2">
        <f>+E27</f>
        <v>15990.397925989408</v>
      </c>
      <c r="I27" s="79">
        <f>(G27-H27)/H27</f>
        <v>-5.2252030073191479E-2</v>
      </c>
    </row>
    <row r="28" spans="1:12" x14ac:dyDescent="0.2">
      <c r="A28" s="45" t="s">
        <v>16</v>
      </c>
      <c r="B28" s="13">
        <f>(Cargo!S17+'Major Airline Stats'!K29+'Regional Major'!M26)*0.00045359237</f>
        <v>797.43670530139002</v>
      </c>
      <c r="C28" s="13">
        <f>(Cargo!S22+'Major Airline Stats'!K34+'Regional Major'!M31)*0.00045359237</f>
        <v>647.34571162261</v>
      </c>
      <c r="D28" s="13">
        <f>SUM(B28:C28)</f>
        <v>1444.782416924</v>
      </c>
      <c r="E28" s="2">
        <f>'[1]Monthly Summary'!D28</f>
        <v>1899.02297042073</v>
      </c>
      <c r="F28" s="77">
        <f>(D28-E28)/E28</f>
        <v>-0.23919697685178215</v>
      </c>
      <c r="G28" s="2">
        <f>+D28</f>
        <v>1444.782416924</v>
      </c>
      <c r="H28" s="2">
        <f>+E28</f>
        <v>1899.02297042073</v>
      </c>
      <c r="I28" s="79">
        <f>(G28-H28)/H28</f>
        <v>-0.23919697685178215</v>
      </c>
    </row>
    <row r="29" spans="1:12" ht="15.75" thickBot="1" x14ac:dyDescent="0.3">
      <c r="A29" s="46" t="s">
        <v>62</v>
      </c>
      <c r="B29" s="38">
        <f>SUM(B27:B28)</f>
        <v>8880.4636249182695</v>
      </c>
      <c r="C29" s="38">
        <f>SUM(C27:C28)</f>
        <v>7719.1859646840394</v>
      </c>
      <c r="D29" s="38">
        <f>SUM(D27:D28)</f>
        <v>16599.649589602312</v>
      </c>
      <c r="E29" s="38">
        <f>SUM(E27:E28)</f>
        <v>17889.420896410138</v>
      </c>
      <c r="F29" s="78">
        <f>(D29-E29)/E29</f>
        <v>-7.2096873022124724E-2</v>
      </c>
      <c r="G29" s="38">
        <f>SUM(G27:G28)</f>
        <v>16599.649589602312</v>
      </c>
      <c r="H29" s="38">
        <f>SUM(H27:H28)</f>
        <v>17889.420896410138</v>
      </c>
      <c r="I29" s="80">
        <f>(G29-H29)/H29</f>
        <v>-7.2096873022124724E-2</v>
      </c>
    </row>
    <row r="30" spans="1:12" ht="4.5" customHeight="1" thickBot="1" x14ac:dyDescent="0.3">
      <c r="A30" s="42"/>
      <c r="B30" s="305"/>
      <c r="C30" s="305"/>
      <c r="D30" s="305"/>
      <c r="E30" s="305"/>
      <c r="F30" s="208"/>
      <c r="G30" s="305"/>
      <c r="H30" s="305"/>
      <c r="I30" s="208"/>
    </row>
    <row r="31" spans="1:12" ht="13.5" thickBot="1" x14ac:dyDescent="0.25">
      <c r="B31" s="448" t="s">
        <v>144</v>
      </c>
      <c r="C31" s="447"/>
      <c r="D31" s="448" t="s">
        <v>151</v>
      </c>
      <c r="E31" s="447"/>
      <c r="F31" s="327"/>
      <c r="G31" s="328"/>
    </row>
    <row r="32" spans="1:12" x14ac:dyDescent="0.2">
      <c r="A32" s="309" t="s">
        <v>145</v>
      </c>
      <c r="B32" s="310">
        <f>C8-B33</f>
        <v>846314</v>
      </c>
      <c r="C32" s="311">
        <f>B32/C8</f>
        <v>0.72000006805985184</v>
      </c>
      <c r="D32" s="312">
        <f>+B32</f>
        <v>846314</v>
      </c>
      <c r="E32" s="313">
        <f>+D32/D34</f>
        <v>0.72000006805985184</v>
      </c>
      <c r="G32" s="2"/>
      <c r="I32" s="326"/>
    </row>
    <row r="33" spans="1:14" ht="13.5" thickBot="1" x14ac:dyDescent="0.25">
      <c r="A33" s="314" t="s">
        <v>146</v>
      </c>
      <c r="B33" s="315">
        <f>'Major Airline Stats'!K51+'Regional Major'!M45</f>
        <v>329122</v>
      </c>
      <c r="C33" s="316">
        <f>+B33/C8</f>
        <v>0.27999993194014816</v>
      </c>
      <c r="D33" s="317">
        <f>+B33</f>
        <v>329122</v>
      </c>
      <c r="E33" s="318">
        <f>+D33/D34</f>
        <v>0.27999993194014816</v>
      </c>
      <c r="I33" s="326"/>
    </row>
    <row r="34" spans="1:14" ht="13.5" thickBot="1" x14ac:dyDescent="0.25">
      <c r="B34" s="239"/>
      <c r="D34" s="319">
        <f>SUM(D32:D33)</f>
        <v>1175436</v>
      </c>
    </row>
    <row r="35" spans="1:14" ht="13.5" thickBot="1" x14ac:dyDescent="0.25">
      <c r="B35" s="446" t="s">
        <v>237</v>
      </c>
      <c r="C35" s="447"/>
      <c r="D35" s="448" t="s">
        <v>238</v>
      </c>
      <c r="E35" s="447"/>
    </row>
    <row r="36" spans="1:14" x14ac:dyDescent="0.2">
      <c r="A36" s="309" t="s">
        <v>145</v>
      </c>
      <c r="B36" s="310">
        <f>'[1]Monthly Summary'!$B$32</f>
        <v>678261</v>
      </c>
      <c r="C36" s="311">
        <f>+B36/B38</f>
        <v>0.69729434648156063</v>
      </c>
      <c r="D36" s="312">
        <f>'[1]Monthly Summary'!$D$32</f>
        <v>678261</v>
      </c>
      <c r="E36" s="313">
        <f>+D36/D38</f>
        <v>0.69729434648156063</v>
      </c>
    </row>
    <row r="37" spans="1:14" ht="13.5" thickBot="1" x14ac:dyDescent="0.25">
      <c r="A37" s="314" t="s">
        <v>146</v>
      </c>
      <c r="B37" s="315">
        <f>'[1]Monthly Summary'!$B$33</f>
        <v>294443</v>
      </c>
      <c r="C37" s="318">
        <f>+B37/B38</f>
        <v>0.30270565351843931</v>
      </c>
      <c r="D37" s="317">
        <f>'[1]Monthly Summary'!$D$33</f>
        <v>294443</v>
      </c>
      <c r="E37" s="318">
        <f>+D37/D38</f>
        <v>0.30270565351843931</v>
      </c>
      <c r="M37" s="1"/>
    </row>
    <row r="38" spans="1:14" x14ac:dyDescent="0.2">
      <c r="B38" s="331">
        <f>+SUM(B36:B37)</f>
        <v>972704</v>
      </c>
      <c r="D38" s="319">
        <f>SUM(D36:D37)</f>
        <v>972704</v>
      </c>
      <c r="K38" s="324"/>
    </row>
    <row r="39" spans="1:14" x14ac:dyDescent="0.2">
      <c r="A39" s="323" t="s">
        <v>147</v>
      </c>
    </row>
    <row r="40" spans="1:14" x14ac:dyDescent="0.2">
      <c r="A40" s="170" t="s">
        <v>149</v>
      </c>
      <c r="I40" s="2"/>
    </row>
    <row r="41" spans="1:14" x14ac:dyDescent="0.2">
      <c r="N41" s="324"/>
    </row>
    <row r="42" spans="1:14" x14ac:dyDescent="0.2">
      <c r="G42" s="2"/>
      <c r="N42" s="324"/>
    </row>
    <row r="43" spans="1:14" x14ac:dyDescent="0.2">
      <c r="B43" s="239"/>
      <c r="J43" s="2"/>
      <c r="N43" s="324"/>
    </row>
    <row r="44" spans="1:14" x14ac:dyDescent="0.2">
      <c r="B44" s="239"/>
      <c r="N44" s="324"/>
    </row>
    <row r="45" spans="1:14" x14ac:dyDescent="0.2">
      <c r="J45" s="2"/>
      <c r="N45" s="324"/>
    </row>
    <row r="46" spans="1:14" x14ac:dyDescent="0.2">
      <c r="B46" s="2"/>
      <c r="F46" s="239"/>
    </row>
    <row r="47" spans="1:14" x14ac:dyDescent="0.2">
      <c r="N47" s="324"/>
    </row>
    <row r="51" spans="12:12" x14ac:dyDescent="0.2">
      <c r="L51" s="325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2023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zoomScaleNormal="100" zoomScaleSheetLayoutView="100" workbookViewId="0">
      <selection activeCell="T20" sqref="T20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19">
        <v>44927</v>
      </c>
      <c r="B1" s="345" t="s">
        <v>18</v>
      </c>
      <c r="C1" s="344" t="s">
        <v>194</v>
      </c>
      <c r="D1" s="383" t="s">
        <v>157</v>
      </c>
      <c r="E1" s="344" t="s">
        <v>163</v>
      </c>
      <c r="F1" s="344" t="s">
        <v>162</v>
      </c>
      <c r="G1" s="344" t="s">
        <v>49</v>
      </c>
      <c r="H1" s="344" t="s">
        <v>113</v>
      </c>
      <c r="I1" s="344" t="s">
        <v>193</v>
      </c>
      <c r="J1" s="344" t="s">
        <v>250</v>
      </c>
      <c r="K1" s="344" t="s">
        <v>249</v>
      </c>
      <c r="L1" s="344" t="s">
        <v>161</v>
      </c>
      <c r="M1" s="344" t="s">
        <v>202</v>
      </c>
      <c r="N1" s="344" t="s">
        <v>156</v>
      </c>
      <c r="O1" s="344" t="s">
        <v>47</v>
      </c>
      <c r="P1" s="344" t="s">
        <v>139</v>
      </c>
      <c r="Q1" s="344" t="s">
        <v>21</v>
      </c>
    </row>
    <row r="2" spans="1:17" ht="15" x14ac:dyDescent="0.25">
      <c r="A2" s="482" t="s">
        <v>140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4"/>
    </row>
    <row r="3" spans="1:17" x14ac:dyDescent="0.2">
      <c r="A3" s="45" t="s">
        <v>29</v>
      </c>
      <c r="Q3" s="39"/>
    </row>
    <row r="4" spans="1:17" x14ac:dyDescent="0.2">
      <c r="A4" s="45" t="s">
        <v>30</v>
      </c>
      <c r="B4" s="12">
        <f>[2]Delta!$IF$32</f>
        <v>88572</v>
      </c>
      <c r="C4" s="12">
        <f>'[2]Atlantic Southeast'!$IF$32</f>
        <v>0</v>
      </c>
      <c r="D4" s="12">
        <f>[2]Pinnacle!$IF$32</f>
        <v>0</v>
      </c>
      <c r="E4" s="12">
        <f>'[2]Sky West'!$IF$32</f>
        <v>3772</v>
      </c>
      <c r="F4" s="12">
        <f>'[2]Go Jet'!$IF$32</f>
        <v>0</v>
      </c>
      <c r="G4" s="12">
        <f>'[2]Sun Country'!$IF$32</f>
        <v>26499</v>
      </c>
      <c r="H4" s="12">
        <f>[2]Icelandair!$IF$32</f>
        <v>457</v>
      </c>
      <c r="I4" s="12">
        <f>[2]KLM!$IF$32</f>
        <v>3775</v>
      </c>
      <c r="J4" s="12">
        <f>[2]Jazz_AC!$IF$32</f>
        <v>3422</v>
      </c>
      <c r="K4" s="12">
        <f>'[2]Sky Regional'!$IF$32</f>
        <v>0</v>
      </c>
      <c r="L4" s="12">
        <f>[2]Condor!$IF$32</f>
        <v>0</v>
      </c>
      <c r="M4" s="12">
        <f>'[2]Aer Lingus'!$IF$32</f>
        <v>0</v>
      </c>
      <c r="N4" s="12">
        <f>'[2]Air France'!$IF$32</f>
        <v>0</v>
      </c>
      <c r="O4" s="12">
        <f>[2]Frontier!$IF$32</f>
        <v>0</v>
      </c>
      <c r="P4" s="12">
        <f>'[2]Charter Misc'!$IF$32+[2]Ryan!$IF$32+[2]Omni!$IF$32</f>
        <v>65</v>
      </c>
      <c r="Q4" s="214">
        <f>SUM(B4:P4)</f>
        <v>126562</v>
      </c>
    </row>
    <row r="5" spans="1:17" x14ac:dyDescent="0.2">
      <c r="A5" s="45" t="s">
        <v>31</v>
      </c>
      <c r="B5" s="7">
        <f>[2]Delta!$IF$33</f>
        <v>86065</v>
      </c>
      <c r="C5" s="7">
        <f>'[2]Atlantic Southeast'!$IF$33</f>
        <v>0</v>
      </c>
      <c r="D5" s="7">
        <f>[2]Pinnacle!$IF$33</f>
        <v>0</v>
      </c>
      <c r="E5" s="7">
        <f>'[2]Sky West'!$IF$33</f>
        <v>3916</v>
      </c>
      <c r="F5" s="7">
        <f>'[2]Go Jet'!$IF$33</f>
        <v>0</v>
      </c>
      <c r="G5" s="7">
        <f>'[2]Sun Country'!$IF$33</f>
        <v>27098</v>
      </c>
      <c r="H5" s="7">
        <f>[2]Icelandair!$IF$33</f>
        <v>274</v>
      </c>
      <c r="I5" s="7">
        <f>[2]KLM!$IF$33</f>
        <v>2893</v>
      </c>
      <c r="J5" s="7">
        <f>[2]Jazz_AC!$IF$33</f>
        <v>3291</v>
      </c>
      <c r="K5" s="7">
        <f>'[2]Sky Regional'!$IF$33</f>
        <v>0</v>
      </c>
      <c r="L5" s="7">
        <f>[2]Condor!$IF$33</f>
        <v>0</v>
      </c>
      <c r="M5" s="7">
        <f>'[2]Aer Lingus'!$IF$33</f>
        <v>0</v>
      </c>
      <c r="N5" s="7">
        <f>'[2]Air France'!$IF$33</f>
        <v>0</v>
      </c>
      <c r="O5" s="7">
        <f>[2]Frontier!$IF$33</f>
        <v>0</v>
      </c>
      <c r="P5" s="7">
        <f>'[2]Charter Misc'!$IF$33++[2]Ryan!$IF$33+[2]Omni!$IF$33</f>
        <v>0</v>
      </c>
      <c r="Q5" s="215">
        <f>SUM(B5:P5)</f>
        <v>123537</v>
      </c>
    </row>
    <row r="6" spans="1:17" ht="15" x14ac:dyDescent="0.25">
      <c r="A6" s="43" t="s">
        <v>7</v>
      </c>
      <c r="B6" s="24">
        <f t="shared" ref="B6:P6" si="0">SUM(B4:B5)</f>
        <v>174637</v>
      </c>
      <c r="C6" s="24">
        <f t="shared" si="0"/>
        <v>0</v>
      </c>
      <c r="D6" s="24">
        <f t="shared" si="0"/>
        <v>0</v>
      </c>
      <c r="E6" s="24">
        <f t="shared" si="0"/>
        <v>7688</v>
      </c>
      <c r="F6" s="24">
        <f t="shared" ref="F6" si="1">SUM(F4:F5)</f>
        <v>0</v>
      </c>
      <c r="G6" s="24">
        <f t="shared" si="0"/>
        <v>53597</v>
      </c>
      <c r="H6" s="24">
        <f t="shared" si="0"/>
        <v>731</v>
      </c>
      <c r="I6" s="24">
        <f t="shared" ref="I6" si="2">SUM(I4:I5)</f>
        <v>6668</v>
      </c>
      <c r="J6" s="24">
        <f t="shared" si="0"/>
        <v>6713</v>
      </c>
      <c r="K6" s="24">
        <f t="shared" ref="K6" si="3">SUM(K4:K5)</f>
        <v>0</v>
      </c>
      <c r="L6" s="24">
        <f t="shared" ref="L6:M6" si="4">SUM(L4:L5)</f>
        <v>0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65</v>
      </c>
      <c r="Q6" s="216">
        <f>SUM(B6:P6)</f>
        <v>250099</v>
      </c>
    </row>
    <row r="7" spans="1:17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14"/>
    </row>
    <row r="8" spans="1:17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14">
        <f>SUM(B8:P8)</f>
        <v>0</v>
      </c>
    </row>
    <row r="9" spans="1:17" x14ac:dyDescent="0.2">
      <c r="A9" s="45" t="s">
        <v>30</v>
      </c>
      <c r="B9" s="12">
        <f>[2]Delta!$IF$37</f>
        <v>2550</v>
      </c>
      <c r="C9" s="12">
        <f>'[2]Atlantic Southeast'!$IF$37</f>
        <v>0</v>
      </c>
      <c r="D9" s="12">
        <f>[2]Pinnacle!$IF$37</f>
        <v>0</v>
      </c>
      <c r="E9" s="12">
        <f>'[2]Sky West'!$IF$37</f>
        <v>96</v>
      </c>
      <c r="F9" s="12">
        <f>'[2]Go Jet'!$IF$37</f>
        <v>0</v>
      </c>
      <c r="G9" s="12">
        <f>'[2]Sun Country'!$IF$37</f>
        <v>375</v>
      </c>
      <c r="H9" s="12">
        <f>[2]Icelandair!$IF$37</f>
        <v>0</v>
      </c>
      <c r="I9" s="12">
        <f>[2]KLM!$IF$37</f>
        <v>6</v>
      </c>
      <c r="J9" s="12">
        <f>[2]Jazz_AC!$IF$37</f>
        <v>62</v>
      </c>
      <c r="K9" s="12">
        <f>'[2]Sky Regional'!$IF$37</f>
        <v>0</v>
      </c>
      <c r="L9" s="12">
        <f>[2]Condor!$IF$37</f>
        <v>0</v>
      </c>
      <c r="M9" s="12">
        <f>'[2]Aer Lingus'!$IF$37</f>
        <v>0</v>
      </c>
      <c r="N9" s="12">
        <f>'[2]Air France'!$IF$37</f>
        <v>0</v>
      </c>
      <c r="O9" s="12">
        <f>[2]Frontier!$IF$37</f>
        <v>0</v>
      </c>
      <c r="P9" s="12">
        <f>'[2]Charter Misc'!$IF$37+[2]Ryan!$IF$37+[2]Omni!$IF$37</f>
        <v>0</v>
      </c>
      <c r="Q9" s="214">
        <f>SUM(B9:P9)</f>
        <v>3089</v>
      </c>
    </row>
    <row r="10" spans="1:17" x14ac:dyDescent="0.2">
      <c r="A10" s="45" t="s">
        <v>33</v>
      </c>
      <c r="B10" s="7">
        <f>[2]Delta!$IF$38</f>
        <v>2234</v>
      </c>
      <c r="C10" s="7">
        <f>'[2]Atlantic Southeast'!$IF$38</f>
        <v>0</v>
      </c>
      <c r="D10" s="7">
        <f>[2]Pinnacle!$IF$38</f>
        <v>0</v>
      </c>
      <c r="E10" s="7">
        <f>'[2]Sky West'!$IF$38</f>
        <v>73</v>
      </c>
      <c r="F10" s="7">
        <f>'[2]Go Jet'!$IF$38</f>
        <v>0</v>
      </c>
      <c r="G10" s="7">
        <f>'[2]Sun Country'!$IF$38</f>
        <v>389</v>
      </c>
      <c r="H10" s="7">
        <f>[2]Icelandair!$IF$38</f>
        <v>10</v>
      </c>
      <c r="I10" s="7">
        <f>[2]KLM!$IF$38</f>
        <v>3</v>
      </c>
      <c r="J10" s="7">
        <f>[2]Jazz_AC!$IF$38</f>
        <v>57</v>
      </c>
      <c r="K10" s="7">
        <f>'[2]Sky Regional'!$IF$38</f>
        <v>0</v>
      </c>
      <c r="L10" s="7">
        <f>[2]Condor!$IF$38</f>
        <v>0</v>
      </c>
      <c r="M10" s="7">
        <f>'[2]Aer Lingus'!$IF$38</f>
        <v>0</v>
      </c>
      <c r="N10" s="7">
        <f>'[2]Air France'!$IF$38</f>
        <v>0</v>
      </c>
      <c r="O10" s="7">
        <f>[2]Frontier!$IF$38</f>
        <v>0</v>
      </c>
      <c r="P10" s="7">
        <f>'[2]Charter Misc'!$IF$38+[2]Ryan!$IF$38+[2]Omni!$IF$38</f>
        <v>0</v>
      </c>
      <c r="Q10" s="215">
        <f>SUM(B10:P10)</f>
        <v>2766</v>
      </c>
    </row>
    <row r="11" spans="1:17" ht="15.75" thickBot="1" x14ac:dyDescent="0.3">
      <c r="A11" s="46" t="s">
        <v>34</v>
      </c>
      <c r="B11" s="217">
        <f t="shared" ref="B11:G11" si="5">SUM(B9:B10)</f>
        <v>4784</v>
      </c>
      <c r="C11" s="217">
        <f t="shared" si="5"/>
        <v>0</v>
      </c>
      <c r="D11" s="217">
        <f t="shared" si="5"/>
        <v>0</v>
      </c>
      <c r="E11" s="217">
        <f t="shared" si="5"/>
        <v>169</v>
      </c>
      <c r="F11" s="217">
        <f t="shared" ref="F11" si="6">SUM(F9:F10)</f>
        <v>0</v>
      </c>
      <c r="G11" s="217">
        <f t="shared" si="5"/>
        <v>764</v>
      </c>
      <c r="H11" s="217">
        <f t="shared" ref="H11:P11" si="7">SUM(H9:H10)</f>
        <v>10</v>
      </c>
      <c r="I11" s="217">
        <f t="shared" ref="I11" si="8">SUM(I9:I10)</f>
        <v>9</v>
      </c>
      <c r="J11" s="217">
        <f t="shared" si="7"/>
        <v>119</v>
      </c>
      <c r="K11" s="217">
        <f t="shared" ref="K11" si="9">SUM(K9:K10)</f>
        <v>0</v>
      </c>
      <c r="L11" s="217">
        <f t="shared" si="7"/>
        <v>0</v>
      </c>
      <c r="M11" s="217">
        <f t="shared" ref="M11" si="10">SUM(M9:M10)</f>
        <v>0</v>
      </c>
      <c r="N11" s="217">
        <f t="shared" si="7"/>
        <v>0</v>
      </c>
      <c r="O11" s="217">
        <f t="shared" si="7"/>
        <v>0</v>
      </c>
      <c r="P11" s="217">
        <f t="shared" si="7"/>
        <v>0</v>
      </c>
      <c r="Q11" s="218">
        <f>SUM(B11:P11)</f>
        <v>5855</v>
      </c>
    </row>
    <row r="12" spans="1:17" ht="15" x14ac:dyDescent="0.25">
      <c r="A12" s="303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300"/>
    </row>
    <row r="13" spans="1:17" ht="39" thickBot="1" x14ac:dyDescent="0.25">
      <c r="B13" s="345" t="s">
        <v>18</v>
      </c>
      <c r="C13" s="344" t="s">
        <v>194</v>
      </c>
      <c r="D13" s="383" t="s">
        <v>157</v>
      </c>
      <c r="E13" s="344" t="s">
        <v>163</v>
      </c>
      <c r="F13" s="344" t="s">
        <v>162</v>
      </c>
      <c r="G13" s="344" t="s">
        <v>49</v>
      </c>
      <c r="H13" s="344" t="s">
        <v>113</v>
      </c>
      <c r="I13" s="344" t="s">
        <v>193</v>
      </c>
      <c r="J13" s="344" t="s">
        <v>250</v>
      </c>
      <c r="K13" s="344" t="s">
        <v>195</v>
      </c>
      <c r="L13" s="344" t="s">
        <v>161</v>
      </c>
      <c r="M13" s="344" t="s">
        <v>202</v>
      </c>
      <c r="N13" s="344" t="s">
        <v>156</v>
      </c>
      <c r="O13" s="344" t="s">
        <v>47</v>
      </c>
      <c r="P13" s="344" t="s">
        <v>139</v>
      </c>
      <c r="Q13" s="344" t="s">
        <v>21</v>
      </c>
    </row>
    <row r="14" spans="1:17" ht="15" x14ac:dyDescent="0.25">
      <c r="A14" s="485" t="s">
        <v>141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7"/>
    </row>
    <row r="15" spans="1:17" x14ac:dyDescent="0.2">
      <c r="A15" s="45" t="s">
        <v>29</v>
      </c>
      <c r="Q15" s="39"/>
    </row>
    <row r="16" spans="1:17" x14ac:dyDescent="0.2">
      <c r="A16" s="45" t="s">
        <v>30</v>
      </c>
      <c r="B16" s="12">
        <f>SUM([2]Delta!$IF$32:$IF$32)</f>
        <v>88572</v>
      </c>
      <c r="C16" s="12">
        <f>SUM('[2]Atlantic Southeast'!$IF$32:$IF$32)</f>
        <v>0</v>
      </c>
      <c r="D16" s="12">
        <f>SUM([2]Pinnacle!$IF$32:$IF$32)</f>
        <v>0</v>
      </c>
      <c r="E16" s="12">
        <f>SUM('[2]Sky West'!$IF$32:$IF$32)</f>
        <v>3772</v>
      </c>
      <c r="F16" s="12">
        <f>SUM('[2]Go Jet'!$IF$32:$IF$32)</f>
        <v>0</v>
      </c>
      <c r="G16" s="12">
        <f>SUM('[2]Sun Country'!$IF$32:$IF$32)</f>
        <v>26499</v>
      </c>
      <c r="H16" s="12">
        <f>SUM([2]Icelandair!$IF$32:$IF$32)</f>
        <v>457</v>
      </c>
      <c r="I16" s="12">
        <f>SUM([2]KLM!$IF$32:$IF$32)</f>
        <v>3775</v>
      </c>
      <c r="J16" s="12">
        <f>SUM([2]Jazz_AC!$IF$32:$IF$32)</f>
        <v>3422</v>
      </c>
      <c r="K16" s="12">
        <f>SUM('[2]Sky Regional'!$IF$32:$IF$32)</f>
        <v>0</v>
      </c>
      <c r="L16" s="12">
        <f>SUM([2]Condor!$IF$32:$IF$32)</f>
        <v>0</v>
      </c>
      <c r="M16" s="12">
        <f>SUM('[2]Aer Lingus'!$IF$32:$IF$32)</f>
        <v>0</v>
      </c>
      <c r="N16" s="12">
        <f>SUM('[2]Air France'!$IF$32:$IF$32)</f>
        <v>0</v>
      </c>
      <c r="O16" s="12">
        <f>SUM([2]Frontier!$IF$32:$IF$32)</f>
        <v>0</v>
      </c>
      <c r="P16" s="12">
        <f>SUM('[2]Charter Misc'!$IF$32:$IF$32)+SUM([2]Ryan!$IF$32:$IF$32)+SUM([2]Omni!$IF$32:$IF$32)</f>
        <v>65</v>
      </c>
      <c r="Q16" s="214">
        <f>SUM(B16:P16)</f>
        <v>126562</v>
      </c>
    </row>
    <row r="17" spans="1:20" x14ac:dyDescent="0.2">
      <c r="A17" s="45" t="s">
        <v>31</v>
      </c>
      <c r="B17" s="7">
        <f>SUM([2]Delta!$IF$33:$IF$33)</f>
        <v>86065</v>
      </c>
      <c r="C17" s="7">
        <f>SUM('[2]Atlantic Southeast'!$IF$33:$IF$33)</f>
        <v>0</v>
      </c>
      <c r="D17" s="7">
        <f>SUM([2]Pinnacle!$IF$33:$IF$33)</f>
        <v>0</v>
      </c>
      <c r="E17" s="7">
        <f>SUM('[2]Sky West'!$IF$33:$IF$33)</f>
        <v>3916</v>
      </c>
      <c r="F17" s="7">
        <f>SUM('[2]Go Jet'!$IF$33:$IF$33)</f>
        <v>0</v>
      </c>
      <c r="G17" s="7">
        <f>SUM('[2]Sun Country'!$IF$33:$IF$33)</f>
        <v>27098</v>
      </c>
      <c r="H17" s="7">
        <f>SUM([2]Icelandair!$IF$33:$IF$33)</f>
        <v>274</v>
      </c>
      <c r="I17" s="7">
        <f>SUM([2]KLM!$IF$33:$IF$33)</f>
        <v>2893</v>
      </c>
      <c r="J17" s="7">
        <f>SUM([2]Jazz_AC!$IF$33:$IF$33)</f>
        <v>3291</v>
      </c>
      <c r="K17" s="7">
        <f>SUM('[2]Sky Regional'!$IF$33:$IF$33)</f>
        <v>0</v>
      </c>
      <c r="L17" s="7">
        <f>SUM([2]Condor!$IF$33:$IF$33)</f>
        <v>0</v>
      </c>
      <c r="M17" s="7">
        <f>SUM('[2]Aer Lingus'!$IF$33:$IF$33)</f>
        <v>0</v>
      </c>
      <c r="N17" s="7">
        <f>SUM('[2]Air France'!$IF$33:$IF$33)</f>
        <v>0</v>
      </c>
      <c r="O17" s="7">
        <f>SUM([2]Frontier!$IF$33:$IF$33)</f>
        <v>0</v>
      </c>
      <c r="P17" s="7">
        <f>SUM('[2]Charter Misc'!$IF$33:$IF$33)++SUM([2]Ryan!$IF$33:$IF$33)+SUM([2]Omni!$IF$33:$IF$33)</f>
        <v>0</v>
      </c>
      <c r="Q17" s="215">
        <f>SUM(B17:P17)</f>
        <v>123537</v>
      </c>
    </row>
    <row r="18" spans="1:20" ht="15" x14ac:dyDescent="0.25">
      <c r="A18" s="43" t="s">
        <v>7</v>
      </c>
      <c r="B18" s="24">
        <f t="shared" ref="B18:P18" si="11">SUM(B16:B17)</f>
        <v>174637</v>
      </c>
      <c r="C18" s="24">
        <f t="shared" si="11"/>
        <v>0</v>
      </c>
      <c r="D18" s="24">
        <f t="shared" si="11"/>
        <v>0</v>
      </c>
      <c r="E18" s="24">
        <f t="shared" si="11"/>
        <v>7688</v>
      </c>
      <c r="F18" s="24">
        <f t="shared" ref="F18" si="12">SUM(F16:F17)</f>
        <v>0</v>
      </c>
      <c r="G18" s="24">
        <f t="shared" si="11"/>
        <v>53597</v>
      </c>
      <c r="H18" s="24">
        <f t="shared" si="11"/>
        <v>731</v>
      </c>
      <c r="I18" s="24">
        <f t="shared" ref="I18" si="13">SUM(I16:I17)</f>
        <v>6668</v>
      </c>
      <c r="J18" s="24">
        <f t="shared" si="11"/>
        <v>6713</v>
      </c>
      <c r="K18" s="24">
        <f t="shared" ref="K18" si="14">SUM(K16:K17)</f>
        <v>0</v>
      </c>
      <c r="L18" s="24">
        <f t="shared" ref="L18:M18" si="15">SUM(L16:L17)</f>
        <v>0</v>
      </c>
      <c r="M18" s="24">
        <f t="shared" si="15"/>
        <v>0</v>
      </c>
      <c r="N18" s="24">
        <f t="shared" si="11"/>
        <v>0</v>
      </c>
      <c r="O18" s="24">
        <f t="shared" si="11"/>
        <v>0</v>
      </c>
      <c r="P18" s="24">
        <f t="shared" si="11"/>
        <v>65</v>
      </c>
      <c r="Q18" s="216">
        <f>SUM(B18:P18)</f>
        <v>250099</v>
      </c>
      <c r="T18" s="239"/>
    </row>
    <row r="19" spans="1:20" x14ac:dyDescent="0.2">
      <c r="A19" s="4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14"/>
      <c r="T19" s="95"/>
    </row>
    <row r="20" spans="1:20" x14ac:dyDescent="0.2">
      <c r="A20" s="45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14">
        <f>SUM(B20:P20)</f>
        <v>0</v>
      </c>
    </row>
    <row r="21" spans="1:20" x14ac:dyDescent="0.2">
      <c r="A21" s="45" t="s">
        <v>30</v>
      </c>
      <c r="B21" s="12">
        <f>SUM([2]Delta!$IF$37:$IF$37)</f>
        <v>2550</v>
      </c>
      <c r="C21" s="12">
        <f>SUM('[2]Atlantic Southeast'!$IF$37:$IF$37)</f>
        <v>0</v>
      </c>
      <c r="D21" s="12">
        <f>SUM([2]Pinnacle!$IF$37:$IF$37)</f>
        <v>0</v>
      </c>
      <c r="E21" s="12">
        <f>SUM('[2]Sky West'!$IF$37:$IF$37)</f>
        <v>96</v>
      </c>
      <c r="F21" s="12">
        <f>SUM('[2]Go Jet'!$IF$37:$IF$37)</f>
        <v>0</v>
      </c>
      <c r="G21" s="12">
        <f>SUM('[2]Sun Country'!$IF$37:$IF$37)</f>
        <v>375</v>
      </c>
      <c r="H21" s="12">
        <f>SUM([2]Icelandair!$IF$37:$IF$37)</f>
        <v>0</v>
      </c>
      <c r="I21" s="12">
        <f>SUM([2]KLM!$IF$37:$IF$37)</f>
        <v>6</v>
      </c>
      <c r="J21" s="12">
        <f>SUM([2]Jazz_AC!$IF$37:$IF$37)</f>
        <v>62</v>
      </c>
      <c r="K21" s="12">
        <f>SUM('[2]Sky Regional'!$IF$37:$IF$37)</f>
        <v>0</v>
      </c>
      <c r="L21" s="12">
        <f>SUM([2]Condor!$IF$37:$IF$37)</f>
        <v>0</v>
      </c>
      <c r="M21" s="12">
        <f>SUM('[2]Aer Lingus'!$IF$37:$IF$37)</f>
        <v>0</v>
      </c>
      <c r="N21" s="12">
        <f>SUM('[2]Air France'!$IF$37:$IF$37)</f>
        <v>0</v>
      </c>
      <c r="O21" s="12">
        <f>SUM([2]Frontier!$IF$37:$IF$37)</f>
        <v>0</v>
      </c>
      <c r="P21" s="12">
        <f>SUM('[2]Charter Misc'!$IF$37:$IF$37)++SUM([2]Ryan!$IF$37:$IF$37)+SUM([2]Omni!$IF$37:$IF$37)</f>
        <v>0</v>
      </c>
      <c r="Q21" s="214">
        <f>SUM(B21:P21)</f>
        <v>3089</v>
      </c>
    </row>
    <row r="22" spans="1:20" x14ac:dyDescent="0.2">
      <c r="A22" s="45" t="s">
        <v>33</v>
      </c>
      <c r="B22" s="7">
        <f>SUM([2]Delta!$IF$38:$IF$38)</f>
        <v>2234</v>
      </c>
      <c r="C22" s="7">
        <f>SUM('[2]Atlantic Southeast'!$IF$38:$IF$38)</f>
        <v>0</v>
      </c>
      <c r="D22" s="7">
        <f>SUM([2]Pinnacle!$IF$38:$IF$38)</f>
        <v>0</v>
      </c>
      <c r="E22" s="7">
        <f>SUM('[2]Sky West'!$IF$38:$IF$38)</f>
        <v>73</v>
      </c>
      <c r="F22" s="7">
        <f>SUM('[2]Go Jet'!$IF$38:$IF$38)</f>
        <v>0</v>
      </c>
      <c r="G22" s="7">
        <f>SUM('[2]Sun Country'!$IF$38:$IF$38)</f>
        <v>389</v>
      </c>
      <c r="H22" s="7">
        <f>SUM([2]Icelandair!$IF$38:$IF$38)</f>
        <v>10</v>
      </c>
      <c r="I22" s="7">
        <f>SUM([2]KLM!$IF$38:$IF$38)</f>
        <v>3</v>
      </c>
      <c r="J22" s="7">
        <f>SUM([2]Jazz_AC!$IF$38:$IF$38)</f>
        <v>57</v>
      </c>
      <c r="K22" s="7">
        <f>SUM('[2]Sky Regional'!$IF$38:$IF$38)</f>
        <v>0</v>
      </c>
      <c r="L22" s="7">
        <f>SUM([2]Condor!$IF$38:$IF$38)</f>
        <v>0</v>
      </c>
      <c r="M22" s="7">
        <f>SUM('[2]Aer Lingus'!$IF$38:$IF$38)</f>
        <v>0</v>
      </c>
      <c r="N22" s="7">
        <f>SUM('[2]Air France'!$IF$38:$IF$38)</f>
        <v>0</v>
      </c>
      <c r="O22" s="7">
        <f>SUM([2]Frontier!$IF$38:$IF$38)</f>
        <v>0</v>
      </c>
      <c r="P22" s="7">
        <f>SUM('[2]Charter Misc'!$IF$38:$IF$38)++SUM([2]Ryan!$IF$38:$IF$38)+SUM([2]Omni!$IF$38:$IF$38)</f>
        <v>0</v>
      </c>
      <c r="Q22" s="215">
        <f>SUM(B22:P22)</f>
        <v>2766</v>
      </c>
    </row>
    <row r="23" spans="1:20" ht="15.75" thickBot="1" x14ac:dyDescent="0.3">
      <c r="A23" s="46" t="s">
        <v>34</v>
      </c>
      <c r="B23" s="217">
        <f t="shared" ref="B23:P23" si="16">SUM(B21:B22)</f>
        <v>4784</v>
      </c>
      <c r="C23" s="217">
        <f t="shared" si="16"/>
        <v>0</v>
      </c>
      <c r="D23" s="217">
        <f t="shared" si="16"/>
        <v>0</v>
      </c>
      <c r="E23" s="217">
        <f t="shared" si="16"/>
        <v>169</v>
      </c>
      <c r="F23" s="217">
        <f t="shared" ref="F23" si="17">SUM(F21:F22)</f>
        <v>0</v>
      </c>
      <c r="G23" s="217">
        <f t="shared" si="16"/>
        <v>764</v>
      </c>
      <c r="H23" s="217">
        <f t="shared" si="16"/>
        <v>10</v>
      </c>
      <c r="I23" s="217">
        <f t="shared" ref="I23" si="18">SUM(I21:I22)</f>
        <v>9</v>
      </c>
      <c r="J23" s="217">
        <f t="shared" si="16"/>
        <v>119</v>
      </c>
      <c r="K23" s="217">
        <f t="shared" ref="K23" si="19">SUM(K21:K22)</f>
        <v>0</v>
      </c>
      <c r="L23" s="217">
        <f t="shared" ref="L23:M23" si="20">SUM(L21:L22)</f>
        <v>0</v>
      </c>
      <c r="M23" s="217">
        <f t="shared" si="20"/>
        <v>0</v>
      </c>
      <c r="N23" s="217">
        <f t="shared" si="16"/>
        <v>0</v>
      </c>
      <c r="O23" s="217">
        <f t="shared" si="16"/>
        <v>0</v>
      </c>
      <c r="P23" s="217">
        <f t="shared" si="16"/>
        <v>0</v>
      </c>
      <c r="Q23" s="218">
        <f>SUM(B23:P23)</f>
        <v>5855</v>
      </c>
    </row>
    <row r="25" spans="1:20" ht="39" thickBot="1" x14ac:dyDescent="0.25">
      <c r="B25" s="345" t="s">
        <v>18</v>
      </c>
      <c r="C25" s="344" t="s">
        <v>194</v>
      </c>
      <c r="D25" s="383" t="s">
        <v>157</v>
      </c>
      <c r="E25" s="344" t="s">
        <v>163</v>
      </c>
      <c r="F25" s="344" t="s">
        <v>162</v>
      </c>
      <c r="G25" s="344" t="s">
        <v>49</v>
      </c>
      <c r="H25" s="344" t="s">
        <v>113</v>
      </c>
      <c r="I25" s="344" t="s">
        <v>193</v>
      </c>
      <c r="J25" s="344" t="s">
        <v>250</v>
      </c>
      <c r="K25" s="344" t="s">
        <v>195</v>
      </c>
      <c r="L25" s="344" t="s">
        <v>161</v>
      </c>
      <c r="M25" s="344" t="s">
        <v>202</v>
      </c>
      <c r="N25" s="344" t="s">
        <v>156</v>
      </c>
      <c r="O25" s="344" t="s">
        <v>47</v>
      </c>
      <c r="P25" s="344" t="s">
        <v>139</v>
      </c>
      <c r="Q25" s="344" t="s">
        <v>21</v>
      </c>
    </row>
    <row r="26" spans="1:20" ht="15" x14ac:dyDescent="0.25">
      <c r="A26" s="488" t="s">
        <v>142</v>
      </c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90"/>
    </row>
    <row r="27" spans="1:20" x14ac:dyDescent="0.2">
      <c r="A27" s="45" t="s">
        <v>22</v>
      </c>
      <c r="B27" s="12">
        <f>[2]Delta!$IF$15</f>
        <v>547</v>
      </c>
      <c r="C27" s="12">
        <f>'[2]Atlantic Southeast'!$IF$15</f>
        <v>0</v>
      </c>
      <c r="D27" s="12">
        <f>[2]Pinnacle!$IF$15</f>
        <v>1</v>
      </c>
      <c r="E27" s="12">
        <f>'[2]Sky West'!$IF$15</f>
        <v>80</v>
      </c>
      <c r="F27" s="12">
        <f>'[2]Go Jet'!$IF$15</f>
        <v>0</v>
      </c>
      <c r="G27" s="12">
        <f>'[2]Sun Country'!$IF$15</f>
        <v>170</v>
      </c>
      <c r="H27" s="12">
        <f>[2]Icelandair!$IF$15</f>
        <v>3</v>
      </c>
      <c r="I27" s="12">
        <f>[2]KLM!$IF$15</f>
        <v>17</v>
      </c>
      <c r="J27" s="12">
        <f>[2]Jazz_AC!$IF$15</f>
        <v>76</v>
      </c>
      <c r="K27" s="12">
        <f>'[2]Sky Regional'!$IF$15</f>
        <v>0</v>
      </c>
      <c r="L27" s="12">
        <f>[2]Condor!$IF$15</f>
        <v>0</v>
      </c>
      <c r="M27" s="12">
        <f>'[2]Aer Lingus'!$IF$15</f>
        <v>0</v>
      </c>
      <c r="N27" s="12">
        <f>'[2]Air France'!$IF$15</f>
        <v>0</v>
      </c>
      <c r="O27" s="12">
        <f>[2]Frontier!$IF$15</f>
        <v>0</v>
      </c>
      <c r="P27" s="12">
        <f>'[2]Charter Misc'!$IF$15+[2]Ryan!$IF$15+[2]Omni!$IF$15</f>
        <v>1</v>
      </c>
      <c r="Q27" s="214">
        <f>SUM(B27:P27)</f>
        <v>895</v>
      </c>
    </row>
    <row r="28" spans="1:20" x14ac:dyDescent="0.2">
      <c r="A28" s="45" t="s">
        <v>23</v>
      </c>
      <c r="B28" s="12">
        <f>[2]Delta!$IF$16</f>
        <v>557</v>
      </c>
      <c r="C28" s="12">
        <f>'[2]Atlantic Southeast'!$IF$16</f>
        <v>0</v>
      </c>
      <c r="D28" s="12">
        <f>[2]Pinnacle!$IF$16</f>
        <v>1</v>
      </c>
      <c r="E28" s="12">
        <f>'[2]Sky West'!$IF$16</f>
        <v>81</v>
      </c>
      <c r="F28" s="12">
        <f>'[2]Go Jet'!$IF$16</f>
        <v>0</v>
      </c>
      <c r="G28" s="12">
        <f>'[2]Sun Country'!$IF$16</f>
        <v>170</v>
      </c>
      <c r="H28" s="12">
        <f>[2]Icelandair!$IF$16</f>
        <v>3</v>
      </c>
      <c r="I28" s="12">
        <f>[2]KLM!$IF$16</f>
        <v>17</v>
      </c>
      <c r="J28" s="12">
        <f>[2]Jazz_AC!$IF$16</f>
        <v>5</v>
      </c>
      <c r="K28" s="12">
        <f>'[2]Sky Regional'!$IF$16</f>
        <v>0</v>
      </c>
      <c r="L28" s="12">
        <f>[2]Condor!$IF$16</f>
        <v>0</v>
      </c>
      <c r="M28" s="12">
        <f>'[2]Aer Lingus'!$IF$16</f>
        <v>0</v>
      </c>
      <c r="N28" s="12">
        <f>'[2]Air France'!$IF$16</f>
        <v>0</v>
      </c>
      <c r="O28" s="12">
        <f>[2]Frontier!$IF$16</f>
        <v>0</v>
      </c>
      <c r="P28" s="12">
        <f>'[2]Charter Misc'!$IF$16+[2]Ryan!$IF$16+[2]Omni!$IF$16</f>
        <v>0</v>
      </c>
      <c r="Q28" s="214">
        <f>SUM(B28:P28)</f>
        <v>834</v>
      </c>
    </row>
    <row r="29" spans="1:20" x14ac:dyDescent="0.2">
      <c r="A29" s="4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14"/>
    </row>
    <row r="30" spans="1:20" ht="15.75" thickBot="1" x14ac:dyDescent="0.3">
      <c r="A30" s="46" t="s">
        <v>28</v>
      </c>
      <c r="B30" s="301">
        <f t="shared" ref="B30:J30" si="21">SUM(B27:B28)</f>
        <v>1104</v>
      </c>
      <c r="C30" s="301">
        <f t="shared" si="21"/>
        <v>0</v>
      </c>
      <c r="D30" s="301">
        <f t="shared" si="21"/>
        <v>2</v>
      </c>
      <c r="E30" s="301">
        <f>SUM(E27:E28)</f>
        <v>161</v>
      </c>
      <c r="F30" s="301">
        <f>SUM(F27:F28)</f>
        <v>0</v>
      </c>
      <c r="G30" s="301">
        <f t="shared" si="21"/>
        <v>340</v>
      </c>
      <c r="H30" s="301">
        <f t="shared" si="21"/>
        <v>6</v>
      </c>
      <c r="I30" s="301">
        <f t="shared" ref="I30" si="22">SUM(I27:I28)</f>
        <v>34</v>
      </c>
      <c r="J30" s="301">
        <f t="shared" si="21"/>
        <v>81</v>
      </c>
      <c r="K30" s="301">
        <f t="shared" ref="K30" si="23">SUM(K27:K28)</f>
        <v>0</v>
      </c>
      <c r="L30" s="301">
        <f>SUM(L27:L28)</f>
        <v>0</v>
      </c>
      <c r="M30" s="301">
        <f>SUM(M27:M28)</f>
        <v>0</v>
      </c>
      <c r="N30" s="301">
        <f>SUM(N27:N28)</f>
        <v>0</v>
      </c>
      <c r="O30" s="301">
        <f t="shared" ref="O30" si="24">SUM(O27:O28)</f>
        <v>0</v>
      </c>
      <c r="P30" s="301">
        <f>SUM(P27:P28)</f>
        <v>1</v>
      </c>
      <c r="Q30" s="302">
        <f>SUM(B30:P30)</f>
        <v>1729</v>
      </c>
    </row>
    <row r="31" spans="1:20" ht="15" x14ac:dyDescent="0.25">
      <c r="A31" s="303"/>
    </row>
    <row r="32" spans="1:20" ht="39" thickBot="1" x14ac:dyDescent="0.25">
      <c r="B32" s="345" t="s">
        <v>18</v>
      </c>
      <c r="C32" s="344" t="s">
        <v>194</v>
      </c>
      <c r="D32" s="383" t="s">
        <v>157</v>
      </c>
      <c r="E32" s="344" t="s">
        <v>163</v>
      </c>
      <c r="F32" s="344" t="s">
        <v>162</v>
      </c>
      <c r="G32" s="344" t="s">
        <v>49</v>
      </c>
      <c r="H32" s="344" t="s">
        <v>113</v>
      </c>
      <c r="I32" s="344" t="s">
        <v>193</v>
      </c>
      <c r="J32" s="344" t="s">
        <v>250</v>
      </c>
      <c r="K32" s="344" t="s">
        <v>195</v>
      </c>
      <c r="L32" s="344" t="s">
        <v>161</v>
      </c>
      <c r="M32" s="344" t="s">
        <v>202</v>
      </c>
      <c r="N32" s="344" t="s">
        <v>156</v>
      </c>
      <c r="O32" s="344" t="s">
        <v>47</v>
      </c>
      <c r="P32" s="344" t="s">
        <v>139</v>
      </c>
      <c r="Q32" s="344" t="s">
        <v>21</v>
      </c>
    </row>
    <row r="33" spans="1:17" ht="15" x14ac:dyDescent="0.25">
      <c r="A33" s="491" t="s">
        <v>143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3"/>
    </row>
    <row r="34" spans="1:17" x14ac:dyDescent="0.2">
      <c r="A34" s="45" t="s">
        <v>22</v>
      </c>
      <c r="B34" s="12">
        <f>SUM([2]Delta!$IF$15:$IF$15)</f>
        <v>547</v>
      </c>
      <c r="C34" s="12">
        <f>SUM('[2]Atlantic Southeast'!$IF$15:$IF$15)</f>
        <v>0</v>
      </c>
      <c r="D34" s="12">
        <f>SUM([2]Pinnacle!$IF$15:$IF$15)</f>
        <v>1</v>
      </c>
      <c r="E34" s="12">
        <f>SUM('[2]Sky West'!$IF$15:$IF$15)</f>
        <v>80</v>
      </c>
      <c r="F34" s="12">
        <f>SUM('[2]Go Jet'!$IF$15:$IF$15)</f>
        <v>0</v>
      </c>
      <c r="G34" s="12">
        <f>SUM('[2]Sun Country'!$IF$15:$IF$15)</f>
        <v>170</v>
      </c>
      <c r="H34" s="12">
        <f>SUM([2]Icelandair!$IF$15:$IF$15)</f>
        <v>3</v>
      </c>
      <c r="I34" s="12">
        <f>SUM([2]KLM!$IF$15:$IF$15)</f>
        <v>17</v>
      </c>
      <c r="J34" s="12">
        <f>SUM([2]Jazz_AC!$IF$15:$IF$15)</f>
        <v>76</v>
      </c>
      <c r="K34" s="12">
        <f>SUM('[2]Sky Regional'!$IF$15:$IF$15)</f>
        <v>0</v>
      </c>
      <c r="L34" s="12">
        <f>SUM([2]Condor!$IF$15:$IF$15)</f>
        <v>0</v>
      </c>
      <c r="M34" s="12">
        <f>SUM('[2]Aer Lingus'!$IF$15:$IF$15)</f>
        <v>0</v>
      </c>
      <c r="N34" s="12">
        <f>SUM('[2]Air France'!$IF$15:$IF$15)</f>
        <v>0</v>
      </c>
      <c r="O34" s="12">
        <f>SUM([2]Frontier!$IF$15:$IF$15)</f>
        <v>0</v>
      </c>
      <c r="P34" s="12">
        <f>SUM('[2]Charter Misc'!$IF$15:$IF$15)+SUM([2]Ryan!$IF$15:$IF$15)+SUM([2]Omni!$IF$15:$IF$15)</f>
        <v>1</v>
      </c>
      <c r="Q34" s="214">
        <f>SUM(B34:P34)</f>
        <v>895</v>
      </c>
    </row>
    <row r="35" spans="1:17" x14ac:dyDescent="0.2">
      <c r="A35" s="45" t="s">
        <v>23</v>
      </c>
      <c r="B35" s="12">
        <f>SUM([2]Delta!$IF$16:$IF$16)</f>
        <v>557</v>
      </c>
      <c r="C35" s="12">
        <f>SUM('[2]Atlantic Southeast'!$IF$16:$IF$16)</f>
        <v>0</v>
      </c>
      <c r="D35" s="12">
        <f>SUM([2]Pinnacle!$IF$16:$IF$16)</f>
        <v>1</v>
      </c>
      <c r="E35" s="12">
        <f>SUM('[2]Sky West'!$IF$16:$IF$16)</f>
        <v>81</v>
      </c>
      <c r="F35" s="12">
        <f>SUM('[2]Go Jet'!$IF$16:$IF$16)</f>
        <v>0</v>
      </c>
      <c r="G35" s="12">
        <f>SUM('[2]Sun Country'!$IF$16:$IF$16)</f>
        <v>170</v>
      </c>
      <c r="H35" s="12">
        <f>SUM([2]Icelandair!$IF$16:$IF$16)</f>
        <v>3</v>
      </c>
      <c r="I35" s="12">
        <f>SUM([2]KLM!$IF$16:$IF$16)</f>
        <v>17</v>
      </c>
      <c r="J35" s="12">
        <f>SUM([2]Jazz_AC!$IF$16:$IF$16)</f>
        <v>5</v>
      </c>
      <c r="K35" s="12">
        <f>SUM('[2]Sky Regional'!$IF$16:$IF$16)</f>
        <v>0</v>
      </c>
      <c r="L35" s="12">
        <f>SUM([2]Condor!$IF$16:$IF$16)</f>
        <v>0</v>
      </c>
      <c r="M35" s="12">
        <f>SUM('[2]Aer Lingus'!$IF$16:$IF$16)</f>
        <v>0</v>
      </c>
      <c r="N35" s="12">
        <f>SUM('[2]Air France'!$IF$16:$IF$16)</f>
        <v>0</v>
      </c>
      <c r="O35" s="12">
        <f>SUM([2]Frontier!$IF$16:$IF$16)</f>
        <v>0</v>
      </c>
      <c r="P35" s="12">
        <f>SUM('[2]Charter Misc'!$IF$16:$IF$16)+SUM([2]Ryan!$IF$16:$IF$16)+SUM([2]Omni!$IF$16:$IF$16)</f>
        <v>0</v>
      </c>
      <c r="Q35" s="214">
        <f>SUM(B35:P35)</f>
        <v>834</v>
      </c>
    </row>
    <row r="36" spans="1:17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14"/>
    </row>
    <row r="37" spans="1:17" ht="15.75" thickBot="1" x14ac:dyDescent="0.3">
      <c r="A37" s="46" t="s">
        <v>28</v>
      </c>
      <c r="B37" s="301">
        <f t="shared" ref="B37:J37" si="25">+SUM(B34:B35)</f>
        <v>1104</v>
      </c>
      <c r="C37" s="301">
        <f t="shared" si="25"/>
        <v>0</v>
      </c>
      <c r="D37" s="301">
        <f t="shared" si="25"/>
        <v>2</v>
      </c>
      <c r="E37" s="301">
        <f>+SUM(E34:E35)</f>
        <v>161</v>
      </c>
      <c r="F37" s="301">
        <f>+SUM(F34:F35)</f>
        <v>0</v>
      </c>
      <c r="G37" s="301">
        <f t="shared" si="25"/>
        <v>340</v>
      </c>
      <c r="H37" s="301">
        <f t="shared" si="25"/>
        <v>6</v>
      </c>
      <c r="I37" s="301">
        <f t="shared" ref="I37" si="26">+SUM(I34:I35)</f>
        <v>34</v>
      </c>
      <c r="J37" s="301">
        <f t="shared" si="25"/>
        <v>81</v>
      </c>
      <c r="K37" s="301">
        <f t="shared" ref="K37" si="27">+SUM(K34:K35)</f>
        <v>0</v>
      </c>
      <c r="L37" s="301">
        <f>+SUM(L34:L35)</f>
        <v>0</v>
      </c>
      <c r="M37" s="301">
        <f>+SUM(M34:M35)</f>
        <v>0</v>
      </c>
      <c r="N37" s="301">
        <f>+SUM(N34:N35)</f>
        <v>0</v>
      </c>
      <c r="O37" s="301">
        <f t="shared" ref="O37" si="28">+SUM(O34:O35)</f>
        <v>0</v>
      </c>
      <c r="P37" s="301">
        <f>+SUM(P34:P35)</f>
        <v>1</v>
      </c>
      <c r="Q37" s="302">
        <f>SUM(B37:P37)</f>
        <v>1729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&amp;"Arial,Bold"January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ySplit="2" topLeftCell="A29" activePane="bottomLeft" state="frozen"/>
      <selection pane="bottomLeft" sqref="A1:R69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10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85546875" bestFit="1" customWidth="1"/>
    <col min="22" max="22" width="10" customWidth="1"/>
    <col min="23" max="25" width="9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2" t="s">
        <v>132</v>
      </c>
      <c r="B1" s="503"/>
      <c r="C1" s="433" t="s">
        <v>239</v>
      </c>
      <c r="D1" s="433" t="s">
        <v>231</v>
      </c>
      <c r="E1" s="432" t="s">
        <v>95</v>
      </c>
      <c r="F1" s="434" t="s">
        <v>240</v>
      </c>
      <c r="G1" s="433" t="s">
        <v>232</v>
      </c>
      <c r="H1" s="435" t="s">
        <v>96</v>
      </c>
      <c r="I1" s="432" t="s">
        <v>241</v>
      </c>
      <c r="J1" s="508" t="s">
        <v>136</v>
      </c>
      <c r="K1" s="509"/>
      <c r="L1" s="436" t="s">
        <v>242</v>
      </c>
      <c r="M1" s="436" t="s">
        <v>233</v>
      </c>
      <c r="N1" s="437" t="s">
        <v>96</v>
      </c>
      <c r="O1" s="438" t="s">
        <v>243</v>
      </c>
      <c r="P1" s="438" t="s">
        <v>234</v>
      </c>
      <c r="Q1" s="439" t="s">
        <v>96</v>
      </c>
      <c r="R1" s="440" t="s">
        <v>241</v>
      </c>
      <c r="S1" s="494" t="s">
        <v>216</v>
      </c>
      <c r="T1" s="495"/>
      <c r="U1" s="441" t="s">
        <v>242</v>
      </c>
      <c r="V1" s="441" t="s">
        <v>233</v>
      </c>
      <c r="W1" s="442" t="s">
        <v>96</v>
      </c>
      <c r="X1" s="443" t="s">
        <v>243</v>
      </c>
      <c r="Y1" s="443" t="s">
        <v>234</v>
      </c>
      <c r="Z1" s="444" t="s">
        <v>96</v>
      </c>
      <c r="AA1" s="445" t="s">
        <v>241</v>
      </c>
    </row>
    <row r="2" spans="1:27" s="9" customFormat="1" ht="13.5" customHeight="1" thickBot="1" x14ac:dyDescent="0.25">
      <c r="A2" s="504">
        <v>44927</v>
      </c>
      <c r="B2" s="505"/>
      <c r="C2" s="506" t="s">
        <v>9</v>
      </c>
      <c r="D2" s="507"/>
      <c r="E2" s="507"/>
      <c r="F2" s="507"/>
      <c r="G2" s="507"/>
      <c r="H2" s="507"/>
      <c r="I2" s="351"/>
      <c r="J2" s="504">
        <f>+A2</f>
        <v>44927</v>
      </c>
      <c r="K2" s="505"/>
      <c r="L2" s="499" t="s">
        <v>138</v>
      </c>
      <c r="M2" s="500"/>
      <c r="N2" s="500"/>
      <c r="O2" s="500"/>
      <c r="P2" s="500"/>
      <c r="Q2" s="500"/>
      <c r="R2" s="501"/>
      <c r="S2" s="477">
        <f>+J2</f>
        <v>44927</v>
      </c>
      <c r="T2" s="478"/>
      <c r="U2" s="496" t="s">
        <v>217</v>
      </c>
      <c r="V2" s="497"/>
      <c r="W2" s="497"/>
      <c r="X2" s="497"/>
      <c r="Y2" s="497"/>
      <c r="Z2" s="497"/>
      <c r="AA2" s="498"/>
    </row>
    <row r="3" spans="1:27" x14ac:dyDescent="0.2">
      <c r="A3" s="270"/>
      <c r="B3" s="271"/>
      <c r="C3" s="272"/>
      <c r="D3" s="273"/>
      <c r="E3" s="274"/>
      <c r="F3" s="329"/>
      <c r="G3" s="273"/>
      <c r="H3" s="367"/>
      <c r="I3" s="274"/>
      <c r="J3" s="275"/>
      <c r="K3" s="271"/>
      <c r="L3" s="282"/>
      <c r="N3" s="65"/>
      <c r="O3" s="270"/>
      <c r="P3" s="276"/>
      <c r="Q3" s="276"/>
      <c r="R3" s="271"/>
      <c r="S3" s="275"/>
      <c r="T3" s="271"/>
      <c r="U3" s="282"/>
      <c r="V3" s="2"/>
      <c r="W3" s="65"/>
      <c r="X3" s="270"/>
      <c r="Y3" s="276"/>
      <c r="Z3" s="276"/>
      <c r="AA3" s="271"/>
    </row>
    <row r="4" spans="1:27" x14ac:dyDescent="0.2">
      <c r="A4" s="277" t="s">
        <v>202</v>
      </c>
      <c r="B4" s="39"/>
      <c r="C4" s="278">
        <f>'[2]Aer Lingus'!$IF$19</f>
        <v>0</v>
      </c>
      <c r="D4" s="280">
        <f>'[2]Aer Lingus'!$HR$19</f>
        <v>0</v>
      </c>
      <c r="E4" s="281" t="e">
        <f>(C4-D4)/D4</f>
        <v>#DIV/0!</v>
      </c>
      <c r="F4" s="280">
        <f>SUM('[2]Aer Lingus'!$IF$19:$IF$19)</f>
        <v>0</v>
      </c>
      <c r="G4" s="280">
        <f>SUM('[2]Aer Lingus'!$HR$19:$HR$19)</f>
        <v>0</v>
      </c>
      <c r="H4" s="279" t="e">
        <f>(F4-G4)/G4</f>
        <v>#DIV/0!</v>
      </c>
      <c r="I4" s="281">
        <f>F4/$F$73</f>
        <v>0</v>
      </c>
      <c r="J4" s="277" t="s">
        <v>202</v>
      </c>
      <c r="K4" s="39"/>
      <c r="L4" s="278">
        <f>'[2]Aer Lingus'!$IF$41</f>
        <v>0</v>
      </c>
      <c r="M4" s="280">
        <f>'[2]Aer Lingus'!$HR$41</f>
        <v>0</v>
      </c>
      <c r="N4" s="281" t="e">
        <f>(L4-M4)/M4</f>
        <v>#DIV/0!</v>
      </c>
      <c r="O4" s="278">
        <f>SUM('[2]Aer Lingus'!$IF$41:$IF$41)</f>
        <v>0</v>
      </c>
      <c r="P4" s="280">
        <f>SUM('[2]Aer Lingus'!$HR$41:$HR$41)</f>
        <v>0</v>
      </c>
      <c r="Q4" s="279" t="e">
        <f>(O4-P4)/P4</f>
        <v>#DIV/0!</v>
      </c>
      <c r="R4" s="281">
        <f>O4/$O$73</f>
        <v>0</v>
      </c>
      <c r="S4" s="277" t="s">
        <v>202</v>
      </c>
      <c r="T4" s="39"/>
      <c r="U4" s="278">
        <f>'[2]Aer Lingus'!$IF$64</f>
        <v>0</v>
      </c>
      <c r="V4" s="280">
        <f>'[2]Aer Lingus'!$HR$64</f>
        <v>0</v>
      </c>
      <c r="W4" s="281" t="e">
        <f>(U4-V4)/V4</f>
        <v>#DIV/0!</v>
      </c>
      <c r="X4" s="278">
        <f>SUM('[2]Aer Lingus'!$IF$64:$IF$64)</f>
        <v>0</v>
      </c>
      <c r="Y4" s="280">
        <f>SUM('[2]Aer Lingus'!$HR$64:$HR$64)</f>
        <v>0</v>
      </c>
      <c r="Z4" s="279" t="e">
        <f>(X4-Y4)/Y4</f>
        <v>#DIV/0!</v>
      </c>
      <c r="AA4" s="281">
        <f>X4/$X$73</f>
        <v>0</v>
      </c>
    </row>
    <row r="5" spans="1:27" x14ac:dyDescent="0.2">
      <c r="A5" s="37"/>
      <c r="B5" s="39"/>
      <c r="C5" s="282"/>
      <c r="E5" s="65"/>
      <c r="F5" s="171"/>
      <c r="I5" s="65"/>
      <c r="J5" s="382"/>
      <c r="K5" s="39"/>
      <c r="L5" s="282"/>
      <c r="N5" s="65"/>
      <c r="O5" s="37"/>
      <c r="R5" s="39"/>
      <c r="S5" s="382"/>
      <c r="T5" s="39"/>
      <c r="U5" s="282"/>
      <c r="V5" s="2"/>
      <c r="W5" s="65"/>
      <c r="X5" s="37"/>
      <c r="AA5" s="39"/>
    </row>
    <row r="6" spans="1:27" ht="14.1" customHeight="1" x14ac:dyDescent="0.2">
      <c r="A6" s="277" t="s">
        <v>98</v>
      </c>
      <c r="B6" s="39"/>
      <c r="C6" s="278">
        <f>SUM(C7:C10)</f>
        <v>81</v>
      </c>
      <c r="D6" s="280">
        <f>SUM(D7:D10)</f>
        <v>54</v>
      </c>
      <c r="E6" s="281">
        <f>(C6-D6)/D6</f>
        <v>0.5</v>
      </c>
      <c r="F6" s="278">
        <f>SUM(F7:F10)</f>
        <v>81</v>
      </c>
      <c r="G6" s="280">
        <f>SUM(G7:G10)</f>
        <v>54</v>
      </c>
      <c r="H6" s="279">
        <f>(F6-G6)/G6</f>
        <v>0.5</v>
      </c>
      <c r="I6" s="281">
        <f>F6/$F$73</f>
        <v>3.6940757969626489E-3</v>
      </c>
      <c r="J6" s="277" t="s">
        <v>98</v>
      </c>
      <c r="K6" s="39"/>
      <c r="L6" s="278">
        <f>SUM(L7:L10)</f>
        <v>6713</v>
      </c>
      <c r="M6" s="280">
        <f>SUM(M7:M10)</f>
        <v>1712</v>
      </c>
      <c r="N6" s="281">
        <f>(L6-M6)/M6</f>
        <v>2.9211448598130842</v>
      </c>
      <c r="O6" s="278">
        <f>SUM(O7:O10)</f>
        <v>6713</v>
      </c>
      <c r="P6" s="280">
        <f>SUM(P7:P10)</f>
        <v>1712</v>
      </c>
      <c r="Q6" s="279">
        <f>(O6-P6)/P6</f>
        <v>2.9211448598130842</v>
      </c>
      <c r="R6" s="281">
        <f>O6/$O$73</f>
        <v>2.8949158068095424E-3</v>
      </c>
      <c r="S6" s="277" t="s">
        <v>98</v>
      </c>
      <c r="T6" s="39"/>
      <c r="U6" s="278">
        <f>SUM(U7:U10)</f>
        <v>2900</v>
      </c>
      <c r="V6" s="280">
        <f>SUM(V7:V10)</f>
        <v>0</v>
      </c>
      <c r="W6" s="281" t="e">
        <f>(U6-V6)/V6</f>
        <v>#DIV/0!</v>
      </c>
      <c r="X6" s="278">
        <f>SUM(X7:X10)</f>
        <v>2900</v>
      </c>
      <c r="Y6" s="280">
        <f>SUM(Y7:Y10)</f>
        <v>0</v>
      </c>
      <c r="Z6" s="279" t="e">
        <f>(X6-Y6)/Y6</f>
        <v>#DIV/0!</v>
      </c>
      <c r="AA6" s="281">
        <f>X6/$X$73</f>
        <v>4.1315567449373469E-4</v>
      </c>
    </row>
    <row r="7" spans="1:27" ht="14.1" customHeight="1" x14ac:dyDescent="0.2">
      <c r="A7" s="277"/>
      <c r="B7" s="337" t="s">
        <v>98</v>
      </c>
      <c r="C7" s="282">
        <f>+[2]AirCanada!$IF$19</f>
        <v>0</v>
      </c>
      <c r="D7" s="2">
        <f>+[2]AirCanada!$HR$19</f>
        <v>0</v>
      </c>
      <c r="E7" s="65" t="e">
        <f>(C7-D7)/D7</f>
        <v>#DIV/0!</v>
      </c>
      <c r="F7" s="226">
        <f>SUM([2]AirCanada!$IF$19:$IF$19)</f>
        <v>0</v>
      </c>
      <c r="G7" s="226">
        <f>SUM([2]AirCanada!$HR$19:$HR$19)</f>
        <v>0</v>
      </c>
      <c r="H7" s="342" t="e">
        <f>(F7-G7)/G7</f>
        <v>#DIV/0!</v>
      </c>
      <c r="I7" s="65">
        <f>F7/$F$73</f>
        <v>0</v>
      </c>
      <c r="J7" s="277"/>
      <c r="K7" s="337" t="s">
        <v>98</v>
      </c>
      <c r="L7" s="341">
        <f>+[2]AirCanada!$IF$41</f>
        <v>0</v>
      </c>
      <c r="M7" s="226">
        <f>+[2]AirCanada!$HR$41</f>
        <v>0</v>
      </c>
      <c r="N7" s="343" t="e">
        <f>(L7-M7)/M7</f>
        <v>#DIV/0!</v>
      </c>
      <c r="O7" s="341">
        <f>SUM([2]AirCanada!$IF$41:$IF$41)</f>
        <v>0</v>
      </c>
      <c r="P7" s="226">
        <f>SUM([2]AirCanada!$HR$41:$HR$41)</f>
        <v>0</v>
      </c>
      <c r="Q7" s="342" t="e">
        <f>(O7-P7)/P7</f>
        <v>#DIV/0!</v>
      </c>
      <c r="R7" s="343">
        <f>O7/$O$73</f>
        <v>0</v>
      </c>
      <c r="S7" s="277"/>
      <c r="T7" s="337" t="s">
        <v>98</v>
      </c>
      <c r="U7" s="341">
        <f>+[2]AirCanada!$IF$64</f>
        <v>0</v>
      </c>
      <c r="V7" s="226">
        <f>+[2]AirCanada!$HR$64</f>
        <v>0</v>
      </c>
      <c r="W7" s="343" t="e">
        <f>(U7-V7)/V7</f>
        <v>#DIV/0!</v>
      </c>
      <c r="X7" s="341">
        <f>SUM([2]AirCanada!$IF$64:$IF$64)</f>
        <v>0</v>
      </c>
      <c r="Y7" s="226">
        <f>SUM([2]AirCanada!$HR$64:$HR$64)</f>
        <v>0</v>
      </c>
      <c r="Z7" s="342" t="e">
        <f>(X7-Y7)/Y7</f>
        <v>#DIV/0!</v>
      </c>
      <c r="AA7" s="343">
        <f>X7/$X$73</f>
        <v>0</v>
      </c>
    </row>
    <row r="8" spans="1:27" ht="14.1" customHeight="1" x14ac:dyDescent="0.2">
      <c r="A8" s="277"/>
      <c r="B8" s="337" t="s">
        <v>164</v>
      </c>
      <c r="C8" s="282">
        <f>'[2]Air Georgian'!$IF$19</f>
        <v>0</v>
      </c>
      <c r="D8" s="2">
        <f>'[2]Air Georgian'!$HR$19</f>
        <v>0</v>
      </c>
      <c r="E8" s="65" t="e">
        <f>(C8-D8)/D8</f>
        <v>#DIV/0!</v>
      </c>
      <c r="F8" s="226">
        <f>SUM('[2]Air Georgian'!$IF$19:$IF$19)</f>
        <v>0</v>
      </c>
      <c r="G8" s="226">
        <f>SUM('[2]Air Georgian'!$HR$19:$HR$19)</f>
        <v>0</v>
      </c>
      <c r="H8" s="342" t="e">
        <f>(F8-G8)/G8</f>
        <v>#DIV/0!</v>
      </c>
      <c r="I8" s="65">
        <f>F8/$F$73</f>
        <v>0</v>
      </c>
      <c r="J8" s="277"/>
      <c r="K8" s="337" t="s">
        <v>164</v>
      </c>
      <c r="L8" s="282">
        <f>'[2]Air Georgian'!$IF$41</f>
        <v>0</v>
      </c>
      <c r="M8" s="2">
        <f>'[2]Air Georgian'!$HR$41</f>
        <v>0</v>
      </c>
      <c r="N8" s="65" t="e">
        <f>(L8-M8)/M8</f>
        <v>#DIV/0!</v>
      </c>
      <c r="O8" s="282">
        <f>SUM('[2]Air Georgian'!$IF$41:$IF$41)</f>
        <v>0</v>
      </c>
      <c r="P8" s="2">
        <f>SUM('[2]Air Georgian'!$HR$41:$HR$41)</f>
        <v>0</v>
      </c>
      <c r="Q8" s="3" t="e">
        <f>(O8-P8)/P8</f>
        <v>#DIV/0!</v>
      </c>
      <c r="R8" s="65">
        <f>O8/$O$73</f>
        <v>0</v>
      </c>
      <c r="S8" s="277"/>
      <c r="T8" s="337" t="s">
        <v>164</v>
      </c>
      <c r="U8" s="282">
        <f>'[2]Air Georgian'!$IF$64</f>
        <v>0</v>
      </c>
      <c r="V8" s="2">
        <f>'[2]Air Georgian'!$HR$64</f>
        <v>0</v>
      </c>
      <c r="W8" s="65" t="e">
        <f>(U8-V8)/V8</f>
        <v>#DIV/0!</v>
      </c>
      <c r="X8" s="282">
        <f>SUM('[2]Air Georgian'!$IF$64:$IF$64)</f>
        <v>0</v>
      </c>
      <c r="Y8" s="2">
        <f>SUM('[2]Air Georgian'!$HR$64:$HR$64)</f>
        <v>0</v>
      </c>
      <c r="Z8" s="3" t="e">
        <f>(X8-Y8)/Y8</f>
        <v>#DIV/0!</v>
      </c>
      <c r="AA8" s="65">
        <f>X8/$X$73</f>
        <v>0</v>
      </c>
    </row>
    <row r="9" spans="1:27" ht="14.1" customHeight="1" x14ac:dyDescent="0.2">
      <c r="A9" s="277"/>
      <c r="B9" s="337" t="s">
        <v>225</v>
      </c>
      <c r="C9" s="282">
        <f>[2]Jazz_AC!$IF$19</f>
        <v>81</v>
      </c>
      <c r="D9" s="2">
        <f>[2]Jazz_AC!$HR$19</f>
        <v>54</v>
      </c>
      <c r="E9" s="65">
        <f t="shared" ref="E9" si="0">(C9-D9)/D9</f>
        <v>0.5</v>
      </c>
      <c r="F9" s="2">
        <f>SUM([2]Jazz_AC!$IF$19:$IF$19)</f>
        <v>81</v>
      </c>
      <c r="G9" s="2">
        <f>SUM([2]Jazz_AC!$HR$19:$HR$19)</f>
        <v>54</v>
      </c>
      <c r="H9" s="3">
        <f t="shared" ref="H9" si="1">(F9-G9)/G9</f>
        <v>0.5</v>
      </c>
      <c r="I9" s="65">
        <f t="shared" ref="I9" si="2">F9/$F$73</f>
        <v>3.6940757969626489E-3</v>
      </c>
      <c r="J9" s="277"/>
      <c r="K9" s="337" t="s">
        <v>225</v>
      </c>
      <c r="L9" s="282">
        <f>[2]Jazz_AC!$IF$41</f>
        <v>6713</v>
      </c>
      <c r="M9" s="2">
        <f>[2]Jazz_AC!$HR$41</f>
        <v>1712</v>
      </c>
      <c r="N9" s="65">
        <f t="shared" ref="N9" si="3">(L9-M9)/M9</f>
        <v>2.9211448598130842</v>
      </c>
      <c r="O9" s="282">
        <f>SUM([2]Jazz_AC!$IF$41:$IF$41)</f>
        <v>6713</v>
      </c>
      <c r="P9" s="2">
        <f>SUM([2]Jazz_AC!$HR$41:$HR$41)</f>
        <v>1712</v>
      </c>
      <c r="Q9" s="3">
        <f t="shared" ref="Q9" si="4">(O9-P9)/P9</f>
        <v>2.9211448598130842</v>
      </c>
      <c r="R9" s="65">
        <f t="shared" ref="R9" si="5">O9/$O$73</f>
        <v>2.8949158068095424E-3</v>
      </c>
      <c r="S9" s="277"/>
      <c r="T9" s="337" t="s">
        <v>225</v>
      </c>
      <c r="U9" s="282">
        <f>[2]Jazz_AC!$IF$64</f>
        <v>2900</v>
      </c>
      <c r="V9" s="2">
        <f>[2]Jazz_AC!$HR$64</f>
        <v>0</v>
      </c>
      <c r="W9" s="65" t="e">
        <f t="shared" ref="W9" si="6">(U9-V9)/V9</f>
        <v>#DIV/0!</v>
      </c>
      <c r="X9" s="282">
        <f>SUM([2]Jazz_AC!$IF$64:$IF$64)</f>
        <v>2900</v>
      </c>
      <c r="Y9" s="2">
        <f>SUM([2]Jazz_AC!$HR$64:$HR$64)</f>
        <v>0</v>
      </c>
      <c r="Z9" s="3" t="e">
        <f t="shared" ref="Z9" si="7">(X9-Y9)/Y9</f>
        <v>#DIV/0!</v>
      </c>
      <c r="AA9" s="65">
        <f t="shared" ref="AA9" si="8">X9/$X$73</f>
        <v>4.1315567449373469E-4</v>
      </c>
    </row>
    <row r="10" spans="1:27" ht="14.1" customHeight="1" x14ac:dyDescent="0.2">
      <c r="A10" s="277"/>
      <c r="B10" s="337" t="s">
        <v>191</v>
      </c>
      <c r="C10" s="282">
        <f>'[2]Sky Regional'!$IF$19</f>
        <v>0</v>
      </c>
      <c r="D10" s="2">
        <f>'[2]Sky Regional'!$HR$19</f>
        <v>0</v>
      </c>
      <c r="E10" s="65" t="e">
        <f>(C10-D10)/D10</f>
        <v>#DIV/0!</v>
      </c>
      <c r="F10" s="226">
        <f>SUM('[2]Sky Regional'!$IF$19:$IF$19)</f>
        <v>0</v>
      </c>
      <c r="G10" s="226">
        <f>SUM('[2]Sky Regional'!$HR$19:$HR$19)</f>
        <v>0</v>
      </c>
      <c r="H10" s="342" t="e">
        <f>(F10-G10)/G10</f>
        <v>#DIV/0!</v>
      </c>
      <c r="I10" s="65">
        <f>F10/$F$73</f>
        <v>0</v>
      </c>
      <c r="J10" s="277"/>
      <c r="K10" s="337" t="s">
        <v>191</v>
      </c>
      <c r="L10" s="282">
        <f>'[2]Sky Regional'!$IF$41</f>
        <v>0</v>
      </c>
      <c r="M10" s="2">
        <f>'[2]Sky Regional'!$HR$41</f>
        <v>0</v>
      </c>
      <c r="N10" s="65" t="e">
        <f>(L10-M10)/M10</f>
        <v>#DIV/0!</v>
      </c>
      <c r="O10" s="282">
        <f>SUM('[2]Sky Regional'!$IF$41:$IF$41)</f>
        <v>0</v>
      </c>
      <c r="P10" s="2">
        <f>SUM('[2]Sky Regional'!$HR$41:$HR$41)</f>
        <v>0</v>
      </c>
      <c r="Q10" s="3" t="e">
        <f>(O10-P10)/P10</f>
        <v>#DIV/0!</v>
      </c>
      <c r="R10" s="65">
        <f>O10/$O$73</f>
        <v>0</v>
      </c>
      <c r="S10" s="277"/>
      <c r="T10" s="337" t="s">
        <v>191</v>
      </c>
      <c r="U10" s="282">
        <f>'[2]Sky Regional'!$IF$64</f>
        <v>0</v>
      </c>
      <c r="V10" s="2">
        <f>'[2]Sky Regional'!$HR$64</f>
        <v>0</v>
      </c>
      <c r="W10" s="65" t="e">
        <f>(U10-V10)/V10</f>
        <v>#DIV/0!</v>
      </c>
      <c r="X10" s="282">
        <f>SUM('[2]Sky Regional'!$IF$64:$IF$64)</f>
        <v>0</v>
      </c>
      <c r="Y10" s="2">
        <f>SUM('[2]Sky Regional'!$HR$64:$HR$64)</f>
        <v>0</v>
      </c>
      <c r="Z10" s="3" t="e">
        <f>(X10-Y10)/Y10</f>
        <v>#DIV/0!</v>
      </c>
      <c r="AA10" s="65">
        <f>X10/$X$73</f>
        <v>0</v>
      </c>
    </row>
    <row r="11" spans="1:27" ht="14.1" customHeight="1" x14ac:dyDescent="0.2">
      <c r="A11" s="277"/>
      <c r="B11" s="39"/>
      <c r="C11" s="278"/>
      <c r="D11" s="280"/>
      <c r="E11" s="281"/>
      <c r="F11" s="280"/>
      <c r="G11" s="280"/>
      <c r="H11" s="279"/>
      <c r="I11" s="281"/>
      <c r="J11" s="277"/>
      <c r="K11" s="39"/>
      <c r="L11" s="282"/>
      <c r="N11" s="65"/>
      <c r="O11" s="282"/>
      <c r="P11" s="2"/>
      <c r="Q11" s="3"/>
      <c r="R11" s="65"/>
      <c r="S11" s="277"/>
      <c r="T11" s="39"/>
      <c r="U11" s="282"/>
      <c r="V11" s="2"/>
      <c r="W11" s="65"/>
      <c r="X11" s="282"/>
      <c r="Y11" s="2"/>
      <c r="Z11" s="3"/>
      <c r="AA11" s="65"/>
    </row>
    <row r="12" spans="1:27" ht="14.1" customHeight="1" x14ac:dyDescent="0.2">
      <c r="A12" s="277" t="s">
        <v>178</v>
      </c>
      <c r="B12" s="39"/>
      <c r="C12" s="278">
        <f>'[2]Air Choice One'!$IF$19</f>
        <v>0</v>
      </c>
      <c r="D12" s="280">
        <f>'[2]Air Choice One'!$HR$19</f>
        <v>0</v>
      </c>
      <c r="E12" s="281" t="e">
        <f>(C12-D12)/D12</f>
        <v>#DIV/0!</v>
      </c>
      <c r="F12" s="280">
        <f>SUM('[2]Air Choice One'!$IF$19:$IF$19)</f>
        <v>0</v>
      </c>
      <c r="G12" s="280">
        <f>SUM('[2]Air Choice One'!$HR$19:$HR$19)</f>
        <v>0</v>
      </c>
      <c r="H12" s="279" t="e">
        <f>(F12-G12)/G12</f>
        <v>#DIV/0!</v>
      </c>
      <c r="I12" s="281">
        <f>F12/$F$73</f>
        <v>0</v>
      </c>
      <c r="J12" s="277" t="s">
        <v>178</v>
      </c>
      <c r="K12" s="39"/>
      <c r="L12" s="278">
        <f>'[2]Air Choice One'!$IF$41</f>
        <v>0</v>
      </c>
      <c r="M12" s="280">
        <f>'[2]Air Choice One'!$HR$41</f>
        <v>0</v>
      </c>
      <c r="N12" s="281" t="e">
        <f>(L12-M12)/M12</f>
        <v>#DIV/0!</v>
      </c>
      <c r="O12" s="278">
        <f>SUM('[2]Air Choice One'!$IF$41:$IF$41)</f>
        <v>0</v>
      </c>
      <c r="P12" s="280">
        <f>SUM('[2]Air Choice One'!$HR$41:$HR$41)</f>
        <v>0</v>
      </c>
      <c r="Q12" s="279" t="e">
        <f>(O12-P12)/P12</f>
        <v>#DIV/0!</v>
      </c>
      <c r="R12" s="281">
        <f>O12/$O$73</f>
        <v>0</v>
      </c>
      <c r="S12" s="277" t="s">
        <v>178</v>
      </c>
      <c r="T12" s="39"/>
      <c r="U12" s="278">
        <f>'[2]Air Choice One'!$IF$64</f>
        <v>0</v>
      </c>
      <c r="V12" s="280">
        <f>'[2]Air Choice One'!$HR$64</f>
        <v>0</v>
      </c>
      <c r="W12" s="281" t="e">
        <f>(U12-V12)/V12</f>
        <v>#DIV/0!</v>
      </c>
      <c r="X12" s="278">
        <f>SUM('[2]Air Choice One'!$IF$64:$IF$64)</f>
        <v>0</v>
      </c>
      <c r="Y12" s="280">
        <f>SUM('[2]Air Choice One'!$HR$64:$HR$64)</f>
        <v>0</v>
      </c>
      <c r="Z12" s="279" t="e">
        <f>(X12-Y12)/Y12</f>
        <v>#DIV/0!</v>
      </c>
      <c r="AA12" s="281">
        <f>X12/$X$73</f>
        <v>0</v>
      </c>
    </row>
    <row r="13" spans="1:27" ht="14.1" customHeight="1" x14ac:dyDescent="0.2">
      <c r="A13" s="277"/>
      <c r="B13" s="39"/>
      <c r="C13" s="278"/>
      <c r="D13" s="280"/>
      <c r="E13" s="281"/>
      <c r="F13" s="280"/>
      <c r="G13" s="280"/>
      <c r="H13" s="279"/>
      <c r="I13" s="281"/>
      <c r="J13" s="277"/>
      <c r="K13" s="39"/>
      <c r="L13" s="282"/>
      <c r="N13" s="65"/>
      <c r="O13" s="282"/>
      <c r="P13" s="2"/>
      <c r="Q13" s="3"/>
      <c r="R13" s="65"/>
      <c r="S13" s="277"/>
      <c r="T13" s="39"/>
      <c r="U13" s="282"/>
      <c r="V13" s="2"/>
      <c r="W13" s="65"/>
      <c r="X13" s="282"/>
      <c r="Y13" s="2"/>
      <c r="Z13" s="3"/>
      <c r="AA13" s="65"/>
    </row>
    <row r="14" spans="1:27" ht="14.1" customHeight="1" x14ac:dyDescent="0.2">
      <c r="A14" s="277" t="s">
        <v>156</v>
      </c>
      <c r="B14" s="39"/>
      <c r="C14" s="278">
        <f>'[2]Air France'!$IF$19</f>
        <v>0</v>
      </c>
      <c r="D14" s="280">
        <f>'[2]Air France'!$HR$19</f>
        <v>0</v>
      </c>
      <c r="E14" s="281" t="e">
        <f>(C14-D14)/D14</f>
        <v>#DIV/0!</v>
      </c>
      <c r="F14" s="280">
        <f>SUM('[2]Air France'!$IF$19:$IF$19)</f>
        <v>0</v>
      </c>
      <c r="G14" s="280">
        <f>SUM('[2]Air France'!$HR$19:$HR$19)</f>
        <v>0</v>
      </c>
      <c r="H14" s="279" t="e">
        <f>(F14-G14)/G14</f>
        <v>#DIV/0!</v>
      </c>
      <c r="I14" s="281">
        <f>F14/$F$73</f>
        <v>0</v>
      </c>
      <c r="J14" s="277" t="s">
        <v>156</v>
      </c>
      <c r="K14" s="39"/>
      <c r="L14" s="278">
        <f>'[2]Air France'!$IF$41</f>
        <v>0</v>
      </c>
      <c r="M14" s="280">
        <f>'[2]Air France'!$HR$41</f>
        <v>0</v>
      </c>
      <c r="N14" s="281" t="e">
        <f>(L14-M14)/M14</f>
        <v>#DIV/0!</v>
      </c>
      <c r="O14" s="278">
        <f>SUM('[2]Air France'!$IF$41:$IF$41)</f>
        <v>0</v>
      </c>
      <c r="P14" s="280">
        <f>SUM('[2]Air France'!$HR$41:$HR$41)</f>
        <v>0</v>
      </c>
      <c r="Q14" s="279" t="e">
        <f>(O14-P14)/P14</f>
        <v>#DIV/0!</v>
      </c>
      <c r="R14" s="281">
        <f>O14/$O$73</f>
        <v>0</v>
      </c>
      <c r="S14" s="277" t="s">
        <v>156</v>
      </c>
      <c r="T14" s="39"/>
      <c r="U14" s="278">
        <f>'[2]Air France'!$IF$64</f>
        <v>0</v>
      </c>
      <c r="V14" s="280">
        <f>'[2]Air France'!$HR$64</f>
        <v>0</v>
      </c>
      <c r="W14" s="281" t="e">
        <f>(U14-V14)/V14</f>
        <v>#DIV/0!</v>
      </c>
      <c r="X14" s="278">
        <f>SUM('[2]Air France'!$IF$64:$IF$64)</f>
        <v>0</v>
      </c>
      <c r="Y14" s="280">
        <f>SUM('[2]Air France'!$HR$64:$HR$64)</f>
        <v>0</v>
      </c>
      <c r="Z14" s="279" t="e">
        <f>(X14-Y14)/Y14</f>
        <v>#DIV/0!</v>
      </c>
      <c r="AA14" s="281">
        <f>X14/$X$73</f>
        <v>0</v>
      </c>
    </row>
    <row r="15" spans="1:27" ht="14.1" customHeight="1" x14ac:dyDescent="0.2">
      <c r="A15" s="277"/>
      <c r="B15" s="39"/>
      <c r="C15" s="278"/>
      <c r="D15" s="280"/>
      <c r="E15" s="281"/>
      <c r="F15" s="280"/>
      <c r="G15" s="280"/>
      <c r="H15" s="279"/>
      <c r="I15" s="281"/>
      <c r="J15" s="277"/>
      <c r="K15" s="39"/>
      <c r="L15" s="282"/>
      <c r="N15" s="65"/>
      <c r="O15" s="282"/>
      <c r="P15" s="2"/>
      <c r="Q15" s="3"/>
      <c r="R15" s="65"/>
      <c r="S15" s="277"/>
      <c r="T15" s="39"/>
      <c r="U15" s="282"/>
      <c r="V15" s="2"/>
      <c r="W15" s="65"/>
      <c r="X15" s="282"/>
      <c r="Y15" s="2"/>
      <c r="Z15" s="3"/>
      <c r="AA15" s="65"/>
    </row>
    <row r="16" spans="1:27" ht="14.1" customHeight="1" x14ac:dyDescent="0.2">
      <c r="A16" s="277" t="s">
        <v>226</v>
      </c>
      <c r="B16" s="39"/>
      <c r="C16" s="282">
        <f>'[2]Allegiant '!$IF$19</f>
        <v>74</v>
      </c>
      <c r="D16" s="2">
        <f>'[2]Allegiant '!$HR$19</f>
        <v>82</v>
      </c>
      <c r="E16" s="65">
        <f t="shared" ref="E16" si="9">(C16-D16)/D16</f>
        <v>-9.7560975609756101E-2</v>
      </c>
      <c r="F16" s="2">
        <f>SUM('[2]Allegiant '!$IF$19:$IF$19)</f>
        <v>74</v>
      </c>
      <c r="G16" s="2">
        <f>SUM('[2]Allegiant '!$HR$19:$HR$19)</f>
        <v>82</v>
      </c>
      <c r="H16" s="3">
        <f t="shared" ref="H16" si="10">(F16-G16)/G16</f>
        <v>-9.7560975609756101E-2</v>
      </c>
      <c r="I16" s="65">
        <f t="shared" ref="I16" si="11">F16/$F$73</f>
        <v>3.3748346787066176E-3</v>
      </c>
      <c r="J16" s="277" t="s">
        <v>226</v>
      </c>
      <c r="K16" s="39"/>
      <c r="L16" s="282">
        <f>'[2]Allegiant '!$IF$41</f>
        <v>11477</v>
      </c>
      <c r="M16" s="2">
        <f>'[2]Allegiant '!$HR$41</f>
        <v>8054</v>
      </c>
      <c r="N16" s="65">
        <f t="shared" ref="N16" si="12">(L16-M16)/M16</f>
        <v>0.42500620809535633</v>
      </c>
      <c r="O16" s="282">
        <f>SUM('[2]Allegiant '!$IF$41:$IF$41)</f>
        <v>11477</v>
      </c>
      <c r="P16" s="2">
        <f>SUM('[2]Allegiant '!$HR$41:$HR$41)</f>
        <v>8054</v>
      </c>
      <c r="Q16" s="3">
        <f t="shared" ref="Q16" si="13">(O16-P16)/P16</f>
        <v>0.42500620809535633</v>
      </c>
      <c r="R16" s="65">
        <f t="shared" ref="R16" si="14">O16/$O$73</f>
        <v>4.9493443638839738E-3</v>
      </c>
      <c r="S16" s="277" t="s">
        <v>226</v>
      </c>
      <c r="T16" s="39"/>
      <c r="U16" s="282">
        <f>'[2]Allegiant '!$IF$64</f>
        <v>0</v>
      </c>
      <c r="V16" s="2">
        <f>'[2]Allegiant '!$HR$64</f>
        <v>0</v>
      </c>
      <c r="W16" s="65" t="e">
        <f t="shared" ref="W16" si="15">(U16-V16)/V16</f>
        <v>#DIV/0!</v>
      </c>
      <c r="X16" s="282">
        <f>SUM('[2]Allegiant '!$IF$64:$IF$64)</f>
        <v>0</v>
      </c>
      <c r="Y16" s="2">
        <f>SUM('[2]Allegiant '!$HR$64:$HR$64)</f>
        <v>0</v>
      </c>
      <c r="Z16" s="3" t="e">
        <f t="shared" ref="Z16" si="16">(X16-Y16)/Y16</f>
        <v>#DIV/0!</v>
      </c>
      <c r="AA16" s="65">
        <f t="shared" ref="AA16" si="17">X16/$X$73</f>
        <v>0</v>
      </c>
    </row>
    <row r="17" spans="1:27" ht="14.1" customHeight="1" x14ac:dyDescent="0.2">
      <c r="A17" s="277"/>
      <c r="B17" s="39"/>
      <c r="C17" s="278"/>
      <c r="D17" s="280"/>
      <c r="E17" s="281"/>
      <c r="F17" s="280"/>
      <c r="G17" s="280"/>
      <c r="H17" s="279"/>
      <c r="I17" s="281"/>
      <c r="J17" s="277"/>
      <c r="K17" s="39"/>
      <c r="L17" s="282"/>
      <c r="N17" s="65"/>
      <c r="O17" s="282"/>
      <c r="P17" s="2"/>
      <c r="Q17" s="3"/>
      <c r="R17" s="65"/>
      <c r="S17" s="277"/>
      <c r="T17" s="39"/>
      <c r="U17" s="282"/>
      <c r="V17" s="2"/>
      <c r="W17" s="65"/>
      <c r="X17" s="282"/>
      <c r="Y17" s="2"/>
      <c r="Z17" s="3"/>
      <c r="AA17" s="65"/>
    </row>
    <row r="18" spans="1:27" ht="14.1" customHeight="1" x14ac:dyDescent="0.2">
      <c r="A18" s="277" t="s">
        <v>128</v>
      </c>
      <c r="B18" s="39"/>
      <c r="C18" s="278">
        <f>SUM(C19:C21)</f>
        <v>98</v>
      </c>
      <c r="D18" s="280">
        <f>SUM(D19:D21)</f>
        <v>130</v>
      </c>
      <c r="E18" s="281">
        <f>(C18-D18)/D18</f>
        <v>-0.24615384615384617</v>
      </c>
      <c r="F18" s="280">
        <f>SUM(F19:F21)</f>
        <v>98</v>
      </c>
      <c r="G18" s="280">
        <f>SUM(G19:G21)</f>
        <v>130</v>
      </c>
      <c r="H18" s="279">
        <f>(F18-G18)/G18</f>
        <v>-0.24615384615384617</v>
      </c>
      <c r="I18" s="281">
        <f>F18/$F$73</f>
        <v>4.4693756555844394E-3</v>
      </c>
      <c r="J18" s="277" t="s">
        <v>128</v>
      </c>
      <c r="K18" s="39"/>
      <c r="L18" s="278">
        <f>SUM(L19:L21)</f>
        <v>12852</v>
      </c>
      <c r="M18" s="280">
        <f>SUM(M19:M21)</f>
        <v>10709</v>
      </c>
      <c r="N18" s="281">
        <f>(L18-M18)/M18</f>
        <v>0.20011205528060511</v>
      </c>
      <c r="O18" s="278">
        <f>SUM(O19:O21)</f>
        <v>12852</v>
      </c>
      <c r="P18" s="280">
        <f>SUM(P19:P21)</f>
        <v>10709</v>
      </c>
      <c r="Q18" s="279">
        <f>(O18-P18)/P18</f>
        <v>0.20011205528060511</v>
      </c>
      <c r="R18" s="281">
        <f>O18/$O$73</f>
        <v>5.5422997093871945E-3</v>
      </c>
      <c r="S18" s="277" t="s">
        <v>128</v>
      </c>
      <c r="T18" s="39"/>
      <c r="U18" s="278">
        <f>SUM(U19:U21)</f>
        <v>18689</v>
      </c>
      <c r="V18" s="280">
        <f>SUM(V19:V21)</f>
        <v>14179</v>
      </c>
      <c r="W18" s="281">
        <f>(U18-V18)/V18</f>
        <v>0.31807602792862683</v>
      </c>
      <c r="X18" s="278">
        <f>SUM(X19:X21)</f>
        <v>18689</v>
      </c>
      <c r="Y18" s="280">
        <f>SUM(Y19:Y21)</f>
        <v>14179</v>
      </c>
      <c r="Z18" s="279">
        <f>(X18-Y18)/Y18</f>
        <v>0.31807602792862683</v>
      </c>
      <c r="AA18" s="281">
        <f>X18/$X$73</f>
        <v>2.6625746209011751E-3</v>
      </c>
    </row>
    <row r="19" spans="1:27" ht="14.1" customHeight="1" x14ac:dyDescent="0.2">
      <c r="A19" s="277"/>
      <c r="B19" s="337" t="s">
        <v>128</v>
      </c>
      <c r="C19" s="341">
        <f>[2]Alaska!$IF$19</f>
        <v>98</v>
      </c>
      <c r="D19" s="226">
        <f>[2]Alaska!$HR$19</f>
        <v>72</v>
      </c>
      <c r="E19" s="343">
        <f>(C19-D19)/D19</f>
        <v>0.3611111111111111</v>
      </c>
      <c r="F19" s="226">
        <f>SUM([2]Alaska!$IF$19:$IF$19)</f>
        <v>98</v>
      </c>
      <c r="G19" s="226">
        <f>SUM([2]Alaska!$HR$19:$HR$19)</f>
        <v>72</v>
      </c>
      <c r="H19" s="342">
        <f>(F19-G19)/G19</f>
        <v>0.3611111111111111</v>
      </c>
      <c r="I19" s="343">
        <f>F19/$F$73</f>
        <v>4.4693756555844394E-3</v>
      </c>
      <c r="J19" s="277"/>
      <c r="K19" s="337" t="s">
        <v>128</v>
      </c>
      <c r="L19" s="341">
        <f>[2]Alaska!$IF$41</f>
        <v>12852</v>
      </c>
      <c r="M19" s="226">
        <f>[2]Alaska!$HR$41</f>
        <v>7669</v>
      </c>
      <c r="N19" s="343">
        <f>(L19-M19)/M19</f>
        <v>0.67583778849915244</v>
      </c>
      <c r="O19" s="341">
        <f>SUM([2]Alaska!$IF$41:$IF$41)</f>
        <v>12852</v>
      </c>
      <c r="P19" s="226">
        <f>SUM([2]Alaska!$HR$41:$HR$41)</f>
        <v>7669</v>
      </c>
      <c r="Q19" s="342">
        <f>(O19-P19)/P19</f>
        <v>0.67583778849915244</v>
      </c>
      <c r="R19" s="343">
        <f>O19/$O$73</f>
        <v>5.5422997093871945E-3</v>
      </c>
      <c r="S19" s="277"/>
      <c r="T19" s="337" t="s">
        <v>128</v>
      </c>
      <c r="U19" s="341">
        <f>[2]Alaska!$IF$64</f>
        <v>18689</v>
      </c>
      <c r="V19" s="226">
        <f>[2]Alaska!$HR$64</f>
        <v>8706</v>
      </c>
      <c r="W19" s="343">
        <f>(U19-V19)/V19</f>
        <v>1.1466804502641856</v>
      </c>
      <c r="X19" s="341">
        <f>SUM([2]Alaska!$IF$64:$IF$64)</f>
        <v>18689</v>
      </c>
      <c r="Y19" s="226">
        <f>SUM([2]Alaska!$HR$64:$HR$64)</f>
        <v>8706</v>
      </c>
      <c r="Z19" s="342">
        <f>(X19-Y19)/Y19</f>
        <v>1.1466804502641856</v>
      </c>
      <c r="AA19" s="343">
        <f>X19/$X$73</f>
        <v>2.6625746209011751E-3</v>
      </c>
    </row>
    <row r="20" spans="1:27" ht="14.1" customHeight="1" x14ac:dyDescent="0.2">
      <c r="A20" s="277"/>
      <c r="B20" s="337" t="s">
        <v>97</v>
      </c>
      <c r="C20" s="282">
        <f>'[2]Sky West_AS'!$IF$19</f>
        <v>0</v>
      </c>
      <c r="D20" s="2">
        <f>'[2]Sky West_AS'!$HR$19</f>
        <v>54</v>
      </c>
      <c r="E20" s="65">
        <f>(C20-D20)/D20</f>
        <v>-1</v>
      </c>
      <c r="F20" s="2">
        <f>SUM('[2]Sky West_AS'!$IF$19:$IF$19)</f>
        <v>0</v>
      </c>
      <c r="G20" s="2">
        <f>SUM('[2]Sky West_AS'!$HR$19:$HR$19)</f>
        <v>54</v>
      </c>
      <c r="H20" s="3">
        <f>(F20-G20)/G20</f>
        <v>-1</v>
      </c>
      <c r="I20" s="65">
        <f>F20/$F$73</f>
        <v>0</v>
      </c>
      <c r="J20" s="277"/>
      <c r="K20" s="337" t="s">
        <v>97</v>
      </c>
      <c r="L20" s="282">
        <f>'[2]Sky West_AS'!$IF$41</f>
        <v>0</v>
      </c>
      <c r="M20" s="2">
        <f>'[2]Sky West_AS'!$HR$41</f>
        <v>2767</v>
      </c>
      <c r="N20" s="65">
        <f>(L20-M20)/M20</f>
        <v>-1</v>
      </c>
      <c r="O20" s="282">
        <f>SUM('[2]Sky West_AS'!$IF$41:$IF$41)</f>
        <v>0</v>
      </c>
      <c r="P20" s="2">
        <f>SUM('[2]Sky West_AS'!$HR$41:$HR$41)</f>
        <v>2767</v>
      </c>
      <c r="Q20" s="3">
        <f>(O20-P20)/P20</f>
        <v>-1</v>
      </c>
      <c r="R20" s="343">
        <f>O20/$O$73</f>
        <v>0</v>
      </c>
      <c r="S20" s="277"/>
      <c r="T20" s="337" t="s">
        <v>97</v>
      </c>
      <c r="U20" s="282">
        <f>'[2]Sky West_AS'!$IF$64</f>
        <v>0</v>
      </c>
      <c r="V20" s="2">
        <f>'[2]Sky West_AS'!$HR$64</f>
        <v>4924</v>
      </c>
      <c r="W20" s="65">
        <f>(U20-V20)/V20</f>
        <v>-1</v>
      </c>
      <c r="X20" s="282">
        <f>SUM('[2]Sky West_AS'!$IF$64:$IF$64)</f>
        <v>0</v>
      </c>
      <c r="Y20" s="2">
        <f>SUM('[2]Sky West_AS'!$HR$64:$HR$64)</f>
        <v>4924</v>
      </c>
      <c r="Z20" s="3">
        <f>(X20-Y20)/Y20</f>
        <v>-1</v>
      </c>
      <c r="AA20" s="343">
        <f>X20/$X$73</f>
        <v>0</v>
      </c>
    </row>
    <row r="21" spans="1:27" ht="14.1" customHeight="1" x14ac:dyDescent="0.2">
      <c r="A21" s="277"/>
      <c r="B21" s="337" t="s">
        <v>192</v>
      </c>
      <c r="C21" s="282">
        <f>[2]Horizon_AS!$IF$19</f>
        <v>0</v>
      </c>
      <c r="D21" s="2">
        <f>[2]Horizon_AS!$HR$19</f>
        <v>4</v>
      </c>
      <c r="E21" s="65">
        <f>(C21-D21)/D21</f>
        <v>-1</v>
      </c>
      <c r="F21" s="2">
        <f>SUM([2]Horizon_AS!$IF$19:$IF$19)</f>
        <v>0</v>
      </c>
      <c r="G21" s="2">
        <f>SUM([2]Horizon_AS!$HR$19:$HR$19)</f>
        <v>4</v>
      </c>
      <c r="H21" s="3">
        <f>(F21-G21)/G21</f>
        <v>-1</v>
      </c>
      <c r="I21" s="65">
        <f>F21/$F$73</f>
        <v>0</v>
      </c>
      <c r="J21" s="277"/>
      <c r="K21" s="337" t="s">
        <v>192</v>
      </c>
      <c r="L21" s="282">
        <f>[2]Horizon_AS!$IF$41</f>
        <v>0</v>
      </c>
      <c r="M21" s="2">
        <f>[2]Horizon_AS!$HR$41</f>
        <v>273</v>
      </c>
      <c r="N21" s="65">
        <f>(L21-M21)/M21</f>
        <v>-1</v>
      </c>
      <c r="O21" s="282">
        <f>SUM([2]Horizon_AS!$IF$41:$IF$41)</f>
        <v>0</v>
      </c>
      <c r="P21" s="2">
        <f>SUM([2]Horizon_AS!$HR$41:$HR$41)</f>
        <v>273</v>
      </c>
      <c r="Q21" s="3">
        <f>(O21-P21)/P21</f>
        <v>-1</v>
      </c>
      <c r="R21" s="343">
        <f>O21/$O$73</f>
        <v>0</v>
      </c>
      <c r="S21" s="277"/>
      <c r="T21" s="337" t="s">
        <v>192</v>
      </c>
      <c r="U21" s="282">
        <f>[2]Horizon_AS!$IF$64</f>
        <v>0</v>
      </c>
      <c r="V21" s="2">
        <f>[2]Horizon_AS!$HR$64</f>
        <v>549</v>
      </c>
      <c r="W21" s="65">
        <f>(U21-V21)/V21</f>
        <v>-1</v>
      </c>
      <c r="X21" s="282">
        <f>SUM([2]Horizon_AS!$IF$64:$IF$64)</f>
        <v>0</v>
      </c>
      <c r="Y21" s="2">
        <f>SUM([2]Horizon_AS!$HR$64:$HR$64)</f>
        <v>549</v>
      </c>
      <c r="Z21" s="3">
        <f>(X21-Y21)/Y21</f>
        <v>-1</v>
      </c>
      <c r="AA21" s="343">
        <f>X21/$X$73</f>
        <v>0</v>
      </c>
    </row>
    <row r="22" spans="1:27" ht="14.1" customHeight="1" x14ac:dyDescent="0.2">
      <c r="A22" s="277"/>
      <c r="B22" s="39"/>
      <c r="C22" s="278"/>
      <c r="D22" s="283"/>
      <c r="E22" s="281"/>
      <c r="F22" s="283"/>
      <c r="G22" s="283"/>
      <c r="H22" s="279"/>
      <c r="I22" s="281"/>
      <c r="J22" s="277"/>
      <c r="K22" s="39"/>
      <c r="L22" s="139"/>
      <c r="M22" s="95"/>
      <c r="N22" s="65"/>
      <c r="O22" s="139"/>
      <c r="P22" s="95"/>
      <c r="Q22" s="3"/>
      <c r="R22" s="65"/>
      <c r="S22" s="277"/>
      <c r="T22" s="39"/>
      <c r="U22" s="139"/>
      <c r="V22" s="95"/>
      <c r="W22" s="65"/>
      <c r="X22" s="139"/>
      <c r="Y22" s="95"/>
      <c r="Z22" s="3"/>
      <c r="AA22" s="65"/>
    </row>
    <row r="23" spans="1:27" ht="14.1" customHeight="1" x14ac:dyDescent="0.2">
      <c r="A23" s="277" t="s">
        <v>17</v>
      </c>
      <c r="B23" s="284"/>
      <c r="C23" s="278">
        <f>SUM(C24:C30)</f>
        <v>998</v>
      </c>
      <c r="D23" s="280">
        <f>SUM(D24:D30)</f>
        <v>987</v>
      </c>
      <c r="E23" s="281">
        <f t="shared" ref="E23:E30" si="18">(C23-D23)/D23</f>
        <v>1.1144883485309016E-2</v>
      </c>
      <c r="F23" s="278">
        <f>SUM(F24:F30)</f>
        <v>998</v>
      </c>
      <c r="G23" s="280">
        <f>SUM(G24:G30)</f>
        <v>987</v>
      </c>
      <c r="H23" s="279">
        <f t="shared" ref="H23:H30" si="19">(F23-G23)/G23</f>
        <v>1.1144883485309016E-2</v>
      </c>
      <c r="I23" s="281">
        <f t="shared" ref="I23:I30" si="20">F23/$F$73</f>
        <v>4.5514662288502761E-2</v>
      </c>
      <c r="J23" s="277" t="s">
        <v>17</v>
      </c>
      <c r="K23" s="284"/>
      <c r="L23" s="278">
        <f>SUM(L24:L30)</f>
        <v>105143</v>
      </c>
      <c r="M23" s="280">
        <f>SUM(M24:M30)</f>
        <v>87849</v>
      </c>
      <c r="N23" s="281">
        <f t="shared" ref="N23:N30" si="21">(L23-M23)/M23</f>
        <v>0.19686052203212331</v>
      </c>
      <c r="O23" s="278">
        <f>SUM(O24:O30)</f>
        <v>105143</v>
      </c>
      <c r="P23" s="280">
        <f>SUM(P24:P30)</f>
        <v>87849</v>
      </c>
      <c r="Q23" s="279">
        <f t="shared" ref="Q23:Q30" si="22">(O23-P23)/P23</f>
        <v>0.19686052203212331</v>
      </c>
      <c r="R23" s="281">
        <f t="shared" ref="R23:R30" si="23">O23/$O$73</f>
        <v>4.5341893739814641E-2</v>
      </c>
      <c r="S23" s="277" t="s">
        <v>17</v>
      </c>
      <c r="T23" s="284"/>
      <c r="U23" s="278">
        <f>SUM(U24:U30)</f>
        <v>60908</v>
      </c>
      <c r="V23" s="280">
        <f>SUM(V24:V30)</f>
        <v>178561</v>
      </c>
      <c r="W23" s="281">
        <f t="shared" ref="W23:W27" si="24">(U23-V23)/V23</f>
        <v>-0.65889527948432192</v>
      </c>
      <c r="X23" s="278">
        <f>SUM(X24:X30)</f>
        <v>60908</v>
      </c>
      <c r="Y23" s="280">
        <f>SUM(Y24:Y30)</f>
        <v>178561</v>
      </c>
      <c r="Z23" s="279">
        <f t="shared" ref="Z23:Z27" si="25">(X23-Y23)/Y23</f>
        <v>-0.65889527948432192</v>
      </c>
      <c r="AA23" s="281">
        <f t="shared" ref="AA23:AA30" si="26">X23/$X$73</f>
        <v>8.677408904160135E-3</v>
      </c>
    </row>
    <row r="24" spans="1:27" ht="14.1" customHeight="1" x14ac:dyDescent="0.2">
      <c r="A24" s="37"/>
      <c r="B24" s="39" t="s">
        <v>17</v>
      </c>
      <c r="C24" s="282">
        <f>[2]American!$IF$19</f>
        <v>619</v>
      </c>
      <c r="D24" s="2">
        <f>[2]American!$HR$19</f>
        <v>561</v>
      </c>
      <c r="E24" s="65">
        <f t="shared" si="18"/>
        <v>0.10338680926916222</v>
      </c>
      <c r="F24" s="2">
        <f>SUM([2]American!$IF$19:$IF$19)</f>
        <v>619</v>
      </c>
      <c r="G24" s="2">
        <f>SUM([2]American!$HR$19:$HR$19)</f>
        <v>561</v>
      </c>
      <c r="H24" s="3">
        <f t="shared" si="19"/>
        <v>0.10338680926916222</v>
      </c>
      <c r="I24" s="65">
        <f t="shared" si="20"/>
        <v>2.8230036028640489E-2</v>
      </c>
      <c r="J24" s="37"/>
      <c r="K24" s="39" t="s">
        <v>17</v>
      </c>
      <c r="L24" s="282">
        <f>[2]American!$IF$41</f>
        <v>87452</v>
      </c>
      <c r="M24" s="2">
        <f>[2]American!$HR$41</f>
        <v>71394</v>
      </c>
      <c r="N24" s="65">
        <f t="shared" si="21"/>
        <v>0.22492086169706138</v>
      </c>
      <c r="O24" s="282">
        <f>SUM([2]American!$IF$41:$IF$41)</f>
        <v>87452</v>
      </c>
      <c r="P24" s="2">
        <f>SUM([2]American!$HR$41:$HR$41)</f>
        <v>71394</v>
      </c>
      <c r="Q24" s="3">
        <f t="shared" si="22"/>
        <v>0.22492086169706138</v>
      </c>
      <c r="R24" s="65">
        <f t="shared" si="23"/>
        <v>3.771282245450739E-2</v>
      </c>
      <c r="S24" s="37"/>
      <c r="T24" s="39" t="s">
        <v>17</v>
      </c>
      <c r="U24" s="282">
        <f>[2]American!$IF$64</f>
        <v>57420</v>
      </c>
      <c r="V24" s="2">
        <f>[2]American!$HR$64</f>
        <v>177370</v>
      </c>
      <c r="W24" s="65">
        <f t="shared" si="24"/>
        <v>-0.67626994418447317</v>
      </c>
      <c r="X24" s="282">
        <f>SUM([2]American!$IF$64:$IF$64)</f>
        <v>57420</v>
      </c>
      <c r="Y24" s="2">
        <f>SUM([2]American!$HR$64:$HR$64)</f>
        <v>177370</v>
      </c>
      <c r="Z24" s="3">
        <f t="shared" si="25"/>
        <v>-0.67626994418447317</v>
      </c>
      <c r="AA24" s="65">
        <f t="shared" si="26"/>
        <v>8.1804823549759473E-3</v>
      </c>
    </row>
    <row r="25" spans="1:27" ht="14.1" customHeight="1" x14ac:dyDescent="0.2">
      <c r="A25" s="37"/>
      <c r="B25" s="337" t="s">
        <v>165</v>
      </c>
      <c r="C25" s="282">
        <f>'[2]American Eagle'!$IF$19</f>
        <v>109</v>
      </c>
      <c r="D25" s="2">
        <f>'[2]American Eagle'!$HR$19</f>
        <v>66</v>
      </c>
      <c r="E25" s="65">
        <f t="shared" si="18"/>
        <v>0.65151515151515149</v>
      </c>
      <c r="F25" s="2">
        <f>SUM('[2]American Eagle'!$IF$19:$IF$19)</f>
        <v>109</v>
      </c>
      <c r="G25" s="2">
        <f>SUM('[2]American Eagle'!$HR$19:$HR$19)</f>
        <v>66</v>
      </c>
      <c r="H25" s="3">
        <f t="shared" si="19"/>
        <v>0.65151515151515149</v>
      </c>
      <c r="I25" s="65">
        <f t="shared" si="20"/>
        <v>4.9710402699867746E-3</v>
      </c>
      <c r="J25" s="37"/>
      <c r="K25" s="337" t="s">
        <v>165</v>
      </c>
      <c r="L25" s="282">
        <f>'[2]American Eagle'!$IF$41</f>
        <v>5174</v>
      </c>
      <c r="M25" s="2">
        <f>'[2]American Eagle'!$HR$41</f>
        <v>2289</v>
      </c>
      <c r="N25" s="65">
        <f t="shared" si="21"/>
        <v>1.2603757099169943</v>
      </c>
      <c r="O25" s="282">
        <f>SUM('[2]American Eagle'!$IF$41:$IF$41)</f>
        <v>5174</v>
      </c>
      <c r="P25" s="2">
        <f>SUM('[2]American Eagle'!$HR$41:$HR$41)</f>
        <v>2289</v>
      </c>
      <c r="Q25" s="3">
        <f t="shared" si="22"/>
        <v>1.2603757099169943</v>
      </c>
      <c r="R25" s="65">
        <f t="shared" si="23"/>
        <v>2.2312370600972103E-3</v>
      </c>
      <c r="S25" s="37"/>
      <c r="T25" s="337" t="s">
        <v>165</v>
      </c>
      <c r="U25" s="282">
        <f>'[2]American Eagle'!$IF$64</f>
        <v>2228</v>
      </c>
      <c r="V25" s="2">
        <f>'[2]American Eagle'!$HR$64</f>
        <v>650</v>
      </c>
      <c r="W25" s="65">
        <f t="shared" si="24"/>
        <v>2.4276923076923076</v>
      </c>
      <c r="X25" s="282">
        <f>SUM('[2]American Eagle'!$IF$64:$IF$64)</f>
        <v>2228</v>
      </c>
      <c r="Y25" s="2">
        <f>SUM('[2]American Eagle'!$HR$64:$HR$64)</f>
        <v>650</v>
      </c>
      <c r="Z25" s="3">
        <f t="shared" si="25"/>
        <v>2.4276923076923076</v>
      </c>
      <c r="AA25" s="65">
        <f t="shared" si="26"/>
        <v>3.1741753199035895E-4</v>
      </c>
    </row>
    <row r="26" spans="1:27" ht="14.1" customHeight="1" x14ac:dyDescent="0.2">
      <c r="A26" s="37"/>
      <c r="B26" s="337" t="s">
        <v>52</v>
      </c>
      <c r="C26" s="282">
        <f>[2]Republic!$IF$19</f>
        <v>158</v>
      </c>
      <c r="D26" s="2">
        <f>[2]Republic!$HR$19</f>
        <v>170</v>
      </c>
      <c r="E26" s="65">
        <f t="shared" si="18"/>
        <v>-7.0588235294117646E-2</v>
      </c>
      <c r="F26" s="2">
        <f>SUM([2]Republic!$IF$19:$IF$19)</f>
        <v>158</v>
      </c>
      <c r="G26" s="2">
        <f>SUM([2]Republic!$HR$19:$HR$19)</f>
        <v>170</v>
      </c>
      <c r="H26" s="3">
        <f t="shared" si="19"/>
        <v>-7.0588235294117646E-2</v>
      </c>
      <c r="I26" s="65">
        <f t="shared" si="20"/>
        <v>7.2057280977789939E-3</v>
      </c>
      <c r="J26" s="37"/>
      <c r="K26" s="285" t="s">
        <v>52</v>
      </c>
      <c r="L26" s="282">
        <f>[2]Republic!$IF$41</f>
        <v>7492</v>
      </c>
      <c r="M26" s="2">
        <f>[2]Republic!$HR$41</f>
        <v>5118</v>
      </c>
      <c r="N26" s="65">
        <f t="shared" si="21"/>
        <v>0.46385306760453304</v>
      </c>
      <c r="O26" s="282">
        <f>SUM([2]Republic!$IF$41:$IF$41)</f>
        <v>7492</v>
      </c>
      <c r="P26" s="2">
        <f>SUM([2]Republic!$HR$41:$HR$41)</f>
        <v>5118</v>
      </c>
      <c r="Q26" s="3">
        <f t="shared" si="22"/>
        <v>0.46385306760453304</v>
      </c>
      <c r="R26" s="65">
        <f t="shared" si="23"/>
        <v>3.2308519625528216E-3</v>
      </c>
      <c r="S26" s="37"/>
      <c r="T26" s="285" t="s">
        <v>52</v>
      </c>
      <c r="U26" s="282">
        <f>[2]Republic!$IF$64</f>
        <v>1260</v>
      </c>
      <c r="V26" s="2">
        <f>[2]Republic!$HR$64</f>
        <v>0</v>
      </c>
      <c r="W26" s="65" t="e">
        <f t="shared" si="24"/>
        <v>#DIV/0!</v>
      </c>
      <c r="X26" s="282">
        <f>SUM([2]Republic!$IF$64:$IF$64)</f>
        <v>1260</v>
      </c>
      <c r="Y26" s="2">
        <f>SUM([2]Republic!$HR$64:$HR$64)</f>
        <v>0</v>
      </c>
      <c r="Z26" s="3" t="e">
        <f t="shared" si="25"/>
        <v>#DIV/0!</v>
      </c>
      <c r="AA26" s="65">
        <f t="shared" si="26"/>
        <v>1.7950901719382956E-4</v>
      </c>
    </row>
    <row r="27" spans="1:27" ht="14.1" customHeight="1" x14ac:dyDescent="0.2">
      <c r="A27" s="37"/>
      <c r="B27" s="337" t="s">
        <v>182</v>
      </c>
      <c r="C27" s="282">
        <f>[2]PSA!$IF$19</f>
        <v>110</v>
      </c>
      <c r="D27" s="2">
        <f>[2]PSA!$HR$19</f>
        <v>104</v>
      </c>
      <c r="E27" s="65">
        <f t="shared" si="18"/>
        <v>5.7692307692307696E-2</v>
      </c>
      <c r="F27" s="2">
        <f>SUM([2]PSA!$IF$19:$IF$19)</f>
        <v>110</v>
      </c>
      <c r="G27" s="2">
        <f>SUM([2]PSA!$HR$19:$HR$19)</f>
        <v>104</v>
      </c>
      <c r="H27" s="3">
        <f t="shared" si="19"/>
        <v>5.7692307692307696E-2</v>
      </c>
      <c r="I27" s="65">
        <f t="shared" si="20"/>
        <v>5.0166461440233501E-3</v>
      </c>
      <c r="J27" s="37"/>
      <c r="K27" s="337" t="s">
        <v>182</v>
      </c>
      <c r="L27" s="282">
        <f>[2]PSA!$IF$41</f>
        <v>4990</v>
      </c>
      <c r="M27" s="2">
        <f>[2]PSA!$HR$41</f>
        <v>4747</v>
      </c>
      <c r="N27" s="65">
        <f t="shared" si="21"/>
        <v>5.1190225405519277E-2</v>
      </c>
      <c r="O27" s="282">
        <f>SUM([2]PSA!$IF$41:$IF$41)</f>
        <v>4990</v>
      </c>
      <c r="P27" s="2">
        <f>SUM([2]PSA!$HR$41:$HR$41)</f>
        <v>4747</v>
      </c>
      <c r="Q27" s="3">
        <f t="shared" si="22"/>
        <v>5.1190225405519277E-2</v>
      </c>
      <c r="R27" s="65">
        <f t="shared" si="23"/>
        <v>2.1518888538625972E-3</v>
      </c>
      <c r="S27" s="37"/>
      <c r="T27" s="337" t="s">
        <v>182</v>
      </c>
      <c r="U27" s="282">
        <f>[2]PSA!$IF$64</f>
        <v>0</v>
      </c>
      <c r="V27" s="2">
        <f>[2]PSA!$HR$64</f>
        <v>524</v>
      </c>
      <c r="W27" s="65">
        <f t="shared" si="24"/>
        <v>-1</v>
      </c>
      <c r="X27" s="282">
        <f>SUM([2]PSA!$IF$64:$IF$64)</f>
        <v>0</v>
      </c>
      <c r="Y27" s="2">
        <f>SUM([2]PSA!$HR$64:$HR$64)</f>
        <v>524</v>
      </c>
      <c r="Z27" s="3">
        <f t="shared" si="25"/>
        <v>-1</v>
      </c>
      <c r="AA27" s="65">
        <f t="shared" si="26"/>
        <v>0</v>
      </c>
    </row>
    <row r="28" spans="1:27" ht="14.1" customHeight="1" x14ac:dyDescent="0.2">
      <c r="A28" s="37"/>
      <c r="B28" s="337" t="s">
        <v>97</v>
      </c>
      <c r="C28" s="282">
        <f>'[2]Sky West_AA'!$IF$19</f>
        <v>0</v>
      </c>
      <c r="D28" s="2">
        <f>'[2]Sky West_AA'!$HR$19</f>
        <v>86</v>
      </c>
      <c r="E28" s="65">
        <f>(C28-D28)/D28</f>
        <v>-1</v>
      </c>
      <c r="F28" s="2">
        <f>SUM('[2]Sky West_AA'!$IF$19:$IF$19)</f>
        <v>0</v>
      </c>
      <c r="G28" s="2">
        <f>SUM('[2]Sky West_AA'!$HR$19:$HR$19)</f>
        <v>86</v>
      </c>
      <c r="H28" s="3">
        <f>(F28-G28)/G28</f>
        <v>-1</v>
      </c>
      <c r="I28" s="65">
        <f t="shared" si="20"/>
        <v>0</v>
      </c>
      <c r="J28" s="37"/>
      <c r="K28" s="337" t="s">
        <v>97</v>
      </c>
      <c r="L28" s="282">
        <f>'[2]Sky West_AA'!$IF$41</f>
        <v>0</v>
      </c>
      <c r="M28" s="2">
        <f>'[2]Sky West_AA'!$HR$41</f>
        <v>4301</v>
      </c>
      <c r="N28" s="65">
        <f>(L28-M28)/M28</f>
        <v>-1</v>
      </c>
      <c r="O28" s="282">
        <f>SUM('[2]Sky West_AA'!$IF$41:$IF$41)</f>
        <v>0</v>
      </c>
      <c r="P28" s="2">
        <f>SUM('[2]Sky West_AA'!$HR$41:$HR$41)</f>
        <v>4301</v>
      </c>
      <c r="Q28" s="3">
        <f>(O28-P28)/P28</f>
        <v>-1</v>
      </c>
      <c r="R28" s="343">
        <f t="shared" si="23"/>
        <v>0</v>
      </c>
      <c r="S28" s="37"/>
      <c r="T28" s="337" t="s">
        <v>97</v>
      </c>
      <c r="U28" s="282">
        <f>'[2]Sky West_AA'!$IF$64</f>
        <v>0</v>
      </c>
      <c r="V28" s="2">
        <f>'[2]Sky West_AA'!$HR$64</f>
        <v>17</v>
      </c>
      <c r="W28" s="65">
        <f>(U28-V28)/V28</f>
        <v>-1</v>
      </c>
      <c r="X28" s="282">
        <f>SUM('[2]Sky West_AA'!$IF$64:$IF$64)</f>
        <v>0</v>
      </c>
      <c r="Y28" s="2">
        <f>SUM('[2]Sky West_AA'!$HR$64:$HR$64)</f>
        <v>17</v>
      </c>
      <c r="Z28" s="3">
        <f>(X28-Y28)/Y28</f>
        <v>-1</v>
      </c>
      <c r="AA28" s="343">
        <f t="shared" si="26"/>
        <v>0</v>
      </c>
    </row>
    <row r="29" spans="1:27" ht="14.1" customHeight="1" x14ac:dyDescent="0.2">
      <c r="A29" s="37"/>
      <c r="B29" s="337" t="s">
        <v>51</v>
      </c>
      <c r="C29" s="282">
        <f>[2]MESA!$IF$19</f>
        <v>0</v>
      </c>
      <c r="D29" s="2">
        <f>[2]MESA!$HR$19</f>
        <v>0</v>
      </c>
      <c r="E29" s="65" t="e">
        <f t="shared" si="18"/>
        <v>#DIV/0!</v>
      </c>
      <c r="F29" s="2">
        <f>SUM([2]MESA!$IF$19:$IF$19)</f>
        <v>0</v>
      </c>
      <c r="G29" s="2">
        <f>SUM([2]MESA!$HR$19:$HR$19)</f>
        <v>0</v>
      </c>
      <c r="H29" s="3" t="e">
        <f t="shared" si="19"/>
        <v>#DIV/0!</v>
      </c>
      <c r="I29" s="65">
        <f t="shared" si="20"/>
        <v>0</v>
      </c>
      <c r="J29" s="37"/>
      <c r="K29" s="337" t="s">
        <v>51</v>
      </c>
      <c r="L29" s="282">
        <f>[2]MESA!$IF$41</f>
        <v>0</v>
      </c>
      <c r="M29" s="2">
        <f>[2]MESA!$HR$41</f>
        <v>0</v>
      </c>
      <c r="N29" s="65" t="e">
        <f t="shared" si="21"/>
        <v>#DIV/0!</v>
      </c>
      <c r="O29" s="282">
        <f>SUM([2]MESA!$IF$41:$IF$41)</f>
        <v>0</v>
      </c>
      <c r="P29" s="2">
        <f>SUM([2]MESA!$HR$41:$HR$41)</f>
        <v>0</v>
      </c>
      <c r="Q29" s="3" t="e">
        <f t="shared" si="22"/>
        <v>#DIV/0!</v>
      </c>
      <c r="R29" s="65">
        <f t="shared" si="23"/>
        <v>0</v>
      </c>
      <c r="S29" s="37"/>
      <c r="T29" s="337" t="s">
        <v>51</v>
      </c>
      <c r="U29" s="282">
        <f>[2]MESA!$IF$64</f>
        <v>0</v>
      </c>
      <c r="V29" s="2">
        <f>[2]MESA!$HR$64</f>
        <v>0</v>
      </c>
      <c r="W29" s="65" t="e">
        <f t="shared" ref="W29:W30" si="27">(U29-V29)/V29</f>
        <v>#DIV/0!</v>
      </c>
      <c r="X29" s="282">
        <f>SUM([2]MESA!$IF$64:$IF$64)</f>
        <v>0</v>
      </c>
      <c r="Y29" s="2">
        <f>SUM([2]MESA!$HR$64:$HR$64)</f>
        <v>0</v>
      </c>
      <c r="Z29" s="3" t="e">
        <f t="shared" ref="Z29:Z30" si="28">(X29-Y29)/Y29</f>
        <v>#DIV/0!</v>
      </c>
      <c r="AA29" s="65">
        <f t="shared" si="26"/>
        <v>0</v>
      </c>
    </row>
    <row r="30" spans="1:27" ht="14.1" customHeight="1" x14ac:dyDescent="0.2">
      <c r="A30" s="37"/>
      <c r="B30" s="337" t="s">
        <v>50</v>
      </c>
      <c r="C30" s="282">
        <f>'[2]Air Wisconsin'!$IF$19</f>
        <v>2</v>
      </c>
      <c r="D30" s="2">
        <f>'[2]Air Wisconsin'!$HR$19</f>
        <v>0</v>
      </c>
      <c r="E30" s="65" t="e">
        <f t="shared" si="18"/>
        <v>#DIV/0!</v>
      </c>
      <c r="F30" s="2">
        <f>SUM('[2]Air Wisconsin'!$IF$19:$IF$19)</f>
        <v>2</v>
      </c>
      <c r="G30" s="2">
        <f>SUM('[2]Air Wisconsin'!$HR$19:$HR$19)</f>
        <v>0</v>
      </c>
      <c r="H30" s="368" t="e">
        <f t="shared" si="19"/>
        <v>#DIV/0!</v>
      </c>
      <c r="I30" s="65">
        <f t="shared" si="20"/>
        <v>9.1211748073151823E-5</v>
      </c>
      <c r="J30" s="37"/>
      <c r="K30" s="285" t="s">
        <v>50</v>
      </c>
      <c r="L30" s="282">
        <f>'[2]Air Wisconsin'!$IF$41</f>
        <v>35</v>
      </c>
      <c r="M30" s="2">
        <f>'[2]Air Wisconsin'!$HR$41</f>
        <v>0</v>
      </c>
      <c r="N30" s="65" t="e">
        <f t="shared" si="21"/>
        <v>#DIV/0!</v>
      </c>
      <c r="O30" s="282">
        <f>SUM('[2]Air Wisconsin'!$IF$41:$IF$41)</f>
        <v>35</v>
      </c>
      <c r="P30" s="2">
        <f>SUM('[2]Air Wisconsin'!$HR$41:$HR$41)</f>
        <v>0</v>
      </c>
      <c r="Q30" s="3" t="e">
        <f t="shared" si="22"/>
        <v>#DIV/0!</v>
      </c>
      <c r="R30" s="65">
        <f t="shared" si="23"/>
        <v>1.5093408794627436E-5</v>
      </c>
      <c r="S30" s="37"/>
      <c r="T30" s="285" t="s">
        <v>50</v>
      </c>
      <c r="U30" s="282">
        <f>'[2]Air Wisconsin'!$IF$64</f>
        <v>0</v>
      </c>
      <c r="V30" s="2">
        <f>'[2]Air Wisconsin'!$HR$64</f>
        <v>0</v>
      </c>
      <c r="W30" s="65" t="e">
        <f t="shared" si="27"/>
        <v>#DIV/0!</v>
      </c>
      <c r="X30" s="282">
        <f>SUM('[2]Air Wisconsin'!$IF$64:$IF$64)</f>
        <v>0</v>
      </c>
      <c r="Y30" s="2">
        <f>SUM('[2]Air Wisconsin'!$HR$64:$HR$64)</f>
        <v>0</v>
      </c>
      <c r="Z30" s="3" t="e">
        <f t="shared" si="28"/>
        <v>#DIV/0!</v>
      </c>
      <c r="AA30" s="65">
        <f t="shared" si="26"/>
        <v>0</v>
      </c>
    </row>
    <row r="31" spans="1:27" ht="14.1" customHeight="1" x14ac:dyDescent="0.2">
      <c r="A31" s="37"/>
      <c r="B31" s="39"/>
      <c r="C31" s="282"/>
      <c r="E31" s="65"/>
      <c r="F31" s="2"/>
      <c r="I31" s="65"/>
      <c r="J31" s="37"/>
      <c r="K31" s="39"/>
      <c r="L31" s="282"/>
      <c r="N31" s="65"/>
      <c r="O31" s="282"/>
      <c r="P31" s="2"/>
      <c r="Q31" s="3"/>
      <c r="R31" s="65"/>
      <c r="S31" s="37"/>
      <c r="T31" s="39"/>
      <c r="U31" s="282"/>
      <c r="V31" s="2"/>
      <c r="W31" s="65"/>
      <c r="X31" s="282"/>
      <c r="Y31" s="2"/>
      <c r="Z31" s="3"/>
      <c r="AA31" s="65"/>
    </row>
    <row r="32" spans="1:27" ht="14.1" customHeight="1" x14ac:dyDescent="0.2">
      <c r="A32" s="277" t="s">
        <v>179</v>
      </c>
      <c r="B32" s="39"/>
      <c r="C32" s="278">
        <f>'[2]Boutique Air'!$IF$19</f>
        <v>0</v>
      </c>
      <c r="D32" s="280">
        <f>'[2]Boutique Air'!$HR$19</f>
        <v>0</v>
      </c>
      <c r="E32" s="281" t="e">
        <f>(C32-D32)/D32</f>
        <v>#DIV/0!</v>
      </c>
      <c r="F32" s="280">
        <f>SUM('[2]Boutique Air'!$IF$19:$IF$19)</f>
        <v>0</v>
      </c>
      <c r="G32" s="280">
        <f>SUM('[2]Boutique Air'!$HR$19:$HR$19)</f>
        <v>0</v>
      </c>
      <c r="H32" s="279" t="e">
        <f>(F32-G32)/G32</f>
        <v>#DIV/0!</v>
      </c>
      <c r="I32" s="281">
        <f>F32/$F$73</f>
        <v>0</v>
      </c>
      <c r="J32" s="277" t="s">
        <v>179</v>
      </c>
      <c r="K32" s="39"/>
      <c r="L32" s="278">
        <f>'[2]Boutique Air'!$IF$41</f>
        <v>0</v>
      </c>
      <c r="M32" s="280">
        <f>'[2]Boutique Air'!$HR$41</f>
        <v>0</v>
      </c>
      <c r="N32" s="281" t="e">
        <f>(L32-M32)/M32</f>
        <v>#DIV/0!</v>
      </c>
      <c r="O32" s="278">
        <f>SUM('[2]Boutique Air'!$IF$41:$IF$41)</f>
        <v>0</v>
      </c>
      <c r="P32" s="280">
        <f>SUM('[2]Boutique Air'!$HR$41:$HR$41)</f>
        <v>0</v>
      </c>
      <c r="Q32" s="279" t="e">
        <f>(O32-P32)/P32</f>
        <v>#DIV/0!</v>
      </c>
      <c r="R32" s="281">
        <f>O32/$O$73</f>
        <v>0</v>
      </c>
      <c r="S32" s="277" t="s">
        <v>179</v>
      </c>
      <c r="T32" s="39"/>
      <c r="U32" s="278">
        <f>'[2]Boutique Air'!$IF$64</f>
        <v>0</v>
      </c>
      <c r="V32" s="280">
        <f>'[2]Boutique Air'!$HR$64</f>
        <v>0</v>
      </c>
      <c r="W32" s="281" t="e">
        <f>(U32-V32)/V32</f>
        <v>#DIV/0!</v>
      </c>
      <c r="X32" s="278">
        <f>SUM('[2]Boutique Air'!$IF$64:$IF$64)</f>
        <v>0</v>
      </c>
      <c r="Y32" s="280">
        <f>SUM('[2]Boutique Air'!$HR$64:$HR$64)</f>
        <v>0</v>
      </c>
      <c r="Z32" s="279" t="e">
        <f>(X32-Y32)/Y32</f>
        <v>#DIV/0!</v>
      </c>
      <c r="AA32" s="281">
        <f>X32/$X$73</f>
        <v>0</v>
      </c>
    </row>
    <row r="33" spans="1:27" ht="14.1" customHeight="1" x14ac:dyDescent="0.2">
      <c r="A33" s="37"/>
      <c r="B33" s="39"/>
      <c r="C33" s="282"/>
      <c r="E33" s="65"/>
      <c r="F33" s="2"/>
      <c r="I33" s="65"/>
      <c r="J33" s="37"/>
      <c r="K33" s="39"/>
      <c r="L33" s="282"/>
      <c r="N33" s="65"/>
      <c r="O33" s="282"/>
      <c r="P33" s="2"/>
      <c r="Q33" s="3"/>
      <c r="R33" s="65"/>
      <c r="S33" s="37"/>
      <c r="T33" s="39"/>
      <c r="U33" s="282"/>
      <c r="V33" s="2"/>
      <c r="W33" s="65"/>
      <c r="X33" s="282"/>
      <c r="Y33" s="2"/>
      <c r="Z33" s="3"/>
      <c r="AA33" s="65"/>
    </row>
    <row r="34" spans="1:27" ht="14.1" customHeight="1" x14ac:dyDescent="0.2">
      <c r="A34" s="277" t="s">
        <v>161</v>
      </c>
      <c r="B34" s="39"/>
      <c r="C34" s="278">
        <f>[2]Condor!$IF$19</f>
        <v>0</v>
      </c>
      <c r="D34" s="280">
        <f>[2]Condor!$HR$19</f>
        <v>0</v>
      </c>
      <c r="E34" s="281" t="e">
        <f>(C34-D34)/D34</f>
        <v>#DIV/0!</v>
      </c>
      <c r="F34" s="280">
        <f>SUM([2]Condor!$IF$19:$IF$19)</f>
        <v>0</v>
      </c>
      <c r="G34" s="280">
        <f>SUM([2]Condor!$HR$19:$HR$19)</f>
        <v>0</v>
      </c>
      <c r="H34" s="279" t="e">
        <f>(F34-G34)/G34</f>
        <v>#DIV/0!</v>
      </c>
      <c r="I34" s="281">
        <f>F34/$F$73</f>
        <v>0</v>
      </c>
      <c r="J34" s="277" t="s">
        <v>161</v>
      </c>
      <c r="K34" s="39"/>
      <c r="L34" s="278">
        <f>[2]Condor!$IF$41</f>
        <v>0</v>
      </c>
      <c r="M34" s="280">
        <f>[2]Condor!$HR$41</f>
        <v>0</v>
      </c>
      <c r="N34" s="281" t="e">
        <f>(L34-M34)/M34</f>
        <v>#DIV/0!</v>
      </c>
      <c r="O34" s="278">
        <f>SUM([2]Condor!$IF$41:$IF$41)</f>
        <v>0</v>
      </c>
      <c r="P34" s="280">
        <f>SUM([2]Condor!$HR$41:$HR$41)</f>
        <v>0</v>
      </c>
      <c r="Q34" s="279" t="e">
        <f>(O34-P34)/P34</f>
        <v>#DIV/0!</v>
      </c>
      <c r="R34" s="281">
        <f>O34/$O$73</f>
        <v>0</v>
      </c>
      <c r="S34" s="277" t="s">
        <v>161</v>
      </c>
      <c r="T34" s="39"/>
      <c r="U34" s="278">
        <f>[2]Condor!$IF$64</f>
        <v>0</v>
      </c>
      <c r="V34" s="280">
        <f>[2]Condor!$HR$64</f>
        <v>0</v>
      </c>
      <c r="W34" s="281" t="e">
        <f>(U34-V34)/V34</f>
        <v>#DIV/0!</v>
      </c>
      <c r="X34" s="278">
        <f>SUM([2]Condor!$IF$64:$IF$64)</f>
        <v>0</v>
      </c>
      <c r="Y34" s="280">
        <f>SUM([2]Condor!$HR$64:$HR$64)</f>
        <v>0</v>
      </c>
      <c r="Z34" s="279" t="e">
        <f>(X34-Y34)/Y34</f>
        <v>#DIV/0!</v>
      </c>
      <c r="AA34" s="281">
        <f>X34/$X$73</f>
        <v>0</v>
      </c>
    </row>
    <row r="35" spans="1:27" ht="14.1" customHeight="1" x14ac:dyDescent="0.2">
      <c r="A35" s="37"/>
      <c r="B35" s="39"/>
      <c r="C35" s="282"/>
      <c r="E35" s="65"/>
      <c r="F35" s="2"/>
      <c r="I35" s="65"/>
      <c r="J35" s="37"/>
      <c r="K35" s="39"/>
      <c r="L35" s="282"/>
      <c r="N35" s="65"/>
      <c r="O35" s="282"/>
      <c r="P35" s="2"/>
      <c r="Q35" s="3"/>
      <c r="R35" s="65"/>
      <c r="S35" s="37"/>
      <c r="T35" s="39"/>
      <c r="U35" s="282"/>
      <c r="V35" s="2"/>
      <c r="W35" s="65"/>
      <c r="X35" s="282"/>
      <c r="Y35" s="2"/>
      <c r="Z35" s="3"/>
      <c r="AA35" s="65"/>
    </row>
    <row r="36" spans="1:27" ht="14.1" customHeight="1" x14ac:dyDescent="0.2">
      <c r="A36" s="277" t="s">
        <v>218</v>
      </c>
      <c r="B36" s="39"/>
      <c r="C36" s="278">
        <f>'[2]Denver Air'!$IF$19</f>
        <v>160</v>
      </c>
      <c r="D36" s="280">
        <f>'[2]Denver Air'!$HR$19</f>
        <v>164</v>
      </c>
      <c r="E36" s="281">
        <f>(C36-D36)/D36</f>
        <v>-2.4390243902439025E-2</v>
      </c>
      <c r="F36" s="280">
        <f>SUM('[2]Denver Air'!$IF$19:$IF$19)</f>
        <v>160</v>
      </c>
      <c r="G36" s="280">
        <f>SUM('[2]Denver Air'!$HR$19:$HR$19)</f>
        <v>164</v>
      </c>
      <c r="H36" s="279">
        <f>(F36-G36)/G36</f>
        <v>-2.4390243902439025E-2</v>
      </c>
      <c r="I36" s="281">
        <f>F36/$F$73</f>
        <v>7.2969398458521458E-3</v>
      </c>
      <c r="J36" s="277" t="s">
        <v>218</v>
      </c>
      <c r="K36" s="39"/>
      <c r="L36" s="278">
        <f>'[2]Denver Air'!$IF$41</f>
        <v>1483</v>
      </c>
      <c r="M36" s="280">
        <f>'[2]Denver Air'!$HR$41</f>
        <v>1348</v>
      </c>
      <c r="N36" s="281">
        <f>(L36-M36)/M36</f>
        <v>0.10014836795252226</v>
      </c>
      <c r="O36" s="278">
        <f>SUM('[2]Denver Air'!$IF$41:$IF$41)</f>
        <v>1483</v>
      </c>
      <c r="P36" s="280">
        <f>SUM('[2]Denver Air'!$HR$41:$HR$41)</f>
        <v>1348</v>
      </c>
      <c r="Q36" s="279">
        <f>(O36-P36)/P36</f>
        <v>0.10014836795252226</v>
      </c>
      <c r="R36" s="281">
        <f>O36/$O$73</f>
        <v>6.3952929264092821E-4</v>
      </c>
      <c r="S36" s="277" t="s">
        <v>218</v>
      </c>
      <c r="T36" s="39"/>
      <c r="U36" s="278">
        <f>'[2]Denver Air'!$IF$64</f>
        <v>0</v>
      </c>
      <c r="V36" s="280">
        <f>'[2]Denver Air'!$HR$64</f>
        <v>0</v>
      </c>
      <c r="W36" s="281" t="e">
        <f>(U36-V36)/V36</f>
        <v>#DIV/0!</v>
      </c>
      <c r="X36" s="278">
        <f>SUM('[2]Denver Air'!$IF$64:$IF$64)</f>
        <v>0</v>
      </c>
      <c r="Y36" s="280">
        <f>SUM('[2]Denver Air'!$HR$64:$HR$64)</f>
        <v>0</v>
      </c>
      <c r="Z36" s="279" t="e">
        <f>(X36-Y36)/Y36</f>
        <v>#DIV/0!</v>
      </c>
      <c r="AA36" s="281">
        <f>X36/$X$71</f>
        <v>0</v>
      </c>
    </row>
    <row r="37" spans="1:27" ht="14.1" customHeight="1" x14ac:dyDescent="0.2">
      <c r="A37" s="37"/>
      <c r="B37" s="39"/>
      <c r="C37" s="282"/>
      <c r="E37" s="65"/>
      <c r="F37" s="2"/>
      <c r="I37" s="65"/>
      <c r="J37" s="37"/>
      <c r="K37" s="39"/>
      <c r="L37" s="282"/>
      <c r="N37" s="65"/>
      <c r="O37" s="282"/>
      <c r="P37" s="2"/>
      <c r="Q37" s="3"/>
      <c r="R37" s="65"/>
      <c r="S37" s="37"/>
      <c r="T37" s="39"/>
      <c r="U37" s="282"/>
      <c r="V37" s="2"/>
      <c r="W37" s="65"/>
      <c r="X37" s="282"/>
      <c r="Y37" s="2"/>
      <c r="Z37" s="3"/>
      <c r="AA37" s="65"/>
    </row>
    <row r="38" spans="1:27" ht="14.1" customHeight="1" x14ac:dyDescent="0.2">
      <c r="A38" s="277" t="s">
        <v>18</v>
      </c>
      <c r="B38" s="284"/>
      <c r="C38" s="278">
        <f>SUM(C39:C45)</f>
        <v>16291</v>
      </c>
      <c r="D38" s="280">
        <f>SUM(D39:D45)</f>
        <v>16722</v>
      </c>
      <c r="E38" s="281">
        <f t="shared" ref="E38:E45" si="29">(C38-D38)/D38</f>
        <v>-2.5774428896065064E-2</v>
      </c>
      <c r="F38" s="283">
        <f>SUM(F39:F45)</f>
        <v>16291</v>
      </c>
      <c r="G38" s="283">
        <f>SUM(G39:G45)</f>
        <v>16722</v>
      </c>
      <c r="H38" s="279">
        <f>(F38-G38)/G38</f>
        <v>-2.5774428896065064E-2</v>
      </c>
      <c r="I38" s="281">
        <f t="shared" ref="I38:I45" si="30">F38/$F$73</f>
        <v>0.74296529392985822</v>
      </c>
      <c r="J38" s="277" t="s">
        <v>18</v>
      </c>
      <c r="K38" s="284"/>
      <c r="L38" s="278">
        <f>SUM(L39:L45)</f>
        <v>1656076</v>
      </c>
      <c r="M38" s="280">
        <f>SUM(M39:M45)</f>
        <v>1390065</v>
      </c>
      <c r="N38" s="281">
        <f t="shared" ref="N38:N45" si="31">(L38-M38)/M38</f>
        <v>0.19136587138011532</v>
      </c>
      <c r="O38" s="278">
        <f>SUM(O39:O45)</f>
        <v>1656076</v>
      </c>
      <c r="P38" s="280">
        <f>SUM(P39:P45)</f>
        <v>1390065</v>
      </c>
      <c r="Q38" s="279">
        <f t="shared" ref="Q38:Q45" si="32">(O38-P38)/P38</f>
        <v>0.19136587138011532</v>
      </c>
      <c r="R38" s="281">
        <f t="shared" ref="R38:R45" si="33">O38/$O$73</f>
        <v>0.71416663037061223</v>
      </c>
      <c r="S38" s="277" t="s">
        <v>18</v>
      </c>
      <c r="T38" s="284"/>
      <c r="U38" s="278">
        <f>SUM(U39:U45)</f>
        <v>5984086</v>
      </c>
      <c r="V38" s="280">
        <f>SUM(V39:V45)</f>
        <v>4786988</v>
      </c>
      <c r="W38" s="281">
        <f t="shared" ref="W38:W45" si="34">(U38-V38)/V38</f>
        <v>0.25007332376851582</v>
      </c>
      <c r="X38" s="278">
        <f>SUM(X39:X45)</f>
        <v>5984086</v>
      </c>
      <c r="Y38" s="280">
        <f>SUM(Y39:Y45)</f>
        <v>4786988</v>
      </c>
      <c r="Z38" s="279">
        <f t="shared" ref="Z38:Z41" si="35">(X38-Y38)/Y38</f>
        <v>0.25007332376851582</v>
      </c>
      <c r="AA38" s="281">
        <f t="shared" ref="AA38:AA45" si="36">X38/$X$73</f>
        <v>0.85253761639948789</v>
      </c>
    </row>
    <row r="39" spans="1:27" ht="14.1" customHeight="1" x14ac:dyDescent="0.2">
      <c r="A39" s="37"/>
      <c r="B39" s="39" t="s">
        <v>18</v>
      </c>
      <c r="C39" s="282">
        <f>[2]Delta!$IF$19</f>
        <v>10531</v>
      </c>
      <c r="D39" s="2">
        <f>[2]Delta!$HR$19</f>
        <v>9542</v>
      </c>
      <c r="E39" s="65">
        <f t="shared" si="29"/>
        <v>0.10364703416474534</v>
      </c>
      <c r="F39" s="2">
        <f>SUM([2]Delta!$IF$19:$IF$19)</f>
        <v>10531</v>
      </c>
      <c r="G39" s="2">
        <f>SUM([2]Delta!$HR$19:$HR$19)</f>
        <v>9542</v>
      </c>
      <c r="H39" s="3">
        <f t="shared" ref="H39:H45" si="37">(F39-G39)/G39</f>
        <v>0.10364703416474534</v>
      </c>
      <c r="I39" s="65">
        <f t="shared" si="30"/>
        <v>0.48027545947918093</v>
      </c>
      <c r="J39" s="37"/>
      <c r="K39" s="39" t="s">
        <v>18</v>
      </c>
      <c r="L39" s="282">
        <f>[2]Delta!$IF$41</f>
        <v>1377931</v>
      </c>
      <c r="M39" s="2">
        <f>[2]Delta!$HR$41</f>
        <v>1105204</v>
      </c>
      <c r="N39" s="65">
        <f t="shared" si="31"/>
        <v>0.2467662078675068</v>
      </c>
      <c r="O39" s="282">
        <f>SUM([2]Delta!$IF$41:$IF$41)</f>
        <v>1377931</v>
      </c>
      <c r="P39" s="2">
        <f>SUM([2]Delta!$HR$41:$HR$41)</f>
        <v>1105204</v>
      </c>
      <c r="Q39" s="3">
        <f t="shared" si="32"/>
        <v>0.2467662078675068</v>
      </c>
      <c r="R39" s="65">
        <f t="shared" si="33"/>
        <v>0.5942193106797079</v>
      </c>
      <c r="S39" s="37"/>
      <c r="T39" s="39" t="s">
        <v>18</v>
      </c>
      <c r="U39" s="282">
        <f>[2]Delta!$IF$64</f>
        <v>5984086</v>
      </c>
      <c r="V39" s="2">
        <f>[2]Delta!$HR$64</f>
        <v>4786988</v>
      </c>
      <c r="W39" s="65">
        <f t="shared" si="34"/>
        <v>0.25007332376851582</v>
      </c>
      <c r="X39" s="282">
        <f>SUM([2]Delta!$IF$64:$IF$64)</f>
        <v>5984086</v>
      </c>
      <c r="Y39" s="2">
        <f>SUM([2]Delta!$HR$64:$HR$64)</f>
        <v>4786988</v>
      </c>
      <c r="Z39" s="3">
        <f t="shared" si="35"/>
        <v>0.25007332376851582</v>
      </c>
      <c r="AA39" s="65">
        <f t="shared" si="36"/>
        <v>0.85253761639948789</v>
      </c>
    </row>
    <row r="40" spans="1:27" ht="14.1" customHeight="1" x14ac:dyDescent="0.2">
      <c r="A40" s="37"/>
      <c r="B40" s="285" t="s">
        <v>117</v>
      </c>
      <c r="C40" s="282">
        <f>[2]Compass!$IF$19</f>
        <v>0</v>
      </c>
      <c r="D40" s="2">
        <f>[2]Compass!$HR$19</f>
        <v>0</v>
      </c>
      <c r="E40" s="65" t="e">
        <f t="shared" si="29"/>
        <v>#DIV/0!</v>
      </c>
      <c r="F40" s="2">
        <f>SUM([2]Compass!$IF$19:$IF$19)</f>
        <v>0</v>
      </c>
      <c r="G40" s="2">
        <f>SUM([2]Compass!$HR$19:$HR$19)</f>
        <v>0</v>
      </c>
      <c r="H40" s="3" t="e">
        <f t="shared" si="37"/>
        <v>#DIV/0!</v>
      </c>
      <c r="I40" s="65">
        <f t="shared" si="30"/>
        <v>0</v>
      </c>
      <c r="J40" s="37"/>
      <c r="K40" s="285" t="s">
        <v>117</v>
      </c>
      <c r="L40" s="282">
        <f>[2]Compass!$IF$41</f>
        <v>0</v>
      </c>
      <c r="M40" s="2">
        <f>[2]Compass!$HR$41</f>
        <v>0</v>
      </c>
      <c r="N40" s="65" t="e">
        <f t="shared" si="31"/>
        <v>#DIV/0!</v>
      </c>
      <c r="O40" s="282">
        <f>SUM([2]Compass!$IF$41:$IF$41)</f>
        <v>0</v>
      </c>
      <c r="P40" s="2">
        <f>SUM([2]Compass!$HR$41:$HR$41)</f>
        <v>0</v>
      </c>
      <c r="Q40" s="3" t="e">
        <f t="shared" si="32"/>
        <v>#DIV/0!</v>
      </c>
      <c r="R40" s="65">
        <f t="shared" si="33"/>
        <v>0</v>
      </c>
      <c r="S40" s="37"/>
      <c r="T40" s="285" t="s">
        <v>117</v>
      </c>
      <c r="U40" s="282">
        <f>[2]Compass!$IF$64</f>
        <v>0</v>
      </c>
      <c r="V40" s="2">
        <f>[2]Compass!$HR$64</f>
        <v>0</v>
      </c>
      <c r="W40" s="65" t="e">
        <f t="shared" si="34"/>
        <v>#DIV/0!</v>
      </c>
      <c r="X40" s="282">
        <f>SUM([2]Compass!$IF$64:$IF$64)</f>
        <v>0</v>
      </c>
      <c r="Y40" s="2">
        <f>SUM([2]Compass!$HR$64:$HR$64)</f>
        <v>0</v>
      </c>
      <c r="Z40" s="3" t="e">
        <f t="shared" si="35"/>
        <v>#DIV/0!</v>
      </c>
      <c r="AA40" s="65">
        <f t="shared" si="36"/>
        <v>0</v>
      </c>
    </row>
    <row r="41" spans="1:27" ht="14.1" customHeight="1" x14ac:dyDescent="0.2">
      <c r="A41" s="37"/>
      <c r="B41" s="39" t="s">
        <v>158</v>
      </c>
      <c r="C41" s="282">
        <f>[2]Pinnacle!$IF$19</f>
        <v>1886</v>
      </c>
      <c r="D41" s="2">
        <f>[2]Pinnacle!$HR$19</f>
        <v>1941</v>
      </c>
      <c r="E41" s="65">
        <f t="shared" si="29"/>
        <v>-2.8335909325090159E-2</v>
      </c>
      <c r="F41" s="2">
        <f>SUM([2]Pinnacle!$IF$19:$IF$19)</f>
        <v>1886</v>
      </c>
      <c r="G41" s="2">
        <f>SUM([2]Pinnacle!$HR$19:$HR$19)</f>
        <v>1941</v>
      </c>
      <c r="H41" s="3">
        <f t="shared" si="37"/>
        <v>-2.8335909325090159E-2</v>
      </c>
      <c r="I41" s="65">
        <f t="shared" si="30"/>
        <v>8.6012678432982173E-2</v>
      </c>
      <c r="J41" s="37"/>
      <c r="K41" s="39" t="s">
        <v>158</v>
      </c>
      <c r="L41" s="282">
        <f>[2]Pinnacle!$IF$41</f>
        <v>104952</v>
      </c>
      <c r="M41" s="2">
        <f>[2]Pinnacle!$HR$41</f>
        <v>75124</v>
      </c>
      <c r="N41" s="65">
        <f t="shared" si="31"/>
        <v>0.39705021031893933</v>
      </c>
      <c r="O41" s="282">
        <f>SUM([2]Pinnacle!$IF$41:$IF$41)</f>
        <v>104952</v>
      </c>
      <c r="P41" s="2">
        <f>SUM([2]Pinnacle!$HR$41:$HR$41)</f>
        <v>75124</v>
      </c>
      <c r="Q41" s="3">
        <f t="shared" si="32"/>
        <v>0.39705021031893933</v>
      </c>
      <c r="R41" s="65">
        <f t="shared" si="33"/>
        <v>4.5259526851821108E-2</v>
      </c>
      <c r="S41" s="37"/>
      <c r="T41" s="39" t="s">
        <v>158</v>
      </c>
      <c r="U41" s="282">
        <f>[2]Pinnacle!$IF$64</f>
        <v>0</v>
      </c>
      <c r="V41" s="2">
        <f>[2]Pinnacle!$HR$64</f>
        <v>0</v>
      </c>
      <c r="W41" s="65" t="e">
        <f t="shared" si="34"/>
        <v>#DIV/0!</v>
      </c>
      <c r="X41" s="282">
        <f>SUM([2]Pinnacle!$IF$64:$IF$64)</f>
        <v>0</v>
      </c>
      <c r="Y41" s="2">
        <f>SUM([2]Pinnacle!$HR$64:$HR$64)</f>
        <v>0</v>
      </c>
      <c r="Z41" s="3" t="e">
        <f t="shared" si="35"/>
        <v>#DIV/0!</v>
      </c>
      <c r="AA41" s="65">
        <f t="shared" si="36"/>
        <v>0</v>
      </c>
    </row>
    <row r="42" spans="1:27" ht="14.1" customHeight="1" x14ac:dyDescent="0.2">
      <c r="A42" s="37"/>
      <c r="B42" s="39" t="s">
        <v>154</v>
      </c>
      <c r="C42" s="282">
        <f>'[2]Go Jet'!$IF$19</f>
        <v>0</v>
      </c>
      <c r="D42" s="2">
        <f>'[2]Go Jet'!$HR$19</f>
        <v>0</v>
      </c>
      <c r="E42" s="65" t="e">
        <f t="shared" si="29"/>
        <v>#DIV/0!</v>
      </c>
      <c r="F42" s="2">
        <f>SUM('[2]Go Jet'!$IF$19:$IF$19)</f>
        <v>0</v>
      </c>
      <c r="G42" s="2">
        <f>SUM('[2]Go Jet'!$HR$19:$HR$19)</f>
        <v>0</v>
      </c>
      <c r="H42" s="3" t="e">
        <f>(F42-G42)/G42</f>
        <v>#DIV/0!</v>
      </c>
      <c r="I42" s="65">
        <f t="shared" si="30"/>
        <v>0</v>
      </c>
      <c r="J42" s="37"/>
      <c r="K42" s="39" t="s">
        <v>154</v>
      </c>
      <c r="L42" s="282">
        <f>'[2]Go Jet'!$IF$41</f>
        <v>0</v>
      </c>
      <c r="M42" s="2">
        <f>'[2]Go Jet'!$HR$41</f>
        <v>0</v>
      </c>
      <c r="N42" s="65" t="e">
        <f t="shared" si="31"/>
        <v>#DIV/0!</v>
      </c>
      <c r="O42" s="282">
        <f>SUM('[2]Go Jet'!$IF$41:$IF$41)</f>
        <v>0</v>
      </c>
      <c r="P42" s="2">
        <f>SUM('[2]Go Jet'!$HR$41:$HR$41)</f>
        <v>0</v>
      </c>
      <c r="Q42" s="3" t="e">
        <f>(O42-P42)/P42</f>
        <v>#DIV/0!</v>
      </c>
      <c r="R42" s="65">
        <f t="shared" si="33"/>
        <v>0</v>
      </c>
      <c r="S42" s="37"/>
      <c r="T42" s="39" t="s">
        <v>154</v>
      </c>
      <c r="U42" s="282">
        <f>'[2]Go Jet'!$IF$64</f>
        <v>0</v>
      </c>
      <c r="V42" s="2">
        <f>'[2]Go Jet'!$HR$64</f>
        <v>0</v>
      </c>
      <c r="W42" s="65" t="e">
        <f t="shared" si="34"/>
        <v>#DIV/0!</v>
      </c>
      <c r="X42" s="282">
        <f>SUM('[2]Go Jet'!$IF$64:$IF$64)</f>
        <v>0</v>
      </c>
      <c r="Y42" s="2">
        <f>SUM('[2]Go Jet'!$HR$64:$HR$64)</f>
        <v>0</v>
      </c>
      <c r="Z42" s="3" t="e">
        <f>(X42-Y42)/Y42</f>
        <v>#DIV/0!</v>
      </c>
      <c r="AA42" s="65">
        <f t="shared" si="36"/>
        <v>0</v>
      </c>
    </row>
    <row r="43" spans="1:27" ht="14.1" customHeight="1" x14ac:dyDescent="0.2">
      <c r="A43" s="37"/>
      <c r="B43" s="39" t="s">
        <v>97</v>
      </c>
      <c r="C43" s="282">
        <f>'[2]Sky West'!$IF$19</f>
        <v>3874</v>
      </c>
      <c r="D43" s="2">
        <f>'[2]Sky West'!$HR$19</f>
        <v>5239</v>
      </c>
      <c r="E43" s="65">
        <f t="shared" si="29"/>
        <v>-0.26054590570719605</v>
      </c>
      <c r="F43" s="2">
        <f>SUM('[2]Sky West'!$IF$19:$IF$19)</f>
        <v>3874</v>
      </c>
      <c r="G43" s="2">
        <f>SUM('[2]Sky West'!$HR$19:$HR$19)</f>
        <v>5239</v>
      </c>
      <c r="H43" s="3">
        <f t="shared" si="37"/>
        <v>-0.26054590570719605</v>
      </c>
      <c r="I43" s="65">
        <f t="shared" si="30"/>
        <v>0.17667715601769507</v>
      </c>
      <c r="J43" s="37"/>
      <c r="K43" s="39" t="s">
        <v>97</v>
      </c>
      <c r="L43" s="282">
        <f>'[2]Sky West'!$IF$41</f>
        <v>173193</v>
      </c>
      <c r="M43" s="2">
        <f>'[2]Sky West'!$HR$41</f>
        <v>209737</v>
      </c>
      <c r="N43" s="65">
        <f t="shared" si="31"/>
        <v>-0.17423725904346873</v>
      </c>
      <c r="O43" s="282">
        <f>SUM('[2]Sky West'!$IF$41:$IF$41)</f>
        <v>173193</v>
      </c>
      <c r="P43" s="2">
        <f>SUM('[2]Sky West'!$HR$41:$HR$41)</f>
        <v>209737</v>
      </c>
      <c r="Q43" s="3">
        <f t="shared" si="32"/>
        <v>-0.17423725904346873</v>
      </c>
      <c r="R43" s="65">
        <f t="shared" si="33"/>
        <v>7.4687792839083125E-2</v>
      </c>
      <c r="S43" s="37"/>
      <c r="T43" s="39" t="s">
        <v>97</v>
      </c>
      <c r="U43" s="282">
        <f>'[2]Sky West'!$IF$64</f>
        <v>0</v>
      </c>
      <c r="V43" s="2">
        <f>'[2]Sky West'!$HR$64</f>
        <v>0</v>
      </c>
      <c r="W43" s="65" t="e">
        <f t="shared" si="34"/>
        <v>#DIV/0!</v>
      </c>
      <c r="X43" s="282">
        <f>SUM('[2]Sky West'!$IF$64:$IF$64)</f>
        <v>0</v>
      </c>
      <c r="Y43" s="2">
        <f>SUM('[2]Sky West'!$HR$64:$HR$64)</f>
        <v>0</v>
      </c>
      <c r="Z43" s="3" t="e">
        <f t="shared" ref="Z43:Z45" si="38">(X43-Y43)/Y43</f>
        <v>#DIV/0!</v>
      </c>
      <c r="AA43" s="65">
        <f t="shared" si="36"/>
        <v>0</v>
      </c>
    </row>
    <row r="44" spans="1:27" ht="14.1" customHeight="1" x14ac:dyDescent="0.2">
      <c r="A44" s="37"/>
      <c r="B44" s="39" t="s">
        <v>131</v>
      </c>
      <c r="C44" s="282">
        <f>'[2]Shuttle America_Delta'!$IF$19</f>
        <v>0</v>
      </c>
      <c r="D44" s="2">
        <f>'[2]Shuttle America_Delta'!$HR$19</f>
        <v>0</v>
      </c>
      <c r="E44" s="65" t="e">
        <f t="shared" si="29"/>
        <v>#DIV/0!</v>
      </c>
      <c r="F44" s="2">
        <f>SUM('[2]Shuttle America_Delta'!$IF$19:$IF$19)</f>
        <v>0</v>
      </c>
      <c r="G44" s="2">
        <f>SUM('[2]Shuttle America_Delta'!$HR$19:$HR$19)</f>
        <v>0</v>
      </c>
      <c r="H44" s="3" t="e">
        <f t="shared" si="37"/>
        <v>#DIV/0!</v>
      </c>
      <c r="I44" s="65">
        <f t="shared" si="30"/>
        <v>0</v>
      </c>
      <c r="J44" s="37"/>
      <c r="K44" s="39" t="s">
        <v>131</v>
      </c>
      <c r="L44" s="282">
        <f>'[2]Shuttle America_Delta'!$IF$41</f>
        <v>0</v>
      </c>
      <c r="M44" s="2">
        <f>'[2]Shuttle America_Delta'!$HR$41</f>
        <v>0</v>
      </c>
      <c r="N44" s="65" t="e">
        <f t="shared" si="31"/>
        <v>#DIV/0!</v>
      </c>
      <c r="O44" s="282">
        <f>SUM('[2]Shuttle America_Delta'!$IF$41:$IF$41)</f>
        <v>0</v>
      </c>
      <c r="P44" s="2">
        <f>SUM('[2]Shuttle America_Delta'!$HR$41:$HR$41)</f>
        <v>0</v>
      </c>
      <c r="Q44" s="3" t="e">
        <f t="shared" si="32"/>
        <v>#DIV/0!</v>
      </c>
      <c r="R44" s="65">
        <f t="shared" si="33"/>
        <v>0</v>
      </c>
      <c r="S44" s="37"/>
      <c r="T44" s="39" t="s">
        <v>131</v>
      </c>
      <c r="U44" s="282">
        <f>'[2]Shuttle America_Delta'!$IF$64</f>
        <v>0</v>
      </c>
      <c r="V44" s="2">
        <f>'[2]Shuttle America_Delta'!$HR$64</f>
        <v>0</v>
      </c>
      <c r="W44" s="65" t="e">
        <f t="shared" si="34"/>
        <v>#DIV/0!</v>
      </c>
      <c r="X44" s="282">
        <f>SUM('[2]Shuttle America_Delta'!$IF$64:$IF$64)</f>
        <v>0</v>
      </c>
      <c r="Y44" s="2">
        <f>SUM('[2]Shuttle America_Delta'!$HR$64:$HR$64)</f>
        <v>0</v>
      </c>
      <c r="Z44" s="3" t="e">
        <f t="shared" si="38"/>
        <v>#DIV/0!</v>
      </c>
      <c r="AA44" s="65">
        <f t="shared" si="36"/>
        <v>0</v>
      </c>
    </row>
    <row r="45" spans="1:27" ht="14.1" customHeight="1" x14ac:dyDescent="0.2">
      <c r="A45" s="37"/>
      <c r="B45" s="337" t="s">
        <v>166</v>
      </c>
      <c r="C45" s="282">
        <f>'[2]Atlantic Southeast'!$IF$19</f>
        <v>0</v>
      </c>
      <c r="D45" s="2">
        <f>'[2]Atlantic Southeast'!$HR$19</f>
        <v>0</v>
      </c>
      <c r="E45" s="65" t="e">
        <f t="shared" si="29"/>
        <v>#DIV/0!</v>
      </c>
      <c r="F45" s="2">
        <f>SUM('[2]Atlantic Southeast'!$IF$19:$IF$19)</f>
        <v>0</v>
      </c>
      <c r="G45" s="2">
        <f>SUM('[2]Atlantic Southeast'!$HR$19:$HR$19)</f>
        <v>0</v>
      </c>
      <c r="H45" s="3" t="e">
        <f t="shared" si="37"/>
        <v>#DIV/0!</v>
      </c>
      <c r="I45" s="65">
        <f t="shared" si="30"/>
        <v>0</v>
      </c>
      <c r="J45" s="37"/>
      <c r="K45" s="337" t="s">
        <v>166</v>
      </c>
      <c r="L45" s="282">
        <f>'[2]Atlantic Southeast'!$IF$41</f>
        <v>0</v>
      </c>
      <c r="M45" s="2">
        <f>'[2]Atlantic Southeast'!$HR$41</f>
        <v>0</v>
      </c>
      <c r="N45" s="65" t="e">
        <f t="shared" si="31"/>
        <v>#DIV/0!</v>
      </c>
      <c r="O45" s="282">
        <f>SUM('[2]Atlantic Southeast'!$IF$41:$IF$41)</f>
        <v>0</v>
      </c>
      <c r="P45" s="2">
        <f>SUM('[2]Atlantic Southeast'!$HR$41:$HR$41)</f>
        <v>0</v>
      </c>
      <c r="Q45" s="3" t="e">
        <f t="shared" si="32"/>
        <v>#DIV/0!</v>
      </c>
      <c r="R45" s="65">
        <f t="shared" si="33"/>
        <v>0</v>
      </c>
      <c r="S45" s="37"/>
      <c r="T45" s="337" t="s">
        <v>166</v>
      </c>
      <c r="U45" s="282">
        <f>'[2]Atlantic Southeast'!$IF$64</f>
        <v>0</v>
      </c>
      <c r="V45" s="2">
        <f>'[2]Atlantic Southeast'!$HR$64</f>
        <v>0</v>
      </c>
      <c r="W45" s="65" t="e">
        <f t="shared" si="34"/>
        <v>#DIV/0!</v>
      </c>
      <c r="X45" s="282">
        <f>SUM('[2]Atlantic Southeast'!$IF$64:$IF$64)</f>
        <v>0</v>
      </c>
      <c r="Y45" s="2">
        <f>SUM('[2]Atlantic Southeast'!$HR$64:$HR$64)</f>
        <v>0</v>
      </c>
      <c r="Z45" s="3" t="e">
        <f t="shared" si="38"/>
        <v>#DIV/0!</v>
      </c>
      <c r="AA45" s="65">
        <f t="shared" si="36"/>
        <v>0</v>
      </c>
    </row>
    <row r="46" spans="1:27" ht="14.1" customHeight="1" x14ac:dyDescent="0.2">
      <c r="A46" s="37"/>
      <c r="B46" s="337"/>
      <c r="C46" s="282"/>
      <c r="E46" s="65"/>
      <c r="F46" s="2"/>
      <c r="I46" s="65"/>
      <c r="J46" s="37"/>
      <c r="K46" s="337"/>
      <c r="L46" s="282"/>
      <c r="N46" s="65"/>
      <c r="O46" s="282"/>
      <c r="P46" s="2"/>
      <c r="Q46" s="3"/>
      <c r="R46" s="65"/>
      <c r="S46" s="37"/>
      <c r="T46" s="337"/>
      <c r="U46" s="282"/>
      <c r="V46" s="2"/>
      <c r="W46" s="65"/>
      <c r="X46" s="282"/>
      <c r="Y46" s="2"/>
      <c r="Z46" s="3"/>
      <c r="AA46" s="65"/>
    </row>
    <row r="47" spans="1:27" ht="14.1" customHeight="1" x14ac:dyDescent="0.2">
      <c r="A47" s="277" t="s">
        <v>47</v>
      </c>
      <c r="B47" s="39"/>
      <c r="C47" s="278">
        <f>[2]Frontier!$IF$19</f>
        <v>94</v>
      </c>
      <c r="D47" s="280">
        <f>[2]Frontier!$HR$19</f>
        <v>170</v>
      </c>
      <c r="E47" s="281">
        <f>(C47-D47)/D47</f>
        <v>-0.44705882352941179</v>
      </c>
      <c r="F47" s="280">
        <f>SUM([2]Frontier!$IF$19:$IF$19)</f>
        <v>94</v>
      </c>
      <c r="G47" s="280">
        <f>SUM([2]Frontier!$HR$19:$HR$19)</f>
        <v>170</v>
      </c>
      <c r="H47" s="279">
        <f>(F47-G47)/G47</f>
        <v>-0.44705882352941179</v>
      </c>
      <c r="I47" s="281">
        <f>F47/$F$73</f>
        <v>4.2869521594381356E-3</v>
      </c>
      <c r="J47" s="277" t="s">
        <v>47</v>
      </c>
      <c r="K47" s="39"/>
      <c r="L47" s="278">
        <f>[2]Frontier!$IF$41</f>
        <v>14510</v>
      </c>
      <c r="M47" s="280">
        <f>[2]Frontier!$HR$41</f>
        <v>18270</v>
      </c>
      <c r="N47" s="281">
        <f>(L47-M47)/M47</f>
        <v>-0.20580186097427478</v>
      </c>
      <c r="O47" s="278">
        <f>SUM([2]Frontier!$IF$41:$IF$41)</f>
        <v>14510</v>
      </c>
      <c r="P47" s="280">
        <f>SUM([2]Frontier!$HR$41:$HR$41)</f>
        <v>18270</v>
      </c>
      <c r="Q47" s="279">
        <f>(O47-P47)/P47</f>
        <v>-0.20580186097427478</v>
      </c>
      <c r="R47" s="281">
        <f>O47/$O$73</f>
        <v>6.25729604600126E-3</v>
      </c>
      <c r="S47" s="277" t="s">
        <v>47</v>
      </c>
      <c r="T47" s="39"/>
      <c r="U47" s="278">
        <f>[2]Frontier!$IF$64</f>
        <v>0</v>
      </c>
      <c r="V47" s="280">
        <f>[2]Frontier!$HR$64</f>
        <v>0</v>
      </c>
      <c r="W47" s="281" t="e">
        <f>(U47-V47)/V47</f>
        <v>#DIV/0!</v>
      </c>
      <c r="X47" s="278">
        <f>SUM([2]Frontier!$IF$64:$IF$64)</f>
        <v>0</v>
      </c>
      <c r="Y47" s="280">
        <f>SUM([2]Frontier!$HR$64:$HR$64)</f>
        <v>0</v>
      </c>
      <c r="Z47" s="279" t="e">
        <f>(X47-Y47)/Y47</f>
        <v>#DIV/0!</v>
      </c>
      <c r="AA47" s="281">
        <f>X47/$X$73</f>
        <v>0</v>
      </c>
    </row>
    <row r="48" spans="1:27" ht="14.1" customHeight="1" x14ac:dyDescent="0.2">
      <c r="A48" s="277"/>
      <c r="B48" s="39"/>
      <c r="C48" s="278"/>
      <c r="D48" s="280"/>
      <c r="E48" s="281"/>
      <c r="F48" s="280"/>
      <c r="G48" s="280"/>
      <c r="H48" s="279"/>
      <c r="I48" s="281"/>
      <c r="J48" s="277"/>
      <c r="K48" s="39"/>
      <c r="L48" s="282"/>
      <c r="N48" s="65"/>
      <c r="O48" s="282"/>
      <c r="P48" s="2"/>
      <c r="Q48" s="3"/>
      <c r="R48" s="65"/>
      <c r="S48" s="277"/>
      <c r="T48" s="39"/>
      <c r="U48" s="282"/>
      <c r="V48" s="2"/>
      <c r="W48" s="65"/>
      <c r="X48" s="282"/>
      <c r="Y48" s="2"/>
      <c r="Z48" s="3"/>
      <c r="AA48" s="65"/>
    </row>
    <row r="49" spans="1:27" ht="14.1" customHeight="1" x14ac:dyDescent="0.2">
      <c r="A49" s="277" t="s">
        <v>48</v>
      </c>
      <c r="B49" s="39"/>
      <c r="C49" s="278">
        <f>[2]Icelandair!$IF$19</f>
        <v>6</v>
      </c>
      <c r="D49" s="280">
        <f>[2]Icelandair!$HR$19</f>
        <v>0</v>
      </c>
      <c r="E49" s="281" t="e">
        <f>(C49-D49)/D49</f>
        <v>#DIV/0!</v>
      </c>
      <c r="F49" s="280">
        <f>SUM([2]Icelandair!$IF$19:$IF$19)</f>
        <v>6</v>
      </c>
      <c r="G49" s="280">
        <f>SUM([2]Icelandair!$HR$19:$HR$19)</f>
        <v>0</v>
      </c>
      <c r="H49" s="279" t="e">
        <f>(F49-G49)/G49</f>
        <v>#DIV/0!</v>
      </c>
      <c r="I49" s="281">
        <f>F49/$F$73</f>
        <v>2.7363524421945547E-4</v>
      </c>
      <c r="J49" s="277" t="s">
        <v>48</v>
      </c>
      <c r="K49" s="39"/>
      <c r="L49" s="278">
        <f>[2]Icelandair!$IF$41</f>
        <v>731</v>
      </c>
      <c r="M49" s="280">
        <f>[2]Icelandair!$HR$41</f>
        <v>0</v>
      </c>
      <c r="N49" s="281" t="e">
        <f>(L49-M49)/M49</f>
        <v>#DIV/0!</v>
      </c>
      <c r="O49" s="278">
        <f>SUM([2]Icelandair!$IF$41:$IF$41)</f>
        <v>731</v>
      </c>
      <c r="P49" s="280">
        <f>SUM([2]Icelandair!$HR$41:$HR$41)</f>
        <v>0</v>
      </c>
      <c r="Q49" s="279" t="e">
        <f>(O49-P49)/P49</f>
        <v>#DIV/0!</v>
      </c>
      <c r="R49" s="281">
        <f>O49/$O$73</f>
        <v>3.1523662368207586E-4</v>
      </c>
      <c r="S49" s="277" t="s">
        <v>48</v>
      </c>
      <c r="T49" s="39"/>
      <c r="U49" s="278">
        <f>[2]Icelandair!$IF$64</f>
        <v>337</v>
      </c>
      <c r="V49" s="280">
        <f>[2]Icelandair!$HR$64</f>
        <v>0</v>
      </c>
      <c r="W49" s="281" t="e">
        <f>(U49-V49)/V49</f>
        <v>#DIV/0!</v>
      </c>
      <c r="X49" s="278">
        <f>SUM([2]Icelandair!$IF$64:$IF$64)</f>
        <v>337</v>
      </c>
      <c r="Y49" s="280">
        <f>SUM([2]Icelandair!$HR$64:$HR$64)</f>
        <v>0</v>
      </c>
      <c r="Z49" s="279" t="e">
        <f>(X49-Y49)/Y49</f>
        <v>#DIV/0!</v>
      </c>
      <c r="AA49" s="281">
        <f>X49/$X$73</f>
        <v>4.8011538725651239E-5</v>
      </c>
    </row>
    <row r="50" spans="1:27" ht="14.1" customHeight="1" x14ac:dyDescent="0.2">
      <c r="A50" s="277"/>
      <c r="B50" s="39"/>
      <c r="C50" s="278"/>
      <c r="D50" s="280"/>
      <c r="E50" s="281"/>
      <c r="F50" s="280"/>
      <c r="G50" s="280"/>
      <c r="H50" s="279"/>
      <c r="I50" s="281"/>
      <c r="J50" s="277"/>
      <c r="K50" s="39"/>
      <c r="L50" s="282"/>
      <c r="N50" s="65"/>
      <c r="O50" s="282"/>
      <c r="P50" s="2"/>
      <c r="Q50" s="3"/>
      <c r="R50" s="65"/>
      <c r="S50" s="277"/>
      <c r="T50" s="39"/>
      <c r="U50" s="282"/>
      <c r="V50" s="2"/>
      <c r="W50" s="65"/>
      <c r="X50" s="282"/>
      <c r="Y50" s="2"/>
      <c r="Z50" s="3"/>
      <c r="AA50" s="65"/>
    </row>
    <row r="51" spans="1:27" ht="14.1" customHeight="1" x14ac:dyDescent="0.2">
      <c r="A51" s="277" t="s">
        <v>198</v>
      </c>
      <c r="B51" s="39"/>
      <c r="C51" s="278">
        <f>'[2]Jet Blue'!$IF$19</f>
        <v>124</v>
      </c>
      <c r="D51" s="280">
        <f>'[2]Jet Blue'!$HR$19</f>
        <v>96</v>
      </c>
      <c r="E51" s="281">
        <f>(C51-D51)/D51</f>
        <v>0.29166666666666669</v>
      </c>
      <c r="F51" s="280">
        <f>SUM('[2]Jet Blue'!$IF$19:$IF$19)</f>
        <v>124</v>
      </c>
      <c r="G51" s="280">
        <f>SUM('[2]Jet Blue'!$HR$19:$HR$19)</f>
        <v>96</v>
      </c>
      <c r="H51" s="279">
        <f>(F51-G51)/G51</f>
        <v>0.29166666666666669</v>
      </c>
      <c r="I51" s="281">
        <f>F51/$F$73</f>
        <v>5.6551283805354128E-3</v>
      </c>
      <c r="J51" s="277" t="s">
        <v>198</v>
      </c>
      <c r="K51" s="39"/>
      <c r="L51" s="278">
        <f>'[2]Jet Blue'!$IF$41</f>
        <v>8815</v>
      </c>
      <c r="M51" s="280">
        <f>'[2]Jet Blue'!$HR$41</f>
        <v>3762</v>
      </c>
      <c r="N51" s="281">
        <f>(L51-M51)/M51</f>
        <v>1.3431685273790537</v>
      </c>
      <c r="O51" s="278">
        <f>SUM('[2]Jet Blue'!$IF$41:$IF$41)</f>
        <v>8815</v>
      </c>
      <c r="P51" s="280">
        <f>SUM('[2]Jet Blue'!$HR$41:$HR$41)</f>
        <v>3762</v>
      </c>
      <c r="Q51" s="279">
        <f>(O51-P51)/P51</f>
        <v>1.3431685273790537</v>
      </c>
      <c r="R51" s="281">
        <f>O51/$O$73</f>
        <v>3.8013828149897387E-3</v>
      </c>
      <c r="S51" s="277" t="s">
        <v>198</v>
      </c>
      <c r="T51" s="39"/>
      <c r="U51" s="278">
        <f>'[2]Jet Blue'!$IF$64</f>
        <v>0</v>
      </c>
      <c r="V51" s="280">
        <f>'[2]Jet Blue'!$HR$64</f>
        <v>0</v>
      </c>
      <c r="W51" s="281" t="e">
        <f>(U51-V51)/V51</f>
        <v>#DIV/0!</v>
      </c>
      <c r="X51" s="278">
        <f>SUM('[2]Jet Blue'!$IF$64:$IF$64)</f>
        <v>0</v>
      </c>
      <c r="Y51" s="280">
        <f>SUM('[2]Jet Blue'!$HR$64:$HR$64)</f>
        <v>0</v>
      </c>
      <c r="Z51" s="279" t="e">
        <f>(X51-Y51)/Y51</f>
        <v>#DIV/0!</v>
      </c>
      <c r="AA51" s="281">
        <f>X51/$X$73</f>
        <v>0</v>
      </c>
    </row>
    <row r="52" spans="1:27" ht="14.1" customHeight="1" x14ac:dyDescent="0.2">
      <c r="A52" s="277"/>
      <c r="B52" s="39"/>
      <c r="C52" s="278"/>
      <c r="D52" s="280"/>
      <c r="E52" s="281"/>
      <c r="F52" s="280"/>
      <c r="G52" s="280"/>
      <c r="H52" s="279"/>
      <c r="I52" s="281"/>
      <c r="J52" s="277"/>
      <c r="K52" s="39"/>
      <c r="L52" s="282"/>
      <c r="N52" s="65"/>
      <c r="O52" s="282"/>
      <c r="P52" s="2"/>
      <c r="Q52" s="3"/>
      <c r="R52" s="65"/>
      <c r="S52" s="277"/>
      <c r="T52" s="39"/>
      <c r="U52" s="282"/>
      <c r="V52" s="2"/>
      <c r="W52" s="65"/>
      <c r="X52" s="282"/>
      <c r="Y52" s="2"/>
      <c r="Z52" s="3"/>
      <c r="AA52" s="65"/>
    </row>
    <row r="53" spans="1:27" ht="14.1" customHeight="1" x14ac:dyDescent="0.2">
      <c r="A53" s="277" t="s">
        <v>193</v>
      </c>
      <c r="B53" s="39"/>
      <c r="C53" s="278">
        <f>[2]KLM!$IF$19</f>
        <v>34</v>
      </c>
      <c r="D53" s="280">
        <f>[2]KLM!$HR$19</f>
        <v>28</v>
      </c>
      <c r="E53" s="281">
        <f>(C53-D53)/D53</f>
        <v>0.21428571428571427</v>
      </c>
      <c r="F53" s="280">
        <f>SUM([2]KLM!$IF$19:$IF$19)</f>
        <v>34</v>
      </c>
      <c r="G53" s="280">
        <f>SUM([2]KLM!$HR$19:$HR$19)</f>
        <v>28</v>
      </c>
      <c r="H53" s="279">
        <f>(F53-G53)/G53</f>
        <v>0.21428571428571427</v>
      </c>
      <c r="I53" s="281">
        <f>F53/$F$73</f>
        <v>1.5505997172435809E-3</v>
      </c>
      <c r="J53" s="277" t="s">
        <v>193</v>
      </c>
      <c r="K53" s="39"/>
      <c r="L53" s="278">
        <f>[2]KLM!$IF$41</f>
        <v>6668</v>
      </c>
      <c r="M53" s="280">
        <f>[2]KLM!$HR$41</f>
        <v>4474</v>
      </c>
      <c r="N53" s="281">
        <f>(L53-M53)/M53</f>
        <v>0.49038891372373716</v>
      </c>
      <c r="O53" s="278">
        <f>SUM([2]KLM!$IF$41:$IF$41)</f>
        <v>6668</v>
      </c>
      <c r="P53" s="280">
        <f>SUM([2]KLM!$HR$41:$HR$41)</f>
        <v>4474</v>
      </c>
      <c r="Q53" s="279">
        <f>(O53-P53)/P53</f>
        <v>0.49038891372373716</v>
      </c>
      <c r="R53" s="281">
        <f>O53/$O$73</f>
        <v>2.8755099955021643E-3</v>
      </c>
      <c r="S53" s="277" t="s">
        <v>193</v>
      </c>
      <c r="T53" s="39"/>
      <c r="U53" s="278">
        <f>[2]KLM!$IF$64</f>
        <v>602670</v>
      </c>
      <c r="V53" s="280">
        <f>[2]KLM!$HR$64</f>
        <v>527865</v>
      </c>
      <c r="W53" s="281">
        <f>(U53-V53)/V53</f>
        <v>0.14171236963996475</v>
      </c>
      <c r="X53" s="278">
        <f>SUM([2]KLM!$IF$64:$IF$64)</f>
        <v>602670</v>
      </c>
      <c r="Y53" s="280">
        <f>SUM([2]KLM!$HR$64:$HR$64)</f>
        <v>527865</v>
      </c>
      <c r="Z53" s="279">
        <f>(X53-Y53)/Y53</f>
        <v>0.14171236963996475</v>
      </c>
      <c r="AA53" s="281">
        <f>X53/$X$73</f>
        <v>8.5860872533496238E-2</v>
      </c>
    </row>
    <row r="54" spans="1:27" ht="14.1" customHeight="1" x14ac:dyDescent="0.2">
      <c r="A54" s="277"/>
      <c r="B54" s="39"/>
      <c r="C54" s="278"/>
      <c r="D54" s="280"/>
      <c r="E54" s="281"/>
      <c r="F54" s="280"/>
      <c r="G54" s="280"/>
      <c r="H54" s="279"/>
      <c r="I54" s="281"/>
      <c r="J54" s="277"/>
      <c r="K54" s="39"/>
      <c r="L54" s="282"/>
      <c r="N54" s="65"/>
      <c r="O54" s="282"/>
      <c r="P54" s="2"/>
      <c r="Q54" s="3"/>
      <c r="R54" s="65"/>
      <c r="S54" s="277"/>
      <c r="T54" s="39"/>
      <c r="U54" s="282"/>
      <c r="V54" s="2"/>
      <c r="W54" s="65"/>
      <c r="X54" s="282"/>
      <c r="Y54" s="2"/>
      <c r="Z54" s="3"/>
      <c r="AA54" s="65"/>
    </row>
    <row r="55" spans="1:27" ht="14.1" customHeight="1" x14ac:dyDescent="0.2">
      <c r="A55" s="277" t="s">
        <v>129</v>
      </c>
      <c r="B55" s="39"/>
      <c r="C55" s="278">
        <f>[2]Southwest!$IF$19</f>
        <v>908</v>
      </c>
      <c r="D55" s="280">
        <f>[2]Southwest!$HR$19</f>
        <v>641</v>
      </c>
      <c r="E55" s="281">
        <f>(C55-D55)/D55</f>
        <v>0.41653666146645868</v>
      </c>
      <c r="F55" s="280">
        <f>SUM([2]Southwest!$IF$19:$IF$19)</f>
        <v>908</v>
      </c>
      <c r="G55" s="280">
        <f>SUM([2]Southwest!$HR$19:$HR$19)</f>
        <v>641</v>
      </c>
      <c r="H55" s="279">
        <f>(F55-G55)/G55</f>
        <v>0.41653666146645868</v>
      </c>
      <c r="I55" s="281">
        <f>F55/$F$73</f>
        <v>4.1410133625210926E-2</v>
      </c>
      <c r="J55" s="277" t="s">
        <v>129</v>
      </c>
      <c r="K55" s="39"/>
      <c r="L55" s="278">
        <f>[2]Southwest!$IF$41</f>
        <v>88624</v>
      </c>
      <c r="M55" s="280">
        <f>[2]Southwest!$HR$41</f>
        <v>67384</v>
      </c>
      <c r="N55" s="281">
        <f>(L55-M55)/M55</f>
        <v>0.31520835806719694</v>
      </c>
      <c r="O55" s="278">
        <f>SUM([2]Southwest!$IF$41:$IF$41)</f>
        <v>88624</v>
      </c>
      <c r="P55" s="280">
        <f>SUM([2]Southwest!$HR$41:$HR$41)</f>
        <v>67384</v>
      </c>
      <c r="Q55" s="279">
        <f>(O55-P55)/P55</f>
        <v>0.31520835806719694</v>
      </c>
      <c r="R55" s="281">
        <f>O55/$O$73</f>
        <v>3.8218236029001769E-2</v>
      </c>
      <c r="S55" s="277" t="s">
        <v>129</v>
      </c>
      <c r="T55" s="39"/>
      <c r="U55" s="278">
        <f>[2]Southwest!$IF$64</f>
        <v>176647</v>
      </c>
      <c r="V55" s="280">
        <f>[2]Southwest!$HR$64</f>
        <v>192369</v>
      </c>
      <c r="W55" s="281">
        <f>(U55-V55)/V55</f>
        <v>-8.1728345003612854E-2</v>
      </c>
      <c r="X55" s="278">
        <f>SUM([2]Southwest!$IF$64:$IF$64)</f>
        <v>176647</v>
      </c>
      <c r="Y55" s="280">
        <f>SUM([2]Southwest!$HR$64:$HR$64)</f>
        <v>192369</v>
      </c>
      <c r="Z55" s="279">
        <f>(X55-Y55)/Y55</f>
        <v>-8.1728345003612854E-2</v>
      </c>
      <c r="AA55" s="281">
        <f>X55/$X$73</f>
        <v>2.5166451873205088E-2</v>
      </c>
    </row>
    <row r="56" spans="1:27" ht="14.1" customHeight="1" x14ac:dyDescent="0.2">
      <c r="A56" s="277"/>
      <c r="B56" s="39"/>
      <c r="C56" s="278"/>
      <c r="D56" s="280"/>
      <c r="E56" s="281"/>
      <c r="F56" s="280"/>
      <c r="G56" s="280"/>
      <c r="H56" s="279"/>
      <c r="I56" s="281"/>
      <c r="J56" s="277"/>
      <c r="K56" s="39"/>
      <c r="L56" s="282"/>
      <c r="N56" s="65"/>
      <c r="O56" s="282"/>
      <c r="P56" s="2"/>
      <c r="Q56" s="3"/>
      <c r="R56" s="65"/>
      <c r="S56" s="277"/>
      <c r="T56" s="39"/>
      <c r="U56" s="282"/>
      <c r="V56" s="2"/>
      <c r="W56" s="65"/>
      <c r="X56" s="282"/>
      <c r="Y56" s="2"/>
      <c r="Z56" s="3"/>
      <c r="AA56" s="65"/>
    </row>
    <row r="57" spans="1:27" ht="14.1" customHeight="1" x14ac:dyDescent="0.2">
      <c r="A57" s="277" t="s">
        <v>155</v>
      </c>
      <c r="B57" s="39"/>
      <c r="C57" s="278">
        <f>[2]Spirit!$IF$19</f>
        <v>381</v>
      </c>
      <c r="D57" s="280">
        <f>[2]Spirit!$HR$19</f>
        <v>291</v>
      </c>
      <c r="E57" s="281">
        <f>(C57-D57)/D57</f>
        <v>0.30927835051546393</v>
      </c>
      <c r="F57" s="280">
        <f>SUM([2]Spirit!$IF$19:$IF$19)</f>
        <v>381</v>
      </c>
      <c r="G57" s="280">
        <f>SUM([2]Spirit!$HR$19:$HR$19)</f>
        <v>291</v>
      </c>
      <c r="H57" s="279">
        <f>(F57-G57)/G57</f>
        <v>0.30927835051546393</v>
      </c>
      <c r="I57" s="281">
        <f>F57/$F$73</f>
        <v>1.7375838007935421E-2</v>
      </c>
      <c r="J57" s="277" t="s">
        <v>155</v>
      </c>
      <c r="K57" s="39"/>
      <c r="L57" s="278">
        <f>[2]Spirit!$IF$41</f>
        <v>42939</v>
      </c>
      <c r="M57" s="280">
        <f>[2]Spirit!$HR$41</f>
        <v>37272</v>
      </c>
      <c r="N57" s="281">
        <f>(L57-M57)/M57</f>
        <v>0.15204443013522215</v>
      </c>
      <c r="O57" s="278">
        <f>SUM([2]Spirit!$IF$41:$IF$41)</f>
        <v>42939</v>
      </c>
      <c r="P57" s="280">
        <f>SUM([2]Spirit!$HR$41:$HR$41)</f>
        <v>37272</v>
      </c>
      <c r="Q57" s="279">
        <f>(O57-P57)/P57</f>
        <v>0.15204443013522215</v>
      </c>
      <c r="R57" s="281">
        <f>O57/$O$73</f>
        <v>1.8517025149500214E-2</v>
      </c>
      <c r="S57" s="277" t="s">
        <v>155</v>
      </c>
      <c r="T57" s="39"/>
      <c r="U57" s="278">
        <f>[2]Spirit!$IF$64</f>
        <v>0</v>
      </c>
      <c r="V57" s="280">
        <f>[2]Spirit!$HR$64</f>
        <v>0</v>
      </c>
      <c r="W57" s="281" t="e">
        <f>(U57-V57)/V57</f>
        <v>#DIV/0!</v>
      </c>
      <c r="X57" s="278">
        <f>SUM([2]Spirit!$IF$64:$IF$64)</f>
        <v>0</v>
      </c>
      <c r="Y57" s="280">
        <f>SUM([2]Spirit!$HR$64:$HR$64)</f>
        <v>0</v>
      </c>
      <c r="Z57" s="279" t="e">
        <f>(X57-Y57)/Y57</f>
        <v>#DIV/0!</v>
      </c>
      <c r="AA57" s="281">
        <f>X57/$X$73</f>
        <v>0</v>
      </c>
    </row>
    <row r="58" spans="1:27" ht="14.1" customHeight="1" x14ac:dyDescent="0.2">
      <c r="A58" s="277"/>
      <c r="B58" s="39"/>
      <c r="C58" s="278"/>
      <c r="D58" s="280"/>
      <c r="E58" s="281"/>
      <c r="F58" s="280"/>
      <c r="G58" s="280"/>
      <c r="H58" s="279"/>
      <c r="I58" s="281"/>
      <c r="J58" s="277"/>
      <c r="K58" s="39"/>
      <c r="L58" s="282"/>
      <c r="N58" s="65"/>
      <c r="O58" s="282"/>
      <c r="P58" s="2"/>
      <c r="Q58" s="3"/>
      <c r="R58" s="65">
        <f>O58/$O$73</f>
        <v>0</v>
      </c>
      <c r="S58" s="277"/>
      <c r="T58" s="39"/>
      <c r="U58" s="282"/>
      <c r="V58" s="2"/>
      <c r="W58" s="65"/>
      <c r="X58" s="282"/>
      <c r="Y58" s="2"/>
      <c r="Z58" s="3"/>
      <c r="AA58" s="65">
        <f>X58/$X$73</f>
        <v>0</v>
      </c>
    </row>
    <row r="59" spans="1:27" ht="14.1" customHeight="1" x14ac:dyDescent="0.2">
      <c r="A59" s="277" t="s">
        <v>49</v>
      </c>
      <c r="B59" s="39"/>
      <c r="C59" s="278">
        <f>'[2]Sun Country'!$IF$19</f>
        <v>1792</v>
      </c>
      <c r="D59" s="280">
        <f>'[2]Sun Country'!$HR$19</f>
        <v>1843</v>
      </c>
      <c r="E59" s="281">
        <f>(C59-D59)/D59</f>
        <v>-2.7672273467173086E-2</v>
      </c>
      <c r="F59" s="280">
        <f>SUM('[2]Sun Country'!$IF$19:$IF$19)</f>
        <v>1792</v>
      </c>
      <c r="G59" s="280">
        <f>SUM('[2]Sun Country'!$HR$19:$HR$19)</f>
        <v>1843</v>
      </c>
      <c r="H59" s="279">
        <f>(F59-G59)/G59</f>
        <v>-2.7672273467173086E-2</v>
      </c>
      <c r="I59" s="281">
        <f>F59/$F$73</f>
        <v>8.1725726273544033E-2</v>
      </c>
      <c r="J59" s="277" t="s">
        <v>49</v>
      </c>
      <c r="K59" s="39"/>
      <c r="L59" s="278">
        <f>'[2]Sun Country'!$IF$41</f>
        <v>253235</v>
      </c>
      <c r="M59" s="280">
        <f>'[2]Sun Country'!$HR$41</f>
        <v>228057</v>
      </c>
      <c r="N59" s="281">
        <f>(L59-M59)/M59</f>
        <v>0.11040222400540216</v>
      </c>
      <c r="O59" s="278">
        <f>SUM('[2]Sun Country'!$IF$41:$IF$41)</f>
        <v>253235</v>
      </c>
      <c r="P59" s="280">
        <f>SUM('[2]Sun Country'!$HR$41:$HR$41)</f>
        <v>228057</v>
      </c>
      <c r="Q59" s="279">
        <f>(O59-P59)/P59</f>
        <v>0.11040222400540216</v>
      </c>
      <c r="R59" s="281">
        <f>O59/$O$73</f>
        <v>0.10920512503164226</v>
      </c>
      <c r="S59" s="277" t="s">
        <v>49</v>
      </c>
      <c r="T59" s="39"/>
      <c r="U59" s="278">
        <f>'[2]Sun Country'!$IF$64</f>
        <v>40217</v>
      </c>
      <c r="V59" s="280">
        <f>'[2]Sun Country'!$HR$64</f>
        <v>324080</v>
      </c>
      <c r="W59" s="281">
        <f>(U59-V59)/V59</f>
        <v>-0.87590409775364109</v>
      </c>
      <c r="X59" s="278">
        <f>SUM('[2]Sun Country'!$IF$64:$IF$64)</f>
        <v>40217</v>
      </c>
      <c r="Y59" s="280">
        <f>SUM('[2]Sun Country'!$HR$64:$HR$64)</f>
        <v>324080</v>
      </c>
      <c r="Z59" s="279">
        <f>(X59-Y59)/Y59</f>
        <v>-0.87590409775364109</v>
      </c>
      <c r="AA59" s="281">
        <f>X59/$X$73</f>
        <v>5.7296144003843204E-3</v>
      </c>
    </row>
    <row r="60" spans="1:27" ht="14.1" customHeight="1" x14ac:dyDescent="0.2">
      <c r="A60" s="277"/>
      <c r="B60" s="39"/>
      <c r="C60" s="278"/>
      <c r="D60" s="280"/>
      <c r="E60" s="281"/>
      <c r="F60" s="280"/>
      <c r="G60" s="280"/>
      <c r="H60" s="279"/>
      <c r="I60" s="281"/>
      <c r="J60" s="277"/>
      <c r="K60" s="39"/>
      <c r="L60" s="282"/>
      <c r="N60" s="65"/>
      <c r="O60" s="282"/>
      <c r="P60" s="2"/>
      <c r="Q60" s="3"/>
      <c r="R60" s="65"/>
      <c r="S60" s="277"/>
      <c r="T60" s="39"/>
      <c r="U60" s="282"/>
      <c r="V60" s="2"/>
      <c r="W60" s="65"/>
      <c r="X60" s="282"/>
      <c r="Y60" s="2"/>
      <c r="Z60" s="3"/>
      <c r="AA60" s="65"/>
    </row>
    <row r="61" spans="1:27" ht="14.1" customHeight="1" x14ac:dyDescent="0.2">
      <c r="A61" s="277" t="s">
        <v>19</v>
      </c>
      <c r="B61" s="284"/>
      <c r="C61" s="278">
        <f>SUM(C62:C68)</f>
        <v>886</v>
      </c>
      <c r="D61" s="280">
        <f>SUM(D62:D68)</f>
        <v>830</v>
      </c>
      <c r="E61" s="281">
        <f t="shared" ref="E61:E68" si="39">(C61-D61)/D61</f>
        <v>6.746987951807229E-2</v>
      </c>
      <c r="F61" s="280">
        <f>SUM(F62:F68)</f>
        <v>886</v>
      </c>
      <c r="G61" s="280">
        <f>SUM(G62:G68)</f>
        <v>830</v>
      </c>
      <c r="H61" s="279">
        <f t="shared" ref="H61:H68" si="40">(F61-G61)/G61</f>
        <v>6.746987951807229E-2</v>
      </c>
      <c r="I61" s="281">
        <f t="shared" ref="I61:I68" si="41">F61/$F$73</f>
        <v>4.040680439640626E-2</v>
      </c>
      <c r="J61" s="277" t="s">
        <v>19</v>
      </c>
      <c r="K61" s="284"/>
      <c r="L61" s="278">
        <f>SUM(L62:L68)</f>
        <v>109627</v>
      </c>
      <c r="M61" s="280">
        <f>SUM(M62:M68)</f>
        <v>75159</v>
      </c>
      <c r="N61" s="281">
        <f t="shared" ref="N61:N68" si="42">(L61-M61)/M61</f>
        <v>0.45860109900344603</v>
      </c>
      <c r="O61" s="278">
        <f>SUM(O62:O68)</f>
        <v>109627</v>
      </c>
      <c r="P61" s="280">
        <f>SUM(P62:P68)</f>
        <v>75159</v>
      </c>
      <c r="Q61" s="279">
        <f t="shared" ref="Q61:Q68" si="43">(O61-P61)/P61</f>
        <v>0.45860109900344603</v>
      </c>
      <c r="R61" s="281">
        <f t="shared" ref="R61:R68" si="44">O61/$O$73</f>
        <v>4.7275575026532055E-2</v>
      </c>
      <c r="S61" s="277" t="s">
        <v>19</v>
      </c>
      <c r="T61" s="284"/>
      <c r="U61" s="278">
        <f>SUM(U62:U68)</f>
        <v>132692</v>
      </c>
      <c r="V61" s="280">
        <f>SUM(V62:V68)</f>
        <v>89966</v>
      </c>
      <c r="W61" s="281">
        <f t="shared" ref="W61:W68" si="45">(U61-V61)/V61</f>
        <v>0.4749127448147078</v>
      </c>
      <c r="X61" s="278">
        <f>SUM(X62:X68)</f>
        <v>132692</v>
      </c>
      <c r="Y61" s="280">
        <f>SUM(Y62:Y68)</f>
        <v>89966</v>
      </c>
      <c r="Z61" s="279">
        <f t="shared" ref="Z61:Z68" si="46">(X61-Y61)/Y61</f>
        <v>0.4749127448147078</v>
      </c>
      <c r="AA61" s="281">
        <f t="shared" ref="AA61:AA68" si="47">X61/$X$73</f>
        <v>1.8904294055145741E-2</v>
      </c>
    </row>
    <row r="62" spans="1:27" ht="14.1" customHeight="1" x14ac:dyDescent="0.2">
      <c r="A62" s="37"/>
      <c r="B62" s="337" t="s">
        <v>19</v>
      </c>
      <c r="C62" s="282">
        <f>[2]United!$IF$19</f>
        <v>780</v>
      </c>
      <c r="D62" s="2">
        <f>[2]United!$HR$19+[2]Continental!$HR$19</f>
        <v>527</v>
      </c>
      <c r="E62" s="65">
        <f t="shared" si="39"/>
        <v>0.48007590132827327</v>
      </c>
      <c r="F62" s="2">
        <f>SUM([2]United!$IF$19:$IF$19)</f>
        <v>780</v>
      </c>
      <c r="G62" s="2">
        <f>SUM([2]United!$HR$19:$HR$19)+SUM([2]Continental!$HR$19:$HR$19)</f>
        <v>527</v>
      </c>
      <c r="H62" s="3">
        <f t="shared" si="40"/>
        <v>0.48007590132827327</v>
      </c>
      <c r="I62" s="65">
        <f t="shared" si="41"/>
        <v>3.557258174852921E-2</v>
      </c>
      <c r="J62" s="37"/>
      <c r="K62" s="337" t="s">
        <v>19</v>
      </c>
      <c r="L62" s="282">
        <f>[2]United!$IF$41</f>
        <v>103573</v>
      </c>
      <c r="M62" s="2">
        <f>[2]United!$HR$41+[2]Continental!$HR$41</f>
        <v>57743</v>
      </c>
      <c r="N62" s="65">
        <f t="shared" si="42"/>
        <v>0.7936892783540862</v>
      </c>
      <c r="O62" s="282">
        <f>SUM([2]United!$IF$41:$IF$41)</f>
        <v>103573</v>
      </c>
      <c r="P62" s="2">
        <f>SUM([2]United!$HR$41:$HR$41)+SUM([2]Continental!$HR$41:$HR$41)</f>
        <v>57743</v>
      </c>
      <c r="Q62" s="3">
        <f t="shared" si="43"/>
        <v>0.7936892783540862</v>
      </c>
      <c r="R62" s="65">
        <f t="shared" si="44"/>
        <v>4.4664846545312782E-2</v>
      </c>
      <c r="S62" s="37"/>
      <c r="T62" s="337" t="s">
        <v>19</v>
      </c>
      <c r="U62" s="282">
        <f>[2]United!$IF$64</f>
        <v>132692</v>
      </c>
      <c r="V62" s="2">
        <f>[2]United!$HR$64+[2]Continental!$HR$64</f>
        <v>89966</v>
      </c>
      <c r="W62" s="65">
        <f t="shared" si="45"/>
        <v>0.4749127448147078</v>
      </c>
      <c r="X62" s="282">
        <f>SUM([2]United!$IF$64:$IF$64)</f>
        <v>132692</v>
      </c>
      <c r="Y62" s="2">
        <f>SUM([2]United!$HR$64:$HR$64)+SUM([2]Continental!$HR$64:$HR$64)</f>
        <v>89966</v>
      </c>
      <c r="Z62" s="3">
        <f t="shared" si="46"/>
        <v>0.4749127448147078</v>
      </c>
      <c r="AA62" s="65">
        <f t="shared" si="47"/>
        <v>1.8904294055145741E-2</v>
      </c>
    </row>
    <row r="63" spans="1:27" ht="14.1" customHeight="1" x14ac:dyDescent="0.2">
      <c r="A63" s="37"/>
      <c r="B63" s="337" t="s">
        <v>166</v>
      </c>
      <c r="C63" s="282">
        <f>'[2]Continental Express'!$IF$19</f>
        <v>0</v>
      </c>
      <c r="D63" s="2">
        <f>'[2]Continental Express'!$HR$19</f>
        <v>0</v>
      </c>
      <c r="E63" s="65" t="e">
        <f t="shared" si="39"/>
        <v>#DIV/0!</v>
      </c>
      <c r="F63" s="2">
        <f>SUM('[2]Continental Express'!$IF$19:$IF$19)</f>
        <v>0</v>
      </c>
      <c r="G63" s="2">
        <f>SUM('[2]Continental Express'!$HR$19:$HR$19)</f>
        <v>0</v>
      </c>
      <c r="H63" s="3" t="e">
        <f t="shared" si="40"/>
        <v>#DIV/0!</v>
      </c>
      <c r="I63" s="65">
        <f t="shared" si="41"/>
        <v>0</v>
      </c>
      <c r="J63" s="37"/>
      <c r="K63" s="337" t="s">
        <v>166</v>
      </c>
      <c r="L63" s="282">
        <f>'[2]Continental Express'!$IF$41</f>
        <v>0</v>
      </c>
      <c r="M63" s="2">
        <f>'[2]Continental Express'!$HR$41</f>
        <v>0</v>
      </c>
      <c r="N63" s="65" t="e">
        <f t="shared" si="42"/>
        <v>#DIV/0!</v>
      </c>
      <c r="O63" s="282">
        <f>SUM('[2]Continental Express'!$IF$41:$IF$41)</f>
        <v>0</v>
      </c>
      <c r="P63" s="2">
        <f>SUM('[2]Continental Express'!$HR$41:$HR$41)</f>
        <v>0</v>
      </c>
      <c r="Q63" s="3" t="e">
        <f t="shared" si="43"/>
        <v>#DIV/0!</v>
      </c>
      <c r="R63" s="65">
        <f t="shared" si="44"/>
        <v>0</v>
      </c>
      <c r="S63" s="37"/>
      <c r="T63" s="337" t="s">
        <v>166</v>
      </c>
      <c r="U63" s="282">
        <f>'[2]Continental Express'!$IF$64</f>
        <v>0</v>
      </c>
      <c r="V63" s="2">
        <f>'[2]Continental Express'!$HR$64</f>
        <v>0</v>
      </c>
      <c r="W63" s="65" t="e">
        <f t="shared" si="45"/>
        <v>#DIV/0!</v>
      </c>
      <c r="X63" s="282">
        <f>SUM('[2]Continental Express'!$IF$64:$IF$64)</f>
        <v>0</v>
      </c>
      <c r="Y63" s="2">
        <f>SUM('[2]Continental Express'!$HR$64:$HR$64)</f>
        <v>0</v>
      </c>
      <c r="Z63" s="3" t="e">
        <f t="shared" si="46"/>
        <v>#DIV/0!</v>
      </c>
      <c r="AA63" s="65">
        <f t="shared" si="47"/>
        <v>0</v>
      </c>
    </row>
    <row r="64" spans="1:27" ht="14.1" customHeight="1" x14ac:dyDescent="0.2">
      <c r="A64" s="37"/>
      <c r="B64" s="39" t="s">
        <v>154</v>
      </c>
      <c r="C64" s="282">
        <f>'[2]Go Jet_UA'!$IF$19</f>
        <v>0</v>
      </c>
      <c r="D64" s="2">
        <f>'[2]Go Jet_UA'!$HR$19</f>
        <v>0</v>
      </c>
      <c r="E64" s="65" t="e">
        <f t="shared" si="39"/>
        <v>#DIV/0!</v>
      </c>
      <c r="F64" s="2">
        <f>SUM('[2]Go Jet_UA'!$IF$19:$IF$19)</f>
        <v>0</v>
      </c>
      <c r="G64" s="2">
        <f>SUM('[2]Go Jet_UA'!$HR$19:$HR$19)</f>
        <v>0</v>
      </c>
      <c r="H64" s="3" t="e">
        <f t="shared" si="40"/>
        <v>#DIV/0!</v>
      </c>
      <c r="I64" s="65">
        <f t="shared" si="41"/>
        <v>0</v>
      </c>
      <c r="J64" s="37"/>
      <c r="K64" s="39" t="s">
        <v>154</v>
      </c>
      <c r="L64" s="282">
        <f>'[2]Go Jet_UA'!$IF$41</f>
        <v>0</v>
      </c>
      <c r="M64" s="2">
        <f>'[2]Go Jet_UA'!$HR$41</f>
        <v>0</v>
      </c>
      <c r="N64" s="65" t="e">
        <f t="shared" si="42"/>
        <v>#DIV/0!</v>
      </c>
      <c r="O64" s="282">
        <f>SUM('[2]Go Jet_UA'!$IF$41:$IF$41)</f>
        <v>0</v>
      </c>
      <c r="P64" s="2">
        <f>SUM('[2]Go Jet_UA'!$HR$41:$HR$41)</f>
        <v>0</v>
      </c>
      <c r="Q64" s="3" t="e">
        <f t="shared" si="43"/>
        <v>#DIV/0!</v>
      </c>
      <c r="R64" s="65">
        <f t="shared" si="44"/>
        <v>0</v>
      </c>
      <c r="S64" s="37"/>
      <c r="T64" s="39" t="s">
        <v>154</v>
      </c>
      <c r="U64" s="282">
        <f>'[2]Go Jet_UA'!$IF$64</f>
        <v>0</v>
      </c>
      <c r="V64" s="2">
        <f>'[2]Go Jet_UA'!$HR$64</f>
        <v>0</v>
      </c>
      <c r="W64" s="65" t="e">
        <f t="shared" si="45"/>
        <v>#DIV/0!</v>
      </c>
      <c r="X64" s="282">
        <f>SUM('[2]Go Jet_UA'!$IF$64:$IF$64)</f>
        <v>0</v>
      </c>
      <c r="Y64" s="2">
        <f>SUM('[2]Go Jet_UA'!$HR$64:$HR$64)</f>
        <v>0</v>
      </c>
      <c r="Z64" s="3" t="e">
        <f t="shared" si="46"/>
        <v>#DIV/0!</v>
      </c>
      <c r="AA64" s="65">
        <f t="shared" si="47"/>
        <v>0</v>
      </c>
    </row>
    <row r="65" spans="1:27" ht="14.1" customHeight="1" x14ac:dyDescent="0.2">
      <c r="A65" s="37"/>
      <c r="B65" s="39" t="s">
        <v>51</v>
      </c>
      <c r="C65" s="282">
        <f>[2]MESA_UA!$IF$19</f>
        <v>6</v>
      </c>
      <c r="D65" s="2">
        <f>[2]MESA_UA!$HR$19</f>
        <v>150</v>
      </c>
      <c r="E65" s="65">
        <f t="shared" si="39"/>
        <v>-0.96</v>
      </c>
      <c r="F65" s="2">
        <f>SUM([2]MESA_UA!$IF$19:$IF$19)</f>
        <v>6</v>
      </c>
      <c r="G65" s="2">
        <f>SUM([2]MESA_UA!$HR$19:$HR$19)</f>
        <v>150</v>
      </c>
      <c r="H65" s="3">
        <f>(F65-G65)/G65</f>
        <v>-0.96</v>
      </c>
      <c r="I65" s="65">
        <f t="shared" si="41"/>
        <v>2.7363524421945547E-4</v>
      </c>
      <c r="J65" s="37"/>
      <c r="K65" s="39" t="s">
        <v>51</v>
      </c>
      <c r="L65" s="282">
        <f>[2]MESA_UA!$IF$41</f>
        <v>416</v>
      </c>
      <c r="M65" s="2">
        <f>[2]MESA_UA!$HR$41</f>
        <v>8779</v>
      </c>
      <c r="N65" s="65">
        <f t="shared" si="42"/>
        <v>-0.95261419296047389</v>
      </c>
      <c r="O65" s="282">
        <f>SUM([2]MESA_UA!$IF$41:$IF$41)</f>
        <v>416</v>
      </c>
      <c r="P65" s="2">
        <f>SUM([2]MESA_UA!$HR$41:$HR$41)</f>
        <v>8779</v>
      </c>
      <c r="Q65" s="3">
        <f t="shared" si="43"/>
        <v>-0.95261419296047389</v>
      </c>
      <c r="R65" s="65">
        <f t="shared" si="44"/>
        <v>1.7939594453042897E-4</v>
      </c>
      <c r="S65" s="37"/>
      <c r="T65" s="39" t="s">
        <v>51</v>
      </c>
      <c r="U65" s="282">
        <f>[2]MESA_UA!$IF$64</f>
        <v>0</v>
      </c>
      <c r="V65" s="2">
        <f>[2]MESA_UA!$HR$64</f>
        <v>0</v>
      </c>
      <c r="W65" s="65" t="e">
        <f t="shared" si="45"/>
        <v>#DIV/0!</v>
      </c>
      <c r="X65" s="282">
        <f>SUM([2]MESA_UA!$IF$64:$IF$64)</f>
        <v>0</v>
      </c>
      <c r="Y65" s="2">
        <f>SUM([2]MESA_UA!$HR$64:$HR$64)</f>
        <v>0</v>
      </c>
      <c r="Z65" s="3" t="e">
        <f t="shared" si="46"/>
        <v>#DIV/0!</v>
      </c>
      <c r="AA65" s="65">
        <f t="shared" si="47"/>
        <v>0</v>
      </c>
    </row>
    <row r="66" spans="1:27" ht="14.1" customHeight="1" x14ac:dyDescent="0.2">
      <c r="A66" s="37"/>
      <c r="B66" s="337" t="s">
        <v>52</v>
      </c>
      <c r="C66" s="282">
        <f>[2]Republic_UA!$IF$19</f>
        <v>84</v>
      </c>
      <c r="D66" s="2">
        <f>[2]Republic_UA!$HR$19</f>
        <v>77</v>
      </c>
      <c r="E66" s="65">
        <f t="shared" si="39"/>
        <v>9.0909090909090912E-2</v>
      </c>
      <c r="F66" s="2">
        <f>SUM([2]Republic_UA!$IF$19:$IF$19)</f>
        <v>84</v>
      </c>
      <c r="G66" s="2">
        <f>SUM([2]Republic_UA!$HR$19:$HR$19)</f>
        <v>77</v>
      </c>
      <c r="H66" s="3">
        <f t="shared" ref="H66" si="48">(F66-G66)/G66</f>
        <v>9.0909090909090912E-2</v>
      </c>
      <c r="I66" s="65">
        <f t="shared" si="41"/>
        <v>3.8308934190723763E-3</v>
      </c>
      <c r="J66" s="37"/>
      <c r="K66" s="337" t="s">
        <v>52</v>
      </c>
      <c r="L66" s="282">
        <f>[2]Republic_UA!$IF$41</f>
        <v>5077</v>
      </c>
      <c r="M66" s="2">
        <f>[2]Republic_UA!$HR$41</f>
        <v>3915</v>
      </c>
      <c r="N66" s="65">
        <f t="shared" si="42"/>
        <v>0.29680715197956575</v>
      </c>
      <c r="O66" s="282">
        <f>SUM([2]Republic_UA!$IF$41:$IF$41)</f>
        <v>5077</v>
      </c>
      <c r="P66" s="2">
        <f>SUM([2]Republic_UA!$HR$41:$HR$41)</f>
        <v>3915</v>
      </c>
      <c r="Q66" s="3">
        <f t="shared" si="43"/>
        <v>0.29680715197956575</v>
      </c>
      <c r="R66" s="65">
        <f t="shared" si="44"/>
        <v>2.1894067557235285E-3</v>
      </c>
      <c r="S66" s="37"/>
      <c r="T66" s="337" t="s">
        <v>52</v>
      </c>
      <c r="U66" s="282">
        <f>[2]Republic_UA!$IF$64</f>
        <v>0</v>
      </c>
      <c r="V66" s="2">
        <f>[2]Republic_UA!$HR$64</f>
        <v>0</v>
      </c>
      <c r="W66" s="65" t="e">
        <f t="shared" si="45"/>
        <v>#DIV/0!</v>
      </c>
      <c r="X66" s="282">
        <f>SUM([2]Republic_UA!$IF$64:$IF$64)</f>
        <v>0</v>
      </c>
      <c r="Y66" s="2">
        <f>SUM([2]Republic_UA!$HR$64:$HR$64)</f>
        <v>0</v>
      </c>
      <c r="Z66" s="3" t="e">
        <f t="shared" si="46"/>
        <v>#DIV/0!</v>
      </c>
      <c r="AA66" s="65">
        <f t="shared" si="47"/>
        <v>0</v>
      </c>
    </row>
    <row r="67" spans="1:27" ht="14.1" customHeight="1" x14ac:dyDescent="0.2">
      <c r="A67" s="37"/>
      <c r="B67" s="39" t="s">
        <v>97</v>
      </c>
      <c r="C67" s="282">
        <f>'[2]Sky West_UA'!$IF$19</f>
        <v>16</v>
      </c>
      <c r="D67" s="2">
        <f>'[2]Sky West_UA'!$HR$19+'[2]Sky West_CO'!$HR$19</f>
        <v>76</v>
      </c>
      <c r="E67" s="65">
        <f t="shared" si="39"/>
        <v>-0.78947368421052633</v>
      </c>
      <c r="F67" s="2">
        <f>SUM('[2]Sky West_UA'!$IF$19:$IF$19)</f>
        <v>16</v>
      </c>
      <c r="G67" s="2">
        <f>SUM('[2]Sky West_UA'!$HR$19:$HR$19)+SUM('[2]Sky West_CO'!$HR$19:$HR$19)</f>
        <v>76</v>
      </c>
      <c r="H67" s="3">
        <f t="shared" si="40"/>
        <v>-0.78947368421052633</v>
      </c>
      <c r="I67" s="65">
        <f t="shared" si="41"/>
        <v>7.2969398458521458E-4</v>
      </c>
      <c r="J67" s="37"/>
      <c r="K67" s="39" t="s">
        <v>97</v>
      </c>
      <c r="L67" s="282">
        <f>'[2]Sky West_UA'!$IF$41</f>
        <v>561</v>
      </c>
      <c r="M67" s="2">
        <f>'[2]Sky West_UA'!$HR$41+'[2]Sky West_CO'!$HR$41</f>
        <v>4722</v>
      </c>
      <c r="N67" s="65">
        <f t="shared" si="42"/>
        <v>-0.88119440914866587</v>
      </c>
      <c r="O67" s="282">
        <f>SUM('[2]Sky West_UA'!$IF$41:$IF$41)</f>
        <v>561</v>
      </c>
      <c r="P67" s="2">
        <f>SUM('[2]Sky West_UA'!$HR$41:$HR$41)+SUM('[2]Sky West_CO'!$HR$41:$HR$41)</f>
        <v>4722</v>
      </c>
      <c r="Q67" s="3">
        <f t="shared" si="43"/>
        <v>-0.88119440914866587</v>
      </c>
      <c r="R67" s="65">
        <f t="shared" si="44"/>
        <v>2.4192578096531405E-4</v>
      </c>
      <c r="S67" s="37"/>
      <c r="T67" s="39" t="s">
        <v>97</v>
      </c>
      <c r="U67" s="282">
        <f>'[2]Sky West_UA'!$IF$64</f>
        <v>0</v>
      </c>
      <c r="V67" s="2">
        <f>'[2]Sky West_UA'!$HR$64+'[2]Sky West_CO'!$HR$64</f>
        <v>0</v>
      </c>
      <c r="W67" s="65" t="e">
        <f t="shared" si="45"/>
        <v>#DIV/0!</v>
      </c>
      <c r="X67" s="282">
        <f>SUM('[2]Sky West_UA'!$IF$64:$IF$64)</f>
        <v>0</v>
      </c>
      <c r="Y67" s="2">
        <f>SUM('[2]Sky West_UA'!$HR$64:$HR$64)+SUM('[2]Sky West_CO'!$HR$64:$HR$64)</f>
        <v>0</v>
      </c>
      <c r="Z67" s="3" t="e">
        <f t="shared" si="46"/>
        <v>#DIV/0!</v>
      </c>
      <c r="AA67" s="65">
        <f t="shared" si="47"/>
        <v>0</v>
      </c>
    </row>
    <row r="68" spans="1:27" ht="14.1" customHeight="1" x14ac:dyDescent="0.2">
      <c r="A68" s="37"/>
      <c r="B68" s="285" t="s">
        <v>131</v>
      </c>
      <c r="C68" s="282">
        <f>'[2]Shuttle America'!$IF$19</f>
        <v>0</v>
      </c>
      <c r="D68" s="2">
        <f>'[2]Shuttle America'!$HR$19</f>
        <v>0</v>
      </c>
      <c r="E68" s="65" t="e">
        <f t="shared" si="39"/>
        <v>#DIV/0!</v>
      </c>
      <c r="F68" s="2">
        <f>SUM('[2]Shuttle America'!$IF$19:$IF$19)</f>
        <v>0</v>
      </c>
      <c r="G68" s="2">
        <f>SUM('[2]Shuttle America'!$HR$19:$HR$19)</f>
        <v>0</v>
      </c>
      <c r="H68" s="3" t="e">
        <f t="shared" si="40"/>
        <v>#DIV/0!</v>
      </c>
      <c r="I68" s="65">
        <f t="shared" si="41"/>
        <v>0</v>
      </c>
      <c r="J68" s="37"/>
      <c r="K68" s="285" t="s">
        <v>131</v>
      </c>
      <c r="L68" s="282">
        <f>'[2]Shuttle America'!$IF$41</f>
        <v>0</v>
      </c>
      <c r="M68" s="2">
        <f>'[2]Shuttle America'!$HR$41</f>
        <v>0</v>
      </c>
      <c r="N68" s="65" t="e">
        <f t="shared" si="42"/>
        <v>#DIV/0!</v>
      </c>
      <c r="O68" s="282">
        <f>SUM('[2]Shuttle America'!$IF$41:$IF$41)</f>
        <v>0</v>
      </c>
      <c r="P68" s="2">
        <f>SUM('[2]Shuttle America'!$HR$41:$HR$41)</f>
        <v>0</v>
      </c>
      <c r="Q68" s="3" t="e">
        <f t="shared" si="43"/>
        <v>#DIV/0!</v>
      </c>
      <c r="R68" s="65">
        <f t="shared" si="44"/>
        <v>0</v>
      </c>
      <c r="S68" s="37"/>
      <c r="T68" s="285" t="s">
        <v>131</v>
      </c>
      <c r="U68" s="282">
        <f>'[2]Shuttle America'!$IF$64</f>
        <v>0</v>
      </c>
      <c r="V68" s="2">
        <f>'[2]Shuttle America'!$HR$64</f>
        <v>0</v>
      </c>
      <c r="W68" s="65" t="e">
        <f t="shared" si="45"/>
        <v>#DIV/0!</v>
      </c>
      <c r="X68" s="282">
        <f>SUM('[2]Shuttle America'!$IF$64:$IF$64)</f>
        <v>0</v>
      </c>
      <c r="Y68" s="2">
        <f>SUM('[2]Shuttle America'!$HR$64:$HR$64)</f>
        <v>0</v>
      </c>
      <c r="Z68" s="3" t="e">
        <f t="shared" si="46"/>
        <v>#DIV/0!</v>
      </c>
      <c r="AA68" s="65">
        <f t="shared" si="47"/>
        <v>0</v>
      </c>
    </row>
    <row r="69" spans="1:27" ht="14.1" customHeight="1" thickBot="1" x14ac:dyDescent="0.25">
      <c r="A69" s="339"/>
      <c r="B69" s="340"/>
      <c r="C69" s="286"/>
      <c r="D69" s="288"/>
      <c r="E69" s="289"/>
      <c r="F69" s="288"/>
      <c r="G69" s="288"/>
      <c r="H69" s="287"/>
      <c r="I69" s="289"/>
      <c r="J69" s="339"/>
      <c r="K69" s="340"/>
      <c r="L69" s="286"/>
      <c r="M69" s="288"/>
      <c r="N69" s="289"/>
      <c r="O69" s="286"/>
      <c r="P69" s="288"/>
      <c r="Q69" s="287"/>
      <c r="R69" s="361"/>
      <c r="S69" s="339"/>
      <c r="T69" s="340"/>
      <c r="U69" s="286"/>
      <c r="V69" s="288"/>
      <c r="W69" s="289"/>
      <c r="X69" s="286"/>
      <c r="Y69" s="288"/>
      <c r="Z69" s="287"/>
      <c r="AA69" s="361"/>
    </row>
    <row r="70" spans="1:27" s="170" customFormat="1" ht="14.1" customHeight="1" thickBot="1" x14ac:dyDescent="0.25">
      <c r="B70" s="169"/>
      <c r="C70" s="280"/>
      <c r="D70" s="280"/>
      <c r="E70" s="279"/>
      <c r="F70" s="338"/>
      <c r="G70" s="280"/>
      <c r="H70" s="279"/>
      <c r="I70" s="279"/>
      <c r="J70" s="290"/>
      <c r="K70" s="169"/>
      <c r="L70" s="291"/>
      <c r="M70" s="292"/>
      <c r="N70" s="290"/>
      <c r="S70" s="290"/>
      <c r="T70" s="169"/>
      <c r="U70" s="291"/>
      <c r="V70" s="292"/>
      <c r="W70" s="290"/>
    </row>
    <row r="71" spans="1:27" ht="14.1" customHeight="1" x14ac:dyDescent="0.2">
      <c r="B71" s="293" t="s">
        <v>133</v>
      </c>
      <c r="C71" s="346">
        <f>+C73-C72</f>
        <v>15601</v>
      </c>
      <c r="D71" s="346">
        <f>+D73-D72</f>
        <v>14017</v>
      </c>
      <c r="E71" s="347">
        <f>(C71-D71)/D71</f>
        <v>0.11300563601341229</v>
      </c>
      <c r="F71" s="346">
        <f>+F73-F72</f>
        <v>15601</v>
      </c>
      <c r="G71" s="346">
        <f>+G73-G72</f>
        <v>14017</v>
      </c>
      <c r="H71" s="347">
        <f>(F71-G71)/G71</f>
        <v>0.11300563601341229</v>
      </c>
      <c r="I71" s="372">
        <f>F71/$F$73</f>
        <v>0.71149724084462074</v>
      </c>
      <c r="K71" s="293" t="s">
        <v>133</v>
      </c>
      <c r="L71" s="346">
        <f>+L73-L72</f>
        <v>2010290</v>
      </c>
      <c r="M71" s="346">
        <f>+M73-M72</f>
        <v>1610631</v>
      </c>
      <c r="N71" s="347">
        <f>(L71-M71)/M71</f>
        <v>0.24813815206586734</v>
      </c>
      <c r="O71" s="346">
        <f>+O73-O72</f>
        <v>2010290</v>
      </c>
      <c r="P71" s="346">
        <f>+P73-P72</f>
        <v>1610631</v>
      </c>
      <c r="Q71" s="370">
        <f>(O71-P71)/P71</f>
        <v>0.24813815206586734</v>
      </c>
      <c r="R71" s="421">
        <f>+O71/O73</f>
        <v>0.86691796473575966</v>
      </c>
      <c r="S71" s="3"/>
      <c r="T71" s="293" t="s">
        <v>133</v>
      </c>
      <c r="U71" s="346">
        <f>+U73-U72</f>
        <v>7012758</v>
      </c>
      <c r="V71" s="346">
        <f>+V73-V72</f>
        <v>6107344</v>
      </c>
      <c r="W71" s="347">
        <f>(U71-V71)/V71</f>
        <v>0.14825004126179891</v>
      </c>
      <c r="X71" s="346">
        <f>+X73-X72</f>
        <v>7012758</v>
      </c>
      <c r="Y71" s="346">
        <f>+Y73-Y72</f>
        <v>6107344</v>
      </c>
      <c r="Z71" s="370">
        <f>(X71-Y71)/Y71</f>
        <v>0.14825004126179891</v>
      </c>
      <c r="AA71" s="421">
        <f>+X71/X73</f>
        <v>0.99908991777632206</v>
      </c>
    </row>
    <row r="72" spans="1:27" ht="14.1" customHeight="1" x14ac:dyDescent="0.2">
      <c r="B72" s="169" t="s">
        <v>134</v>
      </c>
      <c r="C72" s="348">
        <f>C68+C45+C43+C41+C40+C44+C25+C67+C64+C42+C63+C65+C30+C29+C26+C20+C8+C66+C27+C28+C10+C21+C9</f>
        <v>6326</v>
      </c>
      <c r="D72" s="348">
        <f>D68+D45+D43+D41+D40+D44+D25+D67+D64+D42+D63+D65+D30+D29+D26+D20+D8+D66+D27+D28+D10+D21+D9</f>
        <v>8021</v>
      </c>
      <c r="E72" s="294">
        <f>(C72-D72)/D72</f>
        <v>-0.21132028425383367</v>
      </c>
      <c r="F72" s="348">
        <f>F68+F45+F43+F41+F40+F44+F25+F67+F64+F42+F63+F65+F30+F29+F26+F20+F8+F66+F27+F28+F10+F21+F9</f>
        <v>6326</v>
      </c>
      <c r="G72" s="348">
        <f>G68+G45+G43+G41+G40+G44+G25+G67+G64+G42+G63+G65+G30+G29+G26+G20+G8+G66+G27+G28+G10+G21+G9</f>
        <v>8021</v>
      </c>
      <c r="H72" s="294">
        <f>(F72-G72)/G72</f>
        <v>-0.21132028425383367</v>
      </c>
      <c r="I72" s="373">
        <f>F72/$F$73</f>
        <v>0.28850275915537921</v>
      </c>
      <c r="K72" s="169" t="s">
        <v>134</v>
      </c>
      <c r="L72" s="348">
        <f>L68+L45+L43+L41+L40+L44+L25+L67+L64+L42+L63+L65+L30+L29+L26+L20+L8+L66+L27+L28+L10+L21+L9</f>
        <v>308603</v>
      </c>
      <c r="M72" s="348">
        <f>M68+M45+M43+M41+M40+M44+M25+M67+M64+M42+M63+M65+M30+M29+M26+M20+M8+M66+M27+M28+M10+M21+M9</f>
        <v>323484</v>
      </c>
      <c r="N72" s="294">
        <f>(L72-M72)/M72</f>
        <v>-4.6002275228450247E-2</v>
      </c>
      <c r="O72" s="348">
        <f>O68+O45+O43+O41+O40+O44+O25+O67+O64+O42+O63+O65+O30+O29+O26+O20+O8+O66+O27+O28+O10+O21+O9</f>
        <v>308603</v>
      </c>
      <c r="P72" s="348">
        <f>P68+P45+P43+P41+P40+P44+P25+P67+P64+P42+P63+P65+P30+P29+P26+P20+P8+P66+P27+P28+P10+P21+P9</f>
        <v>323484</v>
      </c>
      <c r="Q72" s="369">
        <f>(O72-P72)/P72</f>
        <v>-4.6002275228450247E-2</v>
      </c>
      <c r="R72" s="422">
        <f>+O72/O73</f>
        <v>0.13308203526424031</v>
      </c>
      <c r="S72" s="3"/>
      <c r="T72" s="169" t="s">
        <v>134</v>
      </c>
      <c r="U72" s="348">
        <f>U68+U45+U43+U41+U40+U44+U25+U67+U64+U42+U63+U65+U30+U29+U26+U20+U8+U66+U27+U28+U10+U21+U9</f>
        <v>6388</v>
      </c>
      <c r="V72" s="348">
        <f>V68+V45+V43+V41+V40+V44+V25+V67+V64+V42+V63+V65+V30+V29+V26+V20+V8+V66+V27+V28+V10+V21+V9</f>
        <v>6664</v>
      </c>
      <c r="W72" s="294">
        <f>(U72-V72)/V72</f>
        <v>-4.1416566626650657E-2</v>
      </c>
      <c r="X72" s="348">
        <f>X68+X45+X43+X41+X40+X44+X25+X67+X64+X42+X63+X65+X30+X29+X26+X20+X8+X66+X27+X28+X10+X21+X9</f>
        <v>6388</v>
      </c>
      <c r="Y72" s="348">
        <f>Y68+Y45+Y43+Y41+Y40+Y44+Y25+Y67+Y64+Y42+Y63+Y65+Y30+Y29+Y26+Y20+Y8+Y66+Y27+Y28+Y10+Y21+Y9</f>
        <v>6664</v>
      </c>
      <c r="Z72" s="369">
        <f>(X72-Y72)/Y72</f>
        <v>-4.1416566626650657E-2</v>
      </c>
      <c r="AA72" s="422">
        <f>+X72/X73</f>
        <v>9.1008222367792318E-4</v>
      </c>
    </row>
    <row r="73" spans="1:27" ht="14.1" customHeight="1" thickBot="1" x14ac:dyDescent="0.25">
      <c r="B73" s="169" t="s">
        <v>135</v>
      </c>
      <c r="C73" s="349">
        <f>C61+C59+C55+C49+C47+C38+C23+C18+C6+C57+C34+C32+C12+C53+C14+C51+C4+C36+C16</f>
        <v>21927</v>
      </c>
      <c r="D73" s="349">
        <f>D61+D59+D55+D49+D47+D38+D23+D18+D6+D57+D34+D32+D12+D53+D14+D51+D4+D36+D16</f>
        <v>22038</v>
      </c>
      <c r="E73" s="350">
        <f>(C73-D73)/D73</f>
        <v>-5.0367546964334335E-3</v>
      </c>
      <c r="F73" s="349">
        <f>F61+F59+F55+F49+F47+F38+F23+F18+F6+F57+F34+F32+F12+F53+F14+F51+F4+F36+F16</f>
        <v>21927</v>
      </c>
      <c r="G73" s="349">
        <f>G61+G59+G55+G49+G47+G38+G23+G18+G6+G57+G34+G32+G12+G53+G14+G51+G4+G36+G16</f>
        <v>22038</v>
      </c>
      <c r="H73" s="350">
        <f>(F73-G73)/G73</f>
        <v>-5.0367546964334335E-3</v>
      </c>
      <c r="I73" s="374">
        <f>+H73/H73</f>
        <v>1</v>
      </c>
      <c r="K73" s="169" t="s">
        <v>135</v>
      </c>
      <c r="L73" s="349">
        <f>L61+L59+L55+L49+L47+L38+L23+L18+L6+L57+L34+L32+L12+L53+L14+L51+L4+L36+L16</f>
        <v>2318893</v>
      </c>
      <c r="M73" s="349">
        <f>M61+M59+M55+M49+M47+M38+M23+M18+M6+M57+M34+M32+M12+M53+M14+M51+M4+M36+M16</f>
        <v>1934115</v>
      </c>
      <c r="N73" s="350">
        <f>(L73-M73)/M73</f>
        <v>0.19894266886922443</v>
      </c>
      <c r="O73" s="349">
        <f>O61+O59+O55+O49+O47+O38+O23+O18+O6+O57+O34+O32+O12+O53+O14+O51+O4+O36+O16</f>
        <v>2318893</v>
      </c>
      <c r="P73" s="349">
        <f>P61+P59+P55+P49+P47+P38+P23+P18+P6+P57+P34+P32+P12+P53+P14+P51+P4+P36+P16</f>
        <v>1934115</v>
      </c>
      <c r="Q73" s="420">
        <f>(O73-P73)/P73</f>
        <v>0.19894266886922443</v>
      </c>
      <c r="R73" s="374">
        <f>+Q73/Q73</f>
        <v>1</v>
      </c>
      <c r="S73" s="3"/>
      <c r="T73" s="169" t="s">
        <v>135</v>
      </c>
      <c r="U73" s="349">
        <f>U61+U59+U55+U49+U47+U38+U23+U18+U6+U57+U34+U32+U12+U53+U14+U51+U4+U36+U16</f>
        <v>7019146</v>
      </c>
      <c r="V73" s="349">
        <f>V61+V59+V55+V49+V47+V38+V23+V18+V6+V57+V34+V32+V12+V53+V14+V51+V4+V36+V16</f>
        <v>6114008</v>
      </c>
      <c r="W73" s="350">
        <f>(U73-V73)/V73</f>
        <v>0.14804331299533791</v>
      </c>
      <c r="X73" s="349">
        <f>X61+X59+X55+X49+X47+X38+X23+X18+X6+X57+X34+X32+X12+X53+X14+X51+X4+X36+X16</f>
        <v>7019146</v>
      </c>
      <c r="Y73" s="349">
        <f>Y61+Y59+Y55+Y49+Y47+Y38+Y23+Y18+Y6+Y57+Y34+Y32+Y12+Y53+Y14+Y51+Y4+Y36+Y16</f>
        <v>6114008</v>
      </c>
      <c r="Z73" s="420">
        <f>(X73-Y73)/Y73</f>
        <v>0.14804331299533791</v>
      </c>
      <c r="AA73" s="374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5"/>
      <c r="V75" s="95"/>
      <c r="W75" s="95"/>
    </row>
    <row r="76" spans="1:27" x14ac:dyDescent="0.2">
      <c r="E76"/>
      <c r="F76" s="2"/>
      <c r="H76"/>
      <c r="I76"/>
      <c r="J76"/>
      <c r="K76"/>
      <c r="N76"/>
      <c r="O76" s="2"/>
      <c r="P76" s="2"/>
      <c r="U76" s="95"/>
      <c r="V76" s="95"/>
      <c r="W76" s="95"/>
    </row>
    <row r="77" spans="1:27" x14ac:dyDescent="0.2">
      <c r="E77"/>
      <c r="F77" s="2"/>
      <c r="H77"/>
      <c r="I77"/>
      <c r="J77"/>
      <c r="K77"/>
      <c r="N77"/>
      <c r="O77" s="2"/>
      <c r="P77" s="2"/>
      <c r="U77" s="95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  <row r="4702" spans="6:11" x14ac:dyDescent="0.2">
      <c r="F4702" s="171"/>
      <c r="K4702"/>
    </row>
    <row r="4703" spans="6:11" x14ac:dyDescent="0.2">
      <c r="F4703" s="171"/>
      <c r="K4703"/>
    </row>
    <row r="4704" spans="6:11" x14ac:dyDescent="0.2">
      <c r="F4704" s="171"/>
      <c r="K4704"/>
    </row>
    <row r="4705" spans="6:11" x14ac:dyDescent="0.2">
      <c r="F4705" s="171"/>
      <c r="K4705"/>
    </row>
    <row r="4706" spans="6:11" x14ac:dyDescent="0.2">
      <c r="F4706" s="171"/>
      <c r="K4706"/>
    </row>
    <row r="4707" spans="6:11" x14ac:dyDescent="0.2">
      <c r="F4707" s="171"/>
      <c r="K4707"/>
    </row>
    <row r="4708" spans="6:11" x14ac:dyDescent="0.2">
      <c r="F4708" s="171"/>
      <c r="K4708"/>
    </row>
    <row r="4709" spans="6:11" x14ac:dyDescent="0.2">
      <c r="F4709" s="171"/>
      <c r="K4709"/>
    </row>
    <row r="4710" spans="6:11" x14ac:dyDescent="0.2">
      <c r="F4710" s="171"/>
      <c r="K4710"/>
    </row>
    <row r="4711" spans="6:11" x14ac:dyDescent="0.2">
      <c r="F4711" s="171"/>
      <c r="K4711"/>
    </row>
    <row r="4712" spans="6:11" x14ac:dyDescent="0.2">
      <c r="F4712" s="171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January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C17" sqref="C1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19">
        <v>44927</v>
      </c>
      <c r="B1" s="345" t="s">
        <v>17</v>
      </c>
      <c r="C1" s="345" t="s">
        <v>18</v>
      </c>
      <c r="D1" s="345" t="s">
        <v>19</v>
      </c>
      <c r="E1" s="345" t="s">
        <v>155</v>
      </c>
      <c r="F1" s="345" t="s">
        <v>161</v>
      </c>
      <c r="G1" s="345" t="s">
        <v>156</v>
      </c>
      <c r="H1" s="427" t="s">
        <v>198</v>
      </c>
      <c r="I1" s="427" t="s">
        <v>193</v>
      </c>
      <c r="J1" s="345" t="s">
        <v>20</v>
      </c>
      <c r="K1" s="344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75"/>
      <c r="I2" s="375"/>
      <c r="J2" s="41"/>
      <c r="K2" s="213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[2]American!$IF$22</f>
        <v>43370</v>
      </c>
      <c r="C4" s="12">
        <f>[2]Delta!$IF$22+[2]Delta!$IF$32</f>
        <v>678686</v>
      </c>
      <c r="D4" s="12">
        <f>[2]United!$IF$22</f>
        <v>51895</v>
      </c>
      <c r="E4" s="12">
        <f>[2]Spirit!$IF$22</f>
        <v>19928</v>
      </c>
      <c r="F4" s="12">
        <f>[2]Condor!$IF$22</f>
        <v>0</v>
      </c>
      <c r="G4" s="12">
        <f>'[2]Air France'!$IF$32</f>
        <v>0</v>
      </c>
      <c r="H4" s="12">
        <f>'[2]Jet Blue'!$IF$22</f>
        <v>4354</v>
      </c>
      <c r="I4" s="12">
        <f>[2]KLM!$IF$22+[2]KLM!$IF$32</f>
        <v>3775</v>
      </c>
      <c r="J4" s="12">
        <f>'Other Major Airline Stats'!K5</f>
        <v>188063</v>
      </c>
      <c r="K4" s="214">
        <f>SUM(B4:J4)</f>
        <v>990071</v>
      </c>
    </row>
    <row r="5" spans="1:20" x14ac:dyDescent="0.2">
      <c r="A5" s="45" t="s">
        <v>31</v>
      </c>
      <c r="B5" s="7">
        <f>[2]American!$IF$23</f>
        <v>44082</v>
      </c>
      <c r="C5" s="7">
        <f>[2]Delta!$IF$23+[2]Delta!$IF$33</f>
        <v>699245</v>
      </c>
      <c r="D5" s="7">
        <f>[2]United!$IF$23</f>
        <v>51678</v>
      </c>
      <c r="E5" s="7">
        <f>[2]Spirit!$IF$23</f>
        <v>23011</v>
      </c>
      <c r="F5" s="7">
        <f>[2]Condor!$IF$23</f>
        <v>0</v>
      </c>
      <c r="G5" s="7">
        <f>'[2]Air France'!$IF$33</f>
        <v>0</v>
      </c>
      <c r="H5" s="7">
        <f>'[2]Jet Blue'!$IF$23</f>
        <v>4461</v>
      </c>
      <c r="I5" s="7">
        <f>[2]KLM!$IF$23+[2]KLM!$IF$33</f>
        <v>2893</v>
      </c>
      <c r="J5" s="7">
        <f>'Other Major Airline Stats'!K6</f>
        <v>194849</v>
      </c>
      <c r="K5" s="215">
        <f>SUM(B5:J5)</f>
        <v>1020219</v>
      </c>
      <c r="M5" s="239"/>
      <c r="N5" s="239"/>
      <c r="O5" s="239"/>
      <c r="P5" s="239"/>
      <c r="Q5" s="239"/>
      <c r="R5" s="239"/>
      <c r="S5" s="239"/>
      <c r="T5" s="239"/>
    </row>
    <row r="6" spans="1:20" ht="15" x14ac:dyDescent="0.25">
      <c r="A6" s="43" t="s">
        <v>7</v>
      </c>
      <c r="B6" s="24">
        <f t="shared" ref="B6:E6" si="0">SUM(B4:B5)</f>
        <v>87452</v>
      </c>
      <c r="C6" s="24">
        <f t="shared" si="0"/>
        <v>1377931</v>
      </c>
      <c r="D6" s="24">
        <f t="shared" si="0"/>
        <v>103573</v>
      </c>
      <c r="E6" s="24">
        <f t="shared" si="0"/>
        <v>42939</v>
      </c>
      <c r="F6" s="24">
        <f t="shared" ref="F6:I6" si="1">SUM(F4:F5)</f>
        <v>0</v>
      </c>
      <c r="G6" s="24">
        <f t="shared" si="1"/>
        <v>0</v>
      </c>
      <c r="H6" s="24">
        <f t="shared" ref="H6" si="2">SUM(H4:H5)</f>
        <v>8815</v>
      </c>
      <c r="I6" s="24">
        <f t="shared" si="1"/>
        <v>6668</v>
      </c>
      <c r="J6" s="24">
        <f>SUM(J4:J5)</f>
        <v>382912</v>
      </c>
      <c r="K6" s="216">
        <f>SUM(B6:J6)</f>
        <v>2010290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14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14">
        <f>SUM(B8:J8)</f>
        <v>0</v>
      </c>
    </row>
    <row r="9" spans="1:20" x14ac:dyDescent="0.2">
      <c r="A9" s="45" t="s">
        <v>30</v>
      </c>
      <c r="B9" s="12">
        <f>[2]American!$IF$27</f>
        <v>1494</v>
      </c>
      <c r="C9" s="12">
        <f>[2]Delta!$IF$27+[2]Delta!$IF$37</f>
        <v>23514</v>
      </c>
      <c r="D9" s="12">
        <f>[2]United!$IF$27</f>
        <v>1644</v>
      </c>
      <c r="E9" s="12">
        <f>[2]Spirit!$IF$27</f>
        <v>1499</v>
      </c>
      <c r="F9" s="12">
        <f>[2]Condor!$IF$27</f>
        <v>0</v>
      </c>
      <c r="G9" s="12">
        <f>'[2]Air France'!$IF$37</f>
        <v>0</v>
      </c>
      <c r="H9" s="12">
        <f>'[2]Jet Blue'!$IF$27</f>
        <v>159</v>
      </c>
      <c r="I9" s="12">
        <f>[2]KLM!$IF$27+[2]KLM!$IF$37</f>
        <v>6</v>
      </c>
      <c r="J9" s="12">
        <f>'Other Major Airline Stats'!K10</f>
        <v>3672</v>
      </c>
      <c r="K9" s="214">
        <f>SUM(B9:J9)</f>
        <v>31988</v>
      </c>
      <c r="N9" s="239"/>
    </row>
    <row r="10" spans="1:20" x14ac:dyDescent="0.2">
      <c r="A10" s="45" t="s">
        <v>33</v>
      </c>
      <c r="B10" s="7">
        <f>[2]American!$IF$28</f>
        <v>1730</v>
      </c>
      <c r="C10" s="7">
        <f>[2]Delta!$IF$28+[2]Delta!$IF$38</f>
        <v>23525</v>
      </c>
      <c r="D10" s="7">
        <f>[2]United!$IF$28</f>
        <v>1575</v>
      </c>
      <c r="E10" s="7">
        <f>[2]Spirit!$IF$28</f>
        <v>169</v>
      </c>
      <c r="F10" s="7">
        <f>[2]Condor!$IF$28</f>
        <v>0</v>
      </c>
      <c r="G10" s="7">
        <f>'[2]Air France'!$IF$38</f>
        <v>0</v>
      </c>
      <c r="H10" s="7">
        <f>'[2]Jet Blue'!$IF$28</f>
        <v>200</v>
      </c>
      <c r="I10" s="7">
        <f>[2]KLM!$IF$28+[2]KLM!$IF$38</f>
        <v>3</v>
      </c>
      <c r="J10" s="7">
        <f>'Other Major Airline Stats'!K11</f>
        <v>3991</v>
      </c>
      <c r="K10" s="215">
        <f>SUM(B10:J10)</f>
        <v>31193</v>
      </c>
      <c r="N10" s="239">
        <f>23525-C10</f>
        <v>0</v>
      </c>
    </row>
    <row r="11" spans="1:20" ht="15.75" thickBot="1" x14ac:dyDescent="0.3">
      <c r="A11" s="46" t="s">
        <v>34</v>
      </c>
      <c r="B11" s="217">
        <f t="shared" ref="B11:J11" si="3">SUM(B9:B10)</f>
        <v>3224</v>
      </c>
      <c r="C11" s="217">
        <f t="shared" si="3"/>
        <v>47039</v>
      </c>
      <c r="D11" s="217">
        <f t="shared" si="3"/>
        <v>3219</v>
      </c>
      <c r="E11" s="217">
        <f t="shared" si="3"/>
        <v>1668</v>
      </c>
      <c r="F11" s="217">
        <f t="shared" ref="F11:I11" si="4">SUM(F9:F10)</f>
        <v>0</v>
      </c>
      <c r="G11" s="217">
        <f t="shared" si="4"/>
        <v>0</v>
      </c>
      <c r="H11" s="217">
        <f t="shared" ref="H11" si="5">SUM(H9:H10)</f>
        <v>359</v>
      </c>
      <c r="I11" s="217">
        <f t="shared" si="4"/>
        <v>9</v>
      </c>
      <c r="J11" s="217">
        <f t="shared" si="3"/>
        <v>7663</v>
      </c>
      <c r="K11" s="218">
        <f>SUM(B11:J11)</f>
        <v>63181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[2]American!$IF$4</f>
        <v>309</v>
      </c>
      <c r="C15" s="12">
        <f>[2]Delta!$IF$4+[2]Delta!$IF$15</f>
        <v>5260</v>
      </c>
      <c r="D15" s="12">
        <f>[2]United!$IF$4</f>
        <v>390</v>
      </c>
      <c r="E15" s="12">
        <f>[2]Spirit!$IF$4</f>
        <v>191</v>
      </c>
      <c r="F15" s="12">
        <f>[2]Condor!$IF$4</f>
        <v>0</v>
      </c>
      <c r="G15" s="12">
        <f>'[2]Air France'!$IF$15</f>
        <v>0</v>
      </c>
      <c r="H15" s="12">
        <f>'[2]Jet Blue'!$IF$4</f>
        <v>62</v>
      </c>
      <c r="I15" s="12">
        <f>[2]KLM!$IF$4+[2]KLM!$IF$15</f>
        <v>17</v>
      </c>
      <c r="J15" s="12">
        <f>'Other Major Airline Stats'!K16</f>
        <v>1489</v>
      </c>
      <c r="K15" s="17">
        <f>SUM(B15:J15)</f>
        <v>7718</v>
      </c>
    </row>
    <row r="16" spans="1:20" x14ac:dyDescent="0.2">
      <c r="A16" s="45" t="s">
        <v>23</v>
      </c>
      <c r="B16" s="7">
        <f>[2]American!$IF$5</f>
        <v>310</v>
      </c>
      <c r="C16" s="7">
        <f>[2]Delta!$IF$5+[2]Delta!$IF$16</f>
        <v>5262</v>
      </c>
      <c r="D16" s="7">
        <f>[2]United!$IF$5</f>
        <v>388</v>
      </c>
      <c r="E16" s="7">
        <f>[2]Spirit!$IF$5</f>
        <v>190</v>
      </c>
      <c r="F16" s="7">
        <f>[2]Condor!$IF$5</f>
        <v>0</v>
      </c>
      <c r="G16" s="7">
        <f>'[2]Air France'!$IF$16</f>
        <v>0</v>
      </c>
      <c r="H16" s="7">
        <f>'[2]Jet Blue'!$IF$5</f>
        <v>62</v>
      </c>
      <c r="I16" s="7">
        <f>[2]KLM!$IF$5+[2]KLM!$IF$16</f>
        <v>17</v>
      </c>
      <c r="J16" s="7">
        <f>'Other Major Airline Stats'!K17</f>
        <v>1482</v>
      </c>
      <c r="K16" s="23">
        <f>SUM(B16:J16)</f>
        <v>7711</v>
      </c>
    </row>
    <row r="17" spans="1:11" x14ac:dyDescent="0.2">
      <c r="A17" s="45" t="s">
        <v>24</v>
      </c>
      <c r="B17" s="221">
        <f t="shared" ref="B17:J17" si="6">SUM(B15:B16)</f>
        <v>619</v>
      </c>
      <c r="C17" s="219">
        <f t="shared" si="6"/>
        <v>10522</v>
      </c>
      <c r="D17" s="219">
        <f t="shared" si="6"/>
        <v>778</v>
      </c>
      <c r="E17" s="219">
        <f t="shared" si="6"/>
        <v>381</v>
      </c>
      <c r="F17" s="219">
        <f t="shared" ref="F17:I17" si="7">SUM(F15:F16)</f>
        <v>0</v>
      </c>
      <c r="G17" s="219">
        <f t="shared" si="7"/>
        <v>0</v>
      </c>
      <c r="H17" s="219">
        <f t="shared" ref="H17" si="8">SUM(H15:H16)</f>
        <v>124</v>
      </c>
      <c r="I17" s="219">
        <f t="shared" si="7"/>
        <v>34</v>
      </c>
      <c r="J17" s="219">
        <f t="shared" si="6"/>
        <v>2971</v>
      </c>
      <c r="K17" s="220">
        <f>SUM(B17:J17)</f>
        <v>15429</v>
      </c>
    </row>
    <row r="18" spans="1:11" x14ac:dyDescent="0.2">
      <c r="A18" s="45"/>
      <c r="B18" s="12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[2]American!$IF$8</f>
        <v>0</v>
      </c>
      <c r="C19" s="12">
        <f>[2]Delta!$IF$8</f>
        <v>3</v>
      </c>
      <c r="D19" s="12">
        <f>[2]United!$IF$8</f>
        <v>1</v>
      </c>
      <c r="E19" s="12">
        <f>[2]Spirit!$IF$8</f>
        <v>0</v>
      </c>
      <c r="F19" s="12">
        <f>[2]Condor!$IF$8</f>
        <v>0</v>
      </c>
      <c r="G19" s="12">
        <f>'[2]Air France'!$IF$8</f>
        <v>0</v>
      </c>
      <c r="H19" s="12">
        <f>'[2]Jet Blue'!$IF$8</f>
        <v>0</v>
      </c>
      <c r="I19" s="12">
        <f>[2]KLM!$IF$8</f>
        <v>0</v>
      </c>
      <c r="J19" s="12">
        <f>'Other Major Airline Stats'!K20</f>
        <v>76</v>
      </c>
      <c r="K19" s="17">
        <f>SUM(B19:J19)</f>
        <v>80</v>
      </c>
    </row>
    <row r="20" spans="1:11" x14ac:dyDescent="0.2">
      <c r="A20" s="45" t="s">
        <v>26</v>
      </c>
      <c r="B20" s="7">
        <f>[2]American!$IF$9</f>
        <v>0</v>
      </c>
      <c r="C20" s="7">
        <f>[2]Delta!$IF$9</f>
        <v>6</v>
      </c>
      <c r="D20" s="7">
        <f>[2]United!$IF$9</f>
        <v>1</v>
      </c>
      <c r="E20" s="7">
        <f>[2]Spirit!$IF$9</f>
        <v>0</v>
      </c>
      <c r="F20" s="7">
        <f>[2]Condor!$IF$9</f>
        <v>0</v>
      </c>
      <c r="G20" s="7">
        <f>'[2]Air France'!$IF$9</f>
        <v>0</v>
      </c>
      <c r="H20" s="7">
        <f>'[2]Jet Blue'!$IF$9</f>
        <v>0</v>
      </c>
      <c r="I20" s="7">
        <f>[2]KLM!$IF$9</f>
        <v>0</v>
      </c>
      <c r="J20" s="7">
        <f>'Other Major Airline Stats'!K21</f>
        <v>85</v>
      </c>
      <c r="K20" s="23">
        <f>SUM(B20:J20)</f>
        <v>92</v>
      </c>
    </row>
    <row r="21" spans="1:11" x14ac:dyDescent="0.2">
      <c r="A21" s="45" t="s">
        <v>27</v>
      </c>
      <c r="B21" s="221">
        <f t="shared" ref="B21:J21" si="9">SUM(B19:B20)</f>
        <v>0</v>
      </c>
      <c r="C21" s="219">
        <f t="shared" si="9"/>
        <v>9</v>
      </c>
      <c r="D21" s="219">
        <f t="shared" si="9"/>
        <v>2</v>
      </c>
      <c r="E21" s="219">
        <f t="shared" si="9"/>
        <v>0</v>
      </c>
      <c r="F21" s="219">
        <f t="shared" ref="F21:I21" si="10">SUM(F19:F20)</f>
        <v>0</v>
      </c>
      <c r="G21" s="219">
        <f t="shared" si="10"/>
        <v>0</v>
      </c>
      <c r="H21" s="219">
        <f t="shared" ref="H21" si="11">SUM(H19:H20)</f>
        <v>0</v>
      </c>
      <c r="I21" s="219">
        <f t="shared" si="10"/>
        <v>0</v>
      </c>
      <c r="J21" s="219">
        <f t="shared" si="9"/>
        <v>161</v>
      </c>
      <c r="K21" s="145">
        <f>SUM(B21:J21)</f>
        <v>172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619</v>
      </c>
      <c r="C23" s="18">
        <f t="shared" si="12"/>
        <v>10531</v>
      </c>
      <c r="D23" s="18">
        <f t="shared" si="12"/>
        <v>780</v>
      </c>
      <c r="E23" s="18">
        <f>E17+E21</f>
        <v>381</v>
      </c>
      <c r="F23" s="18">
        <f t="shared" ref="F23:I23" si="13">F17+F21</f>
        <v>0</v>
      </c>
      <c r="G23" s="18">
        <f t="shared" si="13"/>
        <v>0</v>
      </c>
      <c r="H23" s="18">
        <f t="shared" ref="H23" si="14">H17+H21</f>
        <v>124</v>
      </c>
      <c r="I23" s="18">
        <f t="shared" si="13"/>
        <v>34</v>
      </c>
      <c r="J23" s="18">
        <f t="shared" si="12"/>
        <v>3132</v>
      </c>
      <c r="K23" s="19">
        <f>SUM(B23:J23)</f>
        <v>15601</v>
      </c>
    </row>
    <row r="25" spans="1:11" ht="13.5" thickBot="1" x14ac:dyDescent="0.25">
      <c r="B25" s="330"/>
      <c r="C25" s="330"/>
      <c r="D25" s="330"/>
      <c r="E25" s="330"/>
      <c r="F25" s="330"/>
      <c r="G25" s="330"/>
      <c r="H25" s="330"/>
      <c r="I25" s="330"/>
      <c r="J25" s="330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[2]American!$IF$47</f>
        <v>18173</v>
      </c>
      <c r="C28" s="12">
        <f>[2]Delta!$IF$47</f>
        <v>2452042</v>
      </c>
      <c r="D28" s="12">
        <f>[2]United!$IF$47</f>
        <v>46081</v>
      </c>
      <c r="E28" s="12">
        <f>[2]Spirit!$IF$47</f>
        <v>0</v>
      </c>
      <c r="F28" s="12">
        <f>[2]Condor!$IF$47</f>
        <v>0</v>
      </c>
      <c r="G28" s="12">
        <f>'[2]Air France'!$IF$47</f>
        <v>0</v>
      </c>
      <c r="H28" s="12">
        <f>'[2]Jet Blue'!$IF$47</f>
        <v>0</v>
      </c>
      <c r="I28" s="12">
        <f>[2]KLM!$IF$47</f>
        <v>533686</v>
      </c>
      <c r="J28" s="12">
        <f>'Other Major Airline Stats'!K28</f>
        <v>144013</v>
      </c>
      <c r="K28" s="17">
        <f>SUM(B28:J28)</f>
        <v>3193995</v>
      </c>
    </row>
    <row r="29" spans="1:11" x14ac:dyDescent="0.2">
      <c r="A29" s="45" t="s">
        <v>38</v>
      </c>
      <c r="B29" s="7">
        <f>[2]American!$IF$48</f>
        <v>23136</v>
      </c>
      <c r="C29" s="7">
        <f>[2]Delta!$IF$48</f>
        <v>1010471</v>
      </c>
      <c r="D29" s="7">
        <f>[2]United!$IF$48</f>
        <v>61403</v>
      </c>
      <c r="E29" s="7">
        <f>[2]Spirit!$IF$48</f>
        <v>0</v>
      </c>
      <c r="F29" s="7">
        <f>[2]Condor!$IF$48</f>
        <v>0</v>
      </c>
      <c r="G29" s="7">
        <f>'[2]Air France'!$IF$48</f>
        <v>0</v>
      </c>
      <c r="H29" s="7">
        <f>'[2]Jet Blue'!$IF$48</f>
        <v>0</v>
      </c>
      <c r="I29" s="7">
        <f>[2]KLM!$IF$48</f>
        <v>0</v>
      </c>
      <c r="J29" s="7">
        <f>'Other Major Airline Stats'!K29</f>
        <v>26939</v>
      </c>
      <c r="K29" s="23">
        <f>SUM(B29:J29)</f>
        <v>1121949</v>
      </c>
    </row>
    <row r="30" spans="1:11" x14ac:dyDescent="0.2">
      <c r="A30" s="49" t="s">
        <v>39</v>
      </c>
      <c r="B30" s="221">
        <f t="shared" ref="B30:J30" si="15">SUM(B28:B29)</f>
        <v>41309</v>
      </c>
      <c r="C30" s="221">
        <f t="shared" si="15"/>
        <v>3462513</v>
      </c>
      <c r="D30" s="221">
        <f t="shared" si="15"/>
        <v>107484</v>
      </c>
      <c r="E30" s="221">
        <f t="shared" si="15"/>
        <v>0</v>
      </c>
      <c r="F30" s="221">
        <f t="shared" ref="F30:I30" si="16">SUM(F28:F29)</f>
        <v>0</v>
      </c>
      <c r="G30" s="221">
        <f t="shared" si="16"/>
        <v>0</v>
      </c>
      <c r="H30" s="221">
        <f t="shared" ref="H30" si="17">SUM(H28:H29)</f>
        <v>0</v>
      </c>
      <c r="I30" s="221">
        <f t="shared" si="16"/>
        <v>533686</v>
      </c>
      <c r="J30" s="221">
        <f t="shared" si="15"/>
        <v>170952</v>
      </c>
      <c r="K30" s="17">
        <f>SUM(B30:J30)</f>
        <v>4315944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[2]American!$IF$52</f>
        <v>5130</v>
      </c>
      <c r="C33" s="12">
        <f>[2]Delta!$IF$52</f>
        <v>1463105</v>
      </c>
      <c r="D33" s="12">
        <f>[2]United!$IF$52</f>
        <v>22860</v>
      </c>
      <c r="E33" s="12">
        <f>[2]Spirit!$IF$52</f>
        <v>0</v>
      </c>
      <c r="F33" s="12">
        <f>[2]Condor!$IF$52</f>
        <v>0</v>
      </c>
      <c r="G33" s="12">
        <f>'[2]Air France'!$IF$52</f>
        <v>0</v>
      </c>
      <c r="H33" s="12">
        <f>'[2]Jet Blue'!$IF$52</f>
        <v>0</v>
      </c>
      <c r="I33" s="12">
        <f>[2]KLM!$IF$52</f>
        <v>68984</v>
      </c>
      <c r="J33" s="12">
        <f>'Other Major Airline Stats'!K33</f>
        <v>53855</v>
      </c>
      <c r="K33" s="17">
        <f t="shared" si="18"/>
        <v>1613934</v>
      </c>
    </row>
    <row r="34" spans="1:11" x14ac:dyDescent="0.2">
      <c r="A34" s="45" t="s">
        <v>38</v>
      </c>
      <c r="B34" s="7">
        <f>[2]American!$IF$53</f>
        <v>10981</v>
      </c>
      <c r="C34" s="7">
        <f>[2]Delta!$IF$53</f>
        <v>1058468</v>
      </c>
      <c r="D34" s="7">
        <f>[2]United!$IF$53</f>
        <v>2348</v>
      </c>
      <c r="E34" s="7">
        <f>[2]Spirit!$IF$53</f>
        <v>0</v>
      </c>
      <c r="F34" s="7">
        <f>[2]Condor!$IF$53</f>
        <v>0</v>
      </c>
      <c r="G34" s="7">
        <f>'[2]Air France'!$IF$53</f>
        <v>0</v>
      </c>
      <c r="H34" s="7">
        <f>'[2]Jet Blue'!$IF$53</f>
        <v>0</v>
      </c>
      <c r="I34" s="7">
        <f>[2]KLM!$IF$53</f>
        <v>0</v>
      </c>
      <c r="J34" s="7">
        <f>'Other Major Airline Stats'!K34</f>
        <v>11083</v>
      </c>
      <c r="K34" s="23">
        <f t="shared" si="18"/>
        <v>1082880</v>
      </c>
    </row>
    <row r="35" spans="1:11" x14ac:dyDescent="0.2">
      <c r="A35" s="49" t="s">
        <v>41</v>
      </c>
      <c r="B35" s="221">
        <f t="shared" ref="B35:J35" si="19">SUM(B33:B34)</f>
        <v>16111</v>
      </c>
      <c r="C35" s="221">
        <f t="shared" si="19"/>
        <v>2521573</v>
      </c>
      <c r="D35" s="221">
        <f t="shared" si="19"/>
        <v>25208</v>
      </c>
      <c r="E35" s="221">
        <f t="shared" si="19"/>
        <v>0</v>
      </c>
      <c r="F35" s="221">
        <f t="shared" ref="F35:I35" si="20">SUM(F33:F34)</f>
        <v>0</v>
      </c>
      <c r="G35" s="221">
        <f t="shared" si="20"/>
        <v>0</v>
      </c>
      <c r="H35" s="221">
        <f t="shared" ref="H35" si="21">SUM(H33:H34)</f>
        <v>0</v>
      </c>
      <c r="I35" s="221">
        <f t="shared" si="20"/>
        <v>68984</v>
      </c>
      <c r="J35" s="221">
        <f t="shared" si="19"/>
        <v>64938</v>
      </c>
      <c r="K35" s="17">
        <f t="shared" si="18"/>
        <v>2696814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[2]American!$IF$57</f>
        <v>0</v>
      </c>
      <c r="C38" s="12">
        <f>[2]Delta!$IF$57</f>
        <v>0</v>
      </c>
      <c r="D38" s="12">
        <f>[2]United!$IF$57</f>
        <v>0</v>
      </c>
      <c r="E38" s="12">
        <f>[2]Spirit!$IF$57</f>
        <v>0</v>
      </c>
      <c r="F38" s="12">
        <f>[2]Condor!$IF$57</f>
        <v>0</v>
      </c>
      <c r="G38" s="12">
        <f>'[2]Air France'!$IF$57</f>
        <v>0</v>
      </c>
      <c r="H38" s="12">
        <f>'[2]Jet Blue'!$IF$57</f>
        <v>0</v>
      </c>
      <c r="I38" s="12">
        <f>[2]KLM!$IF$57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[2]American!$IF$58</f>
        <v>0</v>
      </c>
      <c r="C39" s="7">
        <f>[2]Delta!$IF$58</f>
        <v>0</v>
      </c>
      <c r="D39" s="7">
        <f>[2]United!$IF$58</f>
        <v>0</v>
      </c>
      <c r="E39" s="7">
        <f>[2]Spirit!$IF$58</f>
        <v>0</v>
      </c>
      <c r="F39" s="7">
        <f>[2]Condor!$IF$58</f>
        <v>0</v>
      </c>
      <c r="G39" s="7">
        <f>'[2]Air France'!$IF$58</f>
        <v>0</v>
      </c>
      <c r="H39" s="7">
        <f>'[2]Jet Blue'!$IF$58</f>
        <v>0</v>
      </c>
      <c r="I39" s="7">
        <f>[2]KLM!$IF$58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21">
        <f t="shared" ref="B40:J40" si="22">SUM(B38:B39)</f>
        <v>0</v>
      </c>
      <c r="C40" s="221">
        <f t="shared" si="22"/>
        <v>0</v>
      </c>
      <c r="D40" s="221">
        <f t="shared" si="22"/>
        <v>0</v>
      </c>
      <c r="E40" s="221">
        <f t="shared" si="22"/>
        <v>0</v>
      </c>
      <c r="F40" s="221">
        <f t="shared" ref="F40:I40" si="23">SUM(F38:F39)</f>
        <v>0</v>
      </c>
      <c r="G40" s="221">
        <f t="shared" si="23"/>
        <v>0</v>
      </c>
      <c r="H40" s="221">
        <f t="shared" ref="H40" si="24">SUM(H38:H39)</f>
        <v>0</v>
      </c>
      <c r="I40" s="221">
        <f t="shared" si="23"/>
        <v>0</v>
      </c>
      <c r="J40" s="221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23303</v>
      </c>
      <c r="C43" s="12">
        <f t="shared" si="25"/>
        <v>3915147</v>
      </c>
      <c r="D43" s="12">
        <f t="shared" si="25"/>
        <v>68941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602670</v>
      </c>
      <c r="J43" s="12">
        <f t="shared" si="25"/>
        <v>197868</v>
      </c>
      <c r="K43" s="17">
        <f>SUM(B43:J43)</f>
        <v>4807929</v>
      </c>
    </row>
    <row r="44" spans="1:11" x14ac:dyDescent="0.2">
      <c r="A44" s="45" t="s">
        <v>38</v>
      </c>
      <c r="B44" s="7">
        <f t="shared" si="25"/>
        <v>34117</v>
      </c>
      <c r="C44" s="7">
        <f t="shared" si="25"/>
        <v>2068939</v>
      </c>
      <c r="D44" s="7">
        <f t="shared" si="25"/>
        <v>63751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38022</v>
      </c>
      <c r="K44" s="17">
        <f>SUM(B44:J44)</f>
        <v>2204829</v>
      </c>
    </row>
    <row r="45" spans="1:11" ht="15.75" thickBot="1" x14ac:dyDescent="0.3">
      <c r="A45" s="46" t="s">
        <v>46</v>
      </c>
      <c r="B45" s="222">
        <f t="shared" ref="B45:J45" si="30">SUM(B43:B44)</f>
        <v>57420</v>
      </c>
      <c r="C45" s="222">
        <f t="shared" si="30"/>
        <v>5984086</v>
      </c>
      <c r="D45" s="222">
        <f t="shared" si="30"/>
        <v>132692</v>
      </c>
      <c r="E45" s="222">
        <f t="shared" si="30"/>
        <v>0</v>
      </c>
      <c r="F45" s="222">
        <f t="shared" ref="F45:I45" si="31">SUM(F43:F44)</f>
        <v>0</v>
      </c>
      <c r="G45" s="222">
        <f t="shared" si="31"/>
        <v>0</v>
      </c>
      <c r="H45" s="222">
        <f t="shared" ref="H45" si="32">SUM(H43:H44)</f>
        <v>0</v>
      </c>
      <c r="I45" s="222">
        <f t="shared" si="31"/>
        <v>602670</v>
      </c>
      <c r="J45" s="222">
        <f t="shared" si="30"/>
        <v>235890</v>
      </c>
      <c r="K45" s="223">
        <f>SUM(B45:J45)</f>
        <v>7012758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95" t="s">
        <v>121</v>
      </c>
      <c r="C47" s="248">
        <f>[2]Delta!$IF$70+[2]Delta!$IF$73</f>
        <v>457736</v>
      </c>
      <c r="D47" s="236"/>
      <c r="E47" s="236"/>
      <c r="F47" s="236"/>
      <c r="G47" s="236"/>
      <c r="H47" s="236"/>
      <c r="I47" s="236"/>
      <c r="J47" s="236"/>
      <c r="K47" s="237">
        <f>SUM(B47:J47)</f>
        <v>457736</v>
      </c>
    </row>
    <row r="48" spans="1:11" hidden="1" x14ac:dyDescent="0.2">
      <c r="A48" s="296" t="s">
        <v>122</v>
      </c>
      <c r="C48" s="248">
        <f>[2]Delta!$IF$71+[2]Delta!$IF$74</f>
        <v>241509</v>
      </c>
      <c r="D48" s="236"/>
      <c r="E48" s="236"/>
      <c r="F48" s="236"/>
      <c r="G48" s="236"/>
      <c r="H48" s="236"/>
      <c r="I48" s="236"/>
      <c r="J48" s="236"/>
      <c r="K48" s="237">
        <f>SUM(B48:J48)</f>
        <v>241509</v>
      </c>
    </row>
    <row r="49" spans="1:11" hidden="1" x14ac:dyDescent="0.2">
      <c r="A49" s="297" t="s">
        <v>123</v>
      </c>
      <c r="C49" s="249">
        <f>SUM(C47:C48)</f>
        <v>699245</v>
      </c>
      <c r="K49" s="237">
        <f>SUM(B49:J49)</f>
        <v>699245</v>
      </c>
    </row>
    <row r="50" spans="1:11" x14ac:dyDescent="0.2">
      <c r="A50" s="295" t="s">
        <v>121</v>
      </c>
      <c r="B50" s="306"/>
      <c r="C50" s="251">
        <f>[2]Delta!$IF$70+[2]Delta!$IF$73</f>
        <v>457736</v>
      </c>
      <c r="D50" s="306"/>
      <c r="E50" s="251">
        <f>[2]Spirit!$IF$70+[2]Spirit!$IF$73</f>
        <v>0</v>
      </c>
      <c r="F50" s="306"/>
      <c r="G50" s="306"/>
      <c r="H50" s="306"/>
      <c r="I50" s="306"/>
      <c r="J50" s="250">
        <f>'Other Major Airline Stats'!K48</f>
        <v>173708</v>
      </c>
      <c r="K50" s="240">
        <f>SUM(B50:J50)</f>
        <v>631444</v>
      </c>
    </row>
    <row r="51" spans="1:11" x14ac:dyDescent="0.2">
      <c r="A51" s="308" t="s">
        <v>122</v>
      </c>
      <c r="B51" s="306"/>
      <c r="C51" s="251">
        <f>[2]Delta!$IF$71+[2]Delta!$IF$74</f>
        <v>241509</v>
      </c>
      <c r="D51" s="306"/>
      <c r="E51" s="251">
        <f>[2]Spirit!$IF$71+[2]Spirit!$IF$74</f>
        <v>0</v>
      </c>
      <c r="F51" s="306"/>
      <c r="G51" s="306"/>
      <c r="H51" s="306"/>
      <c r="I51" s="306"/>
      <c r="J51" s="250">
        <f>+'Other Major Airline Stats'!K49</f>
        <v>81</v>
      </c>
      <c r="K51" s="240">
        <f>SUM(B51:J51)</f>
        <v>241590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F46" sqref="F4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19">
        <v>44927</v>
      </c>
      <c r="B2" s="345" t="s">
        <v>47</v>
      </c>
      <c r="C2" s="344" t="s">
        <v>226</v>
      </c>
      <c r="D2" s="344" t="s">
        <v>202</v>
      </c>
      <c r="E2" s="344" t="s">
        <v>218</v>
      </c>
      <c r="F2" s="344" t="s">
        <v>179</v>
      </c>
      <c r="G2" s="345" t="s">
        <v>48</v>
      </c>
      <c r="H2" s="344" t="s">
        <v>129</v>
      </c>
      <c r="I2" s="344" t="s">
        <v>49</v>
      </c>
      <c r="J2" s="344" t="s">
        <v>128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[2]Frontier!$IF$22+[2]Frontier!$IF$32</f>
        <v>7153</v>
      </c>
      <c r="C5" s="95">
        <f>'[2]Allegiant '!$IF$22</f>
        <v>5427</v>
      </c>
      <c r="D5" s="95">
        <f>'[2]Aer Lingus'!$IF$22+'[2]Aer Lingus'!$IF$32</f>
        <v>0</v>
      </c>
      <c r="E5" s="95">
        <f>'[2]Denver Air'!$IF$22+'[2]Denver Air'!$IF$32</f>
        <v>730</v>
      </c>
      <c r="F5" s="95">
        <f>'[2]Boutique Air'!$IF$22</f>
        <v>0</v>
      </c>
      <c r="G5" s="95">
        <f>[2]Icelandair!$IF$32</f>
        <v>457</v>
      </c>
      <c r="H5" s="95">
        <f>[2]Southwest!$IF$22</f>
        <v>43626</v>
      </c>
      <c r="I5" s="95">
        <f>'[2]Sun Country'!$IF$22+'[2]Sun Country'!$IF$32</f>
        <v>124444</v>
      </c>
      <c r="J5" s="95">
        <f>[2]Alaska!$IF$22</f>
        <v>6226</v>
      </c>
      <c r="K5" s="118">
        <f>SUM(B5:J5)</f>
        <v>188063</v>
      </c>
      <c r="N5" s="95"/>
    </row>
    <row r="6" spans="1:14" x14ac:dyDescent="0.2">
      <c r="A6" s="45" t="s">
        <v>31</v>
      </c>
      <c r="B6" s="95">
        <f>[2]Frontier!$IF$23+[2]Frontier!$IF$33</f>
        <v>7357</v>
      </c>
      <c r="C6" s="95">
        <f>'[2]Allegiant '!$IF$23</f>
        <v>6050</v>
      </c>
      <c r="D6" s="95">
        <f>'[2]Aer Lingus'!$IF$23+'[2]Aer Lingus'!$IF$33</f>
        <v>0</v>
      </c>
      <c r="E6" s="95">
        <f>'[2]Denver Air'!$IF$23+'[2]Denver Air'!$IF$33</f>
        <v>753</v>
      </c>
      <c r="F6" s="95">
        <f>'[2]Boutique Air'!$IF$23</f>
        <v>0</v>
      </c>
      <c r="G6" s="95">
        <f>[2]Icelandair!$IF$33</f>
        <v>274</v>
      </c>
      <c r="H6" s="95">
        <f>[2]Southwest!$IF$23</f>
        <v>44998</v>
      </c>
      <c r="I6" s="95">
        <f>'[2]Sun Country'!$IF$23+'[2]Sun Country'!$IF$33</f>
        <v>128791</v>
      </c>
      <c r="J6" s="95">
        <f>[2]Alaska!$IF$23</f>
        <v>6626</v>
      </c>
      <c r="K6" s="118">
        <f>SUM(B6:J6)</f>
        <v>194849</v>
      </c>
    </row>
    <row r="7" spans="1:14" ht="15" x14ac:dyDescent="0.25">
      <c r="A7" s="43" t="s">
        <v>7</v>
      </c>
      <c r="B7" s="126">
        <f>SUM(B5:B6)</f>
        <v>14510</v>
      </c>
      <c r="C7" s="126">
        <f t="shared" ref="C7:F7" si="0">SUM(C5:C6)</f>
        <v>11477</v>
      </c>
      <c r="D7" s="126">
        <f>SUM(D5:D6)</f>
        <v>0</v>
      </c>
      <c r="E7" s="126">
        <f>SUM(E5:E6)</f>
        <v>1483</v>
      </c>
      <c r="F7" s="126">
        <f t="shared" si="0"/>
        <v>0</v>
      </c>
      <c r="G7" s="126">
        <f t="shared" ref="G7:J7" si="1">SUM(G5:G6)</f>
        <v>731</v>
      </c>
      <c r="H7" s="126">
        <f t="shared" si="1"/>
        <v>88624</v>
      </c>
      <c r="I7" s="126">
        <f>SUM(I5:I6)</f>
        <v>253235</v>
      </c>
      <c r="J7" s="126">
        <f t="shared" si="1"/>
        <v>12852</v>
      </c>
      <c r="K7" s="127">
        <f>SUM(B7:J7)</f>
        <v>382912</v>
      </c>
    </row>
    <row r="8" spans="1:14" x14ac:dyDescent="0.2">
      <c r="A8" s="45"/>
      <c r="B8" s="125"/>
      <c r="C8" s="125"/>
      <c r="D8" s="378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78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[2]Frontier!$IF$27+[2]Frontier!$IF$37</f>
        <v>42</v>
      </c>
      <c r="C10" s="125">
        <f>'[2]Allegiant '!$IF$27</f>
        <v>0</v>
      </c>
      <c r="D10" s="378">
        <f>'[2]Aer Lingus'!$IF$27+'[2]Aer Lingus'!$IF$37</f>
        <v>0</v>
      </c>
      <c r="E10" s="125">
        <f>'[2]Denver Air'!$IF$27+'[2]Denver Air'!$IF$37</f>
        <v>22</v>
      </c>
      <c r="F10" s="125">
        <f>'[2]Boutique Air'!$IF$27</f>
        <v>0</v>
      </c>
      <c r="G10" s="125">
        <f>[2]Icelandair!$IF$37</f>
        <v>0</v>
      </c>
      <c r="H10" s="125">
        <f>[2]Southwest!$IF$27</f>
        <v>1180</v>
      </c>
      <c r="I10" s="125">
        <f>'[2]Sun Country'!$IF$27+'[2]Sun Country'!$IF$37</f>
        <v>2163</v>
      </c>
      <c r="J10" s="125">
        <f>[2]Alaska!$IF$27</f>
        <v>265</v>
      </c>
      <c r="K10" s="118">
        <f>SUM(B10:J10)</f>
        <v>3672</v>
      </c>
    </row>
    <row r="11" spans="1:14" x14ac:dyDescent="0.2">
      <c r="A11" s="45" t="s">
        <v>33</v>
      </c>
      <c r="B11" s="128">
        <f>[2]Frontier!$IF$28+[2]Frontier!$IF$38</f>
        <v>41</v>
      </c>
      <c r="C11" s="128">
        <f>'[2]Allegiant '!$IF$28</f>
        <v>0</v>
      </c>
      <c r="D11" s="128">
        <f>'[2]Aer Lingus'!$IF$28+'[2]Aer Lingus'!$IF$38</f>
        <v>0</v>
      </c>
      <c r="E11" s="128">
        <f>'[2]Denver Air'!$IF$28+'[2]Denver Air'!$IF$38</f>
        <v>30</v>
      </c>
      <c r="F11" s="128">
        <f>'[2]Boutique Air'!$IF$28</f>
        <v>0</v>
      </c>
      <c r="G11" s="128">
        <f>[2]Icelandair!$IF$38</f>
        <v>10</v>
      </c>
      <c r="H11" s="128">
        <f>[2]Southwest!$IF$28</f>
        <v>1307</v>
      </c>
      <c r="I11" s="128">
        <f>'[2]Sun Country'!$IF$28+'[2]Sun Country'!$IF$38</f>
        <v>2330</v>
      </c>
      <c r="J11" s="128">
        <f>[2]Alaska!$IF$28</f>
        <v>273</v>
      </c>
      <c r="K11" s="118">
        <f>SUM(B11:J11)</f>
        <v>3991</v>
      </c>
    </row>
    <row r="12" spans="1:14" ht="15.75" thickBot="1" x14ac:dyDescent="0.3">
      <c r="A12" s="46" t="s">
        <v>34</v>
      </c>
      <c r="B12" s="121">
        <f>SUM(B10:B11)</f>
        <v>83</v>
      </c>
      <c r="C12" s="121">
        <f t="shared" ref="C12:F12" si="2">SUM(C10:C11)</f>
        <v>0</v>
      </c>
      <c r="D12" s="121">
        <f>SUM(D10:D11)</f>
        <v>0</v>
      </c>
      <c r="E12" s="121">
        <f>SUM(E10:E11)</f>
        <v>52</v>
      </c>
      <c r="F12" s="121">
        <f t="shared" si="2"/>
        <v>0</v>
      </c>
      <c r="G12" s="121">
        <f t="shared" ref="G12:J12" si="3">SUM(G10:G11)</f>
        <v>10</v>
      </c>
      <c r="H12" s="121">
        <f t="shared" si="3"/>
        <v>2487</v>
      </c>
      <c r="I12" s="121">
        <f>SUM(I10:I11)</f>
        <v>4493</v>
      </c>
      <c r="J12" s="121">
        <f t="shared" si="3"/>
        <v>538</v>
      </c>
      <c r="K12" s="129">
        <f>SUM(B12:J12)</f>
        <v>7663</v>
      </c>
      <c r="N12" s="95"/>
    </row>
    <row r="13" spans="1:14" ht="15" x14ac:dyDescent="0.25">
      <c r="A13" s="42"/>
      <c r="B13" s="224"/>
      <c r="C13" s="224"/>
      <c r="D13" s="379"/>
      <c r="E13" s="224"/>
      <c r="F13" s="224"/>
      <c r="G13" s="224"/>
      <c r="H13" s="224"/>
      <c r="I13" s="224"/>
      <c r="J13" s="224"/>
      <c r="K13" s="225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[2]Frontier!$IF$4+[2]Frontier!$IF$15</f>
        <v>47</v>
      </c>
      <c r="C16" s="85">
        <f>'[2]Allegiant '!$IF$4</f>
        <v>37</v>
      </c>
      <c r="D16" s="95">
        <f>'[2]Aer Lingus'!$IF$4+'[2]Aer Lingus'!$IF$15</f>
        <v>0</v>
      </c>
      <c r="E16" s="95">
        <f>'[2]Denver Air'!$IF$4+'[2]Denver Air'!$IF$15</f>
        <v>80</v>
      </c>
      <c r="F16" s="85">
        <f>'[2]Boutique Air'!$IF$4</f>
        <v>0</v>
      </c>
      <c r="G16" s="95">
        <f>[2]Icelandair!$IF$15</f>
        <v>3</v>
      </c>
      <c r="H16" s="85">
        <f>[2]Southwest!$IF$4</f>
        <v>454</v>
      </c>
      <c r="I16" s="95">
        <f>'[2]Sun Country'!$IF$4+'[2]Sun Country'!$IF$15</f>
        <v>819</v>
      </c>
      <c r="J16" s="95">
        <f>[2]Alaska!$IF$4</f>
        <v>49</v>
      </c>
      <c r="K16" s="118">
        <f>SUM(B16:J16)</f>
        <v>1489</v>
      </c>
    </row>
    <row r="17" spans="1:258" x14ac:dyDescent="0.2">
      <c r="A17" s="45" t="s">
        <v>23</v>
      </c>
      <c r="B17" s="95">
        <f>[2]Frontier!$IF$5+[2]Frontier!$IF$16</f>
        <v>47</v>
      </c>
      <c r="C17" s="85">
        <f>'[2]Allegiant '!$IF$5</f>
        <v>37</v>
      </c>
      <c r="D17" s="95">
        <f>'[2]Aer Lingus'!$IF$5+'[2]Aer Lingus'!$IF$16</f>
        <v>0</v>
      </c>
      <c r="E17" s="95">
        <f>'[2]Denver Air'!$IF$5+'[2]Denver Air'!$IF$16</f>
        <v>80</v>
      </c>
      <c r="F17" s="85">
        <f>'[2]Boutique Air'!$IF$5</f>
        <v>0</v>
      </c>
      <c r="G17" s="95">
        <f>[2]Icelandair!$IF$16</f>
        <v>3</v>
      </c>
      <c r="H17" s="85">
        <f>[2]Southwest!$IF$5</f>
        <v>454</v>
      </c>
      <c r="I17" s="95">
        <f>'[2]Sun Country'!$IF$5+'[2]Sun Country'!$IF$16</f>
        <v>812</v>
      </c>
      <c r="J17" s="95">
        <f>[2]Alaska!$IF$5</f>
        <v>49</v>
      </c>
      <c r="K17" s="118">
        <f>SUM(B17:J17)</f>
        <v>1482</v>
      </c>
    </row>
    <row r="18" spans="1:258" x14ac:dyDescent="0.2">
      <c r="A18" s="49" t="s">
        <v>24</v>
      </c>
      <c r="B18" s="119">
        <f t="shared" ref="B18" si="4">SUM(B16:B17)</f>
        <v>94</v>
      </c>
      <c r="C18" s="119">
        <f t="shared" ref="C18:F18" si="5">SUM(C16:C17)</f>
        <v>74</v>
      </c>
      <c r="D18" s="119">
        <f t="shared" si="5"/>
        <v>0</v>
      </c>
      <c r="E18" s="119">
        <f t="shared" si="5"/>
        <v>160</v>
      </c>
      <c r="F18" s="119">
        <f t="shared" si="5"/>
        <v>0</v>
      </c>
      <c r="G18" s="119">
        <f t="shared" ref="G18:J18" si="6">SUM(G16:G17)</f>
        <v>6</v>
      </c>
      <c r="H18" s="119">
        <f t="shared" si="6"/>
        <v>908</v>
      </c>
      <c r="I18" s="119">
        <f t="shared" si="6"/>
        <v>1631</v>
      </c>
      <c r="J18" s="119">
        <f t="shared" si="6"/>
        <v>98</v>
      </c>
      <c r="K18" s="120">
        <f>SUM(B18:J18)</f>
        <v>2971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[2]Frontier!$IF$8</f>
        <v>0</v>
      </c>
      <c r="C20" s="95">
        <f>'[2]Allegiant '!$IF$8</f>
        <v>0</v>
      </c>
      <c r="D20" s="95">
        <f>'[2]Aer Lingus'!$IF$8</f>
        <v>0</v>
      </c>
      <c r="E20" s="95">
        <f>'[2]Denver Air'!$IF$8</f>
        <v>0</v>
      </c>
      <c r="F20" s="95">
        <f>'[2]Boutique Air'!$IF$8</f>
        <v>0</v>
      </c>
      <c r="G20" s="95">
        <f>[2]Icelandair!$IF$8</f>
        <v>0</v>
      </c>
      <c r="H20" s="95">
        <f>[2]Southwest!$IF$8</f>
        <v>0</v>
      </c>
      <c r="I20" s="95">
        <f>'[2]Sun Country'!$IF$8</f>
        <v>76</v>
      </c>
      <c r="J20" s="95">
        <f>[2]Alaska!$IF$8</f>
        <v>0</v>
      </c>
      <c r="K20" s="118">
        <f>SUM(B20:J20)</f>
        <v>76</v>
      </c>
    </row>
    <row r="21" spans="1:258" x14ac:dyDescent="0.2">
      <c r="A21" s="45" t="s">
        <v>26</v>
      </c>
      <c r="B21" s="95">
        <f>[2]Frontier!$IF$9</f>
        <v>0</v>
      </c>
      <c r="C21" s="95">
        <f>'[2]Allegiant '!$IF$9</f>
        <v>0</v>
      </c>
      <c r="D21" s="95">
        <f>'[2]Aer Lingus'!$IF$9</f>
        <v>0</v>
      </c>
      <c r="E21" s="95">
        <f>'[2]Denver Air'!$IF$9</f>
        <v>0</v>
      </c>
      <c r="F21" s="95">
        <f>'[2]Boutique Air'!$IF$9</f>
        <v>0</v>
      </c>
      <c r="G21" s="95">
        <f>[2]Icelandair!$IF$9</f>
        <v>0</v>
      </c>
      <c r="H21" s="95">
        <f>[2]Southwest!$IF$9</f>
        <v>0</v>
      </c>
      <c r="I21" s="95">
        <f>'[2]Sun Country'!$IF$9</f>
        <v>85</v>
      </c>
      <c r="J21" s="95">
        <f>[2]Alaska!$IF$9</f>
        <v>0</v>
      </c>
      <c r="K21" s="118">
        <f>SUM(B21:J21)</f>
        <v>85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161</v>
      </c>
      <c r="J22" s="119">
        <f t="shared" si="9"/>
        <v>0</v>
      </c>
      <c r="K22" s="120">
        <f>SUM(B22:J22)</f>
        <v>161</v>
      </c>
    </row>
    <row r="23" spans="1:258" ht="15.75" thickBot="1" x14ac:dyDescent="0.3">
      <c r="A23" s="46" t="s">
        <v>28</v>
      </c>
      <c r="B23" s="121">
        <f t="shared" ref="B23" si="10">B22+B18</f>
        <v>94</v>
      </c>
      <c r="C23" s="121">
        <f t="shared" ref="C23:F23" si="11">C22+C18</f>
        <v>74</v>
      </c>
      <c r="D23" s="121">
        <f t="shared" si="11"/>
        <v>0</v>
      </c>
      <c r="E23" s="121">
        <f t="shared" si="11"/>
        <v>160</v>
      </c>
      <c r="F23" s="121">
        <f t="shared" si="11"/>
        <v>0</v>
      </c>
      <c r="G23" s="121">
        <f t="shared" ref="G23:J23" si="12">G22+G18</f>
        <v>6</v>
      </c>
      <c r="H23" s="121">
        <f t="shared" si="12"/>
        <v>908</v>
      </c>
      <c r="I23" s="121">
        <f t="shared" si="12"/>
        <v>1792</v>
      </c>
      <c r="J23" s="121">
        <f t="shared" si="12"/>
        <v>98</v>
      </c>
      <c r="K23" s="122">
        <f>SUM(B23:J23)</f>
        <v>3132</v>
      </c>
    </row>
    <row r="24" spans="1:258" x14ac:dyDescent="0.2">
      <c r="A24" s="12"/>
      <c r="B24" s="12"/>
      <c r="C24" s="12"/>
      <c r="D24" s="38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30"/>
      <c r="C25" s="330"/>
      <c r="D25" s="330"/>
      <c r="E25" s="330"/>
      <c r="F25" s="330"/>
      <c r="G25" s="330"/>
      <c r="H25" s="330"/>
      <c r="I25" s="330"/>
      <c r="J25" s="330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[2]Frontier!$IF$47</f>
        <v>0</v>
      </c>
      <c r="C28" s="95">
        <f>'[2]Allegiant '!$IF$47</f>
        <v>0</v>
      </c>
      <c r="D28" s="95">
        <f>'[2]Aer Lingus'!$IF$47</f>
        <v>0</v>
      </c>
      <c r="E28" s="95">
        <f>'[2]Denver Air'!$IF$47</f>
        <v>0</v>
      </c>
      <c r="F28" s="95">
        <f>'[2]Boutique Air'!$IF$47</f>
        <v>0</v>
      </c>
      <c r="G28" s="95">
        <f>[2]Icelandair!$IF$47</f>
        <v>337</v>
      </c>
      <c r="H28" s="95">
        <f>[2]Southwest!$IF$47</f>
        <v>130616</v>
      </c>
      <c r="I28" s="95">
        <f>'[2]Sun Country'!$IF$47</f>
        <v>2195</v>
      </c>
      <c r="J28" s="95">
        <f>[2]Alaska!$IF$47</f>
        <v>10865</v>
      </c>
      <c r="K28" s="118">
        <f>SUM(B28:J28)</f>
        <v>144013</v>
      </c>
    </row>
    <row r="29" spans="1:258" x14ac:dyDescent="0.2">
      <c r="A29" s="45" t="s">
        <v>38</v>
      </c>
      <c r="B29" s="95">
        <f>[2]Frontier!$IF$48</f>
        <v>0</v>
      </c>
      <c r="C29" s="95">
        <f>'[2]Allegiant '!$IF$48</f>
        <v>0</v>
      </c>
      <c r="D29" s="95">
        <f>'[2]Aer Lingus'!$IF$48</f>
        <v>0</v>
      </c>
      <c r="E29" s="95">
        <f>'[2]Denver Air'!$IF$48</f>
        <v>0</v>
      </c>
      <c r="F29" s="95">
        <f>'[2]Boutique Air'!$IF$48</f>
        <v>0</v>
      </c>
      <c r="G29" s="95">
        <f>[2]Icelandair!$IF$48</f>
        <v>0</v>
      </c>
      <c r="H29" s="95">
        <f>[2]Southwest!$IF$48</f>
        <v>0</v>
      </c>
      <c r="I29" s="95">
        <f>'[2]Sun Country'!$IF$48</f>
        <v>26939</v>
      </c>
      <c r="J29" s="95">
        <f>[2]Alaska!$IF$48</f>
        <v>0</v>
      </c>
      <c r="K29" s="118">
        <f>SUM(B29:J29)</f>
        <v>26939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337</v>
      </c>
      <c r="H30" s="133">
        <f t="shared" si="15"/>
        <v>130616</v>
      </c>
      <c r="I30" s="133">
        <f t="shared" si="15"/>
        <v>29134</v>
      </c>
      <c r="J30" s="133">
        <f t="shared" si="15"/>
        <v>10865</v>
      </c>
      <c r="K30" s="135">
        <f>SUM(B30:J30)</f>
        <v>170952</v>
      </c>
    </row>
    <row r="31" spans="1:258" x14ac:dyDescent="0.2">
      <c r="A31" s="45"/>
      <c r="B31" s="125"/>
      <c r="C31" s="125"/>
      <c r="D31" s="378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[2]Frontier!$IF$52</f>
        <v>0</v>
      </c>
      <c r="C33" s="95">
        <f>'[2]Allegiant '!$IF$52</f>
        <v>0</v>
      </c>
      <c r="D33" s="95">
        <f>'[2]Aer Lingus'!$IF$52</f>
        <v>0</v>
      </c>
      <c r="E33" s="95">
        <f>'[2]Denver Air'!$IF$52</f>
        <v>0</v>
      </c>
      <c r="F33" s="95">
        <f>'[2]Boutique Air'!$IF$52</f>
        <v>0</v>
      </c>
      <c r="G33" s="95">
        <f>[2]Icelandair!$IF$52</f>
        <v>0</v>
      </c>
      <c r="H33" s="95">
        <f>[2]Southwest!$IF$52</f>
        <v>46031</v>
      </c>
      <c r="I33" s="95">
        <f>'[2]Sun Country'!$IF$52</f>
        <v>0</v>
      </c>
      <c r="J33" s="95">
        <f>[2]Alaska!$IF$52</f>
        <v>7824</v>
      </c>
      <c r="K33" s="118">
        <f>SUM(B33:J33)</f>
        <v>53855</v>
      </c>
    </row>
    <row r="34" spans="1:11" x14ac:dyDescent="0.2">
      <c r="A34" s="45" t="s">
        <v>38</v>
      </c>
      <c r="B34" s="95">
        <f>[2]Frontier!$IF$53</f>
        <v>0</v>
      </c>
      <c r="C34" s="95">
        <f>'[2]Allegiant '!$IF$53</f>
        <v>0</v>
      </c>
      <c r="D34" s="95">
        <f>'[2]Aer Lingus'!$IF$53</f>
        <v>0</v>
      </c>
      <c r="E34" s="95">
        <f>'[2]Denver Air'!$IF$53</f>
        <v>0</v>
      </c>
      <c r="F34" s="95">
        <f>'[2]Boutique Air'!$IF$53</f>
        <v>0</v>
      </c>
      <c r="G34" s="95">
        <f>[2]Icelandair!$IF$53</f>
        <v>0</v>
      </c>
      <c r="H34" s="95">
        <f>[2]Southwest!$IF$53</f>
        <v>0</v>
      </c>
      <c r="I34" s="95">
        <f>'[2]Sun Country'!$IF$53</f>
        <v>11083</v>
      </c>
      <c r="J34" s="95">
        <f>[2]Alaska!$IF$53</f>
        <v>0</v>
      </c>
      <c r="K34" s="134">
        <f>SUM(B34:J34)</f>
        <v>11083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46031</v>
      </c>
      <c r="I35" s="119">
        <f t="shared" si="18"/>
        <v>11083</v>
      </c>
      <c r="J35" s="119">
        <f t="shared" si="18"/>
        <v>7824</v>
      </c>
      <c r="K35" s="135">
        <f>SUM(B35:J35)</f>
        <v>64938</v>
      </c>
    </row>
    <row r="36" spans="1:11" hidden="1" x14ac:dyDescent="0.2">
      <c r="A36" s="45"/>
      <c r="B36" s="125"/>
      <c r="C36" s="125"/>
      <c r="D36" s="378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78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[2]Frontier!$IF$57</f>
        <v>0</v>
      </c>
      <c r="C38" s="125">
        <f>'[2]Allegiant '!$IF$57</f>
        <v>0</v>
      </c>
      <c r="D38" s="378">
        <f>'[2]Aer Lingus'!$IF$57</f>
        <v>0</v>
      </c>
      <c r="E38" s="125">
        <f>'[2]Denver Air'!$IF$57</f>
        <v>0</v>
      </c>
      <c r="F38" s="125">
        <f>'[2]Boutique Air'!$IF$57</f>
        <v>0</v>
      </c>
      <c r="G38" s="125">
        <f>[2]Icelandair!$IF$57</f>
        <v>0</v>
      </c>
      <c r="H38" s="125">
        <f>[2]Southwest!$IF$57</f>
        <v>0</v>
      </c>
      <c r="I38" s="125">
        <f>'[2]Sun Country'!$IF$57</f>
        <v>0</v>
      </c>
      <c r="J38" s="125">
        <f>[2]Alaska!$IF$57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[2]Frontier!$IF$58</f>
        <v>0</v>
      </c>
      <c r="C39" s="128">
        <f>'[2]Allegiant '!$IF$58</f>
        <v>0</v>
      </c>
      <c r="D39" s="128">
        <f>'[2]Aer Lingus'!$IF$58</f>
        <v>0</v>
      </c>
      <c r="E39" s="128">
        <f>'[2]Denver Air'!$IF$58</f>
        <v>0</v>
      </c>
      <c r="F39" s="128">
        <f>'[2]Boutique Air'!$IF$58</f>
        <v>0</v>
      </c>
      <c r="G39" s="128">
        <f>[2]Icelandair!$IF$58</f>
        <v>0</v>
      </c>
      <c r="H39" s="128">
        <f>[2]Southwest!$IF$58</f>
        <v>0</v>
      </c>
      <c r="I39" s="128">
        <f>'[2]Sun Country'!$IF$58</f>
        <v>0</v>
      </c>
      <c r="J39" s="128">
        <f>[2]Alaska!$IF$58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81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78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78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78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337</v>
      </c>
      <c r="H43" s="125">
        <f t="shared" si="24"/>
        <v>176647</v>
      </c>
      <c r="I43" s="125">
        <f t="shared" si="24"/>
        <v>2195</v>
      </c>
      <c r="J43" s="125">
        <f t="shared" si="24"/>
        <v>18689</v>
      </c>
      <c r="K43" s="118">
        <f>SUM(B43:J43)</f>
        <v>197868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38022</v>
      </c>
      <c r="J44" s="128">
        <f t="shared" si="27"/>
        <v>0</v>
      </c>
      <c r="K44" s="118">
        <f>SUM(B44:J44)</f>
        <v>38022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337</v>
      </c>
      <c r="H45" s="137">
        <f t="shared" si="30"/>
        <v>176647</v>
      </c>
      <c r="I45" s="137">
        <f t="shared" si="30"/>
        <v>40217</v>
      </c>
      <c r="J45" s="137">
        <f t="shared" si="30"/>
        <v>18689</v>
      </c>
      <c r="K45" s="138">
        <f>SUM(B45:J45)</f>
        <v>235890</v>
      </c>
    </row>
    <row r="48" spans="1:11" x14ac:dyDescent="0.2">
      <c r="A48" s="295" t="s">
        <v>121</v>
      </c>
      <c r="B48" s="306"/>
      <c r="C48" s="306"/>
      <c r="D48" s="306"/>
      <c r="E48" s="306"/>
      <c r="F48" s="306"/>
      <c r="H48" s="251">
        <f>[2]Southwest!$IF$70+[2]Southwest!$IF$73</f>
        <v>44917</v>
      </c>
      <c r="I48" s="251">
        <f>'[2]Sun Country'!$IF$70+'[2]Sun Country'!$IF$73</f>
        <v>128791</v>
      </c>
      <c r="J48" s="306"/>
      <c r="K48" s="240">
        <f>SUM(B48:J48)</f>
        <v>173708</v>
      </c>
    </row>
    <row r="49" spans="1:11" x14ac:dyDescent="0.2">
      <c r="A49" s="308" t="s">
        <v>122</v>
      </c>
      <c r="B49" s="306"/>
      <c r="C49" s="306"/>
      <c r="D49" s="306"/>
      <c r="E49" s="306"/>
      <c r="F49" s="306"/>
      <c r="H49" s="251">
        <f>[2]Southwest!$IF$71+[2]Southwest!$IF$74</f>
        <v>81</v>
      </c>
      <c r="I49" s="251">
        <f>'[2]Sun Country'!$IF$71+'[2]Sun Country'!$IF$74</f>
        <v>0</v>
      </c>
      <c r="J49" s="306"/>
      <c r="K49" s="240">
        <f>SUM(B49:J49)</f>
        <v>81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January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9" sqref="P19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04"/>
    </row>
    <row r="2" spans="1:16" ht="51.75" thickBot="1" x14ac:dyDescent="0.25">
      <c r="A2" s="419">
        <v>44927</v>
      </c>
      <c r="B2" s="428" t="s">
        <v>157</v>
      </c>
      <c r="C2" s="428" t="s">
        <v>160</v>
      </c>
      <c r="D2" s="428" t="s">
        <v>168</v>
      </c>
      <c r="E2" s="428" t="s">
        <v>167</v>
      </c>
      <c r="F2" s="428" t="s">
        <v>169</v>
      </c>
      <c r="G2" s="428" t="s">
        <v>197</v>
      </c>
      <c r="H2" s="428" t="s">
        <v>173</v>
      </c>
      <c r="I2" s="428" t="s">
        <v>180</v>
      </c>
      <c r="J2" s="428" t="s">
        <v>195</v>
      </c>
      <c r="K2" s="428" t="s">
        <v>172</v>
      </c>
      <c r="L2" s="429" t="s">
        <v>115</v>
      </c>
      <c r="M2" s="429" t="s">
        <v>21</v>
      </c>
    </row>
    <row r="3" spans="1:16" ht="15.75" thickTop="1" x14ac:dyDescent="0.25">
      <c r="A3" s="212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[2]Pinnacle!$IF$22+[2]Pinnacle!$IF$32</f>
        <v>52838</v>
      </c>
      <c r="C5" s="87">
        <f>[2]MESA_UA!$IF$22</f>
        <v>192</v>
      </c>
      <c r="D5" s="95">
        <f>'[2]Sky West'!$IF$22+'[2]Sky West'!$IF$32</f>
        <v>85580</v>
      </c>
      <c r="E5" s="95">
        <f>'[2]Sky West_UA'!$IF$22</f>
        <v>270</v>
      </c>
      <c r="F5" s="95">
        <f>'[2]Sky West_AS'!$IF$22</f>
        <v>0</v>
      </c>
      <c r="G5" s="95">
        <f>'[2]Sky West_AA'!$IF$22</f>
        <v>0</v>
      </c>
      <c r="H5" s="95">
        <f>[2]Republic!$IF$22</f>
        <v>3775</v>
      </c>
      <c r="I5" s="95">
        <f>[2]Republic_UA!$IF$22</f>
        <v>2344</v>
      </c>
      <c r="J5" s="95">
        <f>'[2]Sky Regional'!$IF$32</f>
        <v>0</v>
      </c>
      <c r="K5" s="95">
        <f>'[2]American Eagle'!$IF$22</f>
        <v>2482</v>
      </c>
      <c r="L5" s="95">
        <f>'Other Regional'!L5</f>
        <v>5905</v>
      </c>
      <c r="M5" s="88">
        <f>SUM(B5:L5)</f>
        <v>153386</v>
      </c>
    </row>
    <row r="6" spans="1:16" s="6" customFormat="1" x14ac:dyDescent="0.2">
      <c r="A6" s="45" t="s">
        <v>31</v>
      </c>
      <c r="B6" s="87">
        <f>[2]Pinnacle!$IF$23+[2]Pinnacle!$IF$33</f>
        <v>52114</v>
      </c>
      <c r="C6" s="87">
        <f>[2]MESA_UA!$IF$23</f>
        <v>224</v>
      </c>
      <c r="D6" s="95">
        <f>'[2]Sky West'!$IF$23+'[2]Sky West'!$IF$33</f>
        <v>87613</v>
      </c>
      <c r="E6" s="95">
        <f>'[2]Sky West_UA'!$IF$23</f>
        <v>291</v>
      </c>
      <c r="F6" s="95">
        <f>'[2]Sky West_AS'!$IF$23</f>
        <v>0</v>
      </c>
      <c r="G6" s="95">
        <f>'[2]Sky West_AA'!$IF$23</f>
        <v>0</v>
      </c>
      <c r="H6" s="95">
        <f>[2]Republic!$IF$23</f>
        <v>3717</v>
      </c>
      <c r="I6" s="95">
        <f>[2]Republic_UA!$IF$23</f>
        <v>2733</v>
      </c>
      <c r="J6" s="95">
        <f>'[2]Sky Regional'!$IF$33</f>
        <v>0</v>
      </c>
      <c r="K6" s="95">
        <f>'[2]American Eagle'!$IF$23</f>
        <v>2692</v>
      </c>
      <c r="L6" s="95">
        <f>'Other Regional'!L6</f>
        <v>5833</v>
      </c>
      <c r="M6" s="92">
        <f>SUM(B6:L6)</f>
        <v>155217</v>
      </c>
    </row>
    <row r="7" spans="1:16" ht="15" thickBot="1" x14ac:dyDescent="0.25">
      <c r="A7" s="54" t="s">
        <v>7</v>
      </c>
      <c r="B7" s="105">
        <f>SUM(B5:B6)</f>
        <v>104952</v>
      </c>
      <c r="C7" s="105">
        <f t="shared" ref="C7:L7" si="0">SUM(C5:C6)</f>
        <v>416</v>
      </c>
      <c r="D7" s="105">
        <f t="shared" si="0"/>
        <v>173193</v>
      </c>
      <c r="E7" s="105">
        <f t="shared" si="0"/>
        <v>561</v>
      </c>
      <c r="F7" s="105">
        <f t="shared" ref="F7:G7" si="1">SUM(F5:F6)</f>
        <v>0</v>
      </c>
      <c r="G7" s="105">
        <f t="shared" si="1"/>
        <v>0</v>
      </c>
      <c r="H7" s="105">
        <f t="shared" si="0"/>
        <v>7492</v>
      </c>
      <c r="I7" s="105">
        <f t="shared" si="0"/>
        <v>5077</v>
      </c>
      <c r="J7" s="105">
        <f t="shared" si="0"/>
        <v>0</v>
      </c>
      <c r="K7" s="105">
        <f t="shared" si="0"/>
        <v>5174</v>
      </c>
      <c r="L7" s="105">
        <f t="shared" si="0"/>
        <v>11738</v>
      </c>
      <c r="M7" s="106">
        <f>SUM(B7:L7)</f>
        <v>308603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[2]Pinnacle!$IF$27+[2]Pinnacle!$IF$37</f>
        <v>2071</v>
      </c>
      <c r="C10" s="87">
        <f>[2]MESA_UA!$IF$27</f>
        <v>5</v>
      </c>
      <c r="D10" s="95">
        <f>'[2]Sky West'!$IF$27+'[2]Sky West'!$IF$37</f>
        <v>2780</v>
      </c>
      <c r="E10" s="95">
        <f>'[2]Sky West_UA'!$IF$27</f>
        <v>7</v>
      </c>
      <c r="F10" s="95">
        <f>'[2]Sky West_AS'!$IF$27</f>
        <v>0</v>
      </c>
      <c r="G10" s="95">
        <f>'[2]Sky West_AA'!$IF$27</f>
        <v>0</v>
      </c>
      <c r="H10" s="95">
        <f>[2]Republic!$IF$27</f>
        <v>143</v>
      </c>
      <c r="I10" s="95">
        <f>[2]Republic_UA!$IF$27</f>
        <v>139</v>
      </c>
      <c r="J10" s="95">
        <f>'[2]Sky Regional'!$IF$37</f>
        <v>0</v>
      </c>
      <c r="K10" s="95">
        <f>'[2]American Eagle'!$IF$27</f>
        <v>119</v>
      </c>
      <c r="L10" s="95">
        <f>'Other Regional'!L10</f>
        <v>145</v>
      </c>
      <c r="M10" s="88">
        <f>SUM(B10:L10)</f>
        <v>5409</v>
      </c>
    </row>
    <row r="11" spans="1:16" x14ac:dyDescent="0.2">
      <c r="A11" s="45" t="s">
        <v>33</v>
      </c>
      <c r="B11" s="87">
        <f>[2]Pinnacle!$IF$28+[2]Pinnacle!$IF$38</f>
        <v>2090</v>
      </c>
      <c r="C11" s="87">
        <f>[2]MESA_UA!$IF$28</f>
        <v>2</v>
      </c>
      <c r="D11" s="95">
        <f>'[2]Sky West'!$IF$28+'[2]Sky West'!$IF$38</f>
        <v>2793</v>
      </c>
      <c r="E11" s="95">
        <f>'[2]Sky West_UA'!$IF$28</f>
        <v>6</v>
      </c>
      <c r="F11" s="95">
        <f>'[2]Sky West_AS'!$IF$28</f>
        <v>0</v>
      </c>
      <c r="G11" s="95">
        <f>'[2]Sky West_AA'!$IF$28</f>
        <v>0</v>
      </c>
      <c r="H11" s="95">
        <f>[2]Republic!$IF$28</f>
        <v>151</v>
      </c>
      <c r="I11" s="95">
        <f>[2]Republic_UA!$IF$28</f>
        <v>104</v>
      </c>
      <c r="J11" s="95">
        <f>'[2]Sky Regional'!$IF$38</f>
        <v>0</v>
      </c>
      <c r="K11" s="95">
        <f>'[2]American Eagle'!$IF$28</f>
        <v>74</v>
      </c>
      <c r="L11" s="95">
        <f>'Other Regional'!L11</f>
        <v>162</v>
      </c>
      <c r="M11" s="92">
        <f>SUM(B11:L11)</f>
        <v>5382</v>
      </c>
    </row>
    <row r="12" spans="1:16" ht="15" thickBot="1" x14ac:dyDescent="0.25">
      <c r="A12" s="55" t="s">
        <v>34</v>
      </c>
      <c r="B12" s="108">
        <f t="shared" ref="B12:L12" si="2">SUM(B10:B11)</f>
        <v>4161</v>
      </c>
      <c r="C12" s="108">
        <f t="shared" si="2"/>
        <v>7</v>
      </c>
      <c r="D12" s="108">
        <f t="shared" si="2"/>
        <v>5573</v>
      </c>
      <c r="E12" s="108">
        <f t="shared" si="2"/>
        <v>13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294</v>
      </c>
      <c r="I12" s="108">
        <f t="shared" si="2"/>
        <v>243</v>
      </c>
      <c r="J12" s="108">
        <f t="shared" si="2"/>
        <v>0</v>
      </c>
      <c r="K12" s="108">
        <f t="shared" si="2"/>
        <v>193</v>
      </c>
      <c r="L12" s="108">
        <f t="shared" si="2"/>
        <v>307</v>
      </c>
      <c r="M12" s="109">
        <f>SUM(B12:L12)</f>
        <v>10791</v>
      </c>
    </row>
    <row r="13" spans="1:16" ht="13.5" thickBot="1" x14ac:dyDescent="0.25"/>
    <row r="14" spans="1:16" ht="15.75" thickTop="1" x14ac:dyDescent="0.25">
      <c r="A14" s="44" t="s">
        <v>9</v>
      </c>
      <c r="B14" s="82"/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[2]Pinnacle!$IF$4+[2]Pinnacle!$IF$15</f>
        <v>943</v>
      </c>
      <c r="C15" s="86">
        <f>[2]MESA_UA!$IF$4</f>
        <v>3</v>
      </c>
      <c r="D15" s="85">
        <f>'[2]Sky West'!$IF$4+'[2]Sky West'!$IF$15</f>
        <v>1931</v>
      </c>
      <c r="E15" s="85">
        <f>'[2]Sky West_UA'!$IF$4</f>
        <v>7</v>
      </c>
      <c r="F15" s="85">
        <f>'[2]Sky West_AS'!$IF$4</f>
        <v>0</v>
      </c>
      <c r="G15" s="85">
        <f>'[2]Sky West_AA'!$IF$4</f>
        <v>0</v>
      </c>
      <c r="H15" s="87">
        <f>[2]Republic!$IF$4</f>
        <v>79</v>
      </c>
      <c r="I15" s="352">
        <f>[2]Republic_UA!$IF$4</f>
        <v>42</v>
      </c>
      <c r="J15" s="352">
        <f>'[2]Sky Regional'!$IF$15</f>
        <v>0</v>
      </c>
      <c r="K15" s="87">
        <f>'[2]American Eagle'!$IF$4</f>
        <v>54</v>
      </c>
      <c r="L15" s="86">
        <f>'Other Regional'!L15</f>
        <v>132</v>
      </c>
      <c r="M15" s="88">
        <f t="shared" ref="M15:M21" si="5">SUM(B15:L15)</f>
        <v>3191</v>
      </c>
    </row>
    <row r="16" spans="1:16" x14ac:dyDescent="0.2">
      <c r="A16" s="45" t="s">
        <v>54</v>
      </c>
      <c r="B16" s="7">
        <f>[2]Pinnacle!$IF$5+[2]Pinnacle!$IF$16</f>
        <v>942</v>
      </c>
      <c r="C16" s="90">
        <f>[2]MESA_UA!$IF$5</f>
        <v>3</v>
      </c>
      <c r="D16" s="89">
        <f>'[2]Sky West'!$IF$5+'[2]Sky West'!$IF$16</f>
        <v>1941</v>
      </c>
      <c r="E16" s="89">
        <f>'[2]Sky West_UA'!$IF$5</f>
        <v>7</v>
      </c>
      <c r="F16" s="89">
        <f>'[2]Sky West_AS'!$IF$5</f>
        <v>0</v>
      </c>
      <c r="G16" s="89">
        <f>'[2]Sky West_AA'!$IF$5</f>
        <v>0</v>
      </c>
      <c r="H16" s="91">
        <f>[2]Republic!$IF$5</f>
        <v>79</v>
      </c>
      <c r="I16" s="227">
        <f>[2]Republic_UA!$IF$5</f>
        <v>42</v>
      </c>
      <c r="J16" s="227">
        <f>'[2]Sky Regional'!$IF$16</f>
        <v>0</v>
      </c>
      <c r="K16" s="91">
        <f>'[2]American Eagle'!$IF$5</f>
        <v>55</v>
      </c>
      <c r="L16" s="90">
        <f>'Other Regional'!L16</f>
        <v>61</v>
      </c>
      <c r="M16" s="92">
        <f t="shared" si="5"/>
        <v>3130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1885</v>
      </c>
      <c r="C17" s="93">
        <f t="shared" si="6"/>
        <v>6</v>
      </c>
      <c r="D17" s="93">
        <f t="shared" si="6"/>
        <v>3872</v>
      </c>
      <c r="E17" s="93">
        <f t="shared" si="6"/>
        <v>14</v>
      </c>
      <c r="F17" s="93">
        <f t="shared" ref="F17:G17" si="7">SUM(F15:F16)</f>
        <v>0</v>
      </c>
      <c r="G17" s="93">
        <f t="shared" si="7"/>
        <v>0</v>
      </c>
      <c r="H17" s="93">
        <f>SUM(H15:H16)</f>
        <v>158</v>
      </c>
      <c r="I17" s="93">
        <f t="shared" ref="I17:J17" si="8">SUM(I15:I16)</f>
        <v>84</v>
      </c>
      <c r="J17" s="93">
        <f t="shared" si="8"/>
        <v>0</v>
      </c>
      <c r="K17" s="93">
        <f>SUM(K15:K16)</f>
        <v>109</v>
      </c>
      <c r="L17" s="93">
        <f>SUM(L15:L16)</f>
        <v>193</v>
      </c>
      <c r="M17" s="94">
        <f t="shared" si="5"/>
        <v>6321</v>
      </c>
    </row>
    <row r="18" spans="1:13" x14ac:dyDescent="0.2">
      <c r="A18" s="45" t="s">
        <v>56</v>
      </c>
      <c r="B18" s="95">
        <f>[2]Pinnacle!$IF$8</f>
        <v>0</v>
      </c>
      <c r="C18" s="87">
        <f>[2]MESA_UA!$IF$8</f>
        <v>0</v>
      </c>
      <c r="D18" s="95">
        <f>'[2]Sky West'!$IF$8</f>
        <v>0</v>
      </c>
      <c r="E18" s="95">
        <f>'[2]Sky West_UA'!$IF$8</f>
        <v>1</v>
      </c>
      <c r="F18" s="95">
        <f>'[2]Sky West_AS'!$IF$8</f>
        <v>0</v>
      </c>
      <c r="G18" s="95">
        <f>'[2]Sky West_AA'!$IF$8</f>
        <v>0</v>
      </c>
      <c r="H18" s="95">
        <f>[2]Republic!$IF$8</f>
        <v>0</v>
      </c>
      <c r="I18" s="95">
        <f>[2]Republic_UA!$IF$8</f>
        <v>0</v>
      </c>
      <c r="J18" s="95">
        <f>'[2]Sky Regional'!$IF$8</f>
        <v>0</v>
      </c>
      <c r="K18" s="95">
        <f>'[2]American Eagle'!$IF$8</f>
        <v>0</v>
      </c>
      <c r="L18" s="95">
        <f>'Other Regional'!L18</f>
        <v>0</v>
      </c>
      <c r="M18" s="88">
        <f t="shared" si="5"/>
        <v>1</v>
      </c>
    </row>
    <row r="19" spans="1:13" x14ac:dyDescent="0.2">
      <c r="A19" s="45" t="s">
        <v>57</v>
      </c>
      <c r="B19" s="96">
        <f>[2]Pinnacle!$IF$9</f>
        <v>1</v>
      </c>
      <c r="C19" s="91">
        <f>[2]MESA_UA!$IF$9</f>
        <v>0</v>
      </c>
      <c r="D19" s="96">
        <f>'[2]Sky West'!$IF$9</f>
        <v>2</v>
      </c>
      <c r="E19" s="96">
        <f>'[2]Sky West_UA'!$IF$9</f>
        <v>1</v>
      </c>
      <c r="F19" s="96">
        <f>'[2]Sky West_AS'!$IF$9</f>
        <v>0</v>
      </c>
      <c r="G19" s="96">
        <f>'[2]Sky West_AA'!$IF$9</f>
        <v>0</v>
      </c>
      <c r="H19" s="96">
        <f>[2]Republic!$IF$9</f>
        <v>0</v>
      </c>
      <c r="I19" s="96">
        <f>[2]Republic_UA!$IF$9</f>
        <v>0</v>
      </c>
      <c r="J19" s="96">
        <f>'[2]Sky Regional'!$IF$9</f>
        <v>0</v>
      </c>
      <c r="K19" s="96">
        <f>'[2]American Eagle'!$IF$9</f>
        <v>0</v>
      </c>
      <c r="L19" s="96">
        <f>'Other Regional'!L19</f>
        <v>0</v>
      </c>
      <c r="M19" s="92">
        <f t="shared" si="5"/>
        <v>4</v>
      </c>
    </row>
    <row r="20" spans="1:13" x14ac:dyDescent="0.2">
      <c r="A20" s="49" t="s">
        <v>58</v>
      </c>
      <c r="B20" s="93">
        <f t="shared" ref="B20:L20" si="9">SUM(B18:B19)</f>
        <v>1</v>
      </c>
      <c r="C20" s="93">
        <f t="shared" si="9"/>
        <v>0</v>
      </c>
      <c r="D20" s="93">
        <f t="shared" si="9"/>
        <v>2</v>
      </c>
      <c r="E20" s="93">
        <f t="shared" si="9"/>
        <v>2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5</v>
      </c>
    </row>
    <row r="21" spans="1:13" ht="15.75" thickBot="1" x14ac:dyDescent="0.3">
      <c r="A21" s="53" t="s">
        <v>28</v>
      </c>
      <c r="B21" s="97">
        <f>SUM(B20,B17)</f>
        <v>1886</v>
      </c>
      <c r="C21" s="97">
        <f t="shared" ref="C21:K21" si="11">SUM(C20,C17)</f>
        <v>6</v>
      </c>
      <c r="D21" s="97">
        <f t="shared" si="11"/>
        <v>3874</v>
      </c>
      <c r="E21" s="97">
        <f t="shared" si="11"/>
        <v>16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158</v>
      </c>
      <c r="I21" s="97">
        <f t="shared" si="11"/>
        <v>84</v>
      </c>
      <c r="J21" s="97">
        <f t="shared" si="11"/>
        <v>0</v>
      </c>
      <c r="K21" s="97">
        <f t="shared" si="11"/>
        <v>109</v>
      </c>
      <c r="L21" s="97">
        <f>SUM(L20,L17)</f>
        <v>193</v>
      </c>
      <c r="M21" s="98">
        <f t="shared" si="5"/>
        <v>6326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[2]Pinnacle!$IF$47</f>
        <v>0</v>
      </c>
      <c r="C25" s="87">
        <f>[2]MESA_UA!$IF$47</f>
        <v>0</v>
      </c>
      <c r="D25" s="95">
        <f>'[2]Sky West'!$IF$47</f>
        <v>0</v>
      </c>
      <c r="E25" s="95">
        <f>'[2]Sky West_UA'!$IF$47</f>
        <v>0</v>
      </c>
      <c r="F25" s="95">
        <f>'[2]Sky West_AS'!$IF$47</f>
        <v>0</v>
      </c>
      <c r="G25" s="95">
        <f>'[2]Sky West_AA'!$IF$47</f>
        <v>0</v>
      </c>
      <c r="H25" s="95">
        <f>[2]Republic!$IF$47</f>
        <v>1260</v>
      </c>
      <c r="I25" s="95">
        <f>[2]Republic_UA!$IF$47</f>
        <v>0</v>
      </c>
      <c r="J25" s="95">
        <f>'[2]Sky Regional'!$IF$47</f>
        <v>0</v>
      </c>
      <c r="K25" s="95">
        <f>'[2]American Eagle'!$IF$47</f>
        <v>986</v>
      </c>
      <c r="L25" s="95">
        <f>'Other Regional'!L25</f>
        <v>1400</v>
      </c>
      <c r="M25" s="88">
        <f>SUM(B25:L25)</f>
        <v>3646</v>
      </c>
    </row>
    <row r="26" spans="1:13" x14ac:dyDescent="0.2">
      <c r="A26" s="45" t="s">
        <v>38</v>
      </c>
      <c r="B26" s="95">
        <f>[2]Pinnacle!$IF$48</f>
        <v>0</v>
      </c>
      <c r="C26" s="87">
        <f>[2]MESA_UA!$IF$48</f>
        <v>0</v>
      </c>
      <c r="D26" s="95">
        <f>'[2]Sky West'!$IF$48</f>
        <v>0</v>
      </c>
      <c r="E26" s="95">
        <f>'[2]Sky West_UA'!$IF$48</f>
        <v>0</v>
      </c>
      <c r="F26" s="95">
        <f>'[2]Sky West_AS'!$IF$48</f>
        <v>0</v>
      </c>
      <c r="G26" s="95">
        <f>'[2]Sky West_AA'!$IF$48</f>
        <v>0</v>
      </c>
      <c r="H26" s="95">
        <f>[2]Republic!$IF$48</f>
        <v>0</v>
      </c>
      <c r="I26" s="95">
        <f>[2]Republic_UA!$IF$48</f>
        <v>0</v>
      </c>
      <c r="J26" s="95">
        <f>'[2]Sky Regional'!$IF$48</f>
        <v>0</v>
      </c>
      <c r="K26" s="95">
        <f>'[2]American Eagle'!$IF$48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1260</v>
      </c>
      <c r="I27" s="105">
        <f t="shared" si="13"/>
        <v>0</v>
      </c>
      <c r="J27" s="105">
        <f t="shared" si="13"/>
        <v>0</v>
      </c>
      <c r="K27" s="105">
        <f t="shared" si="13"/>
        <v>986</v>
      </c>
      <c r="L27" s="105">
        <f t="shared" si="13"/>
        <v>1400</v>
      </c>
      <c r="M27" s="106">
        <f>SUM(B27:L27)</f>
        <v>3646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[2]Pinnacle!$IF$52</f>
        <v>0</v>
      </c>
      <c r="C30" s="87">
        <f>[2]MESA_UA!$IF$52</f>
        <v>0</v>
      </c>
      <c r="D30" s="95">
        <f>'[2]Sky West'!$IF$52</f>
        <v>0</v>
      </c>
      <c r="E30" s="95">
        <f>'[2]Sky West_UA'!$IF$52</f>
        <v>0</v>
      </c>
      <c r="F30" s="95">
        <f>'[2]Sky West_AS'!$IF$52</f>
        <v>0</v>
      </c>
      <c r="G30" s="95">
        <f>'[2]Sky West_AA'!$IF$52</f>
        <v>0</v>
      </c>
      <c r="H30" s="95">
        <f>[2]Republic!$IF$52</f>
        <v>0</v>
      </c>
      <c r="I30" s="95">
        <f>[2]Republic_UA!$IF$52</f>
        <v>0</v>
      </c>
      <c r="J30" s="95">
        <f>'[2]Sky Regional'!$IF$52</f>
        <v>0</v>
      </c>
      <c r="K30" s="95">
        <f>'[2]American Eagle'!$IF$52</f>
        <v>1242</v>
      </c>
      <c r="L30" s="95">
        <f>'Other Regional'!L30</f>
        <v>1500</v>
      </c>
      <c r="M30" s="88">
        <f t="shared" ref="M30:M37" si="15">SUM(B30:L30)</f>
        <v>2742</v>
      </c>
    </row>
    <row r="31" spans="1:13" x14ac:dyDescent="0.2">
      <c r="A31" s="45" t="s">
        <v>60</v>
      </c>
      <c r="B31" s="95">
        <f>[2]Pinnacle!$IF$53</f>
        <v>0</v>
      </c>
      <c r="C31" s="87">
        <f>[2]MESA_UA!$IF$53</f>
        <v>0</v>
      </c>
      <c r="D31" s="95">
        <f>'[2]Sky West'!$IF$53</f>
        <v>0</v>
      </c>
      <c r="E31" s="95">
        <f>'[2]Sky West_UA'!$IF$53</f>
        <v>0</v>
      </c>
      <c r="F31" s="95">
        <f>'[2]Sky West_AS'!$IF$53</f>
        <v>0</v>
      </c>
      <c r="G31" s="95">
        <f>'[2]Sky West_AA'!$IF$53</f>
        <v>0</v>
      </c>
      <c r="H31" s="95">
        <f>[2]Republic!$IF$53</f>
        <v>0</v>
      </c>
      <c r="I31" s="95">
        <f>[2]Republic_UA!$IF$53</f>
        <v>0</v>
      </c>
      <c r="J31" s="95">
        <f>'[2]Sky Regional'!$IF$53</f>
        <v>0</v>
      </c>
      <c r="K31" s="95">
        <f>'[2]American Eagle'!$IF$53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1242</v>
      </c>
      <c r="L32" s="105">
        <f>SUM(L30:L31)</f>
        <v>1500</v>
      </c>
      <c r="M32" s="106">
        <f t="shared" si="15"/>
        <v>2742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[2]Pinnacle!$IF$57</f>
        <v>0</v>
      </c>
      <c r="C35" s="87">
        <f>[2]MESA_UA!$IF$57</f>
        <v>0</v>
      </c>
      <c r="D35" s="95">
        <f>'[2]Sky West'!$IF$57</f>
        <v>0</v>
      </c>
      <c r="E35" s="95">
        <f>'[2]Sky West_UA'!$IF$57</f>
        <v>0</v>
      </c>
      <c r="F35" s="95">
        <f>'[2]Sky West_AS'!$IF$57</f>
        <v>0</v>
      </c>
      <c r="G35" s="95">
        <f>'[2]Sky West_AA'!$IF$57</f>
        <v>0</v>
      </c>
      <c r="H35" s="95">
        <f>[2]Republic!$IF$57</f>
        <v>0</v>
      </c>
      <c r="I35" s="95">
        <f>[2]Republic!$IF$57</f>
        <v>0</v>
      </c>
      <c r="J35" s="95">
        <f>[2]Republic!$IF$57</f>
        <v>0</v>
      </c>
      <c r="K35" s="95">
        <f>'[2]American Eagle'!$IF$57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[2]Pinnacle!$IF$58</f>
        <v>0</v>
      </c>
      <c r="C36" s="87">
        <f>[2]MESA_UA!$IF$58</f>
        <v>0</v>
      </c>
      <c r="D36" s="95">
        <f>'[2]Sky West'!$IF$58</f>
        <v>0</v>
      </c>
      <c r="E36" s="95">
        <f>'[2]Sky West_UA'!$IF$58</f>
        <v>0</v>
      </c>
      <c r="F36" s="95">
        <f>'[2]Sky West_AS'!$IF$58</f>
        <v>0</v>
      </c>
      <c r="G36" s="95">
        <f>'[2]Sky West_AA'!$IF$58</f>
        <v>0</v>
      </c>
      <c r="H36" s="95">
        <f>[2]Republic!$IF$58</f>
        <v>0</v>
      </c>
      <c r="I36" s="95">
        <f>[2]Republic!$IF$58</f>
        <v>0</v>
      </c>
      <c r="J36" s="95">
        <f>[2]Republic!$IF$58</f>
        <v>0</v>
      </c>
      <c r="K36" s="95">
        <f>'[2]American Eagle'!$IF$58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1260</v>
      </c>
      <c r="I40" s="95">
        <f t="shared" si="20"/>
        <v>0</v>
      </c>
      <c r="J40" s="95">
        <f t="shared" si="20"/>
        <v>0</v>
      </c>
      <c r="K40" s="95">
        <f>SUM(K35,K30,K25)</f>
        <v>2228</v>
      </c>
      <c r="L40" s="95">
        <f>L35+L30+L25</f>
        <v>2900</v>
      </c>
      <c r="M40" s="88">
        <f>SUM(B40:L40)</f>
        <v>6388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1260</v>
      </c>
      <c r="I42" s="108">
        <f t="shared" si="20"/>
        <v>0</v>
      </c>
      <c r="J42" s="108">
        <f t="shared" si="20"/>
        <v>0</v>
      </c>
      <c r="K42" s="108">
        <f>SUM(K37,K32,K27)</f>
        <v>2228</v>
      </c>
      <c r="L42" s="108">
        <f>SUM(L37,L32,L27)</f>
        <v>2900</v>
      </c>
      <c r="M42" s="109">
        <f>SUM(B42:L42)</f>
        <v>6388</v>
      </c>
    </row>
    <row r="44" spans="1:13" x14ac:dyDescent="0.2">
      <c r="A44" s="295" t="s">
        <v>121</v>
      </c>
      <c r="B44" s="250">
        <f>[2]Pinnacle!$IF$70+[2]Pinnacle!$IF$73</f>
        <v>20050</v>
      </c>
      <c r="D44" s="251">
        <f>'[2]Sky West'!$IF$70+'[2]Sky West'!$IF$73</f>
        <v>32145</v>
      </c>
      <c r="E44" s="2"/>
      <c r="F44" s="2"/>
      <c r="G44" s="2"/>
      <c r="L44" s="251">
        <f>+'Other Regional'!L46</f>
        <v>0</v>
      </c>
      <c r="M44" s="240">
        <f>SUM(B44:L44)</f>
        <v>52195</v>
      </c>
    </row>
    <row r="45" spans="1:13" x14ac:dyDescent="0.2">
      <c r="A45" s="308" t="s">
        <v>122</v>
      </c>
      <c r="B45" s="250">
        <f>[2]Pinnacle!$IF$71+[2]Pinnacle!$IF$74</f>
        <v>32064</v>
      </c>
      <c r="D45" s="251">
        <f>'[2]Sky West'!$IF$71+'[2]Sky West'!$IF$74</f>
        <v>55468</v>
      </c>
      <c r="E45" s="2"/>
      <c r="F45" s="2"/>
      <c r="G45" s="2"/>
      <c r="L45" s="251">
        <f>+'Other Regional'!L47</f>
        <v>0</v>
      </c>
      <c r="M45" s="240">
        <f>SUM(B45:L45)</f>
        <v>87532</v>
      </c>
    </row>
    <row r="46" spans="1:13" x14ac:dyDescent="0.2">
      <c r="A46" s="241" t="s">
        <v>123</v>
      </c>
      <c r="B46" s="242">
        <f>SUM(B44:B45)</f>
        <v>52114</v>
      </c>
      <c r="L46" s="2"/>
      <c r="M46" s="226"/>
    </row>
    <row r="47" spans="1:13" x14ac:dyDescent="0.2">
      <c r="A47" s="243"/>
      <c r="B47" s="244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January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S15" sqref="S1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04"/>
    </row>
    <row r="2" spans="1:12" ht="55.5" customHeight="1" thickBot="1" x14ac:dyDescent="0.25">
      <c r="A2" s="419">
        <v>44927</v>
      </c>
      <c r="B2" s="430" t="s">
        <v>171</v>
      </c>
      <c r="C2" s="430" t="s">
        <v>170</v>
      </c>
      <c r="D2" s="430" t="s">
        <v>196</v>
      </c>
      <c r="E2" s="430" t="s">
        <v>219</v>
      </c>
      <c r="F2" s="430" t="s">
        <v>224</v>
      </c>
      <c r="G2" s="430" t="s">
        <v>181</v>
      </c>
      <c r="H2" s="430" t="s">
        <v>175</v>
      </c>
      <c r="I2" s="430" t="s">
        <v>174</v>
      </c>
      <c r="J2" s="430" t="s">
        <v>159</v>
      </c>
      <c r="K2" s="430" t="s">
        <v>162</v>
      </c>
      <c r="L2" s="431" t="s">
        <v>21</v>
      </c>
    </row>
    <row r="3" spans="1:12" ht="15" x14ac:dyDescent="0.25">
      <c r="A3" s="212" t="s">
        <v>3</v>
      </c>
      <c r="B3" s="320"/>
      <c r="C3" s="320"/>
      <c r="D3" s="320"/>
      <c r="E3" s="320"/>
      <c r="F3" s="320"/>
      <c r="G3" s="320"/>
      <c r="H3" s="321"/>
      <c r="I3" s="321"/>
      <c r="J3" s="321"/>
      <c r="K3" s="321"/>
      <c r="L3" s="376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'[2]Shuttle America'!$IF$22</f>
        <v>0</v>
      </c>
      <c r="C5" s="87">
        <f>'[2]Shuttle America_Delta'!$IF$22</f>
        <v>0</v>
      </c>
      <c r="D5" s="352">
        <f>[2]Horizon_AS!$IF$22+[2]Horizon_AS!$IF$32</f>
        <v>0</v>
      </c>
      <c r="E5" s="352">
        <f>'[2]Air Wisconsin'!$IF$22</f>
        <v>35</v>
      </c>
      <c r="F5" s="352">
        <f>[2]Jazz_AC!$IF$22+[2]Jazz_AC!$IF$32</f>
        <v>3422</v>
      </c>
      <c r="G5" s="352">
        <f>[2]PSA!$IF$22</f>
        <v>2448</v>
      </c>
      <c r="H5" s="87">
        <f>'[2]Atlantic Southeast'!$IF$22+'[2]Atlantic Southeast'!$IF$32</f>
        <v>0</v>
      </c>
      <c r="I5" s="87">
        <f>'[2]Continental Express'!$IF$22</f>
        <v>0</v>
      </c>
      <c r="J5" s="95">
        <f>'[2]Go Jet_UA'!$IF$22</f>
        <v>0</v>
      </c>
      <c r="K5" s="12">
        <f>'[2]Go Jet'!$IF$22+'[2]Go Jet'!$IF$32</f>
        <v>0</v>
      </c>
      <c r="L5" s="88">
        <f>SUM(B5:K5)</f>
        <v>5905</v>
      </c>
    </row>
    <row r="6" spans="1:12" s="6" customFormat="1" x14ac:dyDescent="0.2">
      <c r="A6" s="45" t="s">
        <v>31</v>
      </c>
      <c r="B6" s="87">
        <f>'[2]Shuttle America'!$IF$23</f>
        <v>0</v>
      </c>
      <c r="C6" s="87">
        <f>'[2]Shuttle America_Delta'!$IF$23</f>
        <v>0</v>
      </c>
      <c r="D6" s="352">
        <f>[2]Horizon_AS!$IF$23+[2]Horizon_AS!$IF$33</f>
        <v>0</v>
      </c>
      <c r="E6" s="352">
        <f>'[2]Air Wisconsin'!$IF$23</f>
        <v>0</v>
      </c>
      <c r="F6" s="352">
        <f>[2]Jazz_AC!$IF$23+[2]Jazz_AC!$IF$33</f>
        <v>3291</v>
      </c>
      <c r="G6" s="352">
        <f>[2]PSA!$IF$23</f>
        <v>2542</v>
      </c>
      <c r="H6" s="87">
        <f>'[2]Atlantic Southeast'!$IF$23+'[2]Atlantic Southeast'!$IF$33</f>
        <v>0</v>
      </c>
      <c r="I6" s="87">
        <f>'[2]Continental Express'!$IF$23</f>
        <v>0</v>
      </c>
      <c r="J6" s="95">
        <f>'[2]Go Jet_UA'!$IF$23</f>
        <v>0</v>
      </c>
      <c r="K6" s="7">
        <f>'[2]Go Jet'!$IF$23+'[2]Go Jet'!$IF$33</f>
        <v>0</v>
      </c>
      <c r="L6" s="92">
        <f>SUM(B6:K6)</f>
        <v>5833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35</v>
      </c>
      <c r="F7" s="105">
        <f t="shared" si="1"/>
        <v>6713</v>
      </c>
      <c r="G7" s="105">
        <f t="shared" si="0"/>
        <v>4990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11738</v>
      </c>
    </row>
    <row r="8" spans="1:12" ht="13.5" thickTop="1" x14ac:dyDescent="0.2">
      <c r="A8" s="45"/>
      <c r="B8" s="87"/>
      <c r="C8" s="87"/>
      <c r="D8" s="352"/>
      <c r="E8" s="352"/>
      <c r="F8" s="352"/>
      <c r="G8" s="352"/>
      <c r="H8" s="87"/>
      <c r="I8" s="87"/>
      <c r="J8" s="95"/>
      <c r="K8" s="269"/>
      <c r="L8" s="107"/>
    </row>
    <row r="9" spans="1:12" s="6" customFormat="1" x14ac:dyDescent="0.2">
      <c r="A9" s="45" t="s">
        <v>32</v>
      </c>
      <c r="B9" s="87"/>
      <c r="C9" s="87"/>
      <c r="D9" s="352"/>
      <c r="E9" s="352"/>
      <c r="F9" s="352"/>
      <c r="G9" s="352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'[2]Shuttle America'!$IF$27</f>
        <v>0</v>
      </c>
      <c r="C10" s="87">
        <f>'[2]Shuttle America_Delta'!$IF$27</f>
        <v>0</v>
      </c>
      <c r="D10" s="352">
        <f>[2]Horizon_AS!$IF$27+[2]Horizon_AS!$IF$37</f>
        <v>0</v>
      </c>
      <c r="E10" s="352">
        <f>'[2]Air Wisconsin'!$IF$27</f>
        <v>1</v>
      </c>
      <c r="F10" s="352">
        <f>[2]Jazz_AC!$IF$27+[2]Jazz_AC!$IF$37</f>
        <v>62</v>
      </c>
      <c r="G10" s="352">
        <f>[2]PSA!$IF$27</f>
        <v>82</v>
      </c>
      <c r="H10" s="12">
        <f>'[2]Atlantic Southeast'!$IF$27+'[2]Atlantic Southeast'!$IF$37</f>
        <v>0</v>
      </c>
      <c r="I10" s="87">
        <f>'[2]Continental Express'!$IF$27</f>
        <v>0</v>
      </c>
      <c r="J10" s="95">
        <f>'[2]Go Jet_UA'!$IF$27</f>
        <v>0</v>
      </c>
      <c r="K10" s="12">
        <f>'[2]Go Jet'!$IF$27+'[2]Go Jet'!$IF$37</f>
        <v>0</v>
      </c>
      <c r="L10" s="88">
        <f>SUM(B10:K10)</f>
        <v>145</v>
      </c>
    </row>
    <row r="11" spans="1:12" x14ac:dyDescent="0.2">
      <c r="A11" s="45" t="s">
        <v>33</v>
      </c>
      <c r="B11" s="87">
        <f>'[2]Shuttle America'!$IF$28</f>
        <v>0</v>
      </c>
      <c r="C11" s="87">
        <f>'[2]Shuttle America_Delta'!$IF$28</f>
        <v>0</v>
      </c>
      <c r="D11" s="352">
        <f>[2]Horizon_AS!$IF$28+[2]Horizon_AS!$IF$38</f>
        <v>0</v>
      </c>
      <c r="E11" s="352">
        <f>'[2]Air Wisconsin'!$IF$28</f>
        <v>0</v>
      </c>
      <c r="F11" s="352">
        <f>[2]Jazz_AC!$IF$28+[2]Jazz_AC!$IF$38</f>
        <v>57</v>
      </c>
      <c r="G11" s="352">
        <f>[2]PSA!$IF$28</f>
        <v>105</v>
      </c>
      <c r="H11" s="7">
        <f>'[2]Atlantic Southeast'!$IF$28+'[2]Atlantic Southeast'!$IF$38</f>
        <v>0</v>
      </c>
      <c r="I11" s="87">
        <f>'[2]Continental Express'!$IF$28</f>
        <v>0</v>
      </c>
      <c r="J11" s="95">
        <f>'[2]Go Jet_UA'!$IF$28</f>
        <v>0</v>
      </c>
      <c r="K11" s="7">
        <f>'[2]Go Jet'!$IF$28+'[2]Go Jet'!$IF$38</f>
        <v>0</v>
      </c>
      <c r="L11" s="92">
        <f>SUM(B11:K11)</f>
        <v>162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1</v>
      </c>
      <c r="F12" s="108">
        <f t="shared" si="3"/>
        <v>119</v>
      </c>
      <c r="G12" s="108">
        <f t="shared" si="2"/>
        <v>187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307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'[2]Shuttle America'!$IF$4</f>
        <v>0</v>
      </c>
      <c r="C15" s="85">
        <f>'[2]Shuttle America_Delta'!$IF$4</f>
        <v>0</v>
      </c>
      <c r="D15" s="353">
        <f>[2]Horizon_AS!$IF$4</f>
        <v>0</v>
      </c>
      <c r="E15" s="353">
        <f>'[2]Air Wisconsin'!$IF$4</f>
        <v>1</v>
      </c>
      <c r="F15" s="353">
        <f>[2]Jazz_AC!$IF$4+[2]Jazz_AC!$IF$15</f>
        <v>76</v>
      </c>
      <c r="G15" s="353">
        <f>[2]PSA!$IF$4</f>
        <v>55</v>
      </c>
      <c r="H15" s="86">
        <f>'[2]Atlantic Southeast'!$IF$4+'[2]Atlantic Southeast'!$IF$15</f>
        <v>0</v>
      </c>
      <c r="I15" s="86">
        <f>'[2]Continental Express'!$IF$4</f>
        <v>0</v>
      </c>
      <c r="J15" s="85">
        <f>'[2]Go Jet_UA'!$IF$4</f>
        <v>0</v>
      </c>
      <c r="K15" s="12">
        <f>'[2]Go Jet'!$IF$4+'[2]Go Jet'!$IF$15</f>
        <v>0</v>
      </c>
      <c r="L15" s="88">
        <f t="shared" ref="L15:L21" si="6">SUM(B15:K15)</f>
        <v>132</v>
      </c>
    </row>
    <row r="16" spans="1:12" x14ac:dyDescent="0.2">
      <c r="A16" s="45" t="s">
        <v>54</v>
      </c>
      <c r="B16" s="89">
        <f>'[2]Shuttle America'!$IF$5</f>
        <v>0</v>
      </c>
      <c r="C16" s="89">
        <f>'[2]Shuttle America_Delta'!$IF$5</f>
        <v>0</v>
      </c>
      <c r="D16" s="354">
        <f>[2]Horizon_AS!$IF$5</f>
        <v>0</v>
      </c>
      <c r="E16" s="354">
        <f>'[2]Air Wisconsin'!$IF$5</f>
        <v>1</v>
      </c>
      <c r="F16" s="354">
        <f>[2]Jazz_AC!$IF$5+[2]Jazz_AC!$IF$16</f>
        <v>5</v>
      </c>
      <c r="G16" s="354">
        <f>[2]PSA!$IF$5</f>
        <v>55</v>
      </c>
      <c r="H16" s="90">
        <f>'[2]Atlantic Southeast'!$IF$5+'[2]Atlantic Southeast'!$IF$16</f>
        <v>0</v>
      </c>
      <c r="I16" s="90">
        <f>'[2]Continental Express'!$IF$5</f>
        <v>0</v>
      </c>
      <c r="J16" s="89">
        <f>'[2]Go Jet_UA'!$IF$5</f>
        <v>0</v>
      </c>
      <c r="K16" s="7">
        <f>'[2]Go Jet'!$IF$5+'[2]Go Jet'!$IF$16</f>
        <v>0</v>
      </c>
      <c r="L16" s="92">
        <f t="shared" si="6"/>
        <v>61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2</v>
      </c>
      <c r="F17" s="93">
        <f t="shared" si="8"/>
        <v>81</v>
      </c>
      <c r="G17" s="93">
        <f t="shared" si="7"/>
        <v>110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9">
        <f>SUM(K15:K16)</f>
        <v>0</v>
      </c>
      <c r="L17" s="94">
        <f t="shared" si="6"/>
        <v>193</v>
      </c>
    </row>
    <row r="18" spans="1:15" x14ac:dyDescent="0.2">
      <c r="A18" s="45" t="s">
        <v>56</v>
      </c>
      <c r="B18" s="95">
        <f>'[2]Shuttle America'!$IF$8</f>
        <v>0</v>
      </c>
      <c r="C18" s="95">
        <f>'[2]Shuttle America_Delta'!$IF$8</f>
        <v>0</v>
      </c>
      <c r="D18" s="95">
        <f>[2]Horizon_AS!$IF$8</f>
        <v>0</v>
      </c>
      <c r="E18" s="95">
        <f>'[2]Air Wisconsin'!$IF$8</f>
        <v>0</v>
      </c>
      <c r="F18" s="95">
        <f>[2]Jazz_AC!$IF$8</f>
        <v>0</v>
      </c>
      <c r="G18" s="95">
        <f>[2]PSA!$IF$8</f>
        <v>0</v>
      </c>
      <c r="H18" s="87">
        <f>'[2]Atlantic Southeast'!$IF$8</f>
        <v>0</v>
      </c>
      <c r="I18" s="87">
        <f>'[2]Continental Express'!$IF$8</f>
        <v>0</v>
      </c>
      <c r="J18" s="95">
        <f>'[2]Go Jet_UA'!$IF$8</f>
        <v>0</v>
      </c>
      <c r="K18" s="12">
        <f>'[2]Go Jet'!$IF$8</f>
        <v>0</v>
      </c>
      <c r="L18" s="88">
        <f t="shared" si="6"/>
        <v>0</v>
      </c>
      <c r="O18" s="298"/>
    </row>
    <row r="19" spans="1:15" x14ac:dyDescent="0.2">
      <c r="A19" s="45" t="s">
        <v>57</v>
      </c>
      <c r="B19" s="96">
        <f>'[2]Shuttle America'!$IF$9</f>
        <v>0</v>
      </c>
      <c r="C19" s="96">
        <f>'[2]Shuttle America_Delta'!$IF$9</f>
        <v>0</v>
      </c>
      <c r="D19" s="96">
        <f>[2]Horizon_AS!$IF$9</f>
        <v>0</v>
      </c>
      <c r="E19" s="96">
        <f>'[2]Air Wisconsin'!$IF$9</f>
        <v>0</v>
      </c>
      <c r="F19" s="96">
        <f>[2]Jazz_AC!$IF$9</f>
        <v>0</v>
      </c>
      <c r="G19" s="96">
        <f>[2]PSA!$IF$9</f>
        <v>0</v>
      </c>
      <c r="H19" s="91">
        <f>'[2]Atlantic Southeast'!$IF$9</f>
        <v>0</v>
      </c>
      <c r="I19" s="91">
        <f>'[2]Continental Express'!$IF$9</f>
        <v>0</v>
      </c>
      <c r="J19" s="96">
        <f>'[2]Go Jet_UA'!$IF$9</f>
        <v>0</v>
      </c>
      <c r="K19" s="7">
        <f>'[2]Go Jet'!$IF$9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9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2</v>
      </c>
      <c r="F21" s="97">
        <f t="shared" si="14"/>
        <v>81</v>
      </c>
      <c r="G21" s="97">
        <f t="shared" si="13"/>
        <v>110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 t="shared" si="6"/>
        <v>193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'[2]Shuttle America'!$IF$47</f>
        <v>0</v>
      </c>
      <c r="C25" s="95">
        <f>'[2]Shuttle America_Delta'!$IF$47</f>
        <v>0</v>
      </c>
      <c r="D25" s="95">
        <f>[2]Horizon_AS!$IF$47</f>
        <v>0</v>
      </c>
      <c r="E25" s="95">
        <f>'[2]Air Wisconsin'!$IF$47</f>
        <v>0</v>
      </c>
      <c r="F25" s="95">
        <f>[2]Jazz_AC!$IF$47</f>
        <v>1400</v>
      </c>
      <c r="G25" s="95">
        <f>[2]PSA!$IF$47</f>
        <v>0</v>
      </c>
      <c r="H25" s="87">
        <f>'[2]Atlantic Southeast'!$IF$47</f>
        <v>0</v>
      </c>
      <c r="I25" s="87">
        <f>'[2]Continental Express'!$IF$47</f>
        <v>0</v>
      </c>
      <c r="J25" s="95">
        <f>'[2]Go Jet_UA'!$IF$47</f>
        <v>0</v>
      </c>
      <c r="K25" s="95">
        <f>'[2]Go Jet'!$IF$47</f>
        <v>0</v>
      </c>
      <c r="L25" s="88">
        <f>SUM(B25:K25)</f>
        <v>1400</v>
      </c>
    </row>
    <row r="26" spans="1:15" x14ac:dyDescent="0.2">
      <c r="A26" s="45" t="s">
        <v>38</v>
      </c>
      <c r="B26" s="95">
        <f>'[2]Shuttle America'!$IF$48</f>
        <v>0</v>
      </c>
      <c r="C26" s="95">
        <f>'[2]Shuttle America_Delta'!$IF$48</f>
        <v>0</v>
      </c>
      <c r="D26" s="95">
        <f>[2]Horizon_AS!$IF$48</f>
        <v>0</v>
      </c>
      <c r="E26" s="95">
        <f>'[2]Air Wisconsin'!$IF$48</f>
        <v>0</v>
      </c>
      <c r="F26" s="95">
        <f>[2]Jazz_AC!$IF$48</f>
        <v>0</v>
      </c>
      <c r="G26" s="95">
        <f>[2]PSA!$IF$48</f>
        <v>0</v>
      </c>
      <c r="H26" s="87">
        <f>'[2]Atlantic Southeast'!$IF$48</f>
        <v>0</v>
      </c>
      <c r="I26" s="87">
        <f>'[2]Continental Express'!$IF$48</f>
        <v>0</v>
      </c>
      <c r="J26" s="95">
        <f>'[2]Go Jet_UA'!$IF$48</f>
        <v>0</v>
      </c>
      <c r="K26" s="95">
        <f>'[2]Go Jet'!$IF$48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0</v>
      </c>
      <c r="F27" s="105">
        <f t="shared" si="18"/>
        <v>1400</v>
      </c>
      <c r="G27" s="105">
        <f t="shared" si="17"/>
        <v>0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1400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'[2]Shuttle America'!$IF$52</f>
        <v>0</v>
      </c>
      <c r="C30" s="95">
        <f>'[2]Shuttle America_Delta'!$IF$52</f>
        <v>0</v>
      </c>
      <c r="D30" s="95">
        <f>[2]Horizon_AS!$IF$52</f>
        <v>0</v>
      </c>
      <c r="E30" s="95">
        <f>'[2]Air Wisconsin'!$IF$52</f>
        <v>0</v>
      </c>
      <c r="F30" s="95">
        <f>[2]Jazz_AC!$IF$52</f>
        <v>1500</v>
      </c>
      <c r="G30" s="95">
        <f>[2]PSA!$IF$52</f>
        <v>0</v>
      </c>
      <c r="H30" s="87">
        <f>'[2]Atlantic Southeast'!$IF$52</f>
        <v>0</v>
      </c>
      <c r="I30" s="87">
        <f>'[2]Continental Express'!$IF$52</f>
        <v>0</v>
      </c>
      <c r="J30" s="95">
        <f>'[2]Go Jet_UA'!$IF$52</f>
        <v>0</v>
      </c>
      <c r="K30" s="95">
        <f>'[2]Go Jet'!$IF$52</f>
        <v>0</v>
      </c>
      <c r="L30" s="88">
        <f>SUM(B30:K30)</f>
        <v>1500</v>
      </c>
    </row>
    <row r="31" spans="1:15" x14ac:dyDescent="0.2">
      <c r="A31" s="45" t="s">
        <v>60</v>
      </c>
      <c r="B31" s="95">
        <f>'[2]Shuttle America'!$IF$53</f>
        <v>0</v>
      </c>
      <c r="C31" s="95">
        <f>'[2]Shuttle America_Delta'!$IF$53</f>
        <v>0</v>
      </c>
      <c r="D31" s="95">
        <f>[2]Horizon_AS!$IF$53</f>
        <v>0</v>
      </c>
      <c r="E31" s="95">
        <f>'[2]Air Wisconsin'!$IF$53</f>
        <v>0</v>
      </c>
      <c r="F31" s="95">
        <f>[2]Jazz_AC!$IF$53</f>
        <v>0</v>
      </c>
      <c r="G31" s="95">
        <f>[2]PSA!$IF$53</f>
        <v>0</v>
      </c>
      <c r="H31" s="87">
        <f>'[2]Atlantic Southeast'!$IF$53</f>
        <v>0</v>
      </c>
      <c r="I31" s="87">
        <f>'[2]Continental Express'!$IF$53</f>
        <v>0</v>
      </c>
      <c r="J31" s="95">
        <f>'[2]Go Jet_UA'!$IF$53</f>
        <v>0</v>
      </c>
      <c r="K31" s="95">
        <f>'[2]Go Jet'!$IF$53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0</v>
      </c>
      <c r="F32" s="105">
        <f t="shared" si="21"/>
        <v>1500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1500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'[2]Shuttle America'!$IF$57</f>
        <v>0</v>
      </c>
      <c r="C35" s="95">
        <f>'[2]Shuttle America_Delta'!$IF$57</f>
        <v>0</v>
      </c>
      <c r="D35" s="95">
        <f>[2]Horizon_AS!$IF$57</f>
        <v>0</v>
      </c>
      <c r="E35" s="95">
        <f>'[2]Air Wisconsin'!$IF$57</f>
        <v>0</v>
      </c>
      <c r="F35" s="95">
        <f>[2]Jazz_AC!$IF$57</f>
        <v>0</v>
      </c>
      <c r="G35" s="95">
        <f>[2]PSA!$IF$57</f>
        <v>0</v>
      </c>
      <c r="H35" s="87">
        <f>'[2]Atlantic Southeast'!$IF$57</f>
        <v>0</v>
      </c>
      <c r="I35" s="87">
        <f>'[2]Continental Express'!$IF$57</f>
        <v>0</v>
      </c>
      <c r="J35" s="95">
        <f>'[2]Go Jet_UA'!$AJ$57</f>
        <v>0</v>
      </c>
      <c r="K35" s="95">
        <f>'[2]Go Jet'!$IF$57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'[2]Shuttle America'!BG$58</f>
        <v>0</v>
      </c>
      <c r="C36" s="95">
        <f>'[2]Shuttle America_Delta'!BH$58</f>
        <v>0</v>
      </c>
      <c r="D36" s="95">
        <f>[2]Horizon_AS!BF$58</f>
        <v>0</v>
      </c>
      <c r="E36" s="95">
        <f>'[2]Air Wisconsin'!BG$58</f>
        <v>0</v>
      </c>
      <c r="F36" s="95">
        <f>[2]Jazz_AC!BF$58</f>
        <v>0</v>
      </c>
      <c r="G36" s="95">
        <f>[2]PSA!BG$58</f>
        <v>0</v>
      </c>
      <c r="H36" s="87">
        <f>'[2]Atlantic Southeast'!BG$58</f>
        <v>0</v>
      </c>
      <c r="I36" s="87">
        <f>'[2]Continental Express'!BG$58</f>
        <v>0</v>
      </c>
      <c r="J36" s="95">
        <f>'[2]Go Jet_UA'!$AJ$58</f>
        <v>0</v>
      </c>
      <c r="K36" s="95">
        <f>'[2]Go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0</v>
      </c>
      <c r="F40" s="95">
        <f t="shared" si="28"/>
        <v>2900</v>
      </c>
      <c r="G40" s="95">
        <f t="shared" si="27"/>
        <v>0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2900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0</v>
      </c>
      <c r="F42" s="108">
        <f t="shared" si="34"/>
        <v>2900</v>
      </c>
      <c r="G42" s="108">
        <f t="shared" si="33"/>
        <v>0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2900</v>
      </c>
    </row>
    <row r="43" spans="1:12" ht="4.5" customHeight="1" x14ac:dyDescent="0.2"/>
    <row r="44" spans="1:12" hidden="1" x14ac:dyDescent="0.2">
      <c r="A44" s="252" t="s">
        <v>124</v>
      </c>
      <c r="H44" s="238"/>
      <c r="K44" s="251">
        <f>'[2]Go Jet'!BK$70+'[2]Go Jet'!BK$73</f>
        <v>0</v>
      </c>
      <c r="L44" s="240" t="e">
        <f>SUM(#REF!)</f>
        <v>#REF!</v>
      </c>
    </row>
    <row r="45" spans="1:12" hidden="1" x14ac:dyDescent="0.2">
      <c r="A45" s="252" t="s">
        <v>125</v>
      </c>
      <c r="H45" s="255"/>
      <c r="K45" s="251">
        <f>'[2]Go Jet'!BK$71+'[2]Go Jet'!BK$74</f>
        <v>0</v>
      </c>
      <c r="L45" s="240" t="e">
        <f>SUM(#REF!)</f>
        <v>#REF!</v>
      </c>
    </row>
    <row r="46" spans="1:12" x14ac:dyDescent="0.2">
      <c r="A46" s="295" t="s">
        <v>121</v>
      </c>
      <c r="C46" s="251">
        <f>'[2]Shuttle America_Delta'!$IF$70+'[2]Shuttle America_Delta'!$IF$73</f>
        <v>0</v>
      </c>
      <c r="D46" s="2"/>
      <c r="E46" s="2"/>
      <c r="H46" s="251">
        <f>'[2]Atlantic Southeast'!$IF$70+'[2]Atlantic Southeast'!$IF$73</f>
        <v>0</v>
      </c>
      <c r="K46" s="251">
        <f>'[2]Go Jet'!$IF$70+'[2]Go Jet'!$IF$73</f>
        <v>0</v>
      </c>
      <c r="L46" s="307">
        <f>SUM(B46:K46)</f>
        <v>0</v>
      </c>
    </row>
    <row r="47" spans="1:12" x14ac:dyDescent="0.2">
      <c r="A47" s="308" t="s">
        <v>122</v>
      </c>
      <c r="C47" s="251">
        <f>'[2]Shuttle America_Delta'!$IF$71+'[2]Shuttle America_Delta'!$IF$74</f>
        <v>0</v>
      </c>
      <c r="D47" s="2"/>
      <c r="E47" s="2"/>
      <c r="H47" s="251">
        <f>'[2]Atlantic Southeast'!$IF$71+'[2]Atlantic Southeast'!$IF$74</f>
        <v>0</v>
      </c>
      <c r="K47" s="251">
        <f>'[2]Go Jet'!$IF$71+'[2]Go Jet'!$IF$74</f>
        <v>0</v>
      </c>
      <c r="L47" s="307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January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D36" sqref="D3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19">
        <v>44927</v>
      </c>
      <c r="B2" s="147" t="s">
        <v>116</v>
      </c>
      <c r="C2" s="147" t="s">
        <v>152</v>
      </c>
      <c r="D2" s="81" t="s">
        <v>77</v>
      </c>
      <c r="E2" s="81" t="s">
        <v>153</v>
      </c>
      <c r="F2" s="147" t="s">
        <v>130</v>
      </c>
      <c r="G2" s="144" t="s">
        <v>78</v>
      </c>
    </row>
    <row r="3" spans="1:17" x14ac:dyDescent="0.2">
      <c r="A3" s="211" t="s">
        <v>3</v>
      </c>
      <c r="B3" s="153"/>
      <c r="C3" s="152"/>
      <c r="D3" s="152"/>
      <c r="E3" s="152"/>
      <c r="F3" s="152"/>
      <c r="G3" s="203"/>
    </row>
    <row r="4" spans="1:17" x14ac:dyDescent="0.2">
      <c r="A4" s="45" t="s">
        <v>29</v>
      </c>
      <c r="B4" s="332"/>
      <c r="C4" s="151"/>
      <c r="D4" s="151"/>
      <c r="E4" s="151"/>
      <c r="F4" s="151"/>
      <c r="G4" s="193"/>
    </row>
    <row r="5" spans="1:17" x14ac:dyDescent="0.2">
      <c r="A5" s="45" t="s">
        <v>30</v>
      </c>
      <c r="B5" s="332">
        <f>'[2]Charter Misc'!$IF$22</f>
        <v>0</v>
      </c>
      <c r="C5" s="151">
        <f>[2]Ryan!$IF$22</f>
        <v>0</v>
      </c>
      <c r="D5" s="151">
        <f>'[2]Charter Misc'!$IF$32</f>
        <v>65</v>
      </c>
      <c r="E5" s="151">
        <f>[2]Omni!$IF$32+[2]Omni!$IF$22</f>
        <v>0</v>
      </c>
      <c r="F5" s="151">
        <f>[2]Xtra!$IF$32+[2]Xtra!$IF$22</f>
        <v>0</v>
      </c>
      <c r="G5" s="268">
        <f>SUM(B5:F5)</f>
        <v>65</v>
      </c>
    </row>
    <row r="6" spans="1:17" x14ac:dyDescent="0.2">
      <c r="A6" s="45" t="s">
        <v>31</v>
      </c>
      <c r="B6" s="333">
        <f>'[2]Charter Misc'!$IF$23</f>
        <v>0</v>
      </c>
      <c r="C6" s="154">
        <f>[2]Ryan!$IF$23</f>
        <v>0</v>
      </c>
      <c r="D6" s="154">
        <f>'[2]Charter Misc'!$IF$33</f>
        <v>0</v>
      </c>
      <c r="E6" s="154">
        <f>[2]Omni!$IF$33+[2]Omni!$IF$23</f>
        <v>0</v>
      </c>
      <c r="F6" s="154">
        <f>[2]Xtra!$IF$33+[2]Xtra!$IF$23</f>
        <v>0</v>
      </c>
      <c r="G6" s="267">
        <f>SUM(B6:F6)</f>
        <v>0</v>
      </c>
    </row>
    <row r="7" spans="1:17" ht="15.75" thickBot="1" x14ac:dyDescent="0.3">
      <c r="A7" s="150" t="s">
        <v>7</v>
      </c>
      <c r="B7" s="334">
        <f>SUM(B5:B6)</f>
        <v>0</v>
      </c>
      <c r="C7" s="228">
        <f>SUM(C5:C6)</f>
        <v>0</v>
      </c>
      <c r="D7" s="228">
        <f>SUM(D5:D6)</f>
        <v>65</v>
      </c>
      <c r="E7" s="228">
        <f>SUM(E5:E6)</f>
        <v>0</v>
      </c>
      <c r="F7" s="228">
        <f>SUM(F5:F6)</f>
        <v>0</v>
      </c>
      <c r="G7" s="229">
        <f>SUM(B7:F7)</f>
        <v>65</v>
      </c>
    </row>
    <row r="8" spans="1:17" ht="13.5" thickBot="1" x14ac:dyDescent="0.25"/>
    <row r="9" spans="1:17" x14ac:dyDescent="0.2">
      <c r="A9" s="148" t="s">
        <v>9</v>
      </c>
      <c r="B9" s="335"/>
      <c r="C9" s="29"/>
      <c r="D9" s="29"/>
      <c r="E9" s="29"/>
      <c r="F9" s="29"/>
      <c r="G9" s="40"/>
    </row>
    <row r="10" spans="1:17" x14ac:dyDescent="0.2">
      <c r="A10" s="149" t="s">
        <v>79</v>
      </c>
      <c r="B10" s="332">
        <f>'[2]Charter Misc'!$IF$4</f>
        <v>0</v>
      </c>
      <c r="C10" s="151">
        <f>[2]Ryan!$IF$4</f>
        <v>0</v>
      </c>
      <c r="D10" s="151">
        <f>'[2]Charter Misc'!$IF$15</f>
        <v>1</v>
      </c>
      <c r="E10" s="151">
        <f>[2]Omni!$IF$15+[2]Omni!$IF$4</f>
        <v>0</v>
      </c>
      <c r="F10" s="151">
        <f>[2]Xtra!$IF$15+[2]Xtra!$IF$4</f>
        <v>0</v>
      </c>
      <c r="G10" s="267">
        <f>SUM(B10:F10)</f>
        <v>1</v>
      </c>
    </row>
    <row r="11" spans="1:17" x14ac:dyDescent="0.2">
      <c r="A11" s="149" t="s">
        <v>80</v>
      </c>
      <c r="B11" s="332">
        <f>'[2]Charter Misc'!$IF$5</f>
        <v>0</v>
      </c>
      <c r="C11" s="151">
        <f>[2]Ryan!$IF$5</f>
        <v>0</v>
      </c>
      <c r="D11" s="151">
        <f>'[2]Charter Misc'!$IF$16</f>
        <v>0</v>
      </c>
      <c r="E11" s="151">
        <f>[2]Omni!$IF$16+[2]Omni!$IF$5</f>
        <v>0</v>
      </c>
      <c r="F11" s="151">
        <f>[2]Xtra!$IF$16+[2]Xtra!$IF$5</f>
        <v>0</v>
      </c>
      <c r="G11" s="267">
        <f>SUM(B11:F11)</f>
        <v>0</v>
      </c>
    </row>
    <row r="12" spans="1:17" ht="15.75" thickBot="1" x14ac:dyDescent="0.3">
      <c r="A12" s="210" t="s">
        <v>28</v>
      </c>
      <c r="B12" s="336">
        <f>SUM(B10:B11)</f>
        <v>0</v>
      </c>
      <c r="C12" s="230">
        <f>SUM(C10:C11)</f>
        <v>0</v>
      </c>
      <c r="D12" s="230">
        <f>SUM(D10:D11)</f>
        <v>1</v>
      </c>
      <c r="E12" s="230">
        <f>SUM(E10:E11)</f>
        <v>0</v>
      </c>
      <c r="F12" s="230">
        <f>SUM(F10:F11)</f>
        <v>0</v>
      </c>
      <c r="G12" s="231">
        <f>SUM(B12:F12)</f>
        <v>1</v>
      </c>
      <c r="Q12" s="95"/>
    </row>
    <row r="17" spans="1:16" x14ac:dyDescent="0.2">
      <c r="B17" s="452" t="s">
        <v>150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4"/>
    </row>
    <row r="18" spans="1:16" ht="13.5" thickBot="1" x14ac:dyDescent="0.25">
      <c r="A18" s="246"/>
      <c r="E18" s="169"/>
      <c r="G18" s="169"/>
      <c r="H18" s="169"/>
      <c r="L18" s="173"/>
      <c r="N18" s="4"/>
    </row>
    <row r="19" spans="1:16" ht="13.5" customHeight="1" thickBot="1" x14ac:dyDescent="0.25">
      <c r="A19" s="322"/>
      <c r="B19" s="455" t="s">
        <v>118</v>
      </c>
      <c r="C19" s="456"/>
      <c r="D19" s="456"/>
      <c r="E19" s="457"/>
      <c r="G19" s="455" t="s">
        <v>119</v>
      </c>
      <c r="H19" s="458"/>
      <c r="I19" s="458"/>
      <c r="J19" s="459"/>
      <c r="L19" s="460" t="s">
        <v>120</v>
      </c>
      <c r="M19" s="461"/>
      <c r="N19" s="461"/>
      <c r="O19" s="462"/>
    </row>
    <row r="20" spans="1:16" ht="13.5" thickBot="1" x14ac:dyDescent="0.25">
      <c r="A20" s="176" t="s">
        <v>99</v>
      </c>
      <c r="B20" s="181" t="s">
        <v>100</v>
      </c>
      <c r="C20" s="416" t="s">
        <v>101</v>
      </c>
      <c r="D20" s="416" t="s">
        <v>244</v>
      </c>
      <c r="E20" s="413" t="s">
        <v>229</v>
      </c>
      <c r="F20" s="182" t="s">
        <v>96</v>
      </c>
      <c r="G20" s="5" t="s">
        <v>100</v>
      </c>
      <c r="H20" s="5" t="s">
        <v>101</v>
      </c>
      <c r="I20" s="5" t="s">
        <v>244</v>
      </c>
      <c r="J20" s="5" t="s">
        <v>229</v>
      </c>
      <c r="K20" s="182" t="s">
        <v>96</v>
      </c>
      <c r="L20" s="181" t="s">
        <v>100</v>
      </c>
      <c r="M20" s="175" t="s">
        <v>101</v>
      </c>
      <c r="N20" s="5" t="s">
        <v>244</v>
      </c>
      <c r="O20" s="5" t="s">
        <v>229</v>
      </c>
      <c r="P20" s="182" t="s">
        <v>96</v>
      </c>
    </row>
    <row r="21" spans="1:16" ht="14.1" customHeight="1" x14ac:dyDescent="0.2">
      <c r="A21" s="185" t="s">
        <v>102</v>
      </c>
      <c r="B21" s="415">
        <f>+'Intl Detail'!Q4+'Intl Detail'!Q9</f>
        <v>129651</v>
      </c>
      <c r="C21" s="414">
        <f>+'Intl Detail'!Q5+'Intl Detail'!Q10</f>
        <v>126303</v>
      </c>
      <c r="D21" s="414">
        <f t="shared" ref="D21" si="0">SUM(B21:C21)</f>
        <v>255954</v>
      </c>
      <c r="E21" s="264">
        <f>[1]Charter!$D$21</f>
        <v>154314</v>
      </c>
      <c r="F21" s="266">
        <f t="shared" ref="F21:F32" si="1">(D21-E21)/E21</f>
        <v>0.65865702399004622</v>
      </c>
      <c r="G21" s="261">
        <f t="shared" ref="G21:H21" si="2">L21-B21</f>
        <v>1051268</v>
      </c>
      <c r="H21" s="262">
        <f t="shared" si="2"/>
        <v>1085708</v>
      </c>
      <c r="I21" s="262">
        <f t="shared" ref="I21" si="3">SUM(G21:H21)</f>
        <v>2136976</v>
      </c>
      <c r="J21" s="263">
        <f>[1]Charter!$I$21</f>
        <v>1842508</v>
      </c>
      <c r="K21" s="186">
        <f t="shared" ref="K21:K32" si="4">(I21-J21)/J21</f>
        <v>0.15981911611781333</v>
      </c>
      <c r="L21" s="261">
        <f>+'Monthly Summary'!B11</f>
        <v>1180919</v>
      </c>
      <c r="M21" s="262">
        <f>+'Monthly Summary'!C11</f>
        <v>1212011</v>
      </c>
      <c r="N21" s="262">
        <f>SUM(L21:M21)</f>
        <v>2392930</v>
      </c>
      <c r="O21" s="263">
        <f>[1]Charter!$N$21</f>
        <v>1996822</v>
      </c>
      <c r="P21" s="186">
        <f>(N21-O21)/O21</f>
        <v>0.19836920867258073</v>
      </c>
    </row>
    <row r="22" spans="1:16" ht="14.1" customHeight="1" x14ac:dyDescent="0.2">
      <c r="A22" s="187" t="s">
        <v>103</v>
      </c>
      <c r="B22" s="257"/>
      <c r="C22" s="259"/>
      <c r="D22" s="258"/>
      <c r="E22" s="265"/>
      <c r="F22" s="260" t="e">
        <f t="shared" si="1"/>
        <v>#DIV/0!</v>
      </c>
      <c r="G22" s="257"/>
      <c r="H22" s="259"/>
      <c r="I22" s="258"/>
      <c r="J22" s="265"/>
      <c r="K22" s="189" t="e">
        <f t="shared" si="4"/>
        <v>#DIV/0!</v>
      </c>
      <c r="L22" s="257"/>
      <c r="M22" s="259"/>
      <c r="N22" s="258"/>
      <c r="O22" s="265"/>
      <c r="P22" s="188" t="e">
        <f t="shared" ref="P22:P32" si="5">(N22-O22)/O22</f>
        <v>#DIV/0!</v>
      </c>
    </row>
    <row r="23" spans="1:16" ht="14.1" customHeight="1" x14ac:dyDescent="0.2">
      <c r="A23" s="187" t="s">
        <v>104</v>
      </c>
      <c r="B23" s="257"/>
      <c r="C23" s="259"/>
      <c r="D23" s="414"/>
      <c r="E23" s="265"/>
      <c r="F23" s="188" t="e">
        <f t="shared" si="1"/>
        <v>#DIV/0!</v>
      </c>
      <c r="G23" s="257"/>
      <c r="H23" s="259"/>
      <c r="I23" s="258"/>
      <c r="J23" s="265"/>
      <c r="K23" s="189" t="e">
        <f t="shared" si="4"/>
        <v>#DIV/0!</v>
      </c>
      <c r="L23" s="257"/>
      <c r="M23" s="259"/>
      <c r="N23" s="258"/>
      <c r="O23" s="265"/>
      <c r="P23" s="188" t="e">
        <f t="shared" si="5"/>
        <v>#DIV/0!</v>
      </c>
    </row>
    <row r="24" spans="1:16" ht="14.1" customHeight="1" x14ac:dyDescent="0.2">
      <c r="A24" s="187" t="s">
        <v>105</v>
      </c>
      <c r="B24" s="257"/>
      <c r="C24" s="259"/>
      <c r="D24" s="414"/>
      <c r="E24" s="265"/>
      <c r="F24" s="188" t="e">
        <f t="shared" si="1"/>
        <v>#DIV/0!</v>
      </c>
      <c r="G24" s="257"/>
      <c r="H24" s="259"/>
      <c r="I24" s="258"/>
      <c r="J24" s="265"/>
      <c r="K24" s="189" t="e">
        <f t="shared" si="4"/>
        <v>#DIV/0!</v>
      </c>
      <c r="L24" s="257"/>
      <c r="M24" s="259"/>
      <c r="N24" s="258"/>
      <c r="O24" s="265"/>
      <c r="P24" s="188" t="e">
        <f t="shared" si="5"/>
        <v>#DIV/0!</v>
      </c>
    </row>
    <row r="25" spans="1:16" ht="14.1" customHeight="1" x14ac:dyDescent="0.2">
      <c r="A25" s="174" t="s">
        <v>75</v>
      </c>
      <c r="B25" s="257"/>
      <c r="C25" s="259"/>
      <c r="D25" s="414"/>
      <c r="E25" s="265"/>
      <c r="F25" s="177" t="e">
        <f t="shared" si="1"/>
        <v>#DIV/0!</v>
      </c>
      <c r="G25" s="257"/>
      <c r="H25" s="259"/>
      <c r="I25" s="258"/>
      <c r="J25" s="265"/>
      <c r="K25" s="183" t="e">
        <f t="shared" si="4"/>
        <v>#DIV/0!</v>
      </c>
      <c r="L25" s="257"/>
      <c r="M25" s="259"/>
      <c r="N25" s="258"/>
      <c r="O25" s="265"/>
      <c r="P25" s="177" t="e">
        <f t="shared" si="5"/>
        <v>#DIV/0!</v>
      </c>
    </row>
    <row r="26" spans="1:16" ht="14.1" customHeight="1" x14ac:dyDescent="0.2">
      <c r="A26" s="187" t="s">
        <v>106</v>
      </c>
      <c r="B26" s="257"/>
      <c r="C26" s="259"/>
      <c r="D26" s="414"/>
      <c r="E26" s="265"/>
      <c r="F26" s="188" t="e">
        <f t="shared" si="1"/>
        <v>#DIV/0!</v>
      </c>
      <c r="G26" s="257"/>
      <c r="H26" s="259"/>
      <c r="I26" s="258"/>
      <c r="J26" s="265"/>
      <c r="K26" s="189" t="e">
        <f t="shared" si="4"/>
        <v>#DIV/0!</v>
      </c>
      <c r="L26" s="257"/>
      <c r="M26" s="259"/>
      <c r="N26" s="258"/>
      <c r="O26" s="265"/>
      <c r="P26" s="188" t="e">
        <f t="shared" si="5"/>
        <v>#DIV/0!</v>
      </c>
    </row>
    <row r="27" spans="1:16" ht="14.1" customHeight="1" x14ac:dyDescent="0.2">
      <c r="A27" s="174" t="s">
        <v>107</v>
      </c>
      <c r="B27" s="257"/>
      <c r="C27" s="259"/>
      <c r="D27" s="414"/>
      <c r="E27" s="265"/>
      <c r="F27" s="177" t="e">
        <f t="shared" si="1"/>
        <v>#DIV/0!</v>
      </c>
      <c r="G27" s="257"/>
      <c r="H27" s="259"/>
      <c r="I27" s="258"/>
      <c r="J27" s="265"/>
      <c r="K27" s="183" t="e">
        <f t="shared" si="4"/>
        <v>#DIV/0!</v>
      </c>
      <c r="L27" s="257"/>
      <c r="M27" s="259"/>
      <c r="N27" s="258"/>
      <c r="O27" s="265"/>
      <c r="P27" s="177" t="e">
        <f t="shared" si="5"/>
        <v>#DIV/0!</v>
      </c>
    </row>
    <row r="28" spans="1:16" ht="14.1" customHeight="1" x14ac:dyDescent="0.2">
      <c r="A28" s="187" t="s">
        <v>108</v>
      </c>
      <c r="B28" s="257"/>
      <c r="C28" s="259"/>
      <c r="D28" s="414"/>
      <c r="E28" s="265"/>
      <c r="F28" s="188" t="e">
        <f t="shared" si="1"/>
        <v>#DIV/0!</v>
      </c>
      <c r="G28" s="257"/>
      <c r="H28" s="259"/>
      <c r="I28" s="258"/>
      <c r="J28" s="265"/>
      <c r="K28" s="189" t="e">
        <f t="shared" si="4"/>
        <v>#DIV/0!</v>
      </c>
      <c r="L28" s="257"/>
      <c r="M28" s="259"/>
      <c r="N28" s="258"/>
      <c r="O28" s="265"/>
      <c r="P28" s="188" t="e">
        <f t="shared" si="5"/>
        <v>#DIV/0!</v>
      </c>
    </row>
    <row r="29" spans="1:16" ht="14.1" customHeight="1" x14ac:dyDescent="0.2">
      <c r="A29" s="174" t="s">
        <v>109</v>
      </c>
      <c r="B29" s="257"/>
      <c r="C29" s="259"/>
      <c r="D29" s="414"/>
      <c r="E29" s="265"/>
      <c r="F29" s="177" t="e">
        <f t="shared" si="1"/>
        <v>#DIV/0!</v>
      </c>
      <c r="G29" s="257"/>
      <c r="H29" s="259"/>
      <c r="I29" s="258"/>
      <c r="J29" s="265"/>
      <c r="K29" s="183" t="e">
        <f t="shared" si="4"/>
        <v>#DIV/0!</v>
      </c>
      <c r="L29" s="257"/>
      <c r="M29" s="259"/>
      <c r="N29" s="258"/>
      <c r="O29" s="265"/>
      <c r="P29" s="177" t="e">
        <f t="shared" si="5"/>
        <v>#DIV/0!</v>
      </c>
    </row>
    <row r="30" spans="1:16" ht="14.1" customHeight="1" x14ac:dyDescent="0.2">
      <c r="A30" s="187" t="s">
        <v>110</v>
      </c>
      <c r="B30" s="257"/>
      <c r="C30" s="259"/>
      <c r="D30" s="414"/>
      <c r="E30" s="265"/>
      <c r="F30" s="188" t="e">
        <f t="shared" si="1"/>
        <v>#DIV/0!</v>
      </c>
      <c r="G30" s="257"/>
      <c r="H30" s="259"/>
      <c r="I30" s="258"/>
      <c r="J30" s="265"/>
      <c r="K30" s="189" t="e">
        <f t="shared" si="4"/>
        <v>#DIV/0!</v>
      </c>
      <c r="L30" s="257"/>
      <c r="M30" s="259"/>
      <c r="N30" s="258"/>
      <c r="O30" s="265"/>
      <c r="P30" s="188" t="e">
        <f t="shared" si="5"/>
        <v>#DIV/0!</v>
      </c>
    </row>
    <row r="31" spans="1:16" ht="14.1" customHeight="1" x14ac:dyDescent="0.2">
      <c r="A31" s="174" t="s">
        <v>111</v>
      </c>
      <c r="B31" s="257"/>
      <c r="C31" s="259"/>
      <c r="D31" s="414"/>
      <c r="E31" s="265"/>
      <c r="F31" s="177" t="e">
        <f t="shared" si="1"/>
        <v>#DIV/0!</v>
      </c>
      <c r="G31" s="257"/>
      <c r="H31" s="259"/>
      <c r="I31" s="258"/>
      <c r="J31" s="265"/>
      <c r="K31" s="183" t="e">
        <f t="shared" si="4"/>
        <v>#DIV/0!</v>
      </c>
      <c r="L31" s="257"/>
      <c r="M31" s="259"/>
      <c r="N31" s="258"/>
      <c r="O31" s="265"/>
      <c r="P31" s="177" t="e">
        <f t="shared" si="5"/>
        <v>#DIV/0!</v>
      </c>
    </row>
    <row r="32" spans="1:16" ht="14.1" customHeight="1" x14ac:dyDescent="0.2">
      <c r="A32" s="190" t="s">
        <v>112</v>
      </c>
      <c r="B32" s="257"/>
      <c r="C32" s="259"/>
      <c r="D32" s="259"/>
      <c r="E32" s="265"/>
      <c r="F32" s="191" t="e">
        <f t="shared" si="1"/>
        <v>#DIV/0!</v>
      </c>
      <c r="G32" s="257"/>
      <c r="H32" s="259"/>
      <c r="I32" s="258"/>
      <c r="J32" s="265"/>
      <c r="K32" s="191" t="e">
        <f t="shared" si="4"/>
        <v>#DIV/0!</v>
      </c>
      <c r="L32" s="257"/>
      <c r="M32" s="259"/>
      <c r="N32" s="258"/>
      <c r="O32" s="265"/>
      <c r="P32" s="191" t="e">
        <f t="shared" si="5"/>
        <v>#DIV/0!</v>
      </c>
    </row>
    <row r="33" spans="1:16" ht="13.5" thickBot="1" x14ac:dyDescent="0.25">
      <c r="A33" s="184" t="s">
        <v>76</v>
      </c>
      <c r="B33" s="194">
        <f>SUM(B21:B32)</f>
        <v>129651</v>
      </c>
      <c r="C33" s="195">
        <f>SUM(C21:C32)</f>
        <v>126303</v>
      </c>
      <c r="D33" s="195">
        <f>SUM(D21:D32)</f>
        <v>255954</v>
      </c>
      <c r="E33" s="196">
        <f>SUM(E21:E32)</f>
        <v>154314</v>
      </c>
      <c r="F33" s="179">
        <f>(D33-E33)/E33</f>
        <v>0.65865702399004622</v>
      </c>
      <c r="G33" s="197">
        <f>SUM(G21:G32)</f>
        <v>1051268</v>
      </c>
      <c r="H33" s="195">
        <f>SUM(H21:H32)</f>
        <v>1085708</v>
      </c>
      <c r="I33" s="195">
        <f>SUM(I21:I32)</f>
        <v>2136976</v>
      </c>
      <c r="J33" s="198">
        <f>SUM(J21:J32)</f>
        <v>1842508</v>
      </c>
      <c r="K33" s="180">
        <f>(I33-J33)/J33</f>
        <v>0.15981911611781333</v>
      </c>
      <c r="L33" s="197">
        <f>SUM(L21:L32)</f>
        <v>1180919</v>
      </c>
      <c r="M33" s="195">
        <f>SUM(M21:M32)</f>
        <v>1212011</v>
      </c>
      <c r="N33" s="195">
        <f>SUM(N21:N32)</f>
        <v>2392930</v>
      </c>
      <c r="O33" s="196">
        <f>SUM(O21:O32)</f>
        <v>1996822</v>
      </c>
      <c r="P33" s="178">
        <f>(N33-O33)/O33</f>
        <v>0.19836920867258073</v>
      </c>
    </row>
    <row r="35" spans="1:16" x14ac:dyDescent="0.2">
      <c r="N35" s="95"/>
      <c r="O35" s="95"/>
    </row>
    <row r="36" spans="1:16" x14ac:dyDescent="0.2">
      <c r="D36" s="95"/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January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L36" sqref="L36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63" t="s">
        <v>203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5"/>
    </row>
    <row r="2" spans="1:23" s="27" customFormat="1" ht="43.5" customHeight="1" thickBot="1" x14ac:dyDescent="0.25">
      <c r="A2" s="419">
        <v>44927</v>
      </c>
      <c r="B2" s="344" t="s">
        <v>199</v>
      </c>
      <c r="C2" s="344" t="s">
        <v>176</v>
      </c>
      <c r="D2" s="344" t="s">
        <v>221</v>
      </c>
      <c r="E2" s="377" t="s">
        <v>223</v>
      </c>
      <c r="F2" s="377" t="s">
        <v>222</v>
      </c>
      <c r="G2" s="344" t="s">
        <v>204</v>
      </c>
      <c r="H2" s="377" t="s">
        <v>248</v>
      </c>
      <c r="I2" s="377" t="s">
        <v>201</v>
      </c>
      <c r="J2" s="345" t="s">
        <v>81</v>
      </c>
      <c r="K2" s="377" t="s">
        <v>177</v>
      </c>
      <c r="L2" s="344" t="s">
        <v>205</v>
      </c>
      <c r="M2" s="377" t="s">
        <v>85</v>
      </c>
      <c r="N2" s="344" t="s">
        <v>246</v>
      </c>
      <c r="O2" s="344" t="s">
        <v>206</v>
      </c>
      <c r="P2" s="344" t="s">
        <v>207</v>
      </c>
      <c r="Q2" s="345" t="s">
        <v>82</v>
      </c>
      <c r="R2" s="377" t="s">
        <v>127</v>
      </c>
      <c r="S2" s="377" t="s">
        <v>21</v>
      </c>
    </row>
    <row r="3" spans="1:23" ht="15" x14ac:dyDescent="0.25">
      <c r="A3" s="157" t="s">
        <v>9</v>
      </c>
      <c r="B3" s="385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86"/>
      <c r="U3" s="359"/>
      <c r="V3" s="359"/>
      <c r="W3" s="359"/>
    </row>
    <row r="4" spans="1:23" x14ac:dyDescent="0.2">
      <c r="A4" s="37" t="s">
        <v>53</v>
      </c>
      <c r="B4" s="192">
        <f>'[2]Atlas Air'!$IF$4</f>
        <v>32</v>
      </c>
      <c r="C4" s="132">
        <f>[2]DHL_Atlas!$IF$8+[2]DHL_Atlas!$IF$15</f>
        <v>0</v>
      </c>
      <c r="D4" s="132">
        <f>[2]Airborne!$IF$4+[2]Airborne!$IF$15</f>
        <v>1</v>
      </c>
      <c r="E4" s="95">
        <f>[2]DHL_Bemidji!$IF$4</f>
        <v>28</v>
      </c>
      <c r="F4" s="95">
        <f>[2]Bemidji!$IF$4</f>
        <v>177</v>
      </c>
      <c r="G4" s="132">
        <f>[2]DHL_Encore!$IF$4+[2]DHL_Encore!$IF$15</f>
        <v>0</v>
      </c>
      <c r="H4" s="132">
        <f>[2]DHL_Mesa!$IF$4+[2]DHL_Mesa!$IF$15</f>
        <v>6</v>
      </c>
      <c r="I4" s="132">
        <f>[2]Encore!$IF$4+[2]Encore!$IF$15</f>
        <v>0</v>
      </c>
      <c r="J4" s="132">
        <f>[2]FedEx!$IF$4+[2]FedEx!$IF$15</f>
        <v>90</v>
      </c>
      <c r="K4" s="132">
        <f>[2]IFL!$IF$4+[2]IFL!$IF$15</f>
        <v>11</v>
      </c>
      <c r="L4" s="132">
        <f>[2]DHL_Kalitta!$IF$4+[2]DHL_Kalitta!$IF$15</f>
        <v>0</v>
      </c>
      <c r="M4" s="95">
        <f>'[2]Mountain Cargo'!$IF$4</f>
        <v>18</v>
      </c>
      <c r="N4" s="132">
        <f>[2]DHL_Amerijet!$IF$4+[2]DHL_Amerijet!$IF$15</f>
        <v>16</v>
      </c>
      <c r="O4" s="132">
        <f>[2]DHL_Swift!$IF$4+[2]DHL_Swift!$IF$15</f>
        <v>7</v>
      </c>
      <c r="P4" s="132">
        <f>+'[2]Sun Country Cargo'!$IF$4+'[2]Sun Country Cargo'!$IF$8+'[2]Sun Country Cargo'!$IF$15</f>
        <v>59</v>
      </c>
      <c r="Q4" s="132">
        <f>[2]UPS!$IF$4+[2]UPS!$IF$15</f>
        <v>119</v>
      </c>
      <c r="R4" s="95">
        <f>'[2]Misc Cargo'!$IF$4</f>
        <v>0</v>
      </c>
      <c r="S4" s="387">
        <f>SUM(B4:R4)</f>
        <v>564</v>
      </c>
      <c r="U4" s="359"/>
      <c r="V4" s="359"/>
      <c r="W4" s="226"/>
    </row>
    <row r="5" spans="1:23" x14ac:dyDescent="0.2">
      <c r="A5" s="37" t="s">
        <v>54</v>
      </c>
      <c r="B5" s="388">
        <f>'[2]Atlas Air'!$IF$5</f>
        <v>32</v>
      </c>
      <c r="C5" s="156">
        <f>[2]DHL_Atlas!$IF$9+[2]DHL_Atlas!$IF$16</f>
        <v>0</v>
      </c>
      <c r="D5" s="156">
        <f>[2]Airborne!$IF$5</f>
        <v>1</v>
      </c>
      <c r="E5" s="96">
        <f>[2]DHL_Bemidji!$IF$5</f>
        <v>28</v>
      </c>
      <c r="F5" s="96">
        <f>[2]Bemidji!$IF$5</f>
        <v>177</v>
      </c>
      <c r="G5" s="156">
        <f>[2]DHL_Encore!$IF$5</f>
        <v>0</v>
      </c>
      <c r="H5" s="156">
        <f>[2]DHL_Mesa!$IF$5</f>
        <v>6</v>
      </c>
      <c r="I5" s="156">
        <f>[2]Encore!$IF$5</f>
        <v>0</v>
      </c>
      <c r="J5" s="156">
        <f>[2]FedEx!$IF$5</f>
        <v>90</v>
      </c>
      <c r="K5" s="156">
        <f>[2]IFL!$IF$5</f>
        <v>11</v>
      </c>
      <c r="L5" s="156">
        <f>[2]DHL_Kalitta!$IF$5</f>
        <v>0</v>
      </c>
      <c r="M5" s="96">
        <f>'[2]Mountain Cargo'!$IF$5</f>
        <v>18</v>
      </c>
      <c r="N5" s="156">
        <f>[2]DHL_Amerijet!$IF$5</f>
        <v>16</v>
      </c>
      <c r="O5" s="156">
        <f>[2]DHL_Swift!$IF$5</f>
        <v>7</v>
      </c>
      <c r="P5" s="156">
        <f>+'[2]Sun Country Cargo'!$IF$5+'[2]Sun Country Cargo'!$IF$9+'[2]Sun Country Cargo'!$IF$16</f>
        <v>58</v>
      </c>
      <c r="Q5" s="156">
        <f>[2]UPS!$IF$5+[2]UPS!$IF$16</f>
        <v>119</v>
      </c>
      <c r="R5" s="96">
        <f>'[2]Misc Cargo'!$IF$5</f>
        <v>0</v>
      </c>
      <c r="S5" s="387">
        <f>SUM(B5:R5)</f>
        <v>563</v>
      </c>
      <c r="U5" s="359"/>
      <c r="V5" s="359"/>
      <c r="W5" s="226"/>
    </row>
    <row r="6" spans="1:23" s="155" customFormat="1" x14ac:dyDescent="0.2">
      <c r="A6" s="159" t="s">
        <v>55</v>
      </c>
      <c r="B6" s="389">
        <f t="shared" ref="B6:R6" si="0">SUM(B4:B5)</f>
        <v>64</v>
      </c>
      <c r="C6" s="390">
        <f t="shared" si="0"/>
        <v>0</v>
      </c>
      <c r="D6" s="390">
        <f t="shared" ref="D6:E6" si="1">SUM(D4:D5)</f>
        <v>2</v>
      </c>
      <c r="E6" s="93">
        <f t="shared" si="1"/>
        <v>56</v>
      </c>
      <c r="F6" s="93">
        <f t="shared" si="0"/>
        <v>354</v>
      </c>
      <c r="G6" s="390">
        <f t="shared" si="0"/>
        <v>0</v>
      </c>
      <c r="H6" s="390">
        <f t="shared" ref="H6" si="2">SUM(H4:H5)</f>
        <v>12</v>
      </c>
      <c r="I6" s="390">
        <f t="shared" si="0"/>
        <v>0</v>
      </c>
      <c r="J6" s="390">
        <f t="shared" si="0"/>
        <v>180</v>
      </c>
      <c r="K6" s="390">
        <f t="shared" si="0"/>
        <v>22</v>
      </c>
      <c r="L6" s="390">
        <f t="shared" si="0"/>
        <v>0</v>
      </c>
      <c r="M6" s="93">
        <f t="shared" si="0"/>
        <v>36</v>
      </c>
      <c r="N6" s="390">
        <f t="shared" si="0"/>
        <v>32</v>
      </c>
      <c r="O6" s="390">
        <f t="shared" si="0"/>
        <v>14</v>
      </c>
      <c r="P6" s="390">
        <f t="shared" si="0"/>
        <v>117</v>
      </c>
      <c r="Q6" s="390">
        <f t="shared" si="0"/>
        <v>238</v>
      </c>
      <c r="R6" s="93">
        <f t="shared" si="0"/>
        <v>0</v>
      </c>
      <c r="S6" s="387">
        <f t="shared" ref="S6:S10" si="3">SUM(B6:R6)</f>
        <v>1127</v>
      </c>
      <c r="W6" s="306"/>
    </row>
    <row r="7" spans="1:23" x14ac:dyDescent="0.2">
      <c r="A7" s="37"/>
      <c r="B7" s="192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87"/>
      <c r="U7" s="342"/>
      <c r="V7" s="359"/>
      <c r="W7" s="226"/>
    </row>
    <row r="8" spans="1:23" x14ac:dyDescent="0.2">
      <c r="A8" s="37" t="s">
        <v>56</v>
      </c>
      <c r="B8" s="192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'[2]Misc Cargo'!$IF$8</f>
        <v>0</v>
      </c>
      <c r="S8" s="387">
        <f t="shared" si="3"/>
        <v>0</v>
      </c>
      <c r="U8" s="359"/>
      <c r="V8" s="359"/>
      <c r="W8" s="226"/>
    </row>
    <row r="9" spans="1:23" ht="15" x14ac:dyDescent="0.25">
      <c r="A9" s="37" t="s">
        <v>57</v>
      </c>
      <c r="B9" s="388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'[2]Misc Cargo'!$IF$9</f>
        <v>0</v>
      </c>
      <c r="S9" s="387">
        <f t="shared" si="3"/>
        <v>0</v>
      </c>
      <c r="U9" s="359"/>
      <c r="V9" s="8"/>
      <c r="W9" s="226"/>
    </row>
    <row r="10" spans="1:23" s="155" customFormat="1" x14ac:dyDescent="0.2">
      <c r="A10" s="159" t="s">
        <v>58</v>
      </c>
      <c r="B10" s="389">
        <f t="shared" ref="B10:R10" si="4">SUM(B8:B9)</f>
        <v>0</v>
      </c>
      <c r="C10" s="390">
        <f t="shared" si="4"/>
        <v>0</v>
      </c>
      <c r="D10" s="390">
        <f t="shared" ref="D10:E10" si="5">SUM(D8:D9)</f>
        <v>0</v>
      </c>
      <c r="E10" s="93">
        <f t="shared" si="5"/>
        <v>0</v>
      </c>
      <c r="F10" s="93">
        <f t="shared" si="4"/>
        <v>0</v>
      </c>
      <c r="G10" s="390">
        <f t="shared" si="4"/>
        <v>0</v>
      </c>
      <c r="H10" s="390">
        <f t="shared" ref="H10" si="6">SUM(H8:H9)</f>
        <v>0</v>
      </c>
      <c r="I10" s="390">
        <f t="shared" si="4"/>
        <v>0</v>
      </c>
      <c r="J10" s="390">
        <f t="shared" si="4"/>
        <v>0</v>
      </c>
      <c r="K10" s="390">
        <f t="shared" si="4"/>
        <v>0</v>
      </c>
      <c r="L10" s="390">
        <f t="shared" si="4"/>
        <v>0</v>
      </c>
      <c r="M10" s="93">
        <f t="shared" si="4"/>
        <v>0</v>
      </c>
      <c r="N10" s="390">
        <f t="shared" si="4"/>
        <v>0</v>
      </c>
      <c r="O10" s="390">
        <f t="shared" si="4"/>
        <v>0</v>
      </c>
      <c r="P10" s="390">
        <f t="shared" si="4"/>
        <v>0</v>
      </c>
      <c r="Q10" s="390">
        <f t="shared" si="4"/>
        <v>0</v>
      </c>
      <c r="R10" s="93">
        <f t="shared" si="4"/>
        <v>0</v>
      </c>
      <c r="S10" s="387">
        <f t="shared" si="3"/>
        <v>0</v>
      </c>
      <c r="W10" s="306"/>
    </row>
    <row r="11" spans="1:23" x14ac:dyDescent="0.2">
      <c r="A11" s="37"/>
      <c r="B11" s="192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91"/>
      <c r="U11" s="359"/>
      <c r="V11" s="359"/>
      <c r="W11" s="226"/>
    </row>
    <row r="12" spans="1:23" ht="18" customHeight="1" thickBot="1" x14ac:dyDescent="0.25">
      <c r="A12" s="160" t="s">
        <v>28</v>
      </c>
      <c r="B12" s="392">
        <f t="shared" ref="B12:R12" si="7">B6+B10</f>
        <v>64</v>
      </c>
      <c r="C12" s="161">
        <f t="shared" si="7"/>
        <v>0</v>
      </c>
      <c r="D12" s="161">
        <f t="shared" ref="D12:E12" si="8">D6+D10</f>
        <v>2</v>
      </c>
      <c r="E12" s="162">
        <f t="shared" si="8"/>
        <v>56</v>
      </c>
      <c r="F12" s="162">
        <f t="shared" si="7"/>
        <v>354</v>
      </c>
      <c r="G12" s="161">
        <f t="shared" si="7"/>
        <v>0</v>
      </c>
      <c r="H12" s="161">
        <f t="shared" ref="H12" si="9">H6+H10</f>
        <v>12</v>
      </c>
      <c r="I12" s="161">
        <f t="shared" si="7"/>
        <v>0</v>
      </c>
      <c r="J12" s="161">
        <f t="shared" si="7"/>
        <v>180</v>
      </c>
      <c r="K12" s="161">
        <f t="shared" si="7"/>
        <v>22</v>
      </c>
      <c r="L12" s="161">
        <f t="shared" si="7"/>
        <v>0</v>
      </c>
      <c r="M12" s="162">
        <f t="shared" si="7"/>
        <v>36</v>
      </c>
      <c r="N12" s="161">
        <f t="shared" si="7"/>
        <v>32</v>
      </c>
      <c r="O12" s="161">
        <f t="shared" si="7"/>
        <v>14</v>
      </c>
      <c r="P12" s="161">
        <f t="shared" si="7"/>
        <v>117</v>
      </c>
      <c r="Q12" s="161">
        <f t="shared" si="7"/>
        <v>238</v>
      </c>
      <c r="R12" s="162">
        <f t="shared" si="7"/>
        <v>0</v>
      </c>
      <c r="S12" s="393">
        <f>SUM(B12:R12)</f>
        <v>1127</v>
      </c>
      <c r="U12" s="359"/>
      <c r="V12" s="359"/>
      <c r="W12" s="226"/>
    </row>
    <row r="13" spans="1:23" ht="18" customHeight="1" thickBot="1" x14ac:dyDescent="0.25">
      <c r="A13" s="146"/>
      <c r="B13" s="394"/>
      <c r="C13" s="395"/>
      <c r="D13" s="395"/>
      <c r="E13" s="280"/>
      <c r="F13" s="280"/>
      <c r="G13" s="395"/>
      <c r="H13" s="395"/>
      <c r="I13" s="395"/>
      <c r="J13" s="395"/>
      <c r="K13" s="395"/>
      <c r="L13" s="395"/>
      <c r="M13" s="280"/>
      <c r="N13" s="395"/>
      <c r="O13" s="395"/>
      <c r="P13" s="395"/>
      <c r="Q13" s="395"/>
      <c r="R13" s="280"/>
      <c r="S13" s="2"/>
      <c r="U13" s="359"/>
      <c r="V13" s="359"/>
      <c r="W13" s="226"/>
    </row>
    <row r="14" spans="1:23" ht="15" x14ac:dyDescent="0.25">
      <c r="A14" s="163" t="s">
        <v>92</v>
      </c>
      <c r="B14" s="396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97"/>
      <c r="U14" s="359"/>
      <c r="V14" s="359"/>
      <c r="W14" s="226"/>
    </row>
    <row r="15" spans="1:23" x14ac:dyDescent="0.2">
      <c r="A15" s="165" t="s">
        <v>93</v>
      </c>
      <c r="B15" s="192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59"/>
      <c r="V15" s="359"/>
      <c r="W15" s="226"/>
    </row>
    <row r="16" spans="1:23" ht="12.75" customHeight="1" x14ac:dyDescent="0.2">
      <c r="A16" s="37" t="s">
        <v>37</v>
      </c>
      <c r="B16" s="192">
        <f>'[2]Atlas Air'!$IF$47</f>
        <v>1393407</v>
      </c>
      <c r="C16" s="132">
        <f>[2]DHL_Atlas!$IF$47</f>
        <v>0</v>
      </c>
      <c r="D16" s="132">
        <f>[2]Airborne!$IF$47</f>
        <v>13386</v>
      </c>
      <c r="E16" s="132">
        <f>[2]DHL_Bemidji!$IF$47</f>
        <v>38395</v>
      </c>
      <c r="F16" s="466" t="s">
        <v>86</v>
      </c>
      <c r="G16" s="132">
        <f>[2]DHL_Encore!$IF$47</f>
        <v>0</v>
      </c>
      <c r="H16" s="132">
        <f>[2]DHL_Mesa!$IF$47</f>
        <v>131489</v>
      </c>
      <c r="I16" s="132">
        <f>[2]Encore!$IF$47</f>
        <v>0</v>
      </c>
      <c r="J16" s="132">
        <f>[2]FedEx!$IF$47</f>
        <v>6259922</v>
      </c>
      <c r="K16" s="132">
        <f>[2]IFL!$IF$47</f>
        <v>59582</v>
      </c>
      <c r="L16" s="132">
        <f>[2]DHL_Kalitta!$IF$47</f>
        <v>0</v>
      </c>
      <c r="M16" s="95">
        <f>'[2]Mountain Cargo'!$IF$47</f>
        <v>0</v>
      </c>
      <c r="N16" s="132">
        <f>[2]DHL_Amerijet!$IF$47</f>
        <v>537867</v>
      </c>
      <c r="O16" s="132">
        <f>[2]DHL_Swift!$IF$47</f>
        <v>159523</v>
      </c>
      <c r="P16" s="132">
        <f>+'[2]Sun Country Cargo'!$IF$47</f>
        <v>1171565</v>
      </c>
      <c r="Q16" s="132">
        <f>[2]UPS!$IF$47</f>
        <v>4857247</v>
      </c>
      <c r="R16" s="95">
        <f>'[2]Misc Cargo'!$IF$47</f>
        <v>0</v>
      </c>
      <c r="S16" s="387">
        <f>SUM(B16:E16)+SUM(G16:R16)</f>
        <v>14622383</v>
      </c>
      <c r="U16" s="359"/>
      <c r="V16" s="359"/>
      <c r="W16" s="226"/>
    </row>
    <row r="17" spans="1:23" x14ac:dyDescent="0.2">
      <c r="A17" s="37" t="s">
        <v>38</v>
      </c>
      <c r="B17" s="192">
        <f>'[2]Atlas Air'!$IF$48</f>
        <v>0</v>
      </c>
      <c r="C17" s="132">
        <f>[2]DHL!$IF$48</f>
        <v>0</v>
      </c>
      <c r="D17" s="132">
        <f>[2]Airborne!$IF$48</f>
        <v>0</v>
      </c>
      <c r="E17" s="132">
        <f>[2]DHL_Bemidji!$IF$48</f>
        <v>0</v>
      </c>
      <c r="F17" s="467"/>
      <c r="G17" s="132">
        <f>[2]DHL_Encore!$IF$48</f>
        <v>0</v>
      </c>
      <c r="H17" s="132">
        <f>[2]DHL_Mesa!$IF$48</f>
        <v>0</v>
      </c>
      <c r="I17" s="132">
        <f>[2]Encore!$IF$48</f>
        <v>0</v>
      </c>
      <c r="J17" s="132">
        <f>[2]FedEx!$IF$48</f>
        <v>0</v>
      </c>
      <c r="K17" s="132">
        <f>[2]IFL!$IF$48</f>
        <v>0</v>
      </c>
      <c r="L17" s="132">
        <f>[2]DHL_Kalitta!$IF$48</f>
        <v>0</v>
      </c>
      <c r="M17" s="95">
        <f>'[2]Mountain Cargo'!$IF$48</f>
        <v>37315</v>
      </c>
      <c r="N17" s="132">
        <f>[2]DHL_Amerijet!$IF$48</f>
        <v>0</v>
      </c>
      <c r="O17" s="132">
        <f>[2]DHL_Swift!$IF$48</f>
        <v>0</v>
      </c>
      <c r="P17" s="132">
        <f>+'[2]Sun Country Cargo'!$IF$48</f>
        <v>0</v>
      </c>
      <c r="Q17" s="132">
        <f>[2]UPS!$IF$48</f>
        <v>598783</v>
      </c>
      <c r="R17" s="95">
        <f>'[2]Misc Cargo'!$IF$48</f>
        <v>0</v>
      </c>
      <c r="S17" s="387">
        <f>SUM(B17:E17)+SUM(G17:R17)</f>
        <v>636098</v>
      </c>
      <c r="U17" s="359"/>
      <c r="V17" s="359"/>
      <c r="W17" s="226"/>
    </row>
    <row r="18" spans="1:23" ht="18" customHeight="1" x14ac:dyDescent="0.2">
      <c r="A18" s="166" t="s">
        <v>39</v>
      </c>
      <c r="B18" s="398">
        <f>SUM(B16:B17)</f>
        <v>1393407</v>
      </c>
      <c r="C18" s="232">
        <f>SUM(C16:C17)</f>
        <v>0</v>
      </c>
      <c r="D18" s="232">
        <f>SUM(D16:D17)</f>
        <v>13386</v>
      </c>
      <c r="E18" s="232">
        <f>SUM(E16:E17)</f>
        <v>38395</v>
      </c>
      <c r="F18" s="467"/>
      <c r="G18" s="232">
        <f>SUM(G16:G17)</f>
        <v>0</v>
      </c>
      <c r="H18" s="232">
        <f>SUM(H16:H17)</f>
        <v>131489</v>
      </c>
      <c r="I18" s="232">
        <f>SUM(I16:I17)</f>
        <v>0</v>
      </c>
      <c r="J18" s="232">
        <f>SUM(J16:J17)</f>
        <v>6259922</v>
      </c>
      <c r="K18" s="232">
        <f>SUM(K16:K17)</f>
        <v>59582</v>
      </c>
      <c r="L18" s="232">
        <f t="shared" ref="L18:R18" si="10">SUM(L16:L17)</f>
        <v>0</v>
      </c>
      <c r="M18" s="233">
        <f t="shared" si="10"/>
        <v>37315</v>
      </c>
      <c r="N18" s="232">
        <f t="shared" si="10"/>
        <v>537867</v>
      </c>
      <c r="O18" s="232">
        <f t="shared" si="10"/>
        <v>159523</v>
      </c>
      <c r="P18" s="232">
        <f t="shared" si="10"/>
        <v>1171565</v>
      </c>
      <c r="Q18" s="232">
        <f t="shared" si="10"/>
        <v>5456030</v>
      </c>
      <c r="R18" s="233">
        <f t="shared" si="10"/>
        <v>0</v>
      </c>
      <c r="S18" s="399">
        <f>SUM(B18:D18)+SUM(G18:R18)</f>
        <v>15220086</v>
      </c>
      <c r="U18" s="359"/>
      <c r="V18" s="359"/>
      <c r="W18" s="226"/>
    </row>
    <row r="19" spans="1:23" x14ac:dyDescent="0.2">
      <c r="A19" s="37"/>
      <c r="B19" s="192"/>
      <c r="C19" s="132"/>
      <c r="D19" s="132"/>
      <c r="E19" s="132"/>
      <c r="F19" s="467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87"/>
      <c r="U19" s="342"/>
      <c r="V19" s="359"/>
      <c r="W19" s="226"/>
    </row>
    <row r="20" spans="1:23" x14ac:dyDescent="0.2">
      <c r="A20" s="165" t="s">
        <v>87</v>
      </c>
      <c r="B20" s="192"/>
      <c r="C20" s="132"/>
      <c r="D20" s="132"/>
      <c r="E20" s="132"/>
      <c r="F20" s="467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87"/>
      <c r="U20" s="342"/>
      <c r="V20" s="359"/>
      <c r="W20" s="226"/>
    </row>
    <row r="21" spans="1:23" x14ac:dyDescent="0.2">
      <c r="A21" s="37" t="s">
        <v>59</v>
      </c>
      <c r="B21" s="192">
        <f>'[2]Atlas Air'!$IF$52</f>
        <v>1549707</v>
      </c>
      <c r="C21" s="132">
        <f>[2]DHL_Atlas!$IF$52</f>
        <v>0</v>
      </c>
      <c r="D21" s="132">
        <f>[2]Airborne!$IF$52</f>
        <v>22562</v>
      </c>
      <c r="E21" s="132">
        <f>[2]DHL_Bemidji!$IF$52</f>
        <v>35623</v>
      </c>
      <c r="F21" s="467"/>
      <c r="G21" s="132">
        <f>[2]DHL_Encore!$IF$52</f>
        <v>0</v>
      </c>
      <c r="H21" s="132">
        <f>[2]DHL_Mesa!$IF$52</f>
        <v>89895</v>
      </c>
      <c r="I21" s="132">
        <f>[2]Encore!$IF$52</f>
        <v>0</v>
      </c>
      <c r="J21" s="132">
        <f>[2]FedEx!$IF$52</f>
        <v>6022233</v>
      </c>
      <c r="K21" s="132">
        <f>[2]IFL!$IF$52</f>
        <v>7751</v>
      </c>
      <c r="L21" s="132">
        <f>[2]DHL_Kalitta!$IF$52</f>
        <v>0</v>
      </c>
      <c r="M21" s="95">
        <f>'[2]Mountain Cargo'!$IF$52</f>
        <v>0</v>
      </c>
      <c r="N21" s="132">
        <f>[2]DHL_Amerijet!$IF$52</f>
        <v>305774</v>
      </c>
      <c r="O21" s="132">
        <f>[2]DHL_Swift!$IF$52</f>
        <v>5728</v>
      </c>
      <c r="P21" s="132">
        <f>+'[2]Sun Country Cargo'!$IF$52</f>
        <v>1455145</v>
      </c>
      <c r="Q21" s="132">
        <f>[2]UPS!$IF$52</f>
        <v>4479645</v>
      </c>
      <c r="R21" s="95">
        <f>'[2]Misc Cargo'!$IF$52</f>
        <v>0</v>
      </c>
      <c r="S21" s="387">
        <f>SUM(B21:E21)+SUM(G21:R21)</f>
        <v>13974063</v>
      </c>
      <c r="U21" s="359"/>
      <c r="V21" s="359"/>
      <c r="W21" s="226"/>
    </row>
    <row r="22" spans="1:23" x14ac:dyDescent="0.2">
      <c r="A22" s="37" t="s">
        <v>60</v>
      </c>
      <c r="B22" s="192">
        <f>'[2]Atlas Air'!$IF$53</f>
        <v>0</v>
      </c>
      <c r="C22" s="132">
        <f>[2]DHL!$IF$53</f>
        <v>0</v>
      </c>
      <c r="D22" s="132">
        <f>[2]Airborne!$IF$53</f>
        <v>0</v>
      </c>
      <c r="E22" s="132">
        <f>[2]DHL_Bemidji!$IF$53</f>
        <v>0</v>
      </c>
      <c r="F22" s="467"/>
      <c r="G22" s="132">
        <f>[2]DHL_Encore!$IF$53</f>
        <v>0</v>
      </c>
      <c r="H22" s="132">
        <f>[2]DHL_Mesa!$IF$53</f>
        <v>0</v>
      </c>
      <c r="I22" s="132">
        <f>[2]Encore!$IF$53</f>
        <v>0</v>
      </c>
      <c r="J22" s="132">
        <f>[2]FedEx!$IF$53</f>
        <v>0</v>
      </c>
      <c r="K22" s="132">
        <f>[2]IFL!$IF$53</f>
        <v>0</v>
      </c>
      <c r="L22" s="132">
        <f>[2]DHL_Kalitta!$IF$53</f>
        <v>0</v>
      </c>
      <c r="M22" s="95">
        <f>'[2]Mountain Cargo'!$IF$53</f>
        <v>69323</v>
      </c>
      <c r="N22" s="132">
        <f>[2]DHL_Amerijet!$IF$53</f>
        <v>0</v>
      </c>
      <c r="O22" s="132">
        <f>[2]DHL_Swift!$IF$53</f>
        <v>0</v>
      </c>
      <c r="P22" s="132">
        <f>+'[2]Sun Country Cargo'!$IF$53</f>
        <v>0</v>
      </c>
      <c r="Q22" s="132">
        <f>[2]UPS!$IF$53</f>
        <v>274950</v>
      </c>
      <c r="R22" s="95">
        <f>'[2]Misc Cargo'!$IF$53</f>
        <v>0</v>
      </c>
      <c r="S22" s="387">
        <f>SUM(B22:E22)+SUM(G22:R22)</f>
        <v>344273</v>
      </c>
      <c r="U22" s="359"/>
      <c r="V22" s="359"/>
      <c r="W22" s="226"/>
    </row>
    <row r="23" spans="1:23" ht="18" customHeight="1" x14ac:dyDescent="0.2">
      <c r="A23" s="166" t="s">
        <v>41</v>
      </c>
      <c r="B23" s="398">
        <f>SUM(B21:B22)</f>
        <v>1549707</v>
      </c>
      <c r="C23" s="232">
        <f>SUM(C21:C22)</f>
        <v>0</v>
      </c>
      <c r="D23" s="232">
        <f t="shared" ref="D23:E23" si="11">SUM(D21:D22)</f>
        <v>22562</v>
      </c>
      <c r="E23" s="232">
        <f t="shared" si="11"/>
        <v>35623</v>
      </c>
      <c r="F23" s="467"/>
      <c r="G23" s="232">
        <f t="shared" ref="G23:R23" si="12">SUM(G21:G22)</f>
        <v>0</v>
      </c>
      <c r="H23" s="232">
        <f t="shared" ref="H23" si="13">SUM(H21:H22)</f>
        <v>89895</v>
      </c>
      <c r="I23" s="232">
        <f t="shared" si="12"/>
        <v>0</v>
      </c>
      <c r="J23" s="232">
        <f t="shared" si="12"/>
        <v>6022233</v>
      </c>
      <c r="K23" s="232">
        <f t="shared" si="12"/>
        <v>7751</v>
      </c>
      <c r="L23" s="232">
        <f t="shared" si="12"/>
        <v>0</v>
      </c>
      <c r="M23" s="233">
        <f t="shared" si="12"/>
        <v>69323</v>
      </c>
      <c r="N23" s="232">
        <f t="shared" si="12"/>
        <v>305774</v>
      </c>
      <c r="O23" s="232">
        <f t="shared" si="12"/>
        <v>5728</v>
      </c>
      <c r="P23" s="232">
        <f t="shared" si="12"/>
        <v>1455145</v>
      </c>
      <c r="Q23" s="232">
        <f t="shared" si="12"/>
        <v>4754595</v>
      </c>
      <c r="R23" s="233">
        <f t="shared" si="12"/>
        <v>0</v>
      </c>
      <c r="S23" s="399">
        <f>SUM(B23:D23)+SUM(G23:R23)</f>
        <v>14282713</v>
      </c>
      <c r="U23" s="359"/>
      <c r="V23" s="359"/>
      <c r="W23" s="226"/>
    </row>
    <row r="24" spans="1:23" x14ac:dyDescent="0.2">
      <c r="A24" s="37"/>
      <c r="B24" s="192"/>
      <c r="C24" s="132"/>
      <c r="D24" s="132"/>
      <c r="E24" s="132"/>
      <c r="F24" s="467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87"/>
      <c r="U24" s="359"/>
      <c r="V24" s="359"/>
      <c r="W24" s="226"/>
    </row>
    <row r="25" spans="1:23" x14ac:dyDescent="0.2">
      <c r="A25" s="165" t="s">
        <v>94</v>
      </c>
      <c r="B25" s="192"/>
      <c r="C25" s="132"/>
      <c r="D25" s="132"/>
      <c r="E25" s="132"/>
      <c r="F25" s="467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87"/>
      <c r="U25" s="359"/>
      <c r="V25" s="359"/>
      <c r="W25" s="226"/>
    </row>
    <row r="26" spans="1:23" x14ac:dyDescent="0.2">
      <c r="A26" s="37" t="s">
        <v>59</v>
      </c>
      <c r="B26" s="192">
        <f>'[2]Atlas Air'!$IF$57</f>
        <v>0</v>
      </c>
      <c r="C26" s="132">
        <f>[2]DHL!$IF$57</f>
        <v>0</v>
      </c>
      <c r="D26" s="132">
        <f>[2]Airborne!$IF$57</f>
        <v>0</v>
      </c>
      <c r="E26" s="132">
        <f>[2]DHL_Bemidji!$IF$57</f>
        <v>0</v>
      </c>
      <c r="F26" s="467"/>
      <c r="G26" s="132">
        <f>[2]DHL_Encore!$IF$57</f>
        <v>0</v>
      </c>
      <c r="H26" s="132">
        <f>[2]DHL_Mesa!$IF$57</f>
        <v>0</v>
      </c>
      <c r="I26" s="132">
        <f>[2]Encore!$IF$57</f>
        <v>0</v>
      </c>
      <c r="J26" s="132">
        <f>[2]FedEx!$IF$57</f>
        <v>0</v>
      </c>
      <c r="K26" s="132">
        <f>[2]IFL!$IF$57</f>
        <v>0</v>
      </c>
      <c r="L26" s="132">
        <f>[2]DHL_Kalitta!$IF$57</f>
        <v>0</v>
      </c>
      <c r="M26" s="95">
        <f>'[2]Mountain Cargo'!$IF$57</f>
        <v>0</v>
      </c>
      <c r="N26" s="132">
        <f>[2]DHL_Amerijet!$IF$57</f>
        <v>0</v>
      </c>
      <c r="O26" s="132">
        <f>[2]DHL_Swift!$IF$57</f>
        <v>0</v>
      </c>
      <c r="P26" s="132">
        <f>+'[2]Sun Country Cargo'!$IF$57</f>
        <v>0</v>
      </c>
      <c r="Q26" s="132">
        <f>[2]UPS!$IF$57</f>
        <v>0</v>
      </c>
      <c r="R26" s="95">
        <f>'[2]Misc Cargo'!$IF$57</f>
        <v>0</v>
      </c>
      <c r="S26" s="387">
        <f>SUM(B26:D26)+SUM(G26:R26)</f>
        <v>0</v>
      </c>
      <c r="U26" s="359"/>
      <c r="V26" s="359"/>
      <c r="W26" s="359"/>
    </row>
    <row r="27" spans="1:23" x14ac:dyDescent="0.2">
      <c r="A27" s="37" t="s">
        <v>60</v>
      </c>
      <c r="B27" s="192">
        <f>'[2]Atlas Air'!$IF$58</f>
        <v>0</v>
      </c>
      <c r="C27" s="132">
        <f>[2]DHL!$IF$58</f>
        <v>0</v>
      </c>
      <c r="D27" s="132">
        <f>[2]Airborne!$IF$58</f>
        <v>0</v>
      </c>
      <c r="E27" s="132">
        <f>[2]DHL_Bemidji!$IF$58</f>
        <v>0</v>
      </c>
      <c r="F27" s="467"/>
      <c r="G27" s="132">
        <f>[2]DHL_Encore!$IF$58</f>
        <v>0</v>
      </c>
      <c r="H27" s="132">
        <f>[2]DHL_Mesa!$IF$58</f>
        <v>0</v>
      </c>
      <c r="I27" s="132">
        <f>[2]Encore!$IF$58</f>
        <v>0</v>
      </c>
      <c r="J27" s="132">
        <f>[2]FedEx!$IF$58</f>
        <v>0</v>
      </c>
      <c r="K27" s="132">
        <f>[2]IFL!$IF$58</f>
        <v>0</v>
      </c>
      <c r="L27" s="132">
        <f>[2]DHL_Kalitta!$IF$58</f>
        <v>0</v>
      </c>
      <c r="M27" s="95">
        <f>'[2]Mountain Cargo'!$IF$58</f>
        <v>0</v>
      </c>
      <c r="N27" s="132">
        <f>[2]DHL_Amerijet!$IF$58</f>
        <v>0</v>
      </c>
      <c r="O27" s="132">
        <f>[2]DHL_Swift!$IF$58</f>
        <v>0</v>
      </c>
      <c r="P27" s="132">
        <f>+'[2]Sun Country Cargo'!$IF$58</f>
        <v>0</v>
      </c>
      <c r="Q27" s="132">
        <f>[2]UPS!$IF$58</f>
        <v>0</v>
      </c>
      <c r="R27" s="95">
        <f>'[2]Misc Cargo'!$IF$58</f>
        <v>0</v>
      </c>
      <c r="S27" s="387">
        <f>SUM(B27:D27)+SUM(G27:R27)</f>
        <v>0</v>
      </c>
      <c r="U27" s="359"/>
      <c r="V27" s="359"/>
      <c r="W27" s="226"/>
    </row>
    <row r="28" spans="1:23" ht="18" customHeight="1" x14ac:dyDescent="0.2">
      <c r="A28" s="166" t="s">
        <v>43</v>
      </c>
      <c r="B28" s="398">
        <f>SUM(B26:B27)</f>
        <v>0</v>
      </c>
      <c r="C28" s="232">
        <f>SUM(C26:C27)</f>
        <v>0</v>
      </c>
      <c r="D28" s="232">
        <f t="shared" ref="D28:E28" si="14">SUM(D26:D27)</f>
        <v>0</v>
      </c>
      <c r="E28" s="232">
        <f t="shared" si="14"/>
        <v>0</v>
      </c>
      <c r="F28" s="467"/>
      <c r="G28" s="232">
        <f t="shared" ref="G28:R28" si="15">SUM(G26:G27)</f>
        <v>0</v>
      </c>
      <c r="H28" s="232">
        <f t="shared" ref="H28" si="16">SUM(H26:H27)</f>
        <v>0</v>
      </c>
      <c r="I28" s="232">
        <f t="shared" si="15"/>
        <v>0</v>
      </c>
      <c r="J28" s="232">
        <f t="shared" si="15"/>
        <v>0</v>
      </c>
      <c r="K28" s="232">
        <f t="shared" si="15"/>
        <v>0</v>
      </c>
      <c r="L28" s="232">
        <f t="shared" si="15"/>
        <v>0</v>
      </c>
      <c r="M28" s="233">
        <f t="shared" si="15"/>
        <v>0</v>
      </c>
      <c r="N28" s="232">
        <f t="shared" si="15"/>
        <v>0</v>
      </c>
      <c r="O28" s="232">
        <f t="shared" si="15"/>
        <v>0</v>
      </c>
      <c r="P28" s="232">
        <f t="shared" si="15"/>
        <v>0</v>
      </c>
      <c r="Q28" s="232">
        <f t="shared" si="15"/>
        <v>0</v>
      </c>
      <c r="R28" s="233">
        <f t="shared" si="15"/>
        <v>0</v>
      </c>
      <c r="S28" s="399">
        <f>SUM(B28:D28)+SUM(G28:R28)</f>
        <v>0</v>
      </c>
      <c r="U28" s="359"/>
      <c r="V28" s="359"/>
      <c r="W28" s="359"/>
    </row>
    <row r="29" spans="1:23" x14ac:dyDescent="0.2">
      <c r="A29" s="37"/>
      <c r="B29" s="192"/>
      <c r="C29" s="132"/>
      <c r="D29" s="132"/>
      <c r="E29" s="132"/>
      <c r="F29" s="467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87"/>
      <c r="U29" s="359"/>
      <c r="V29" s="359"/>
      <c r="W29" s="359"/>
    </row>
    <row r="30" spans="1:23" x14ac:dyDescent="0.2">
      <c r="A30" s="167" t="s">
        <v>44</v>
      </c>
      <c r="B30" s="192"/>
      <c r="C30" s="132"/>
      <c r="D30" s="132"/>
      <c r="E30" s="132"/>
      <c r="F30" s="467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87"/>
      <c r="U30" s="359"/>
      <c r="V30" s="359"/>
      <c r="W30" s="359"/>
    </row>
    <row r="31" spans="1:23" x14ac:dyDescent="0.2">
      <c r="A31" s="37" t="s">
        <v>88</v>
      </c>
      <c r="B31" s="192">
        <f>B26+B21+B16</f>
        <v>2943114</v>
      </c>
      <c r="C31" s="132">
        <f t="shared" ref="C31:R33" si="17">C26+C21+C16</f>
        <v>0</v>
      </c>
      <c r="D31" s="132">
        <f t="shared" si="17"/>
        <v>35948</v>
      </c>
      <c r="E31" s="132">
        <f t="shared" si="17"/>
        <v>74018</v>
      </c>
      <c r="F31" s="467"/>
      <c r="G31" s="132">
        <f t="shared" ref="G31:P33" si="18">G26+G21+G16</f>
        <v>0</v>
      </c>
      <c r="H31" s="132">
        <f t="shared" ref="H31" si="19">H26+H21+H16</f>
        <v>221384</v>
      </c>
      <c r="I31" s="132">
        <f t="shared" si="18"/>
        <v>0</v>
      </c>
      <c r="J31" s="132">
        <f t="shared" si="18"/>
        <v>12282155</v>
      </c>
      <c r="K31" s="132">
        <f t="shared" si="18"/>
        <v>67333</v>
      </c>
      <c r="L31" s="132">
        <f t="shared" si="18"/>
        <v>0</v>
      </c>
      <c r="M31" s="95">
        <f>M26+M21+M16</f>
        <v>0</v>
      </c>
      <c r="N31" s="132">
        <f t="shared" si="18"/>
        <v>843641</v>
      </c>
      <c r="O31" s="132">
        <f t="shared" si="18"/>
        <v>165251</v>
      </c>
      <c r="P31" s="132">
        <f t="shared" si="18"/>
        <v>2626710</v>
      </c>
      <c r="Q31" s="132">
        <f t="shared" si="17"/>
        <v>9336892</v>
      </c>
      <c r="R31" s="95">
        <f>R26+R21+R16</f>
        <v>0</v>
      </c>
      <c r="S31" s="387">
        <f>SUM(B31:E31)+SUM(G31:R31)</f>
        <v>28596446</v>
      </c>
    </row>
    <row r="32" spans="1:23" x14ac:dyDescent="0.2">
      <c r="A32" s="37" t="s">
        <v>60</v>
      </c>
      <c r="B32" s="192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8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106638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873733</v>
      </c>
      <c r="R32" s="95">
        <f>R27+R22+R17</f>
        <v>0</v>
      </c>
      <c r="S32" s="387">
        <f>SUM(B32:E32)+SUM(G32:R32)</f>
        <v>980371</v>
      </c>
    </row>
    <row r="33" spans="1:19" ht="18" customHeight="1" thickBot="1" x14ac:dyDescent="0.25">
      <c r="A33" s="160" t="s">
        <v>46</v>
      </c>
      <c r="B33" s="392">
        <f>B28+B23+B18</f>
        <v>2943114</v>
      </c>
      <c r="C33" s="161">
        <f t="shared" ref="C33:I33" si="21">C28+C23+C18</f>
        <v>0</v>
      </c>
      <c r="D33" s="161">
        <f t="shared" si="21"/>
        <v>35948</v>
      </c>
      <c r="E33" s="161">
        <f t="shared" si="21"/>
        <v>74018</v>
      </c>
      <c r="F33" s="234">
        <f t="shared" si="21"/>
        <v>0</v>
      </c>
      <c r="G33" s="161">
        <f t="shared" si="21"/>
        <v>0</v>
      </c>
      <c r="H33" s="161">
        <f t="shared" ref="H33" si="22">H28+H23+H18</f>
        <v>221384</v>
      </c>
      <c r="I33" s="161">
        <f t="shared" si="21"/>
        <v>0</v>
      </c>
      <c r="J33" s="161">
        <f t="shared" si="18"/>
        <v>12282155</v>
      </c>
      <c r="K33" s="161">
        <f t="shared" si="18"/>
        <v>67333</v>
      </c>
      <c r="L33" s="161">
        <f t="shared" si="18"/>
        <v>0</v>
      </c>
      <c r="M33" s="162">
        <f>M28+M23+M18</f>
        <v>106638</v>
      </c>
      <c r="N33" s="161">
        <f t="shared" si="18"/>
        <v>843641</v>
      </c>
      <c r="O33" s="161">
        <f t="shared" si="18"/>
        <v>165251</v>
      </c>
      <c r="P33" s="161">
        <f t="shared" si="17"/>
        <v>2626710</v>
      </c>
      <c r="Q33" s="161">
        <f t="shared" si="17"/>
        <v>10210625</v>
      </c>
      <c r="R33" s="162">
        <f t="shared" si="17"/>
        <v>0</v>
      </c>
      <c r="S33" s="393">
        <f>SUM(B33:E33)+SUM(G33:R33)</f>
        <v>29576817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4" orientation="landscape" r:id="rId1"/>
  <headerFooter alignWithMargins="0">
    <oddHeader>&amp;L
Schedule 7
&amp;CMinneapolis-St. Paul International Airport
&amp;"Arial,Bold"Cargo
January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28" sqref="J2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410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24"/>
      <c r="N1" s="9"/>
      <c r="O1" s="9"/>
      <c r="P1" s="9"/>
      <c r="Q1" s="9"/>
      <c r="R1" s="9"/>
    </row>
    <row r="2" spans="1:18" s="9" customFormat="1" ht="30" customHeight="1" thickBot="1" x14ac:dyDescent="0.25">
      <c r="A2" s="419">
        <v>44927</v>
      </c>
      <c r="B2" s="57" t="s">
        <v>220</v>
      </c>
      <c r="C2" s="57" t="s">
        <v>63</v>
      </c>
      <c r="D2" s="57" t="s">
        <v>64</v>
      </c>
      <c r="E2" s="245" t="s">
        <v>74</v>
      </c>
      <c r="F2" s="58" t="s">
        <v>245</v>
      </c>
      <c r="G2" s="58" t="s">
        <v>230</v>
      </c>
      <c r="H2" s="59" t="s">
        <v>65</v>
      </c>
      <c r="I2" s="60" t="s">
        <v>236</v>
      </c>
      <c r="J2" s="60" t="s">
        <v>228</v>
      </c>
      <c r="K2" s="69" t="s">
        <v>2</v>
      </c>
      <c r="M2" s="424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3193995</v>
      </c>
      <c r="C5" s="95">
        <f>'Regional Major'!M25</f>
        <v>3646</v>
      </c>
      <c r="D5" s="95">
        <f>Cargo!S16</f>
        <v>14622383</v>
      </c>
      <c r="E5" s="95">
        <f>SUM(B5:D5)</f>
        <v>17820024</v>
      </c>
      <c r="F5" s="95">
        <f>E5*0.00045359237</f>
        <v>8083.0269196168801</v>
      </c>
      <c r="G5" s="95">
        <f>'[1]Cargo Summary'!F5</f>
        <v>9222.3625025447291</v>
      </c>
      <c r="H5" s="77">
        <f>(F5-G5)/G5</f>
        <v>-0.12354053341684104</v>
      </c>
      <c r="I5" s="95">
        <f>+F5</f>
        <v>8083.0269196168801</v>
      </c>
      <c r="J5" s="95">
        <f>+G5</f>
        <v>9222.3625025447291</v>
      </c>
      <c r="K5" s="65">
        <f>(I5-J5)/J5</f>
        <v>-0.12354053341684104</v>
      </c>
      <c r="M5" s="13"/>
      <c r="O5" s="423"/>
    </row>
    <row r="6" spans="1:18" x14ac:dyDescent="0.2">
      <c r="A6" s="45" t="s">
        <v>16</v>
      </c>
      <c r="B6" s="139">
        <f>'Major Airline Stats'!K29</f>
        <v>1121949</v>
      </c>
      <c r="C6" s="95">
        <f>'Regional Major'!M26</f>
        <v>0</v>
      </c>
      <c r="D6" s="95">
        <f>Cargo!S17</f>
        <v>636098</v>
      </c>
      <c r="E6" s="95">
        <f>SUM(B6:D6)</f>
        <v>1758047</v>
      </c>
      <c r="F6" s="95">
        <f>E6*0.00045359237</f>
        <v>797.43670530139002</v>
      </c>
      <c r="G6" s="95">
        <f>'[1]Cargo Summary'!F6</f>
        <v>1007.41867473786</v>
      </c>
      <c r="H6" s="3">
        <f>(F6-G6)/G6</f>
        <v>-0.20843565312218307</v>
      </c>
      <c r="I6" s="95">
        <f>+F6</f>
        <v>797.43670530139002</v>
      </c>
      <c r="J6" s="95">
        <f>+G6</f>
        <v>1007.41867473786</v>
      </c>
      <c r="K6" s="65">
        <f>(I6-J6)/J6</f>
        <v>-0.20843565312218307</v>
      </c>
      <c r="M6" s="13"/>
    </row>
    <row r="7" spans="1:18" ht="18" customHeight="1" thickBot="1" x14ac:dyDescent="0.25">
      <c r="A7" s="54" t="s">
        <v>71</v>
      </c>
      <c r="B7" s="141">
        <f>SUM(B5:B6)</f>
        <v>4315944</v>
      </c>
      <c r="C7" s="105">
        <f t="shared" ref="C7:J7" si="0">SUM(C5:C6)</f>
        <v>3646</v>
      </c>
      <c r="D7" s="105">
        <f t="shared" si="0"/>
        <v>15258481</v>
      </c>
      <c r="E7" s="105">
        <f t="shared" si="0"/>
        <v>19578071</v>
      </c>
      <c r="F7" s="105">
        <f t="shared" si="0"/>
        <v>8880.4636249182695</v>
      </c>
      <c r="G7" s="105">
        <f t="shared" si="0"/>
        <v>10229.78117728259</v>
      </c>
      <c r="H7" s="28">
        <f>(F7-G7)/G7</f>
        <v>-0.13190092035993572</v>
      </c>
      <c r="I7" s="105">
        <f t="shared" si="0"/>
        <v>8880.4636249182695</v>
      </c>
      <c r="J7" s="105">
        <f t="shared" si="0"/>
        <v>10229.78117728259</v>
      </c>
      <c r="K7" s="247">
        <f>(I7-J7)/J7</f>
        <v>-0.13190092035993572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1613934</v>
      </c>
      <c r="C10" s="95">
        <f>'Regional Major'!M30</f>
        <v>2742</v>
      </c>
      <c r="D10" s="95">
        <f>Cargo!S21</f>
        <v>13974063</v>
      </c>
      <c r="E10" s="95">
        <f>SUM(B10:D10)</f>
        <v>15590739</v>
      </c>
      <c r="F10" s="95">
        <f>E10*0.00045359237</f>
        <v>7071.8402530614294</v>
      </c>
      <c r="G10" s="95">
        <f>'[1]Cargo Summary'!F10</f>
        <v>6768.0354234446795</v>
      </c>
      <c r="H10" s="3">
        <f>(F10-G10)/G10</f>
        <v>4.4888185508657467E-2</v>
      </c>
      <c r="I10" s="95">
        <f>+F10</f>
        <v>7071.8402530614294</v>
      </c>
      <c r="J10" s="95">
        <f>+G10</f>
        <v>6768.0354234446795</v>
      </c>
      <c r="K10" s="65">
        <f>(I10-J10)/J10</f>
        <v>4.4888185508657467E-2</v>
      </c>
      <c r="M10" s="13"/>
      <c r="O10" s="423"/>
    </row>
    <row r="11" spans="1:18" x14ac:dyDescent="0.2">
      <c r="A11" s="45" t="s">
        <v>16</v>
      </c>
      <c r="B11" s="139">
        <f>'Major Airline Stats'!K34</f>
        <v>1082880</v>
      </c>
      <c r="C11" s="95">
        <f>'Regional Major'!M31</f>
        <v>0</v>
      </c>
      <c r="D11" s="95">
        <f>Cargo!S22</f>
        <v>344273</v>
      </c>
      <c r="E11" s="95">
        <f>SUM(B11:D11)</f>
        <v>1427153</v>
      </c>
      <c r="F11" s="95">
        <f>E11*0.00045359237</f>
        <v>647.34571162261</v>
      </c>
      <c r="G11" s="95">
        <f>'[1]Cargo Summary'!F11</f>
        <v>891.60429568286997</v>
      </c>
      <c r="H11" s="25">
        <f>(F11-G11)/G11</f>
        <v>-0.27395402337444436</v>
      </c>
      <c r="I11" s="95">
        <f>+F11</f>
        <v>647.34571162261</v>
      </c>
      <c r="J11" s="95">
        <f>+G11</f>
        <v>891.60429568286997</v>
      </c>
      <c r="K11" s="65">
        <f>(I11-J11)/J11</f>
        <v>-0.27395402337444436</v>
      </c>
      <c r="M11" s="13"/>
    </row>
    <row r="12" spans="1:18" ht="18" customHeight="1" thickBot="1" x14ac:dyDescent="0.25">
      <c r="A12" s="54" t="s">
        <v>72</v>
      </c>
      <c r="B12" s="141">
        <f>SUM(B10:B11)</f>
        <v>2696814</v>
      </c>
      <c r="C12" s="105">
        <f t="shared" ref="C12:J12" si="1">SUM(C10:C11)</f>
        <v>2742</v>
      </c>
      <c r="D12" s="105">
        <f t="shared" si="1"/>
        <v>14318336</v>
      </c>
      <c r="E12" s="105">
        <f t="shared" si="1"/>
        <v>17017892</v>
      </c>
      <c r="F12" s="105">
        <f t="shared" si="1"/>
        <v>7719.1859646840394</v>
      </c>
      <c r="G12" s="105">
        <f t="shared" si="1"/>
        <v>7659.6397191275491</v>
      </c>
      <c r="H12" s="28">
        <f>(F12-G12)/G12</f>
        <v>7.7740269438250683E-3</v>
      </c>
      <c r="I12" s="105">
        <f>SUM(I10:I11)</f>
        <v>7719.1859646840394</v>
      </c>
      <c r="J12" s="105">
        <f t="shared" si="1"/>
        <v>7659.6397191275491</v>
      </c>
      <c r="K12" s="247">
        <f>(I12-J12)/J12</f>
        <v>7.7740269438250683E-3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+F15</f>
        <v>0</v>
      </c>
      <c r="J15" s="95">
        <f>+G15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+F16</f>
        <v>0</v>
      </c>
      <c r="J16" s="95">
        <f>+G16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47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4807929</v>
      </c>
      <c r="C20" s="95">
        <f t="shared" si="3"/>
        <v>6388</v>
      </c>
      <c r="D20" s="95">
        <f t="shared" si="3"/>
        <v>28596446</v>
      </c>
      <c r="E20" s="95">
        <f>SUM(B20:D20)</f>
        <v>33410763</v>
      </c>
      <c r="F20" s="95">
        <f>E20*0.00045359237</f>
        <v>15154.86717267831</v>
      </c>
      <c r="G20" s="95">
        <f>'[1]Cargo Summary'!F20</f>
        <v>15990.397925989409</v>
      </c>
      <c r="H20" s="3">
        <f>(F20-G20)/G20</f>
        <v>-5.225203007319159E-2</v>
      </c>
      <c r="I20" s="95">
        <f>+F20</f>
        <v>15154.86717267831</v>
      </c>
      <c r="J20" s="95">
        <f>+G20</f>
        <v>15990.397925989409</v>
      </c>
      <c r="K20" s="65">
        <f>(I20-J20)/J20</f>
        <v>-5.225203007319159E-2</v>
      </c>
      <c r="M20" s="13"/>
    </row>
    <row r="21" spans="1:13" x14ac:dyDescent="0.2">
      <c r="A21" s="45" t="s">
        <v>16</v>
      </c>
      <c r="B21" s="139">
        <f t="shared" si="3"/>
        <v>2204829</v>
      </c>
      <c r="C21" s="96">
        <f t="shared" si="3"/>
        <v>0</v>
      </c>
      <c r="D21" s="96">
        <f t="shared" si="3"/>
        <v>980371</v>
      </c>
      <c r="E21" s="95">
        <f>SUM(B21:D21)</f>
        <v>3185200</v>
      </c>
      <c r="F21" s="95">
        <f>E21*0.00045359237</f>
        <v>1444.782416924</v>
      </c>
      <c r="G21" s="95">
        <f>'[1]Cargo Summary'!F21</f>
        <v>1899.02297042073</v>
      </c>
      <c r="H21" s="3">
        <f>(F21-G21)/G21</f>
        <v>-0.23919697685178215</v>
      </c>
      <c r="I21" s="95">
        <f>+F21</f>
        <v>1444.782416924</v>
      </c>
      <c r="J21" s="95">
        <f>+G21</f>
        <v>1899.02297042073</v>
      </c>
      <c r="K21" s="65">
        <f>(I21-J21)/J21</f>
        <v>-0.23919697685178215</v>
      </c>
      <c r="M21" s="13"/>
    </row>
    <row r="22" spans="1:13" ht="18" customHeight="1" thickBot="1" x14ac:dyDescent="0.25">
      <c r="A22" s="67" t="s">
        <v>62</v>
      </c>
      <c r="B22" s="142">
        <f>SUM(B20:B21)</f>
        <v>7012758</v>
      </c>
      <c r="C22" s="143">
        <f t="shared" ref="C22:J22" si="4">SUM(C20:C21)</f>
        <v>6388</v>
      </c>
      <c r="D22" s="143">
        <f t="shared" si="4"/>
        <v>29576817</v>
      </c>
      <c r="E22" s="143">
        <f t="shared" si="4"/>
        <v>36595963</v>
      </c>
      <c r="F22" s="143">
        <f t="shared" si="4"/>
        <v>16599.649589602312</v>
      </c>
      <c r="G22" s="143">
        <f t="shared" si="4"/>
        <v>17889.420896410138</v>
      </c>
      <c r="H22" s="253">
        <f>(F22-G22)/G22</f>
        <v>-7.2096873022124724E-2</v>
      </c>
      <c r="I22" s="143">
        <f>SUM(I20:I21)</f>
        <v>16599.649589602312</v>
      </c>
      <c r="J22" s="143">
        <f t="shared" si="4"/>
        <v>17889.420896410138</v>
      </c>
      <c r="K22" s="254">
        <f>(I22-J22)/J22</f>
        <v>-7.2096873022124724E-2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L2" sqref="L2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68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1.42578125" style="172" bestFit="1" customWidth="1"/>
    <col min="12" max="12" width="14" style="2" bestFit="1" customWidth="1"/>
    <col min="13" max="13" width="12.140625" style="2" bestFit="1" customWidth="1"/>
    <col min="14" max="14" width="11.7109375" style="3" customWidth="1"/>
    <col min="15" max="16" width="10.140625" bestFit="1" customWidth="1"/>
    <col min="17" max="17" width="7.85546875" bestFit="1" customWidth="1"/>
    <col min="18" max="18" width="9" customWidth="1"/>
    <col min="19" max="19" width="11" customWidth="1"/>
    <col min="20" max="20" width="10.42578125" style="410" customWidth="1"/>
  </cols>
  <sheetData>
    <row r="1" spans="1:20" ht="13.5" thickBot="1" x14ac:dyDescent="0.25">
      <c r="F1" s="171"/>
      <c r="K1"/>
    </row>
    <row r="2" spans="1:20" s="9" customFormat="1" ht="26.25" thickBot="1" x14ac:dyDescent="0.25">
      <c r="A2" s="475" t="s">
        <v>187</v>
      </c>
      <c r="B2" s="476"/>
      <c r="C2" s="355" t="s">
        <v>239</v>
      </c>
      <c r="D2" s="356" t="s">
        <v>231</v>
      </c>
      <c r="E2" s="417" t="s">
        <v>95</v>
      </c>
      <c r="F2" s="358" t="s">
        <v>240</v>
      </c>
      <c r="G2" s="356" t="s">
        <v>232</v>
      </c>
      <c r="H2" s="418" t="s">
        <v>96</v>
      </c>
      <c r="I2" s="357" t="s">
        <v>137</v>
      </c>
      <c r="J2" s="475" t="s">
        <v>183</v>
      </c>
      <c r="K2" s="476"/>
      <c r="L2" s="355" t="s">
        <v>239</v>
      </c>
      <c r="M2" s="356" t="s">
        <v>231</v>
      </c>
      <c r="N2" s="417" t="s">
        <v>95</v>
      </c>
      <c r="O2" s="358" t="s">
        <v>240</v>
      </c>
      <c r="P2" s="356" t="s">
        <v>232</v>
      </c>
      <c r="Q2" s="418" t="s">
        <v>96</v>
      </c>
      <c r="R2" s="357" t="s">
        <v>137</v>
      </c>
      <c r="T2" s="411"/>
    </row>
    <row r="3" spans="1:20" s="9" customFormat="1" ht="13.5" customHeight="1" thickBot="1" x14ac:dyDescent="0.25">
      <c r="A3" s="477">
        <v>44927</v>
      </c>
      <c r="B3" s="478"/>
      <c r="C3" s="479" t="s">
        <v>9</v>
      </c>
      <c r="D3" s="480"/>
      <c r="E3" s="480"/>
      <c r="F3" s="480"/>
      <c r="G3" s="480"/>
      <c r="H3" s="481"/>
      <c r="I3" s="384"/>
      <c r="J3" s="477">
        <f>+A3</f>
        <v>44927</v>
      </c>
      <c r="K3" s="478"/>
      <c r="L3" s="472" t="s">
        <v>184</v>
      </c>
      <c r="M3" s="473"/>
      <c r="N3" s="473"/>
      <c r="O3" s="473"/>
      <c r="P3" s="473"/>
      <c r="Q3" s="473"/>
      <c r="R3" s="474"/>
      <c r="T3" s="411"/>
    </row>
    <row r="4" spans="1:20" x14ac:dyDescent="0.2">
      <c r="A4" s="270"/>
      <c r="B4" s="271"/>
      <c r="C4" s="272"/>
      <c r="D4" s="273"/>
      <c r="E4" s="274"/>
      <c r="F4" s="400"/>
      <c r="G4" s="273"/>
      <c r="H4" s="367"/>
      <c r="I4" s="274"/>
      <c r="J4" s="275"/>
      <c r="K4" s="271"/>
      <c r="L4" s="282"/>
      <c r="N4" s="65"/>
      <c r="O4" s="37"/>
      <c r="R4" s="39"/>
    </row>
    <row r="5" spans="1:20" ht="14.1" customHeight="1" x14ac:dyDescent="0.2">
      <c r="A5" s="277" t="s">
        <v>208</v>
      </c>
      <c r="B5" s="39"/>
      <c r="C5" s="401">
        <f>SUM(C6:C7)</f>
        <v>181</v>
      </c>
      <c r="D5" s="401">
        <f>SUM(D6:D7)</f>
        <v>178</v>
      </c>
      <c r="E5" s="402">
        <f>(C5-D5)/D5</f>
        <v>1.6853932584269662E-2</v>
      </c>
      <c r="F5" s="401">
        <f>SUM(F6:F7)</f>
        <v>181</v>
      </c>
      <c r="G5" s="401">
        <f>SUM(G6:G7)</f>
        <v>178</v>
      </c>
      <c r="H5" s="403">
        <f>(F5-G5)/G5</f>
        <v>1.6853932584269662E-2</v>
      </c>
      <c r="I5" s="402">
        <f>+F5/$F$33</f>
        <v>0.16233183856502242</v>
      </c>
      <c r="J5" s="277" t="s">
        <v>208</v>
      </c>
      <c r="K5" s="39"/>
      <c r="L5" s="401">
        <f>SUM(L6:L7)</f>
        <v>5569824</v>
      </c>
      <c r="M5" s="401">
        <f>SUM(M6:M7)</f>
        <v>6381863</v>
      </c>
      <c r="N5" s="402">
        <f>(L5-M5)/M5</f>
        <v>-0.12724168475568967</v>
      </c>
      <c r="O5" s="401">
        <f>SUM(O6:O7)</f>
        <v>5569824</v>
      </c>
      <c r="P5" s="401">
        <f>SUM(P6:P7)</f>
        <v>6381863</v>
      </c>
      <c r="Q5" s="403">
        <f>(O5-P5)/P5</f>
        <v>-0.12724168475568967</v>
      </c>
      <c r="R5" s="402">
        <f>O5/$O$33</f>
        <v>0.18973741589844714</v>
      </c>
    </row>
    <row r="6" spans="1:20" ht="14.1" customHeight="1" x14ac:dyDescent="0.2">
      <c r="A6" s="37"/>
      <c r="B6" s="337" t="s">
        <v>209</v>
      </c>
      <c r="C6" s="341">
        <f>+'[2]Atlas Air'!$IF$19</f>
        <v>64</v>
      </c>
      <c r="D6" s="226">
        <f>+'[2]Atlas Air'!$HR$19</f>
        <v>58</v>
      </c>
      <c r="E6" s="343">
        <f>(C6-D6)/D6</f>
        <v>0.10344827586206896</v>
      </c>
      <c r="F6" s="341">
        <f>+SUM('[2]Atlas Air'!$IF$19:$IF$19)</f>
        <v>64</v>
      </c>
      <c r="G6" s="226">
        <f>+SUM('[2]Atlas Air'!$HR$19:$HR$19)</f>
        <v>58</v>
      </c>
      <c r="H6" s="342">
        <f>(F6-G6)/G6</f>
        <v>0.10344827586206896</v>
      </c>
      <c r="I6" s="343">
        <f>+F6/$F$33</f>
        <v>5.7399103139013453E-2</v>
      </c>
      <c r="J6" s="37"/>
      <c r="K6" s="337" t="s">
        <v>209</v>
      </c>
      <c r="L6" s="341">
        <f>+'[2]Atlas Air'!$IF$64</f>
        <v>2943114</v>
      </c>
      <c r="M6" s="226">
        <f>+'[2]Atlas Air'!$HR$64</f>
        <v>3133988</v>
      </c>
      <c r="N6" s="343">
        <f>(L6-M6)/M6</f>
        <v>-6.09045088877175E-2</v>
      </c>
      <c r="O6" s="226">
        <f>+SUM('[2]Atlas Air'!$IF$64:$IF$64)</f>
        <v>2943114</v>
      </c>
      <c r="P6" s="226">
        <f>+SUM('[2]Atlas Air'!$HR$64:$HR$64)</f>
        <v>3133988</v>
      </c>
      <c r="Q6" s="342">
        <f>(O6-P6)/P6</f>
        <v>-6.09045088877175E-2</v>
      </c>
      <c r="R6" s="343">
        <f>O6/$O$33</f>
        <v>0.10025789774587893</v>
      </c>
    </row>
    <row r="7" spans="1:20" ht="14.1" customHeight="1" x14ac:dyDescent="0.2">
      <c r="A7" s="37"/>
      <c r="B7" s="337" t="s">
        <v>49</v>
      </c>
      <c r="C7" s="341">
        <f>+'[2]Sun Country Cargo'!$IF$19</f>
        <v>117</v>
      </c>
      <c r="D7" s="226">
        <f>+'[2]Sun Country Cargo'!$HR$19</f>
        <v>120</v>
      </c>
      <c r="E7" s="343">
        <f>(C7-D7)/D7</f>
        <v>-2.5000000000000001E-2</v>
      </c>
      <c r="F7" s="341">
        <f>+SUM('[2]Sun Country Cargo'!$IF$19:$IF$19)</f>
        <v>117</v>
      </c>
      <c r="G7" s="226">
        <f>+SUM('[2]Sun Country Cargo'!$HR$19:$HR$19)</f>
        <v>120</v>
      </c>
      <c r="H7" s="342">
        <f>(F7-G7)/G7</f>
        <v>-2.5000000000000001E-2</v>
      </c>
      <c r="I7" s="343">
        <f>+F7/$F$33</f>
        <v>0.10493273542600896</v>
      </c>
      <c r="J7" s="37"/>
      <c r="K7" s="337" t="s">
        <v>49</v>
      </c>
      <c r="L7" s="341">
        <f>+'[2]Sun Country Cargo'!$IF$64</f>
        <v>2626710</v>
      </c>
      <c r="M7" s="226">
        <f>+'[2]Sun Country Cargo'!$HR$64</f>
        <v>3247875</v>
      </c>
      <c r="N7" s="343">
        <f>(L7-M7)/M7</f>
        <v>-0.19125274217757765</v>
      </c>
      <c r="O7" s="226">
        <f>+SUM('[2]Sun Country Cargo'!$IF$64:$IF$64)</f>
        <v>2626710</v>
      </c>
      <c r="P7" s="226">
        <f>+SUM('[2]Sun Country Cargo'!$HR$64:$HR$64)</f>
        <v>3247875</v>
      </c>
      <c r="Q7" s="342">
        <f>(O7-P7)/P7</f>
        <v>-0.19125274217757765</v>
      </c>
      <c r="R7" s="343">
        <f>O7/$O$33</f>
        <v>8.9479518152568216E-2</v>
      </c>
    </row>
    <row r="8" spans="1:20" ht="14.1" customHeight="1" x14ac:dyDescent="0.2">
      <c r="A8" s="37"/>
      <c r="B8" s="39"/>
      <c r="F8" s="404"/>
      <c r="I8" s="65"/>
      <c r="J8" s="382"/>
      <c r="K8" s="39"/>
      <c r="N8" s="65"/>
      <c r="R8" s="39"/>
    </row>
    <row r="9" spans="1:20" ht="14.1" customHeight="1" x14ac:dyDescent="0.2">
      <c r="A9" s="277" t="s">
        <v>210</v>
      </c>
      <c r="B9" s="39"/>
      <c r="C9" s="401">
        <f>SUM(C10:C17)</f>
        <v>104</v>
      </c>
      <c r="D9" s="401">
        <f>SUM(D10:D17)</f>
        <v>142</v>
      </c>
      <c r="E9" s="402">
        <f>(C9-D9)/D9</f>
        <v>-0.26760563380281688</v>
      </c>
      <c r="F9" s="401">
        <f>SUM(F10:F17)</f>
        <v>104</v>
      </c>
      <c r="G9" s="401">
        <f>SUM(G10:G17)</f>
        <v>142</v>
      </c>
      <c r="H9" s="403">
        <f>(F9-G9)/G9</f>
        <v>-0.26760563380281688</v>
      </c>
      <c r="I9" s="402">
        <f t="shared" ref="I9:I17" si="0">+F9/$F$33</f>
        <v>9.3273542600896861E-2</v>
      </c>
      <c r="J9" s="277" t="s">
        <v>210</v>
      </c>
      <c r="K9" s="39"/>
      <c r="L9" s="401">
        <f>SUM(L10:L17)</f>
        <v>1118858</v>
      </c>
      <c r="M9" s="401">
        <f>SUM(M10:M17)</f>
        <v>1444931</v>
      </c>
      <c r="N9" s="402">
        <f t="shared" ref="N9:N17" si="1">(L9-M9)/M9</f>
        <v>-0.22566683114972272</v>
      </c>
      <c r="O9" s="401">
        <f>SUM(O10:O17)</f>
        <v>1118858</v>
      </c>
      <c r="P9" s="401">
        <f>SUM(P10:P17)</f>
        <v>1444931</v>
      </c>
      <c r="Q9" s="403">
        <f t="shared" ref="Q9:Q17" si="2">(O9-P9)/P9</f>
        <v>-0.22566683114972272</v>
      </c>
      <c r="R9" s="402">
        <f t="shared" ref="R9:R17" si="3">O9/$O$33</f>
        <v>3.8114171233652044E-2</v>
      </c>
    </row>
    <row r="10" spans="1:20" ht="14.1" customHeight="1" x14ac:dyDescent="0.2">
      <c r="A10" s="277"/>
      <c r="B10" s="337" t="s">
        <v>211</v>
      </c>
      <c r="C10" s="341">
        <f>+[2]Airborne!$IF$19</f>
        <v>2</v>
      </c>
      <c r="D10" s="226">
        <f>+[2]Airborne!$HR$19</f>
        <v>0</v>
      </c>
      <c r="E10" s="343" t="e">
        <f>(C10-D10)/D10</f>
        <v>#DIV/0!</v>
      </c>
      <c r="F10" s="341">
        <f>+SUM([2]Airborne!$IF$19:$IF$19)</f>
        <v>2</v>
      </c>
      <c r="G10" s="226">
        <f>+SUM([2]Airborne!$HR$19:$HR$19)</f>
        <v>0</v>
      </c>
      <c r="H10" s="342" t="e">
        <f>(F10-G10)/G10</f>
        <v>#DIV/0!</v>
      </c>
      <c r="I10" s="343">
        <f t="shared" si="0"/>
        <v>1.7937219730941704E-3</v>
      </c>
      <c r="J10" s="277"/>
      <c r="K10" s="337" t="s">
        <v>211</v>
      </c>
      <c r="L10" s="341">
        <f>+[2]Airborne!$IF$64</f>
        <v>35948</v>
      </c>
      <c r="M10" s="226">
        <f>+[2]Airborne!$HR$64</f>
        <v>0</v>
      </c>
      <c r="N10" s="343" t="e">
        <f t="shared" si="1"/>
        <v>#DIV/0!</v>
      </c>
      <c r="O10" s="341">
        <f>+SUM([2]Airborne!$IF$64:$IF$64)</f>
        <v>35948</v>
      </c>
      <c r="P10" s="226">
        <f>+SUM([2]Airborne!$HR$64:$HR$64)</f>
        <v>0</v>
      </c>
      <c r="Q10" s="342" t="e">
        <f t="shared" si="2"/>
        <v>#DIV/0!</v>
      </c>
      <c r="R10" s="343">
        <f t="shared" si="3"/>
        <v>1.2245774061653255E-3</v>
      </c>
    </row>
    <row r="11" spans="1:20" ht="14.1" customHeight="1" x14ac:dyDescent="0.2">
      <c r="A11" s="277"/>
      <c r="B11" s="39" t="s">
        <v>209</v>
      </c>
      <c r="C11" s="341">
        <f>+[2]DHL_Atlas!$IF$19</f>
        <v>0</v>
      </c>
      <c r="D11" s="226">
        <f>+[2]DHL_Atlas!$HR$19</f>
        <v>0</v>
      </c>
      <c r="E11" s="343" t="e">
        <f t="shared" ref="E11:E17" si="4">(C11-D11)/D11</f>
        <v>#DIV/0!</v>
      </c>
      <c r="F11" s="341">
        <f>+SUM([2]DHL_Atlas!$IF$19:$IF$19)</f>
        <v>0</v>
      </c>
      <c r="G11" s="226">
        <f>+SUM([2]DHL_Atlas!$HR$19:$HR$19)</f>
        <v>0</v>
      </c>
      <c r="H11" s="342" t="e">
        <f t="shared" ref="H11:H17" si="5">(F11-G11)/G11</f>
        <v>#DIV/0!</v>
      </c>
      <c r="I11" s="343">
        <f t="shared" si="0"/>
        <v>0</v>
      </c>
      <c r="J11" s="277"/>
      <c r="K11" s="39" t="s">
        <v>209</v>
      </c>
      <c r="L11" s="341">
        <f>+[2]DHL_Atlas!$IF$64</f>
        <v>0</v>
      </c>
      <c r="M11" s="226">
        <f>+[2]DHL_Atlas!$HR$64</f>
        <v>0</v>
      </c>
      <c r="N11" s="343" t="e">
        <f t="shared" si="1"/>
        <v>#DIV/0!</v>
      </c>
      <c r="O11" s="341">
        <f>+SUM([2]DHL_Atlas!$IF$64:$IF$64)</f>
        <v>0</v>
      </c>
      <c r="P11" s="226">
        <f>+SUM([2]DHL_Atlas!$HR$64:$HR$64)</f>
        <v>0</v>
      </c>
      <c r="Q11" s="342" t="e">
        <f t="shared" si="2"/>
        <v>#DIV/0!</v>
      </c>
      <c r="R11" s="343">
        <f t="shared" si="3"/>
        <v>0</v>
      </c>
    </row>
    <row r="12" spans="1:20" ht="14.1" customHeight="1" x14ac:dyDescent="0.2">
      <c r="A12" s="277"/>
      <c r="B12" s="39" t="s">
        <v>212</v>
      </c>
      <c r="C12" s="341">
        <f>+[2]DHL!$IF$19</f>
        <v>0</v>
      </c>
      <c r="D12" s="226">
        <f>+[2]DHL!$HR$19</f>
        <v>0</v>
      </c>
      <c r="E12" s="343" t="e">
        <f t="shared" si="4"/>
        <v>#DIV/0!</v>
      </c>
      <c r="F12" s="341">
        <f>+SUM([2]DHL!$IF$19:$IF$19)</f>
        <v>0</v>
      </c>
      <c r="G12" s="226">
        <f>+SUM([2]DHL!$HR$19:$HR$19)</f>
        <v>0</v>
      </c>
      <c r="H12" s="342" t="e">
        <f t="shared" si="5"/>
        <v>#DIV/0!</v>
      </c>
      <c r="I12" s="343">
        <f t="shared" si="0"/>
        <v>0</v>
      </c>
      <c r="J12" s="277"/>
      <c r="K12" s="39" t="s">
        <v>212</v>
      </c>
      <c r="L12" s="341">
        <f>+[2]DHL!$IF$64</f>
        <v>0</v>
      </c>
      <c r="M12" s="226">
        <f>+[2]DHL!$HR$64</f>
        <v>0</v>
      </c>
      <c r="N12" s="343" t="e">
        <f t="shared" si="1"/>
        <v>#DIV/0!</v>
      </c>
      <c r="O12" s="341">
        <f>+SUM([2]DHL!$IF$64:$IF$64)</f>
        <v>0</v>
      </c>
      <c r="P12" s="226">
        <f>+SUM([2]DHL!$HR$64:$HR$64)</f>
        <v>0</v>
      </c>
      <c r="Q12" s="342" t="e">
        <f t="shared" si="2"/>
        <v>#DIV/0!</v>
      </c>
      <c r="R12" s="343">
        <f t="shared" si="3"/>
        <v>0</v>
      </c>
    </row>
    <row r="13" spans="1:20" ht="14.1" customHeight="1" x14ac:dyDescent="0.2">
      <c r="A13" s="277"/>
      <c r="B13" s="337" t="s">
        <v>83</v>
      </c>
      <c r="C13" s="341">
        <f>+[2]DHL_Bemidji!$IF$19</f>
        <v>56</v>
      </c>
      <c r="D13" s="226">
        <f>+[2]DHL_Bemidji!$HR$19</f>
        <v>78</v>
      </c>
      <c r="E13" s="343">
        <f>(C13-D13)/D13</f>
        <v>-0.28205128205128205</v>
      </c>
      <c r="F13" s="341">
        <f>+SUM([2]DHL_Bemidji!$IF$19:$IF$19)</f>
        <v>56</v>
      </c>
      <c r="G13" s="226">
        <f>+SUM([2]DHL_Bemidji!$HR$19:$HR$19)</f>
        <v>78</v>
      </c>
      <c r="H13" s="342">
        <f t="shared" si="5"/>
        <v>-0.28205128205128205</v>
      </c>
      <c r="I13" s="343">
        <f t="shared" si="0"/>
        <v>5.0224215246636769E-2</v>
      </c>
      <c r="J13" s="277"/>
      <c r="K13" s="337" t="s">
        <v>83</v>
      </c>
      <c r="L13" s="341">
        <f>+[2]DHL_Bemidji!$IF$64</f>
        <v>74018</v>
      </c>
      <c r="M13" s="226">
        <f>+[2]DHL_Bemidji!$HR$64</f>
        <v>116692</v>
      </c>
      <c r="N13" s="343">
        <f t="shared" ref="N13" si="6">(L13-M13)/M13</f>
        <v>-0.36569773420628665</v>
      </c>
      <c r="O13" s="341">
        <f>+SUM([2]DHL_Bemidji!$IF$64:$IF$64)</f>
        <v>74018</v>
      </c>
      <c r="P13" s="226">
        <f>+SUM([2]DHL_Bemidji!$HR$64:$HR$64)</f>
        <v>116692</v>
      </c>
      <c r="Q13" s="342">
        <f t="shared" ref="Q13" si="7">(O13-P13)/P13</f>
        <v>-0.36569773420628665</v>
      </c>
      <c r="R13" s="343">
        <f t="shared" si="3"/>
        <v>2.5214412609754384E-3</v>
      </c>
    </row>
    <row r="14" spans="1:20" ht="14.1" customHeight="1" x14ac:dyDescent="0.2">
      <c r="A14" s="277"/>
      <c r="B14" s="39" t="s">
        <v>200</v>
      </c>
      <c r="C14" s="341">
        <f>+[2]Encore!$IF$19+[2]DHL_Encore!$IF$12</f>
        <v>0</v>
      </c>
      <c r="D14" s="226">
        <f>+[2]Encore!$HR$19+[2]DHL_Encore!$HR$19</f>
        <v>0</v>
      </c>
      <c r="E14" s="343" t="e">
        <f t="shared" si="4"/>
        <v>#DIV/0!</v>
      </c>
      <c r="F14" s="341">
        <f>+SUM([2]Encore!$IF$19:$IF$19)+SUM([2]DHL_Encore!$IF$19:$IF$19)</f>
        <v>0</v>
      </c>
      <c r="G14" s="226">
        <f>+SUM([2]Encore!$HR$19:$HR$19)+SUM([2]DHL_Encore!$HR$19:$HR$19)</f>
        <v>0</v>
      </c>
      <c r="H14" s="342" t="e">
        <f t="shared" si="5"/>
        <v>#DIV/0!</v>
      </c>
      <c r="I14" s="343">
        <f t="shared" si="0"/>
        <v>0</v>
      </c>
      <c r="J14" s="277"/>
      <c r="K14" s="39" t="s">
        <v>200</v>
      </c>
      <c r="L14" s="341">
        <f>+[2]Encore!$IF$64+[2]DHL_Encore!$IF$64</f>
        <v>0</v>
      </c>
      <c r="M14" s="226">
        <f>+[2]Encore!$HR$64+[2]DHL_Encore!$HR$64</f>
        <v>0</v>
      </c>
      <c r="N14" s="343" t="e">
        <f t="shared" si="1"/>
        <v>#DIV/0!</v>
      </c>
      <c r="O14" s="341">
        <f>+SUM([2]Encore!$IF$64:$IF$64)+SUM([2]DHL_Encore!$IF$64:$IF$64)</f>
        <v>0</v>
      </c>
      <c r="P14" s="226">
        <f>+SUM([2]Encore!$HR$64:$HR$64)+SUM([2]DHL_Encore!$HR$64:$HR$64)</f>
        <v>0</v>
      </c>
      <c r="Q14" s="342" t="e">
        <f t="shared" si="2"/>
        <v>#DIV/0!</v>
      </c>
      <c r="R14" s="343">
        <f t="shared" si="3"/>
        <v>0</v>
      </c>
    </row>
    <row r="15" spans="1:20" ht="14.1" customHeight="1" x14ac:dyDescent="0.2">
      <c r="A15" s="277"/>
      <c r="B15" s="39" t="s">
        <v>213</v>
      </c>
      <c r="C15" s="341">
        <f>+[2]DHL_Kalitta!$IF$19</f>
        <v>0</v>
      </c>
      <c r="D15" s="226">
        <f>+[2]DHL_Kalitta!$HR$19</f>
        <v>0</v>
      </c>
      <c r="E15" s="343" t="e">
        <f t="shared" si="4"/>
        <v>#DIV/0!</v>
      </c>
      <c r="F15" s="341">
        <f>+SUM([2]DHL_Kalitta!$IF$19:$IF$19)</f>
        <v>0</v>
      </c>
      <c r="G15" s="226">
        <f>+SUM([2]DHL_Kalitta!$HR$19:$HR$19)</f>
        <v>0</v>
      </c>
      <c r="H15" s="342" t="e">
        <f t="shared" si="5"/>
        <v>#DIV/0!</v>
      </c>
      <c r="I15" s="343">
        <f t="shared" si="0"/>
        <v>0</v>
      </c>
      <c r="J15" s="277"/>
      <c r="K15" s="39" t="s">
        <v>213</v>
      </c>
      <c r="L15" s="341">
        <f>+[2]DHL_Kalitta!$IF$64</f>
        <v>0</v>
      </c>
      <c r="M15" s="226">
        <f>+[2]DHL_Kalitta!$HR$64</f>
        <v>0</v>
      </c>
      <c r="N15" s="343" t="e">
        <f t="shared" si="1"/>
        <v>#DIV/0!</v>
      </c>
      <c r="O15" s="341">
        <f>+SUM([2]DHL_Kalitta!$IF$64:$IF$64)</f>
        <v>0</v>
      </c>
      <c r="P15" s="226">
        <f>+SUM([2]DHL_Kalitta!$HR$64:$HR$64)</f>
        <v>0</v>
      </c>
      <c r="Q15" s="342" t="e">
        <f t="shared" si="2"/>
        <v>#DIV/0!</v>
      </c>
      <c r="R15" s="343">
        <f t="shared" si="3"/>
        <v>0</v>
      </c>
    </row>
    <row r="16" spans="1:20" x14ac:dyDescent="0.2">
      <c r="A16" s="277"/>
      <c r="B16" s="39" t="s">
        <v>247</v>
      </c>
      <c r="C16" s="341">
        <f>+[2]DHL_Amerijet!$IF$19</f>
        <v>32</v>
      </c>
      <c r="D16" s="226">
        <f>+[2]DHL_Amerijet!$HR$19</f>
        <v>0</v>
      </c>
      <c r="E16" s="343" t="e">
        <f t="shared" si="4"/>
        <v>#DIV/0!</v>
      </c>
      <c r="F16" s="341">
        <f>+SUM([2]DHL_Amerijet!$IF$19:$IF$19)</f>
        <v>32</v>
      </c>
      <c r="G16" s="226">
        <f>+SUM([2]DHL_Amerijet!$HR$19:$HR$19)</f>
        <v>0</v>
      </c>
      <c r="H16" s="342" t="e">
        <f t="shared" si="5"/>
        <v>#DIV/0!</v>
      </c>
      <c r="I16" s="343">
        <f t="shared" si="0"/>
        <v>2.8699551569506727E-2</v>
      </c>
      <c r="J16" s="277"/>
      <c r="K16" s="39" t="s">
        <v>247</v>
      </c>
      <c r="L16" s="341">
        <f>+[2]DHL_Amerijet!$IF$64</f>
        <v>843641</v>
      </c>
      <c r="M16" s="226">
        <f>+[2]DHL_Amerijet!$HR$64</f>
        <v>0</v>
      </c>
      <c r="N16" s="343" t="e">
        <f t="shared" si="1"/>
        <v>#DIV/0!</v>
      </c>
      <c r="O16" s="341">
        <f>+SUM([2]DHL_Amerijet!$IF$64:$IF$64)</f>
        <v>843641</v>
      </c>
      <c r="P16" s="226">
        <f>+SUM([2]DHL_Amerijet!$HR$64:$HR$64)</f>
        <v>0</v>
      </c>
      <c r="Q16" s="342" t="e">
        <f t="shared" si="2"/>
        <v>#DIV/0!</v>
      </c>
      <c r="R16" s="343">
        <f t="shared" si="3"/>
        <v>2.8738836861987353E-2</v>
      </c>
    </row>
    <row r="17" spans="1:20" ht="14.1" customHeight="1" x14ac:dyDescent="0.2">
      <c r="A17" s="277"/>
      <c r="B17" s="39" t="s">
        <v>214</v>
      </c>
      <c r="C17" s="341">
        <f>+[2]DHL_Swift!$IF$19</f>
        <v>14</v>
      </c>
      <c r="D17" s="226">
        <f>+[2]DHL_Swift!$HR$19</f>
        <v>64</v>
      </c>
      <c r="E17" s="343">
        <f t="shared" si="4"/>
        <v>-0.78125</v>
      </c>
      <c r="F17" s="341">
        <f>+SUM([2]DHL_Swift!$IF$19:$IF$19)</f>
        <v>14</v>
      </c>
      <c r="G17" s="226">
        <f>+SUM([2]DHL_Swift!$HR$19:$HR$19)</f>
        <v>64</v>
      </c>
      <c r="H17" s="342">
        <f t="shared" si="5"/>
        <v>-0.78125</v>
      </c>
      <c r="I17" s="343">
        <f t="shared" si="0"/>
        <v>1.2556053811659192E-2</v>
      </c>
      <c r="J17" s="277"/>
      <c r="K17" s="39" t="s">
        <v>214</v>
      </c>
      <c r="L17" s="341">
        <f>+[2]DHL_Swift!$IF$64</f>
        <v>165251</v>
      </c>
      <c r="M17" s="226">
        <f>+[2]DHL_Swift!$HR$64</f>
        <v>1328239</v>
      </c>
      <c r="N17" s="343">
        <f t="shared" si="1"/>
        <v>-0.87558639672528815</v>
      </c>
      <c r="O17" s="341">
        <f>+SUM([2]DHL_Swift!$IF$64:$IF$64)</f>
        <v>165251</v>
      </c>
      <c r="P17" s="226">
        <f>+SUM([2]DHL_Swift!$HR$64:$HR$64)</f>
        <v>1328239</v>
      </c>
      <c r="Q17" s="342">
        <f t="shared" si="2"/>
        <v>-0.87558639672528815</v>
      </c>
      <c r="R17" s="343">
        <f t="shared" si="3"/>
        <v>5.629315704523929E-3</v>
      </c>
    </row>
    <row r="18" spans="1:20" ht="14.1" customHeight="1" x14ac:dyDescent="0.2">
      <c r="A18" s="277"/>
      <c r="B18" s="39"/>
      <c r="C18" s="278"/>
      <c r="D18" s="280"/>
      <c r="E18" s="281"/>
      <c r="F18" s="278"/>
      <c r="G18" s="280"/>
      <c r="H18" s="279"/>
      <c r="I18" s="281"/>
      <c r="J18" s="277"/>
      <c r="K18" s="39"/>
      <c r="L18" s="282"/>
      <c r="N18" s="65"/>
      <c r="O18" s="282"/>
      <c r="P18" s="280"/>
      <c r="Q18" s="3"/>
      <c r="R18" s="65"/>
    </row>
    <row r="19" spans="1:20" ht="14.1" customHeight="1" x14ac:dyDescent="0.2">
      <c r="A19" s="277" t="s">
        <v>185</v>
      </c>
      <c r="B19" s="39"/>
      <c r="C19" s="405">
        <f>SUM(C20:C23)</f>
        <v>238</v>
      </c>
      <c r="D19" s="401">
        <f>SUM(D20:D23)</f>
        <v>310</v>
      </c>
      <c r="E19" s="402">
        <f>(C19-D19)/D19</f>
        <v>-0.23225806451612904</v>
      </c>
      <c r="F19" s="405">
        <f>SUM(F20:F23)</f>
        <v>238</v>
      </c>
      <c r="G19" s="401">
        <f>SUM(G20:G23)</f>
        <v>310</v>
      </c>
      <c r="H19" s="403">
        <f t="shared" ref="H19:H20" si="8">(F19-G19)/G19</f>
        <v>-0.23225806451612904</v>
      </c>
      <c r="I19" s="402">
        <f>+F19/$F$33</f>
        <v>0.21345291479820627</v>
      </c>
      <c r="J19" s="277" t="s">
        <v>185</v>
      </c>
      <c r="K19" s="39"/>
      <c r="L19" s="405">
        <f>SUM(L20:L23)</f>
        <v>12456126</v>
      </c>
      <c r="M19" s="401">
        <f>SUM(M20:M23)</f>
        <v>13371097</v>
      </c>
      <c r="N19" s="402">
        <f>(L19-M19)/M19</f>
        <v>-6.8429015210943425E-2</v>
      </c>
      <c r="O19" s="405">
        <f>SUM(O20:O23)</f>
        <v>12456126</v>
      </c>
      <c r="P19" s="401">
        <f>SUM(P20:P23)</f>
        <v>13371097</v>
      </c>
      <c r="Q19" s="403">
        <f t="shared" ref="Q19:Q21" si="9">(O19-P19)/P19</f>
        <v>-6.8429015210943425E-2</v>
      </c>
      <c r="R19" s="402">
        <f>O19/$O$33</f>
        <v>0.42432097663148077</v>
      </c>
    </row>
    <row r="20" spans="1:20" ht="14.1" customHeight="1" x14ac:dyDescent="0.2">
      <c r="A20" s="37"/>
      <c r="B20" s="337" t="s">
        <v>185</v>
      </c>
      <c r="C20" s="341">
        <f>+[2]FedEx!$IF$19</f>
        <v>180</v>
      </c>
      <c r="D20" s="226">
        <f>+[2]FedEx!$HR$19</f>
        <v>252</v>
      </c>
      <c r="E20" s="343">
        <f>(C20-D20)/D20</f>
        <v>-0.2857142857142857</v>
      </c>
      <c r="F20" s="341">
        <f>+SUM([2]FedEx!$IF$19:$IF$19)</f>
        <v>180</v>
      </c>
      <c r="G20" s="226">
        <f>+SUM([2]FedEx!$HR$19:$HR$19)</f>
        <v>252</v>
      </c>
      <c r="H20" s="342">
        <f t="shared" si="8"/>
        <v>-0.2857142857142857</v>
      </c>
      <c r="I20" s="343">
        <f>+F20/$F$33</f>
        <v>0.16143497757847533</v>
      </c>
      <c r="J20" s="277"/>
      <c r="K20" s="337" t="s">
        <v>185</v>
      </c>
      <c r="L20" s="341">
        <f>+[2]FedEx!$IF$64</f>
        <v>12282155</v>
      </c>
      <c r="M20" s="226">
        <f>+[2]FedEx!$HR$64</f>
        <v>13200492</v>
      </c>
      <c r="N20" s="343">
        <f>(L20-M20)/M20</f>
        <v>-6.9568391844788816E-2</v>
      </c>
      <c r="O20" s="341">
        <f>+SUM([2]FedEx!$IF$64:$IF$64)</f>
        <v>12282155</v>
      </c>
      <c r="P20" s="226">
        <f>+SUM([2]FedEx!$HR$64:$HR$64)</f>
        <v>13200492</v>
      </c>
      <c r="Q20" s="342">
        <f t="shared" si="9"/>
        <v>-6.9568391844788816E-2</v>
      </c>
      <c r="R20" s="343">
        <f>O20/$O$33</f>
        <v>0.41839461199567385</v>
      </c>
    </row>
    <row r="21" spans="1:20" ht="14.1" customHeight="1" x14ac:dyDescent="0.2">
      <c r="A21" s="37"/>
      <c r="B21" s="337" t="s">
        <v>215</v>
      </c>
      <c r="C21" s="341">
        <f>+'[2]Mountain Cargo'!$IF$19</f>
        <v>36</v>
      </c>
      <c r="D21" s="226">
        <f>+'[2]Mountain Cargo'!$HR$19</f>
        <v>34</v>
      </c>
      <c r="E21" s="343">
        <f>(C21-D21)/D21</f>
        <v>5.8823529411764705E-2</v>
      </c>
      <c r="F21" s="341">
        <f>+SUM('[2]Mountain Cargo'!$IF$19:$IF$19)</f>
        <v>36</v>
      </c>
      <c r="G21" s="226">
        <f>+SUM('[2]Mountain Cargo'!$HR$19:$HR$19)</f>
        <v>34</v>
      </c>
      <c r="H21" s="342">
        <f>(F21-G21)/G21</f>
        <v>5.8823529411764705E-2</v>
      </c>
      <c r="I21" s="343">
        <f>+F21/$F$33</f>
        <v>3.2286995515695069E-2</v>
      </c>
      <c r="J21" s="382"/>
      <c r="K21" s="337" t="s">
        <v>215</v>
      </c>
      <c r="L21" s="341">
        <f>+'[2]Mountain Cargo'!$IF$64</f>
        <v>106638</v>
      </c>
      <c r="M21" s="226">
        <f>+'[2]Mountain Cargo'!$HR$64</f>
        <v>130028</v>
      </c>
      <c r="N21" s="343">
        <f>(L21-M21)/M21</f>
        <v>-0.17988433260528502</v>
      </c>
      <c r="O21" s="341">
        <f>+SUM('[2]Mountain Cargo'!$IF$64:$IF$64)</f>
        <v>106638</v>
      </c>
      <c r="P21" s="226">
        <f>+SUM('[2]Mountain Cargo'!$HR$64:$HR$64)</f>
        <v>130028</v>
      </c>
      <c r="Q21" s="342">
        <f t="shared" si="9"/>
        <v>-0.17988433260528502</v>
      </c>
      <c r="R21" s="343">
        <f>O21/$O$33</f>
        <v>3.6326495337336705E-3</v>
      </c>
    </row>
    <row r="22" spans="1:20" ht="14.1" customHeight="1" x14ac:dyDescent="0.2">
      <c r="A22" s="37"/>
      <c r="B22" s="337" t="s">
        <v>177</v>
      </c>
      <c r="C22" s="341">
        <f>+[2]IFL!$IF$19</f>
        <v>22</v>
      </c>
      <c r="D22" s="226">
        <f>+[2]IFL!$HR$19</f>
        <v>24</v>
      </c>
      <c r="E22" s="343">
        <f>(C22-D22)/D22</f>
        <v>-8.3333333333333329E-2</v>
      </c>
      <c r="F22" s="341">
        <f>+SUM([2]IFL!$IF$19:$IF$19)</f>
        <v>22</v>
      </c>
      <c r="G22" s="226">
        <f>+SUM([2]IFL!$HR$19:$HR$19)</f>
        <v>24</v>
      </c>
      <c r="H22" s="342">
        <f>(F22-G22)/G22</f>
        <v>-8.3333333333333329E-2</v>
      </c>
      <c r="I22" s="343">
        <f>+F22/$F$33</f>
        <v>1.9730941704035873E-2</v>
      </c>
      <c r="J22" s="382"/>
      <c r="K22" s="337" t="s">
        <v>177</v>
      </c>
      <c r="L22" s="341">
        <f>+[2]IFL!$IF$64</f>
        <v>67333</v>
      </c>
      <c r="M22" s="226">
        <f>+[2]IFL!$HR$64</f>
        <v>40577</v>
      </c>
      <c r="N22" s="343">
        <f>(L22-M22)/M22</f>
        <v>0.65938832343445797</v>
      </c>
      <c r="O22" s="341">
        <f>+SUM([2]IFL!$IF$64:$IF$64)</f>
        <v>67333</v>
      </c>
      <c r="P22" s="226">
        <f>+SUM([2]IFL!$HR$64:$HR$64)</f>
        <v>40577</v>
      </c>
      <c r="Q22" s="342">
        <f>(O22-P22)/P22</f>
        <v>0.65938832343445797</v>
      </c>
      <c r="R22" s="343">
        <f>O22/$O$33</f>
        <v>2.2937151020732687E-3</v>
      </c>
    </row>
    <row r="23" spans="1:20" ht="14.1" customHeight="1" x14ac:dyDescent="0.2">
      <c r="A23" s="277"/>
      <c r="B23" s="337" t="s">
        <v>84</v>
      </c>
      <c r="C23" s="341">
        <f>+'[2]CSA Air'!$IF$19</f>
        <v>0</v>
      </c>
      <c r="D23" s="226">
        <f>+'[2]CSA Air'!$HR$19</f>
        <v>0</v>
      </c>
      <c r="E23" s="343" t="e">
        <f>(C23-D23)/D23</f>
        <v>#DIV/0!</v>
      </c>
      <c r="F23" s="341">
        <f>+SUM('[2]CSA Air'!$IF$19:$IF$19)</f>
        <v>0</v>
      </c>
      <c r="G23" s="226">
        <f>+SUM('[2]CSA Air'!$HR$19:$HR$19)</f>
        <v>0</v>
      </c>
      <c r="H23" s="342" t="e">
        <f t="shared" ref="H23" si="10">(F23-G23)/G23</f>
        <v>#DIV/0!</v>
      </c>
      <c r="I23" s="343">
        <f>+F23/$F$33</f>
        <v>0</v>
      </c>
      <c r="J23" s="277"/>
      <c r="K23" s="337" t="s">
        <v>84</v>
      </c>
      <c r="L23" s="341">
        <f>+'[2]CSA Air'!$IF$64</f>
        <v>0</v>
      </c>
      <c r="M23" s="226">
        <f>+'[2]CSA Air'!$HR$64</f>
        <v>0</v>
      </c>
      <c r="N23" s="343" t="e">
        <f>(L23-M23)/M23</f>
        <v>#DIV/0!</v>
      </c>
      <c r="O23" s="341">
        <f>+SUM('[2]CSA Air'!$IF$64:$IF$64)</f>
        <v>0</v>
      </c>
      <c r="P23" s="226">
        <f>+SUM('[2]CSA Air'!$HR$64:$HR$64)</f>
        <v>0</v>
      </c>
      <c r="Q23" s="342" t="e">
        <f t="shared" ref="Q23" si="11">(O23-P23)/P23</f>
        <v>#DIV/0!</v>
      </c>
      <c r="R23" s="343">
        <f>O23/$O$33</f>
        <v>0</v>
      </c>
    </row>
    <row r="24" spans="1:20" ht="14.1" customHeight="1" x14ac:dyDescent="0.2">
      <c r="A24" s="277"/>
      <c r="B24" s="39"/>
      <c r="C24" s="278"/>
      <c r="D24" s="280"/>
      <c r="E24" s="281"/>
      <c r="F24" s="278"/>
      <c r="G24" s="280"/>
      <c r="H24" s="279"/>
      <c r="I24" s="281"/>
      <c r="J24" s="277"/>
      <c r="K24" s="39"/>
      <c r="L24" s="282"/>
      <c r="N24" s="65"/>
      <c r="O24" s="282"/>
      <c r="P24" s="2"/>
      <c r="Q24" s="3"/>
      <c r="R24" s="65"/>
      <c r="S24" s="256"/>
    </row>
    <row r="25" spans="1:20" ht="14.1" customHeight="1" x14ac:dyDescent="0.2">
      <c r="A25" s="277" t="s">
        <v>82</v>
      </c>
      <c r="B25" s="39"/>
      <c r="C25" s="401">
        <f>SUM(C26:C27)</f>
        <v>592</v>
      </c>
      <c r="D25" s="401">
        <f>SUM(D26:D27)</f>
        <v>689</v>
      </c>
      <c r="E25" s="402">
        <f>(C25-D25)/D25</f>
        <v>-0.14078374455732948</v>
      </c>
      <c r="F25" s="401">
        <f>SUM(F26:F27)</f>
        <v>592</v>
      </c>
      <c r="G25" s="401">
        <f>SUM(G26:G27)</f>
        <v>689</v>
      </c>
      <c r="H25" s="403">
        <f>(F25-G25)/G25</f>
        <v>-0.14078374455732948</v>
      </c>
      <c r="I25" s="402">
        <f>+F25/$F$33</f>
        <v>0.53094170403587448</v>
      </c>
      <c r="J25" s="277" t="s">
        <v>82</v>
      </c>
      <c r="K25" s="39"/>
      <c r="L25" s="401">
        <f>SUM(L26:L27)</f>
        <v>10210625</v>
      </c>
      <c r="M25" s="401">
        <f>SUM(M26:M27)</f>
        <v>12127523</v>
      </c>
      <c r="N25" s="402">
        <f>(L25-M25)/M25</f>
        <v>-0.15806179052391819</v>
      </c>
      <c r="O25" s="401">
        <f>SUM(O26:O27)</f>
        <v>10210625</v>
      </c>
      <c r="P25" s="401">
        <f>SUM(P26:P27)</f>
        <v>12127523</v>
      </c>
      <c r="Q25" s="403">
        <f>(O25-P25)/P25</f>
        <v>-0.15806179052391819</v>
      </c>
      <c r="R25" s="402">
        <f>O25/$O$33</f>
        <v>0.34782743623642004</v>
      </c>
      <c r="S25" s="359"/>
      <c r="T25" s="412"/>
    </row>
    <row r="26" spans="1:20" ht="14.1" customHeight="1" x14ac:dyDescent="0.2">
      <c r="A26" s="277"/>
      <c r="B26" s="337" t="s">
        <v>82</v>
      </c>
      <c r="C26" s="341">
        <f>+[2]UPS!$IF$19</f>
        <v>238</v>
      </c>
      <c r="D26" s="226">
        <f>+[2]UPS!$HR$19</f>
        <v>287</v>
      </c>
      <c r="E26" s="343">
        <f>(C26-D26)/D26</f>
        <v>-0.17073170731707318</v>
      </c>
      <c r="F26" s="341">
        <f>+SUM([2]UPS!$IF$19:$IF$19)</f>
        <v>238</v>
      </c>
      <c r="G26" s="226">
        <f>+SUM([2]UPS!$HR$19:$HR$19)</f>
        <v>287</v>
      </c>
      <c r="H26" s="342">
        <f>(F26-G26)/G26</f>
        <v>-0.17073170731707318</v>
      </c>
      <c r="I26" s="343">
        <f>+F26/$F$33</f>
        <v>0.21345291479820627</v>
      </c>
      <c r="J26" s="277"/>
      <c r="K26" s="337" t="s">
        <v>82</v>
      </c>
      <c r="L26" s="341">
        <f>+[2]UPS!$IF$64</f>
        <v>10210625</v>
      </c>
      <c r="M26" s="226">
        <f>+[2]UPS!$HR$64</f>
        <v>12127523</v>
      </c>
      <c r="N26" s="343">
        <f>(L26-M26)/M26</f>
        <v>-0.15806179052391819</v>
      </c>
      <c r="O26" s="341">
        <f>+SUM([2]UPS!$IF$64:$IF$64)</f>
        <v>10210625</v>
      </c>
      <c r="P26" s="226">
        <f>+SUM([2]UPS!$HR$64:$HR$64)</f>
        <v>12127523</v>
      </c>
      <c r="Q26" s="342">
        <f>(O26-P26)/P26</f>
        <v>-0.15806179052391819</v>
      </c>
      <c r="R26" s="343">
        <f>O26/$O$33</f>
        <v>0.34782743623642004</v>
      </c>
      <c r="S26" s="359"/>
      <c r="T26" s="412"/>
    </row>
    <row r="27" spans="1:20" x14ac:dyDescent="0.2">
      <c r="A27" s="277"/>
      <c r="B27" s="337" t="s">
        <v>83</v>
      </c>
      <c r="C27" s="341">
        <f>+[2]Bemidji!$IF$19</f>
        <v>354</v>
      </c>
      <c r="D27" s="226">
        <f>+[2]Bemidji!$HR$19</f>
        <v>402</v>
      </c>
      <c r="E27" s="343">
        <f>(C27-D27)/D27</f>
        <v>-0.11940298507462686</v>
      </c>
      <c r="F27" s="341">
        <f>+SUM([2]Bemidji!$IF$19:$IF$19)</f>
        <v>354</v>
      </c>
      <c r="G27" s="226">
        <f>+SUM([2]Bemidji!$HR$19:$HR$19)</f>
        <v>402</v>
      </c>
      <c r="H27" s="342">
        <f t="shared" ref="H27" si="12">(F27-G27)/G27</f>
        <v>-0.11940298507462686</v>
      </c>
      <c r="I27" s="343">
        <f>+F27/$F$33</f>
        <v>0.31748878923766816</v>
      </c>
      <c r="J27" s="277"/>
      <c r="K27" s="337" t="s">
        <v>83</v>
      </c>
      <c r="L27" s="469" t="s">
        <v>188</v>
      </c>
      <c r="M27" s="470"/>
      <c r="N27" s="470"/>
      <c r="O27" s="470"/>
      <c r="P27" s="470"/>
      <c r="Q27" s="470"/>
      <c r="R27" s="471"/>
    </row>
    <row r="28" spans="1:20" x14ac:dyDescent="0.2">
      <c r="A28" s="37"/>
      <c r="B28" s="39"/>
      <c r="C28" s="278"/>
      <c r="E28" s="65"/>
      <c r="F28" s="282"/>
      <c r="I28" s="65"/>
      <c r="J28" s="37"/>
      <c r="K28" s="39"/>
      <c r="L28" s="282"/>
      <c r="N28" s="65"/>
      <c r="O28" s="282"/>
      <c r="P28" s="2"/>
      <c r="Q28" s="3"/>
      <c r="R28" s="65"/>
    </row>
    <row r="29" spans="1:20" x14ac:dyDescent="0.2">
      <c r="A29" s="277" t="s">
        <v>127</v>
      </c>
      <c r="B29" s="39"/>
      <c r="C29" s="405">
        <f>+'[2]Misc Cargo'!$IF$19</f>
        <v>0</v>
      </c>
      <c r="D29" s="401">
        <f>+'[2]Misc Cargo'!$HR$19</f>
        <v>2</v>
      </c>
      <c r="E29" s="402">
        <f>(C29-D29)/D29</f>
        <v>-1</v>
      </c>
      <c r="F29" s="405">
        <f>+SUM('[2]Misc Cargo'!$IF$19:$IF$19)</f>
        <v>0</v>
      </c>
      <c r="G29" s="401">
        <f>+SUM('[2]Misc Cargo'!$HR$19:$HR$19)</f>
        <v>2</v>
      </c>
      <c r="H29" s="403">
        <f>(F29-G29)/G29</f>
        <v>-1</v>
      </c>
      <c r="I29" s="402">
        <f>+F29/$F$33</f>
        <v>0</v>
      </c>
      <c r="J29" s="277" t="s">
        <v>127</v>
      </c>
      <c r="K29" s="39"/>
      <c r="L29" s="405">
        <f>+'[2]Misc Cargo'!$IF$64</f>
        <v>0</v>
      </c>
      <c r="M29" s="401">
        <f>+'[2]Misc Cargo'!$HR$64</f>
        <v>0</v>
      </c>
      <c r="N29" s="402" t="e">
        <f>(L29-M29)/M29</f>
        <v>#DIV/0!</v>
      </c>
      <c r="O29" s="405">
        <f>+SUM('[2]Misc Cargo'!$IF$64:$IF$64)</f>
        <v>0</v>
      </c>
      <c r="P29" s="401">
        <f>+SUM('[2]Misc Cargo'!$HR$64:$HR$64)</f>
        <v>0</v>
      </c>
      <c r="Q29" s="403" t="e">
        <f>(O29-P29)/P29</f>
        <v>#DIV/0!</v>
      </c>
      <c r="R29" s="402">
        <f>O29/$O$33</f>
        <v>0</v>
      </c>
    </row>
    <row r="30" spans="1:20" x14ac:dyDescent="0.2">
      <c r="A30" s="37"/>
      <c r="B30" s="39"/>
      <c r="C30" s="278"/>
      <c r="E30" s="65"/>
      <c r="F30" s="282"/>
      <c r="I30" s="65"/>
      <c r="J30" s="37"/>
      <c r="K30" s="39"/>
      <c r="L30" s="282"/>
      <c r="N30" s="65"/>
      <c r="O30" s="282"/>
      <c r="P30" s="2"/>
      <c r="Q30" s="3"/>
      <c r="R30" s="65"/>
    </row>
    <row r="31" spans="1:20" ht="13.5" thickBot="1" x14ac:dyDescent="0.25">
      <c r="A31" s="360"/>
      <c r="B31" s="361"/>
      <c r="C31" s="406"/>
      <c r="D31" s="407"/>
      <c r="E31" s="408"/>
      <c r="F31" s="406"/>
      <c r="G31" s="407"/>
      <c r="H31" s="409"/>
      <c r="I31" s="408"/>
      <c r="J31" s="277"/>
      <c r="K31" s="39"/>
      <c r="L31" s="286"/>
      <c r="M31" s="288"/>
      <c r="N31" s="289"/>
      <c r="O31" s="286"/>
      <c r="P31" s="288"/>
      <c r="Q31" s="287"/>
      <c r="R31" s="361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62" t="s">
        <v>186</v>
      </c>
      <c r="C33" s="363">
        <f>+C29+C25+C19+C9+C5</f>
        <v>1115</v>
      </c>
      <c r="D33" s="363">
        <f>+D29+D25+D19+D9+D5</f>
        <v>1321</v>
      </c>
      <c r="E33" s="364">
        <f>(C33-D33)/D33</f>
        <v>-0.15594246782740348</v>
      </c>
      <c r="F33" s="363">
        <f>+F29+F25+F19+F9+F5</f>
        <v>1115</v>
      </c>
      <c r="G33" s="363">
        <f>+G29+G25+G19+G9+G5</f>
        <v>1321</v>
      </c>
      <c r="H33" s="365">
        <f>(F33-G33)/G33</f>
        <v>-0.15594246782740348</v>
      </c>
      <c r="I33" s="371"/>
      <c r="J33"/>
      <c r="K33" s="362" t="s">
        <v>186</v>
      </c>
      <c r="L33" s="363">
        <f>+L29+L25+L19+L9+L5</f>
        <v>29355433</v>
      </c>
      <c r="M33" s="363">
        <f>+M29+M25+M19+M9+M5</f>
        <v>33325414</v>
      </c>
      <c r="N33" s="366">
        <f>(L33-M33)/M33</f>
        <v>-0.11912773236665566</v>
      </c>
      <c r="O33" s="363">
        <f>+O29+O25+O19+O9+O5</f>
        <v>29355433</v>
      </c>
      <c r="P33" s="363">
        <f>+P29+P25+P19+P9+P5</f>
        <v>33325414</v>
      </c>
      <c r="Q33" s="365">
        <f t="shared" ref="Q33" si="13">(O33-P33)/P33</f>
        <v>-0.11912773236665566</v>
      </c>
      <c r="R33" s="371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 s="95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71"/>
      <c r="K98"/>
    </row>
    <row r="99" spans="4:14" x14ac:dyDescent="0.2">
      <c r="F99" s="171"/>
      <c r="K99"/>
    </row>
    <row r="100" spans="4:14" x14ac:dyDescent="0.2">
      <c r="F100" s="171"/>
      <c r="K100"/>
    </row>
    <row r="101" spans="4:14" x14ac:dyDescent="0.2">
      <c r="F101" s="171"/>
      <c r="K101"/>
    </row>
    <row r="102" spans="4:14" x14ac:dyDescent="0.2">
      <c r="F102" s="171"/>
      <c r="K102"/>
    </row>
    <row r="103" spans="4:14" x14ac:dyDescent="0.2">
      <c r="F103" s="171"/>
      <c r="K103"/>
    </row>
    <row r="104" spans="4:14" x14ac:dyDescent="0.2">
      <c r="F104" s="171"/>
      <c r="K104"/>
    </row>
    <row r="105" spans="4:14" x14ac:dyDescent="0.2">
      <c r="F105" s="171"/>
      <c r="K105"/>
    </row>
    <row r="106" spans="4:14" x14ac:dyDescent="0.2">
      <c r="F106" s="171"/>
      <c r="K106"/>
    </row>
    <row r="107" spans="4:14" x14ac:dyDescent="0.2">
      <c r="F107" s="171"/>
      <c r="K107"/>
    </row>
    <row r="108" spans="4:14" x14ac:dyDescent="0.2">
      <c r="F108" s="171"/>
      <c r="K108"/>
    </row>
    <row r="109" spans="4:14" x14ac:dyDescent="0.2">
      <c r="F109" s="171"/>
      <c r="K109"/>
    </row>
    <row r="110" spans="4:14" x14ac:dyDescent="0.2">
      <c r="F110" s="171"/>
      <c r="K110"/>
    </row>
    <row r="111" spans="4:14" x14ac:dyDescent="0.2">
      <c r="F111" s="171"/>
      <c r="K111"/>
    </row>
    <row r="112" spans="4:14" x14ac:dyDescent="0.2">
      <c r="F112" s="171"/>
      <c r="K112"/>
    </row>
    <row r="113" spans="6:11" x14ac:dyDescent="0.2">
      <c r="F113" s="171"/>
      <c r="K113"/>
    </row>
    <row r="114" spans="6:11" x14ac:dyDescent="0.2">
      <c r="F114" s="171"/>
      <c r="K114"/>
    </row>
    <row r="115" spans="6:11" x14ac:dyDescent="0.2">
      <c r="F115" s="171"/>
      <c r="K115"/>
    </row>
    <row r="116" spans="6:11" x14ac:dyDescent="0.2">
      <c r="F116" s="171"/>
      <c r="K116"/>
    </row>
    <row r="117" spans="6:11" x14ac:dyDescent="0.2">
      <c r="F117" s="171"/>
      <c r="K117"/>
    </row>
    <row r="118" spans="6:11" x14ac:dyDescent="0.2">
      <c r="F118" s="171"/>
      <c r="K118"/>
    </row>
    <row r="119" spans="6:11" x14ac:dyDescent="0.2">
      <c r="F119" s="171"/>
      <c r="K119"/>
    </row>
    <row r="120" spans="6:11" x14ac:dyDescent="0.2">
      <c r="F120" s="171"/>
      <c r="K120"/>
    </row>
    <row r="121" spans="6:11" x14ac:dyDescent="0.2">
      <c r="F121" s="171"/>
      <c r="K121"/>
    </row>
    <row r="122" spans="6:11" x14ac:dyDescent="0.2">
      <c r="F122" s="171"/>
      <c r="K122"/>
    </row>
    <row r="123" spans="6:11" x14ac:dyDescent="0.2">
      <c r="F123" s="171"/>
      <c r="K123"/>
    </row>
    <row r="124" spans="6:11" x14ac:dyDescent="0.2">
      <c r="F124" s="171"/>
      <c r="K124"/>
    </row>
    <row r="125" spans="6:11" x14ac:dyDescent="0.2">
      <c r="F125" s="171"/>
      <c r="K125"/>
    </row>
    <row r="126" spans="6:11" x14ac:dyDescent="0.2">
      <c r="F126" s="171"/>
      <c r="K126"/>
    </row>
    <row r="127" spans="6:11" x14ac:dyDescent="0.2">
      <c r="F127" s="171"/>
      <c r="K127"/>
    </row>
    <row r="128" spans="6:11" x14ac:dyDescent="0.2">
      <c r="F128" s="171"/>
      <c r="K128"/>
    </row>
    <row r="129" spans="6:11" x14ac:dyDescent="0.2">
      <c r="F129" s="171"/>
      <c r="K129"/>
    </row>
    <row r="130" spans="6:11" x14ac:dyDescent="0.2">
      <c r="F130" s="171"/>
      <c r="K130"/>
    </row>
    <row r="131" spans="6:11" x14ac:dyDescent="0.2">
      <c r="F131" s="171"/>
      <c r="K131"/>
    </row>
    <row r="132" spans="6:11" x14ac:dyDescent="0.2">
      <c r="F132" s="171"/>
      <c r="K132"/>
    </row>
    <row r="133" spans="6:11" x14ac:dyDescent="0.2">
      <c r="F133" s="171"/>
      <c r="K133"/>
    </row>
    <row r="134" spans="6:11" x14ac:dyDescent="0.2">
      <c r="F134" s="171"/>
      <c r="K134"/>
    </row>
    <row r="135" spans="6:11" x14ac:dyDescent="0.2">
      <c r="F135" s="171"/>
      <c r="K135"/>
    </row>
    <row r="136" spans="6:11" x14ac:dyDescent="0.2">
      <c r="F136" s="171"/>
      <c r="K136"/>
    </row>
    <row r="137" spans="6:11" x14ac:dyDescent="0.2">
      <c r="F137" s="171"/>
      <c r="K137"/>
    </row>
    <row r="138" spans="6:11" x14ac:dyDescent="0.2">
      <c r="F138" s="171"/>
      <c r="K138"/>
    </row>
    <row r="139" spans="6:11" x14ac:dyDescent="0.2">
      <c r="F139" s="171"/>
      <c r="K139"/>
    </row>
    <row r="140" spans="6:11" x14ac:dyDescent="0.2">
      <c r="F140" s="171"/>
      <c r="K140"/>
    </row>
    <row r="141" spans="6:11" x14ac:dyDescent="0.2">
      <c r="F141" s="171"/>
      <c r="K141"/>
    </row>
    <row r="142" spans="6:11" x14ac:dyDescent="0.2">
      <c r="F142" s="171"/>
      <c r="K142"/>
    </row>
    <row r="143" spans="6:11" x14ac:dyDescent="0.2">
      <c r="F143" s="171"/>
      <c r="K143"/>
    </row>
    <row r="144" spans="6:11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1048576" spans="20:20" x14ac:dyDescent="0.2">
      <c r="T1048576" s="410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January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2024-01-17T15:38:48Z</dcterms:modified>
</cp:coreProperties>
</file>