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4\"/>
    </mc:Choice>
  </mc:AlternateContent>
  <xr:revisionPtr revIDLastSave="0" documentId="13_ncr:1_{C626B887-A226-494E-BD96-AC6A9B040BC8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Activity'!$A$1:$AJ$63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B20" i="1"/>
  <c r="C21" i="1"/>
  <c r="B21" i="1"/>
  <c r="D37" i="1" l="1"/>
  <c r="D36" i="1" l="1"/>
  <c r="H6" i="1" l="1"/>
  <c r="H10" i="1"/>
  <c r="H7" i="1"/>
  <c r="H5" i="1"/>
  <c r="AH57" i="9"/>
  <c r="AG57" i="9"/>
  <c r="AE57" i="9"/>
  <c r="AD57" i="9"/>
  <c r="AH55" i="9"/>
  <c r="AG55" i="9"/>
  <c r="AE55" i="9"/>
  <c r="AD55" i="9"/>
  <c r="AH54" i="9"/>
  <c r="AG54" i="9"/>
  <c r="AE54" i="9"/>
  <c r="AD54" i="9"/>
  <c r="AH53" i="9"/>
  <c r="AG53" i="9"/>
  <c r="AE53" i="9"/>
  <c r="AD53" i="9"/>
  <c r="AH52" i="9"/>
  <c r="AG52" i="9"/>
  <c r="AE52" i="9"/>
  <c r="AD52" i="9"/>
  <c r="AH51" i="9"/>
  <c r="AG51" i="9"/>
  <c r="AE51" i="9"/>
  <c r="AD51" i="9"/>
  <c r="AH48" i="9"/>
  <c r="AG48" i="9"/>
  <c r="AE48" i="9"/>
  <c r="AD48" i="9"/>
  <c r="AH46" i="9"/>
  <c r="AG46" i="9"/>
  <c r="AE46" i="9"/>
  <c r="AD46" i="9"/>
  <c r="AH44" i="9"/>
  <c r="AG44" i="9"/>
  <c r="AE44" i="9"/>
  <c r="AD44" i="9"/>
  <c r="AH42" i="9"/>
  <c r="AG42" i="9"/>
  <c r="AE42" i="9"/>
  <c r="AD42" i="9"/>
  <c r="AH40" i="9"/>
  <c r="AG40" i="9"/>
  <c r="AE40" i="9"/>
  <c r="AD40" i="9"/>
  <c r="AH38" i="9"/>
  <c r="AG38" i="9"/>
  <c r="AE38" i="9"/>
  <c r="AD38" i="9"/>
  <c r="AH36" i="9"/>
  <c r="AG36" i="9"/>
  <c r="AE36" i="9"/>
  <c r="AD36" i="9"/>
  <c r="AH34" i="9"/>
  <c r="AG34" i="9"/>
  <c r="AE34" i="9"/>
  <c r="AD34" i="9"/>
  <c r="AH33" i="9"/>
  <c r="AG33" i="9"/>
  <c r="AE33" i="9"/>
  <c r="AD33" i="9"/>
  <c r="AH32" i="9"/>
  <c r="AG32" i="9"/>
  <c r="AE32" i="9"/>
  <c r="AD32" i="9"/>
  <c r="AH31" i="9"/>
  <c r="AG31" i="9"/>
  <c r="AE31" i="9"/>
  <c r="AD31" i="9"/>
  <c r="AH28" i="9"/>
  <c r="AG28" i="9"/>
  <c r="AE28" i="9"/>
  <c r="AD28" i="9"/>
  <c r="AH26" i="9"/>
  <c r="AG26" i="9"/>
  <c r="AE26" i="9"/>
  <c r="AD26" i="9"/>
  <c r="AH24" i="9"/>
  <c r="AG24" i="9"/>
  <c r="AE24" i="9"/>
  <c r="AD24" i="9"/>
  <c r="AH23" i="9"/>
  <c r="AG23" i="9"/>
  <c r="AE23" i="9"/>
  <c r="AD23" i="9"/>
  <c r="AH22" i="9"/>
  <c r="AG22" i="9"/>
  <c r="AE22" i="9"/>
  <c r="AD22" i="9"/>
  <c r="AH21" i="9"/>
  <c r="AG21" i="9"/>
  <c r="AE21" i="9"/>
  <c r="AD21" i="9"/>
  <c r="AH20" i="9"/>
  <c r="AG20" i="9"/>
  <c r="AE20" i="9"/>
  <c r="AD20" i="9"/>
  <c r="AH19" i="9"/>
  <c r="AG19" i="9"/>
  <c r="AE19" i="9"/>
  <c r="AD19" i="9"/>
  <c r="AH16" i="9"/>
  <c r="AG16" i="9"/>
  <c r="AE16" i="9"/>
  <c r="AD16" i="9"/>
  <c r="AH15" i="9"/>
  <c r="AG15" i="9"/>
  <c r="AE15" i="9"/>
  <c r="AD15" i="9"/>
  <c r="AH14" i="9"/>
  <c r="AG14" i="9"/>
  <c r="AE14" i="9"/>
  <c r="AD14" i="9"/>
  <c r="AH11" i="9"/>
  <c r="AG11" i="9"/>
  <c r="AE11" i="9"/>
  <c r="AD11" i="9"/>
  <c r="AH9" i="9"/>
  <c r="AG9" i="9"/>
  <c r="AE9" i="9"/>
  <c r="AD9" i="9"/>
  <c r="AH7" i="9"/>
  <c r="AG7" i="9"/>
  <c r="AE7" i="9"/>
  <c r="AD7" i="9"/>
  <c r="AH6" i="9"/>
  <c r="AG6" i="9"/>
  <c r="AE6" i="9"/>
  <c r="AD6" i="9"/>
  <c r="AH5" i="9"/>
  <c r="AG5" i="9"/>
  <c r="AE5" i="9"/>
  <c r="AD5" i="9"/>
  <c r="AI20" i="9"/>
  <c r="AB2" i="9"/>
  <c r="Y57" i="9"/>
  <c r="Y55" i="9"/>
  <c r="Y54" i="9"/>
  <c r="Y53" i="9"/>
  <c r="Y52" i="9"/>
  <c r="Y51" i="9"/>
  <c r="Y48" i="9"/>
  <c r="Y46" i="9"/>
  <c r="Y44" i="9"/>
  <c r="Y42" i="9"/>
  <c r="Y40" i="9"/>
  <c r="Y38" i="9"/>
  <c r="Y36" i="9"/>
  <c r="Y34" i="9"/>
  <c r="Y33" i="9"/>
  <c r="Y32" i="9"/>
  <c r="Y31" i="9"/>
  <c r="Y28" i="9"/>
  <c r="Y26" i="9"/>
  <c r="Y24" i="9"/>
  <c r="Y23" i="9"/>
  <c r="Y22" i="9"/>
  <c r="Y21" i="9"/>
  <c r="Y20" i="9"/>
  <c r="Y19" i="9"/>
  <c r="Y16" i="9"/>
  <c r="Y15" i="9"/>
  <c r="Y14" i="9"/>
  <c r="Y11" i="9"/>
  <c r="Y9" i="9"/>
  <c r="Y7" i="9"/>
  <c r="Y6" i="9"/>
  <c r="Y5" i="9"/>
  <c r="P57" i="9"/>
  <c r="P55" i="9"/>
  <c r="P54" i="9"/>
  <c r="P53" i="9"/>
  <c r="P52" i="9"/>
  <c r="P51" i="9"/>
  <c r="P48" i="9"/>
  <c r="P46" i="9"/>
  <c r="P44" i="9"/>
  <c r="P42" i="9"/>
  <c r="P40" i="9"/>
  <c r="P38" i="9"/>
  <c r="P36" i="9"/>
  <c r="P34" i="9"/>
  <c r="P33" i="9"/>
  <c r="P32" i="9"/>
  <c r="P31" i="9"/>
  <c r="P28" i="9"/>
  <c r="P26" i="9"/>
  <c r="P24" i="9"/>
  <c r="P23" i="9"/>
  <c r="P22" i="9"/>
  <c r="P21" i="9"/>
  <c r="P20" i="9"/>
  <c r="P19" i="9"/>
  <c r="P16" i="9"/>
  <c r="P15" i="9"/>
  <c r="P14" i="9"/>
  <c r="P11" i="9"/>
  <c r="P9" i="9"/>
  <c r="P7" i="9"/>
  <c r="P6" i="9"/>
  <c r="P5" i="9"/>
  <c r="G57" i="9"/>
  <c r="G55" i="9"/>
  <c r="G54" i="9"/>
  <c r="G53" i="9"/>
  <c r="G52" i="9"/>
  <c r="G51" i="9"/>
  <c r="G48" i="9"/>
  <c r="G46" i="9"/>
  <c r="G44" i="9"/>
  <c r="G42" i="9"/>
  <c r="G40" i="9"/>
  <c r="G38" i="9"/>
  <c r="G36" i="9"/>
  <c r="G34" i="9"/>
  <c r="G33" i="9"/>
  <c r="G32" i="9"/>
  <c r="G31" i="9"/>
  <c r="G28" i="9"/>
  <c r="G26" i="9"/>
  <c r="G24" i="9"/>
  <c r="G23" i="9"/>
  <c r="G22" i="9"/>
  <c r="G21" i="9"/>
  <c r="G20" i="9"/>
  <c r="G19" i="9"/>
  <c r="G16" i="9"/>
  <c r="G15" i="9"/>
  <c r="G14" i="9"/>
  <c r="G11" i="9"/>
  <c r="G9" i="9"/>
  <c r="G7" i="9"/>
  <c r="G6" i="9"/>
  <c r="G5" i="9"/>
  <c r="X57" i="9"/>
  <c r="X55" i="9"/>
  <c r="X54" i="9"/>
  <c r="X53" i="9"/>
  <c r="X52" i="9"/>
  <c r="X51" i="9"/>
  <c r="X48" i="9"/>
  <c r="X46" i="9"/>
  <c r="X44" i="9"/>
  <c r="X42" i="9"/>
  <c r="X40" i="9"/>
  <c r="X38" i="9"/>
  <c r="X36" i="9"/>
  <c r="X34" i="9"/>
  <c r="X33" i="9"/>
  <c r="X32" i="9"/>
  <c r="X31" i="9"/>
  <c r="X28" i="9"/>
  <c r="X26" i="9"/>
  <c r="X24" i="9"/>
  <c r="X23" i="9"/>
  <c r="X22" i="9"/>
  <c r="X21" i="9"/>
  <c r="X20" i="9"/>
  <c r="X19" i="9"/>
  <c r="X16" i="9"/>
  <c r="X15" i="9"/>
  <c r="X14" i="9"/>
  <c r="X11" i="9"/>
  <c r="X9" i="9"/>
  <c r="X7" i="9"/>
  <c r="X6" i="9"/>
  <c r="X5" i="9"/>
  <c r="O57" i="9"/>
  <c r="O55" i="9"/>
  <c r="O54" i="9"/>
  <c r="O53" i="9"/>
  <c r="O52" i="9"/>
  <c r="O51" i="9"/>
  <c r="O48" i="9"/>
  <c r="O46" i="9"/>
  <c r="O44" i="9"/>
  <c r="O42" i="9"/>
  <c r="O40" i="9"/>
  <c r="O38" i="9"/>
  <c r="O36" i="9"/>
  <c r="O34" i="9"/>
  <c r="O33" i="9"/>
  <c r="O32" i="9"/>
  <c r="O31" i="9"/>
  <c r="O28" i="9"/>
  <c r="O26" i="9"/>
  <c r="O24" i="9"/>
  <c r="O23" i="9"/>
  <c r="O22" i="9"/>
  <c r="O21" i="9"/>
  <c r="O20" i="9"/>
  <c r="O19" i="9"/>
  <c r="O16" i="9"/>
  <c r="O15" i="9"/>
  <c r="O14" i="9"/>
  <c r="O11" i="9"/>
  <c r="O9" i="9"/>
  <c r="O7" i="9"/>
  <c r="O6" i="9"/>
  <c r="O5" i="9"/>
  <c r="F57" i="9"/>
  <c r="F55" i="9"/>
  <c r="F54" i="9"/>
  <c r="F53" i="9"/>
  <c r="F52" i="9"/>
  <c r="F51" i="9"/>
  <c r="F48" i="9"/>
  <c r="F46" i="9"/>
  <c r="F44" i="9"/>
  <c r="F42" i="9"/>
  <c r="F40" i="9"/>
  <c r="F38" i="9"/>
  <c r="F36" i="9"/>
  <c r="F34" i="9"/>
  <c r="F33" i="9"/>
  <c r="F32" i="9"/>
  <c r="F31" i="9"/>
  <c r="F28" i="9"/>
  <c r="F26" i="9"/>
  <c r="F24" i="9"/>
  <c r="F23" i="9"/>
  <c r="F22" i="9"/>
  <c r="F21" i="9"/>
  <c r="F20" i="9"/>
  <c r="F19" i="9"/>
  <c r="F16" i="9"/>
  <c r="F15" i="9"/>
  <c r="F14" i="9"/>
  <c r="F11" i="9"/>
  <c r="F9" i="9"/>
  <c r="F7" i="9"/>
  <c r="F6" i="9"/>
  <c r="F5" i="9"/>
  <c r="V57" i="9"/>
  <c r="M57" i="9"/>
  <c r="D57" i="9"/>
  <c r="V55" i="9"/>
  <c r="M55" i="9"/>
  <c r="D55" i="9"/>
  <c r="V54" i="9"/>
  <c r="M54" i="9"/>
  <c r="D54" i="9"/>
  <c r="V53" i="9"/>
  <c r="M53" i="9"/>
  <c r="D53" i="9"/>
  <c r="V52" i="9"/>
  <c r="M52" i="9"/>
  <c r="D52" i="9"/>
  <c r="V51" i="9"/>
  <c r="M51" i="9"/>
  <c r="D51" i="9"/>
  <c r="V48" i="9"/>
  <c r="M48" i="9"/>
  <c r="D48" i="9"/>
  <c r="V46" i="9"/>
  <c r="M46" i="9"/>
  <c r="D46" i="9"/>
  <c r="V44" i="9"/>
  <c r="M44" i="9"/>
  <c r="D44" i="9"/>
  <c r="V42" i="9"/>
  <c r="M42" i="9"/>
  <c r="D42" i="9"/>
  <c r="V40" i="9"/>
  <c r="M40" i="9"/>
  <c r="D40" i="9"/>
  <c r="V38" i="9"/>
  <c r="M38" i="9"/>
  <c r="D38" i="9"/>
  <c r="V36" i="9"/>
  <c r="M36" i="9"/>
  <c r="D36" i="9"/>
  <c r="V34" i="9"/>
  <c r="M34" i="9"/>
  <c r="D34" i="9"/>
  <c r="V33" i="9"/>
  <c r="M33" i="9"/>
  <c r="D33" i="9"/>
  <c r="V32" i="9"/>
  <c r="M32" i="9"/>
  <c r="D32" i="9"/>
  <c r="V31" i="9"/>
  <c r="M31" i="9"/>
  <c r="D31" i="9"/>
  <c r="V28" i="9"/>
  <c r="M28" i="9"/>
  <c r="D28" i="9"/>
  <c r="V26" i="9"/>
  <c r="M26" i="9"/>
  <c r="D26" i="9"/>
  <c r="V24" i="9"/>
  <c r="M24" i="9"/>
  <c r="D24" i="9"/>
  <c r="V23" i="9"/>
  <c r="M23" i="9"/>
  <c r="D23" i="9"/>
  <c r="V22" i="9"/>
  <c r="M22" i="9"/>
  <c r="D22" i="9"/>
  <c r="V21" i="9"/>
  <c r="M21" i="9"/>
  <c r="D21" i="9"/>
  <c r="V20" i="9"/>
  <c r="M20" i="9"/>
  <c r="D20" i="9"/>
  <c r="V19" i="9"/>
  <c r="M19" i="9"/>
  <c r="D19" i="9"/>
  <c r="V16" i="9"/>
  <c r="M16" i="9"/>
  <c r="D16" i="9"/>
  <c r="V15" i="9"/>
  <c r="M15" i="9"/>
  <c r="D15" i="9"/>
  <c r="V14" i="9"/>
  <c r="M14" i="9"/>
  <c r="D14" i="9"/>
  <c r="V11" i="9"/>
  <c r="M11" i="9"/>
  <c r="D11" i="9"/>
  <c r="V9" i="9"/>
  <c r="M9" i="9"/>
  <c r="D9" i="9"/>
  <c r="V7" i="9"/>
  <c r="M7" i="9"/>
  <c r="D7" i="9"/>
  <c r="V6" i="9"/>
  <c r="M6" i="9"/>
  <c r="D6" i="9"/>
  <c r="V5" i="9"/>
  <c r="M5" i="9"/>
  <c r="D5" i="9"/>
  <c r="U57" i="9"/>
  <c r="L57" i="9"/>
  <c r="C57" i="9"/>
  <c r="U55" i="9"/>
  <c r="L55" i="9"/>
  <c r="C55" i="9"/>
  <c r="U54" i="9"/>
  <c r="L54" i="9"/>
  <c r="C54" i="9"/>
  <c r="U53" i="9"/>
  <c r="L53" i="9"/>
  <c r="C53" i="9"/>
  <c r="U52" i="9"/>
  <c r="L52" i="9"/>
  <c r="C52" i="9"/>
  <c r="U51" i="9"/>
  <c r="L51" i="9"/>
  <c r="C51" i="9"/>
  <c r="U48" i="9"/>
  <c r="L48" i="9"/>
  <c r="C48" i="9"/>
  <c r="U46" i="9"/>
  <c r="L46" i="9"/>
  <c r="C46" i="9"/>
  <c r="U44" i="9"/>
  <c r="L44" i="9"/>
  <c r="C44" i="9"/>
  <c r="U42" i="9"/>
  <c r="L42" i="9"/>
  <c r="C42" i="9"/>
  <c r="U40" i="9"/>
  <c r="L40" i="9"/>
  <c r="C40" i="9"/>
  <c r="U38" i="9"/>
  <c r="L38" i="9"/>
  <c r="C38" i="9"/>
  <c r="U36" i="9"/>
  <c r="L36" i="9"/>
  <c r="C36" i="9"/>
  <c r="U34" i="9"/>
  <c r="L34" i="9"/>
  <c r="C34" i="9"/>
  <c r="U33" i="9"/>
  <c r="L33" i="9"/>
  <c r="C33" i="9"/>
  <c r="U32" i="9"/>
  <c r="L32" i="9"/>
  <c r="C32" i="9"/>
  <c r="U31" i="9"/>
  <c r="L31" i="9"/>
  <c r="C31" i="9"/>
  <c r="U28" i="9"/>
  <c r="L28" i="9"/>
  <c r="C28" i="9"/>
  <c r="U26" i="9"/>
  <c r="L26" i="9"/>
  <c r="C26" i="9"/>
  <c r="U24" i="9"/>
  <c r="L24" i="9"/>
  <c r="C24" i="9"/>
  <c r="U23" i="9"/>
  <c r="L23" i="9"/>
  <c r="C23" i="9"/>
  <c r="U22" i="9"/>
  <c r="L22" i="9"/>
  <c r="C22" i="9"/>
  <c r="U21" i="9"/>
  <c r="L21" i="9"/>
  <c r="C21" i="9"/>
  <c r="U20" i="9"/>
  <c r="L20" i="9"/>
  <c r="C20" i="9"/>
  <c r="U19" i="9"/>
  <c r="L19" i="9"/>
  <c r="C19" i="9"/>
  <c r="U16" i="9"/>
  <c r="L16" i="9"/>
  <c r="C16" i="9"/>
  <c r="U15" i="9"/>
  <c r="L15" i="9"/>
  <c r="C15" i="9"/>
  <c r="U14" i="9"/>
  <c r="L14" i="9"/>
  <c r="C14" i="9"/>
  <c r="U11" i="9"/>
  <c r="L11" i="9"/>
  <c r="C11" i="9"/>
  <c r="U9" i="9"/>
  <c r="L9" i="9"/>
  <c r="C9" i="9"/>
  <c r="U7" i="9"/>
  <c r="L7" i="9"/>
  <c r="C7" i="9"/>
  <c r="U6" i="9"/>
  <c r="L6" i="9"/>
  <c r="C6" i="9"/>
  <c r="U5" i="9"/>
  <c r="L5" i="9"/>
  <c r="C5" i="9"/>
  <c r="B35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M27" i="17"/>
  <c r="M24" i="17"/>
  <c r="M23" i="17"/>
  <c r="M22" i="17"/>
  <c r="M21" i="17"/>
  <c r="M18" i="17"/>
  <c r="M17" i="17"/>
  <c r="M16" i="17"/>
  <c r="M15" i="17"/>
  <c r="M14" i="17"/>
  <c r="M13" i="17"/>
  <c r="M12" i="17"/>
  <c r="M11" i="17"/>
  <c r="M10" i="17"/>
  <c r="M7" i="17"/>
  <c r="M6" i="17"/>
  <c r="P30" i="17"/>
  <c r="G30" i="17"/>
  <c r="G28" i="17"/>
  <c r="P27" i="17"/>
  <c r="G27" i="17"/>
  <c r="P24" i="17"/>
  <c r="G24" i="17"/>
  <c r="P23" i="17"/>
  <c r="G23" i="17"/>
  <c r="P22" i="17"/>
  <c r="G22" i="17"/>
  <c r="P21" i="17"/>
  <c r="G21" i="17"/>
  <c r="P18" i="17"/>
  <c r="G18" i="17"/>
  <c r="P17" i="17"/>
  <c r="G17" i="17"/>
  <c r="P16" i="17"/>
  <c r="G16" i="17"/>
  <c r="P15" i="17"/>
  <c r="G15" i="17"/>
  <c r="P14" i="17"/>
  <c r="G14" i="17"/>
  <c r="P13" i="17"/>
  <c r="G13" i="17"/>
  <c r="P12" i="17"/>
  <c r="G12" i="17"/>
  <c r="P11" i="17"/>
  <c r="G11" i="17"/>
  <c r="P10" i="17"/>
  <c r="G10" i="17"/>
  <c r="P7" i="17"/>
  <c r="G7" i="17"/>
  <c r="P6" i="17"/>
  <c r="G6" i="17"/>
  <c r="O30" i="17"/>
  <c r="M30" i="17"/>
  <c r="F30" i="17"/>
  <c r="F28" i="17"/>
  <c r="O27" i="17"/>
  <c r="F27" i="17"/>
  <c r="O24" i="17"/>
  <c r="F24" i="17"/>
  <c r="O23" i="17"/>
  <c r="F23" i="17"/>
  <c r="O22" i="17"/>
  <c r="F22" i="17"/>
  <c r="O21" i="17"/>
  <c r="F21" i="17"/>
  <c r="O18" i="17"/>
  <c r="F18" i="17"/>
  <c r="O17" i="17"/>
  <c r="F17" i="17"/>
  <c r="O16" i="17"/>
  <c r="F16" i="17"/>
  <c r="O15" i="17"/>
  <c r="F15" i="17"/>
  <c r="O14" i="17"/>
  <c r="F14" i="17"/>
  <c r="O13" i="17"/>
  <c r="F13" i="17"/>
  <c r="O12" i="17"/>
  <c r="F12" i="17"/>
  <c r="O11" i="17"/>
  <c r="F11" i="17"/>
  <c r="O10" i="17"/>
  <c r="F10" i="17"/>
  <c r="O7" i="17"/>
  <c r="F7" i="17"/>
  <c r="O6" i="17"/>
  <c r="F6" i="17"/>
  <c r="D30" i="17"/>
  <c r="D28" i="17"/>
  <c r="D27" i="17"/>
  <c r="D24" i="17"/>
  <c r="D23" i="17"/>
  <c r="D22" i="17"/>
  <c r="D21" i="17"/>
  <c r="D18" i="17"/>
  <c r="D17" i="17"/>
  <c r="D16" i="17"/>
  <c r="D15" i="17"/>
  <c r="D14" i="17"/>
  <c r="D13" i="17"/>
  <c r="D12" i="17"/>
  <c r="D11" i="17"/>
  <c r="D10" i="17"/>
  <c r="D7" i="17"/>
  <c r="D6" i="17"/>
  <c r="L30" i="17"/>
  <c r="C30" i="17"/>
  <c r="C28" i="17"/>
  <c r="L27" i="17"/>
  <c r="C27" i="17"/>
  <c r="L24" i="17"/>
  <c r="C24" i="17"/>
  <c r="L23" i="17"/>
  <c r="C23" i="17"/>
  <c r="L22" i="17"/>
  <c r="C22" i="17"/>
  <c r="L21" i="17"/>
  <c r="C21" i="17"/>
  <c r="L18" i="17"/>
  <c r="C18" i="17"/>
  <c r="L17" i="17"/>
  <c r="C17" i="17"/>
  <c r="L16" i="17"/>
  <c r="C16" i="17"/>
  <c r="L15" i="17"/>
  <c r="C15" i="17"/>
  <c r="L14" i="17"/>
  <c r="C14" i="17"/>
  <c r="L13" i="17"/>
  <c r="C13" i="17"/>
  <c r="L12" i="17"/>
  <c r="C12" i="17"/>
  <c r="L11" i="17"/>
  <c r="C11" i="17"/>
  <c r="L10" i="17"/>
  <c r="C10" i="17"/>
  <c r="L7" i="17"/>
  <c r="C7" i="17"/>
  <c r="L6" i="17"/>
  <c r="C6" i="17"/>
  <c r="G21" i="5"/>
  <c r="G20" i="5"/>
  <c r="G16" i="5"/>
  <c r="G15" i="5"/>
  <c r="G11" i="5"/>
  <c r="G10" i="5"/>
  <c r="G6" i="5"/>
  <c r="G5" i="5"/>
  <c r="J21" i="5"/>
  <c r="J20" i="5"/>
  <c r="J16" i="5"/>
  <c r="J15" i="5"/>
  <c r="J11" i="5"/>
  <c r="J10" i="5"/>
  <c r="J6" i="5"/>
  <c r="J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32" i="7"/>
  <c r="O31" i="7"/>
  <c r="O30" i="7"/>
  <c r="O29" i="7"/>
  <c r="O28" i="7"/>
  <c r="O27" i="7"/>
  <c r="O26" i="7"/>
  <c r="O25" i="7"/>
  <c r="O24" i="7"/>
  <c r="O23" i="7"/>
  <c r="O22" i="7"/>
  <c r="O21" i="7"/>
  <c r="J32" i="7"/>
  <c r="J31" i="7"/>
  <c r="J30" i="7"/>
  <c r="J29" i="7"/>
  <c r="J28" i="7"/>
  <c r="J27" i="7"/>
  <c r="J26" i="7"/>
  <c r="J25" i="7"/>
  <c r="J24" i="7"/>
  <c r="J23" i="7"/>
  <c r="J22" i="7"/>
  <c r="J21" i="7"/>
  <c r="E32" i="7"/>
  <c r="E31" i="7"/>
  <c r="E30" i="7"/>
  <c r="E29" i="7"/>
  <c r="E28" i="7"/>
  <c r="E27" i="7"/>
  <c r="E26" i="7"/>
  <c r="E25" i="7"/>
  <c r="E24" i="7"/>
  <c r="E23" i="7"/>
  <c r="E22" i="7"/>
  <c r="E21" i="7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E6" i="7"/>
  <c r="D6" i="7"/>
  <c r="C6" i="7"/>
  <c r="B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B37" i="1"/>
  <c r="B36" i="1"/>
  <c r="E28" i="1"/>
  <c r="H28" i="1" s="1"/>
  <c r="E27" i="1"/>
  <c r="H27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0" i="1"/>
  <c r="E7" i="1"/>
  <c r="E6" i="1"/>
  <c r="E5" i="1"/>
  <c r="AI22" i="9" l="1"/>
  <c r="AI28" i="9"/>
  <c r="AI38" i="9"/>
  <c r="AI16" i="9"/>
  <c r="AE13" i="9"/>
  <c r="AF5" i="9"/>
  <c r="AF7" i="9"/>
  <c r="AF11" i="9"/>
  <c r="AF15" i="9"/>
  <c r="AF19" i="9"/>
  <c r="AF21" i="9"/>
  <c r="AF23" i="9"/>
  <c r="AF26" i="9"/>
  <c r="AF31" i="9"/>
  <c r="AF33" i="9"/>
  <c r="AF36" i="9"/>
  <c r="AF40" i="9"/>
  <c r="AF44" i="9"/>
  <c r="AF48" i="9"/>
  <c r="AF52" i="9"/>
  <c r="AF54" i="9"/>
  <c r="AF57" i="9"/>
  <c r="AH18" i="9"/>
  <c r="AF16" i="9"/>
  <c r="AF24" i="9"/>
  <c r="AF53" i="9"/>
  <c r="AI42" i="9"/>
  <c r="AI5" i="9"/>
  <c r="AI19" i="9"/>
  <c r="AI54" i="9"/>
  <c r="AH4" i="9"/>
  <c r="AI6" i="9"/>
  <c r="AE4" i="9"/>
  <c r="AE18" i="9"/>
  <c r="AE30" i="9"/>
  <c r="AE61" i="9"/>
  <c r="AI53" i="9"/>
  <c r="AD61" i="9"/>
  <c r="AI26" i="9"/>
  <c r="AF6" i="9"/>
  <c r="AF9" i="9"/>
  <c r="AF14" i="9"/>
  <c r="AF20" i="9"/>
  <c r="AF22" i="9"/>
  <c r="AF28" i="9"/>
  <c r="AF32" i="9"/>
  <c r="AF38" i="9"/>
  <c r="AF42" i="9"/>
  <c r="AF46" i="9"/>
  <c r="AF55" i="9"/>
  <c r="AI33" i="9"/>
  <c r="AI40" i="9"/>
  <c r="AF51" i="9"/>
  <c r="AI57" i="9"/>
  <c r="AI55" i="9"/>
  <c r="AH13" i="9"/>
  <c r="AH30" i="9"/>
  <c r="AH61" i="9"/>
  <c r="AH50" i="9"/>
  <c r="AI11" i="9"/>
  <c r="AI31" i="9"/>
  <c r="AI44" i="9"/>
  <c r="AD4" i="9"/>
  <c r="AD13" i="9"/>
  <c r="AD50" i="9"/>
  <c r="AI21" i="9"/>
  <c r="AG30" i="9"/>
  <c r="AI32" i="9"/>
  <c r="AI46" i="9"/>
  <c r="AI48" i="9"/>
  <c r="AI9" i="9"/>
  <c r="AG18" i="9"/>
  <c r="AI7" i="9"/>
  <c r="AG4" i="9"/>
  <c r="AF34" i="9"/>
  <c r="AE50" i="9"/>
  <c r="AG13" i="9"/>
  <c r="AI15" i="9"/>
  <c r="AI24" i="9"/>
  <c r="AD30" i="9"/>
  <c r="AI36" i="9"/>
  <c r="AG50" i="9"/>
  <c r="AI52" i="9"/>
  <c r="AG61" i="9"/>
  <c r="AI14" i="9"/>
  <c r="AD18" i="9"/>
  <c r="AI23" i="9"/>
  <c r="AI34" i="9"/>
  <c r="AI51" i="9"/>
  <c r="AF13" i="9" l="1"/>
  <c r="AF30" i="9"/>
  <c r="AF4" i="9"/>
  <c r="AH62" i="9"/>
  <c r="AH60" i="9" s="1"/>
  <c r="AF18" i="9"/>
  <c r="AF61" i="9"/>
  <c r="AI13" i="9"/>
  <c r="AI61" i="9"/>
  <c r="AF50" i="9"/>
  <c r="AE62" i="9"/>
  <c r="AE60" i="9" s="1"/>
  <c r="AI30" i="9"/>
  <c r="AI50" i="9"/>
  <c r="AG62" i="9"/>
  <c r="AJ61" i="9" s="1"/>
  <c r="AI4" i="9"/>
  <c r="AI18" i="9"/>
  <c r="AD62" i="9"/>
  <c r="AF62" i="9" l="1"/>
  <c r="AD60" i="9"/>
  <c r="AF60" i="9" s="1"/>
  <c r="AI62" i="9"/>
  <c r="AJ62" i="9" s="1"/>
  <c r="AG60" i="9"/>
  <c r="AJ60" i="9" l="1"/>
  <c r="AI60" i="9"/>
  <c r="E22" i="1" l="1"/>
  <c r="H22" i="1"/>
  <c r="H6" i="7" l="1"/>
  <c r="H5" i="7"/>
  <c r="L5" i="15"/>
  <c r="W57" i="9"/>
  <c r="N57" i="9"/>
  <c r="Q57" i="9"/>
  <c r="Z57" i="9"/>
  <c r="F12" i="7"/>
  <c r="F7" i="7"/>
  <c r="E57" i="9"/>
  <c r="H57" i="9"/>
  <c r="K16" i="3" l="1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E61" i="9" l="1"/>
  <c r="G9" i="17"/>
  <c r="N55" i="9" l="1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X60" i="9" l="1"/>
  <c r="AJ28" i="9" s="1"/>
  <c r="AJ38" i="9"/>
  <c r="AJ47" i="9"/>
  <c r="AJ5" i="9"/>
  <c r="AJ55" i="9"/>
  <c r="AJ7" i="9"/>
  <c r="AJ36" i="9"/>
  <c r="AJ20" i="9"/>
  <c r="AJ54" i="9"/>
  <c r="AJ57" i="9"/>
  <c r="AJ9" i="9"/>
  <c r="AJ16" i="9"/>
  <c r="AJ11" i="9"/>
  <c r="AJ44" i="9"/>
  <c r="AJ24" i="9"/>
  <c r="AJ42" i="9"/>
  <c r="AJ33" i="9"/>
  <c r="AJ15" i="9"/>
  <c r="AJ48" i="9"/>
  <c r="AJ32" i="9"/>
  <c r="AJ6" i="9"/>
  <c r="AJ46" i="9"/>
  <c r="AJ22" i="9"/>
  <c r="AJ26" i="9"/>
  <c r="AJ19" i="9"/>
  <c r="AJ52" i="9"/>
  <c r="AJ34" i="9"/>
  <c r="AJ53" i="9"/>
  <c r="AJ21" i="9"/>
  <c r="AJ23" i="9"/>
  <c r="AJ31" i="9"/>
  <c r="AJ40" i="9"/>
  <c r="AJ14" i="9"/>
  <c r="AJ51" i="9"/>
  <c r="AJ50" i="9"/>
  <c r="AJ13" i="9"/>
  <c r="AJ4" i="9"/>
  <c r="AJ18" i="9"/>
  <c r="AJ30" i="9"/>
  <c r="E60" i="9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47" i="9"/>
  <c r="AA5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Q10" i="16" l="1"/>
  <c r="Q9" i="16"/>
  <c r="Q4" i="16"/>
  <c r="Q5" i="16"/>
  <c r="H23" i="8"/>
  <c r="H6" i="8"/>
  <c r="H12" i="8" s="1"/>
  <c r="H10" i="8"/>
  <c r="C21" i="7" l="1"/>
  <c r="B21" i="7"/>
  <c r="H18" i="8"/>
  <c r="H31" i="8"/>
  <c r="H32" i="8"/>
  <c r="H28" i="8"/>
  <c r="D21" i="7" l="1"/>
  <c r="H33" i="8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9" i="1"/>
  <c r="H8" i="1"/>
  <c r="G17" i="5"/>
  <c r="J7" i="5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H11" i="1" l="1"/>
  <c r="K18" i="3"/>
  <c r="B33" i="1"/>
  <c r="D33" i="1" s="1"/>
  <c r="F31" i="7"/>
  <c r="K22" i="3"/>
  <c r="F24" i="7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G19" i="1" s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D16" i="1" l="1"/>
  <c r="F18" i="1"/>
  <c r="G18" i="1"/>
  <c r="G7" i="1"/>
  <c r="F7" i="1"/>
  <c r="C22" i="1"/>
  <c r="L21" i="15"/>
  <c r="F22" i="7"/>
  <c r="F32" i="7"/>
  <c r="F30" i="7"/>
  <c r="F29" i="7"/>
  <c r="F28" i="7"/>
  <c r="F27" i="7"/>
  <c r="F26" i="7"/>
  <c r="F25" i="7"/>
  <c r="B6" i="5"/>
  <c r="B7" i="5" s="1"/>
  <c r="B28" i="1"/>
  <c r="B10" i="5"/>
  <c r="B12" i="5" s="1"/>
  <c r="C27" i="1"/>
  <c r="B27" i="1"/>
  <c r="K6" i="2"/>
  <c r="D5" i="1" s="1"/>
  <c r="B8" i="1"/>
  <c r="I21" i="1"/>
  <c r="I20" i="1"/>
  <c r="D6" i="1"/>
  <c r="C8" i="1"/>
  <c r="C33" i="7"/>
  <c r="B10" i="1"/>
  <c r="F19" i="1"/>
  <c r="J45" i="2"/>
  <c r="K45" i="2" s="1"/>
  <c r="K45" i="3"/>
  <c r="J23" i="2"/>
  <c r="K23" i="2" s="1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7" i="5"/>
  <c r="E5" i="5"/>
  <c r="F5" i="5" s="1"/>
  <c r="I5" i="5" s="1"/>
  <c r="G6" i="1" l="1"/>
  <c r="G5" i="1"/>
  <c r="G17" i="1"/>
  <c r="G16" i="1"/>
  <c r="F21" i="7"/>
  <c r="D22" i="1"/>
  <c r="F22" i="1" s="1"/>
  <c r="B22" i="1"/>
  <c r="C33" i="1"/>
  <c r="B32" i="1"/>
  <c r="D32" i="1" s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21" i="7" s="1"/>
  <c r="H21" i="7" s="1"/>
  <c r="B11" i="1"/>
  <c r="L21" i="7" s="1"/>
  <c r="D28" i="1"/>
  <c r="G28" i="1" s="1"/>
  <c r="B29" i="1"/>
  <c r="C12" i="5"/>
  <c r="C21" i="5"/>
  <c r="E11" i="5"/>
  <c r="F11" i="5" s="1"/>
  <c r="I11" i="5" s="1"/>
  <c r="C29" i="1"/>
  <c r="F16" i="1"/>
  <c r="D22" i="5"/>
  <c r="F15" i="5"/>
  <c r="I15" i="5" s="1"/>
  <c r="E17" i="5"/>
  <c r="D27" i="1" s="1"/>
  <c r="G27" i="1" s="1"/>
  <c r="F17" i="1"/>
  <c r="N21" i="7" l="1"/>
  <c r="G21" i="7"/>
  <c r="I21" i="7" s="1"/>
  <c r="G22" i="1"/>
  <c r="P29" i="7"/>
  <c r="P27" i="7"/>
  <c r="P24" i="7"/>
  <c r="P31" i="7"/>
  <c r="I17" i="5"/>
  <c r="I12" i="5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17" i="1"/>
  <c r="D11" i="1"/>
  <c r="F11" i="1" s="1"/>
  <c r="E12" i="5"/>
  <c r="C22" i="5"/>
  <c r="H11" i="5"/>
  <c r="F27" i="1"/>
  <c r="D29" i="1"/>
  <c r="F29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2" i="1" l="1"/>
  <c r="P32" i="7"/>
  <c r="I8" i="1"/>
  <c r="K31" i="7"/>
  <c r="K30" i="7"/>
  <c r="K29" i="7"/>
  <c r="K28" i="7"/>
  <c r="K27" i="7"/>
  <c r="K24" i="7"/>
  <c r="K26" i="7"/>
  <c r="P26" i="7"/>
  <c r="K25" i="7"/>
  <c r="P25" i="7"/>
  <c r="K22" i="7"/>
  <c r="P30" i="7"/>
  <c r="I22" i="5"/>
  <c r="P28" i="7"/>
  <c r="M33" i="7"/>
  <c r="P22" i="7"/>
  <c r="P23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1" i="5"/>
  <c r="E32" i="1"/>
  <c r="K20" i="5"/>
  <c r="K22" i="5"/>
  <c r="N33" i="7" l="1"/>
  <c r="P33" i="7" s="1"/>
  <c r="L33" i="7"/>
  <c r="P21" i="7" l="1"/>
  <c r="K21" i="7" l="1"/>
  <c r="G33" i="7"/>
  <c r="B33" i="7"/>
  <c r="D33" i="7"/>
  <c r="F33" i="7" l="1"/>
  <c r="F23" i="7"/>
  <c r="K23" i="7" l="1"/>
  <c r="I33" i="7"/>
  <c r="K33" i="7" l="1"/>
</calcChain>
</file>

<file path=xl/sharedStrings.xml><?xml version="1.0" encoding="utf-8"?>
<sst xmlns="http://schemas.openxmlformats.org/spreadsheetml/2006/main" count="726" uniqueCount="252">
  <si>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</si>
  <si>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</si>
  <si>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</si>
  <si>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</si>
  <si>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</si>
  <si>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</si>
  <si>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</si>
  <si>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</si>
  <si>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</si>
  <si>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</si>
  <si>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</si>
  <si>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</si>
  <si>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</si>
  <si>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</si>
  <si>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</si>
  <si>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</si>
  <si>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</si>
  <si>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</si>
  <si>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</si>
  <si>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</si>
  <si>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</si>
  <si>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</si>
  <si>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</si>
  <si>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</si>
  <si>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</si>
  <si>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</si>
  <si>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</si>
  <si>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</si>
  <si>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</si>
  <si>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</si>
  <si>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</si>
  <si>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</si>
  <si>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</si>
  <si>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</si>
  <si>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</si>
  <si>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</si>
  <si>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</si>
  <si>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</si>
  <si>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</si>
  <si>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</si>
  <si>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</si>
  <si>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</si>
  <si>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</si>
  <si>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</si>
  <si>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</si>
  <si>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</si>
  <si>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</si>
  <si>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</si>
  <si>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</si>
  <si>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</si>
  <si>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</si>
  <si>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</si>
  <si>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</si>
  <si>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</si>
  <si>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</si>
  <si>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</si>
  <si>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</si>
  <si>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</si>
  <si>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</si>
  <si>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</si>
  <si>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</si>
  <si>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</si>
  <si>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</si>
  <si>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</si>
  <si>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</si>
  <si>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</si>
  <si>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</si>
  <si>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</si>
  <si>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</si>
  <si>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</si>
  <si>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</si>
  <si>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</si>
  <si>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</si>
  <si>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</si>
  <si>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</si>
  <si>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</si>
  <si>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</si>
  <si>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</si>
  <si>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</si>
  <si>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</si>
  <si>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</si>
  <si>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</si>
  <si>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</si>
  <si>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</si>
  <si>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</si>
  <si>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</si>
  <si>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</si>
  <si>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</si>
  <si>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</si>
  <si>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</si>
  <si>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</si>
  <si>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</si>
  <si>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</si>
  <si>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</si>
  <si>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</si>
  <si>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</si>
  <si>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</si>
  <si>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</si>
  <si>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</si>
  <si>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</si>
  <si>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</si>
  <si>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</si>
  <si>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</si>
  <si>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</si>
  <si>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</si>
  <si>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</si>
  <si>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</si>
  <si>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</si>
  <si>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</si>
  <si>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</si>
  <si>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</si>
  <si>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</si>
  <si>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</si>
  <si>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</si>
  <si>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</si>
  <si>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</si>
  <si>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</si>
  <si>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</si>
  <si>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</si>
  <si>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</si>
  <si>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</si>
  <si>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</si>
  <si>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</si>
  <si>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</si>
  <si>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</si>
  <si>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</si>
  <si>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</si>
  <si>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</si>
  <si>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</si>
  <si>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</si>
  <si>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</si>
  <si>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</si>
  <si>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</si>
  <si>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</si>
  <si>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</si>
  <si>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</si>
  <si>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</si>
  <si>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</si>
  <si>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</si>
  <si>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</si>
  <si>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</si>
  <si>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</si>
  <si>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</si>
  <si>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</si>
  <si>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</si>
  <si>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</si>
  <si>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</si>
  <si>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</si>
  <si>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</si>
  <si>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</si>
  <si>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</si>
  <si>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</si>
  <si>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</si>
  <si>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</si>
  <si>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</si>
  <si>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</si>
  <si>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</si>
  <si>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</si>
  <si>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</si>
  <si>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</si>
  <si>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</si>
  <si>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</si>
  <si>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</si>
  <si>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</si>
  <si>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</si>
  <si>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</si>
  <si>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</si>
  <si>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</si>
  <si>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</si>
  <si>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</si>
  <si>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</si>
  <si>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</si>
  <si>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</si>
  <si>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</si>
  <si>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</si>
  <si>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</si>
  <si>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</si>
  <si>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</si>
  <si>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</si>
  <si>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</si>
  <si>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</si>
  <si>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</si>
  <si>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</si>
  <si>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</si>
  <si>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</si>
  <si>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</si>
  <si>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</si>
  <si>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</si>
  <si>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</si>
  <si>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</si>
  <si>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</si>
  <si>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</si>
  <si>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</si>
  <si>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</si>
  <si>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</si>
  <si>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</si>
  <si>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</si>
  <si>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</si>
  <si>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</si>
  <si>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</si>
  <si>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</si>
  <si>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</si>
  <si>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</si>
  <si>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</si>
  <si>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</si>
  <si>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</si>
  <si>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</si>
  <si>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</si>
  <si>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</si>
  <si>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</si>
  <si>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</si>
  <si>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</si>
  <si>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</si>
  <si>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</si>
  <si>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</si>
  <si>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</si>
  <si>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</si>
  <si>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</si>
  <si>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2023</t>
  </si>
  <si>
    <t>Y-T-D 2023</t>
  </si>
  <si>
    <t>Monthly Ops 2023</t>
  </si>
  <si>
    <t>Ops YTD 2023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</si>
  <si>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</si>
  <si>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</si>
  <si>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</si>
  <si>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</si>
  <si>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</si>
  <si>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</si>
  <si>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</si>
  <si>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</si>
  <si>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Cargo YTD 2023</t>
  </si>
  <si>
    <t>ATI -DHL</t>
  </si>
  <si>
    <t>WestJet</t>
  </si>
  <si>
    <t>Red Way</t>
  </si>
  <si>
    <t>.</t>
  </si>
  <si>
    <t>Air Wisconsin-American</t>
  </si>
  <si>
    <t>Jazz_AC- Air Canada</t>
  </si>
  <si>
    <t>Monthly Total 2024</t>
  </si>
  <si>
    <t>Y-T-D 2024</t>
  </si>
  <si>
    <t xml:space="preserve">2023 YTD </t>
  </si>
  <si>
    <t>January 2023</t>
  </si>
  <si>
    <t>Total 2024</t>
  </si>
  <si>
    <t>Metric Tons 2024</t>
  </si>
  <si>
    <t>Monthly Ops 2024</t>
  </si>
  <si>
    <t>Ops YTD 2024</t>
  </si>
  <si>
    <t>Monthly Cargo 2024</t>
  </si>
  <si>
    <t>Cargo YTD 2024</t>
  </si>
  <si>
    <t>2024 Market Share</t>
  </si>
  <si>
    <t>Current Month 2024</t>
  </si>
  <si>
    <t>YTD 2024</t>
  </si>
  <si>
    <t>Landing</t>
  </si>
  <si>
    <t>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</si>
</sst>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0A3FF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3" fontId="4" fillId="16" borderId="61" xfId="0" applyNumberFormat="1" applyFont="1" applyFill="1" applyBorder="1" applyAlignment="1">
      <alignment horizontal="center" vertical="center" wrapText="1"/>
    </xf>
    <xf numFmtId="10" fontId="4" fillId="16" borderId="61" xfId="0" applyNumberFormat="1" applyFont="1" applyFill="1" applyBorder="1" applyAlignment="1">
      <alignment horizontal="center" vertical="center"/>
    </xf>
    <xf numFmtId="0" fontId="4" fillId="16" borderId="61" xfId="0" applyFont="1" applyFill="1" applyBorder="1" applyAlignment="1">
      <alignment horizontal="center" vertical="center" wrapText="1"/>
    </xf>
    <xf numFmtId="0" fontId="4" fillId="16" borderId="61" xfId="0" applyFont="1" applyFill="1" applyBorder="1" applyAlignment="1">
      <alignment horizontal="center" vertical="center"/>
    </xf>
    <xf numFmtId="10" fontId="4" fillId="16" borderId="61" xfId="0" applyNumberFormat="1" applyFont="1" applyFill="1" applyBorder="1" applyAlignment="1">
      <alignment horizontal="center" vertical="center" wrapText="1"/>
    </xf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6" borderId="42" xfId="0" applyFont="1" applyFill="1" applyBorder="1" applyAlignment="1">
      <alignment horizontal="center" vertical="center" wrapText="1"/>
    </xf>
    <xf numFmtId="0" fontId="13" fillId="16" borderId="50" xfId="0" applyFont="1" applyFill="1" applyBorder="1" applyAlignment="1">
      <alignment horizontal="center" vertical="center" wrapText="1"/>
    </xf>
    <xf numFmtId="3" fontId="4" fillId="16" borderId="42" xfId="0" applyNumberFormat="1" applyFont="1" applyFill="1" applyBorder="1" applyAlignment="1">
      <alignment horizontal="center" wrapText="1"/>
    </xf>
    <xf numFmtId="3" fontId="4" fillId="16" borderId="49" xfId="0" applyNumberFormat="1" applyFont="1" applyFill="1" applyBorder="1" applyAlignment="1">
      <alignment horizontal="center" wrapText="1"/>
    </xf>
    <xf numFmtId="3" fontId="4" fillId="16" borderId="50" xfId="0" applyNumberFormat="1" applyFont="1" applyFill="1" applyBorder="1" applyAlignment="1">
      <alignment horizontal="center" wrapText="1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E0A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/data/Finance%20Stats/Monthly%20Operations%20report/2023/MSP%20January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September%202023.xlsx" TargetMode="External"/><Relationship Id="rId1" Type="http://schemas.openxmlformats.org/officeDocument/2006/relationships/externalLinkPath" Target="/data/Finance%20Stats/Monthly%20Operations%20report/2023/MSP%20September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October%202023.xlsx" TargetMode="External"/><Relationship Id="rId1" Type="http://schemas.openxmlformats.org/officeDocument/2006/relationships/externalLinkPath" Target="/data/Finance%20Stats/Monthly%20Operations%20report/2023/MSP%20October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November%202023.xlsx" TargetMode="External"/><Relationship Id="rId1" Type="http://schemas.openxmlformats.org/officeDocument/2006/relationships/externalLinkPath" Target="/data/Finance%20Stats/Monthly%20Operations%20report/2023/MSP%20November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December%202023.xlsx" TargetMode="External"/><Relationship Id="rId1" Type="http://schemas.openxmlformats.org/officeDocument/2006/relationships/externalLinkPath" Target="/data/Finance%20Stats/Monthly%20Operations%20report/2023/MSP%20Decembe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/data/Finance%20Stats/Monthly%20Operations%20report/2023/MSP%20February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/data/Finance%20Stats/Monthly%20Operations%20report/2023/MSP%20March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/data/Finance%20Stats/Monthly%20Operations%20report/2023/MSP%20April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y%202023.xlsx" TargetMode="External"/><Relationship Id="rId1" Type="http://schemas.openxmlformats.org/officeDocument/2006/relationships/externalLinkPath" Target="/data/Finance%20Stats/Monthly%20Operations%20report/2023/MSP%20Ma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ne%202023.xlsx" TargetMode="External"/><Relationship Id="rId1" Type="http://schemas.openxmlformats.org/officeDocument/2006/relationships/externalLinkPath" Target="/data/Finance%20Stats/Monthly%20Operations%20report/2023/MSP%20June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ly%202023.xlsx" TargetMode="External"/><Relationship Id="rId1" Type="http://schemas.openxmlformats.org/officeDocument/2006/relationships/externalLinkPath" Target="/data/Finance%20Stats/Monthly%20Operations%20report/2023/MSP%20July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ugust%202023.xlsx" TargetMode="External"/><Relationship Id="rId1" Type="http://schemas.openxmlformats.org/officeDocument/2006/relationships/externalLinkPath" Target="/data/Finance%20Stats/Monthly%20Operations%20report/2023/MSP%20Augus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2010290</v>
          </cell>
          <cell r="G5">
            <v>2010290</v>
          </cell>
        </row>
        <row r="6">
          <cell r="D6">
            <v>308603</v>
          </cell>
          <cell r="G6">
            <v>308603</v>
          </cell>
        </row>
        <row r="7">
          <cell r="D7">
            <v>65</v>
          </cell>
          <cell r="G7">
            <v>65</v>
          </cell>
        </row>
        <row r="10">
          <cell r="D10">
            <v>73972</v>
          </cell>
          <cell r="G10">
            <v>73972</v>
          </cell>
        </row>
        <row r="16">
          <cell r="D16">
            <v>15601</v>
          </cell>
        </row>
        <row r="17">
          <cell r="D17">
            <v>6326</v>
          </cell>
        </row>
        <row r="18">
          <cell r="D18">
            <v>1</v>
          </cell>
        </row>
        <row r="19">
          <cell r="D19">
            <v>1127</v>
          </cell>
        </row>
        <row r="20">
          <cell r="D20">
            <v>1297</v>
          </cell>
        </row>
        <row r="21">
          <cell r="D21">
            <v>86</v>
          </cell>
        </row>
        <row r="27">
          <cell r="D27">
            <v>15154.86717267831</v>
          </cell>
        </row>
        <row r="28">
          <cell r="D28">
            <v>1444.782416924</v>
          </cell>
        </row>
        <row r="32">
          <cell r="B32">
            <v>846314</v>
          </cell>
          <cell r="D32">
            <v>846314</v>
          </cell>
        </row>
        <row r="33">
          <cell r="B33">
            <v>329122</v>
          </cell>
          <cell r="D33">
            <v>329122</v>
          </cell>
        </row>
      </sheetData>
      <sheetData sheetId="1"/>
      <sheetData sheetId="2"/>
      <sheetData sheetId="3"/>
      <sheetData sheetId="4"/>
      <sheetData sheetId="5">
        <row r="21">
          <cell r="D21">
            <v>255954</v>
          </cell>
          <cell r="I21">
            <v>2136976</v>
          </cell>
          <cell r="N21">
            <v>2392930</v>
          </cell>
        </row>
      </sheetData>
      <sheetData sheetId="6"/>
      <sheetData sheetId="7">
        <row r="5">
          <cell r="F5">
            <v>8083.0269196168801</v>
          </cell>
          <cell r="I5">
            <v>8083.0269196168801</v>
          </cell>
        </row>
        <row r="6">
          <cell r="F6">
            <v>797.43670530139002</v>
          </cell>
          <cell r="I6">
            <v>797.43670530139002</v>
          </cell>
        </row>
        <row r="10">
          <cell r="F10">
            <v>7071.8402530614294</v>
          </cell>
          <cell r="I10">
            <v>7071.8402530614294</v>
          </cell>
        </row>
        <row r="11">
          <cell r="F11">
            <v>647.34571162261</v>
          </cell>
          <cell r="I11">
            <v>647.34571162261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15154.86717267831</v>
          </cell>
          <cell r="I20">
            <v>15154.86717267831</v>
          </cell>
        </row>
        <row r="21">
          <cell r="F21">
            <v>1444.782416924</v>
          </cell>
          <cell r="I21">
            <v>1444.782416924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227071</v>
          </cell>
          <cell r="I29">
            <v>2630017</v>
          </cell>
          <cell r="N29">
            <v>2857088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218319</v>
          </cell>
          <cell r="I30">
            <v>2784869</v>
          </cell>
          <cell r="N30">
            <v>3003188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188740</v>
          </cell>
          <cell r="I31">
            <v>2577874</v>
          </cell>
          <cell r="N31">
            <v>2766614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2">
          <cell r="D32">
            <v>259918</v>
          </cell>
          <cell r="I32">
            <v>2529092</v>
          </cell>
          <cell r="N32">
            <v>2789010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Sheet1"/>
      <sheetName val="DHL_ABX"/>
    </sheetNames>
    <sheetDataSet>
      <sheetData sheetId="0"/>
      <sheetData sheetId="1"/>
      <sheetData sheetId="2">
        <row r="4">
          <cell r="GM4">
            <v>103</v>
          </cell>
        </row>
      </sheetData>
      <sheetData sheetId="3"/>
      <sheetData sheetId="4">
        <row r="4">
          <cell r="GM4"/>
        </row>
        <row r="8">
          <cell r="IT8"/>
        </row>
        <row r="9">
          <cell r="IT9"/>
        </row>
        <row r="15">
          <cell r="IT15"/>
        </row>
        <row r="16">
          <cell r="IT16"/>
        </row>
        <row r="19">
          <cell r="IF19">
            <v>0</v>
          </cell>
          <cell r="IT19">
            <v>0</v>
          </cell>
        </row>
        <row r="32">
          <cell r="IT32"/>
        </row>
        <row r="33">
          <cell r="IT33"/>
        </row>
        <row r="37">
          <cell r="IT37"/>
        </row>
        <row r="38">
          <cell r="IT38"/>
        </row>
        <row r="41">
          <cell r="IF41">
            <v>0</v>
          </cell>
          <cell r="IT41">
            <v>0</v>
          </cell>
        </row>
        <row r="43">
          <cell r="IF43">
            <v>0</v>
          </cell>
          <cell r="IT43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5">
        <row r="4">
          <cell r="HO4">
            <v>36</v>
          </cell>
          <cell r="IT4">
            <v>34</v>
          </cell>
        </row>
        <row r="5">
          <cell r="IT5">
            <v>34</v>
          </cell>
        </row>
        <row r="8">
          <cell r="IT8"/>
        </row>
        <row r="9">
          <cell r="IT9"/>
        </row>
        <row r="19">
          <cell r="IF19">
            <v>74</v>
          </cell>
          <cell r="IT19">
            <v>68</v>
          </cell>
        </row>
        <row r="22">
          <cell r="IT22">
            <v>4479</v>
          </cell>
        </row>
        <row r="23">
          <cell r="IT23">
            <v>4831</v>
          </cell>
        </row>
        <row r="27">
          <cell r="IT27"/>
        </row>
        <row r="28">
          <cell r="IT28"/>
        </row>
        <row r="41">
          <cell r="IF41">
            <v>11477</v>
          </cell>
          <cell r="IT41">
            <v>9310</v>
          </cell>
        </row>
        <row r="43">
          <cell r="IF43">
            <v>11477</v>
          </cell>
          <cell r="IT43">
            <v>9310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6">
        <row r="4">
          <cell r="GM4"/>
          <cell r="IT4"/>
        </row>
        <row r="5">
          <cell r="IT5"/>
        </row>
        <row r="8">
          <cell r="IT8"/>
        </row>
        <row r="9">
          <cell r="IT9"/>
        </row>
        <row r="15">
          <cell r="IT15"/>
        </row>
        <row r="16">
          <cell r="IT16"/>
        </row>
        <row r="22">
          <cell r="IT22"/>
        </row>
        <row r="23">
          <cell r="IT23"/>
        </row>
        <row r="27">
          <cell r="IT27"/>
        </row>
        <row r="28">
          <cell r="IT28"/>
        </row>
        <row r="32">
          <cell r="IT32"/>
        </row>
        <row r="33">
          <cell r="IT33"/>
        </row>
        <row r="37">
          <cell r="IT37"/>
        </row>
        <row r="38">
          <cell r="IT38"/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</sheetData>
      <sheetData sheetId="7">
        <row r="4">
          <cell r="GM4">
            <v>92</v>
          </cell>
          <cell r="IT4">
            <v>51</v>
          </cell>
        </row>
        <row r="5">
          <cell r="IT5">
            <v>50</v>
          </cell>
        </row>
        <row r="8">
          <cell r="IT8">
            <v>1</v>
          </cell>
        </row>
        <row r="9">
          <cell r="IT9">
            <v>1</v>
          </cell>
        </row>
        <row r="19">
          <cell r="IF19">
            <v>98</v>
          </cell>
          <cell r="IT19">
            <v>103</v>
          </cell>
        </row>
        <row r="22">
          <cell r="IT22">
            <v>6022</v>
          </cell>
        </row>
        <row r="23">
          <cell r="IT23">
            <v>6022</v>
          </cell>
        </row>
        <row r="27">
          <cell r="IT27">
            <v>247</v>
          </cell>
        </row>
        <row r="28">
          <cell r="IT28">
            <v>291</v>
          </cell>
        </row>
        <row r="41">
          <cell r="IF41">
            <v>12852</v>
          </cell>
          <cell r="IT41">
            <v>12044</v>
          </cell>
        </row>
        <row r="43">
          <cell r="IF43">
            <v>13390</v>
          </cell>
          <cell r="IT43">
            <v>12582</v>
          </cell>
        </row>
        <row r="47">
          <cell r="IT47">
            <v>3228</v>
          </cell>
        </row>
        <row r="48">
          <cell r="IT48"/>
        </row>
        <row r="52">
          <cell r="IT52">
            <v>8523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18689</v>
          </cell>
          <cell r="IT64">
            <v>11751</v>
          </cell>
        </row>
      </sheetData>
      <sheetData sheetId="8"/>
      <sheetData sheetId="9">
        <row r="4">
          <cell r="GM4">
            <v>532</v>
          </cell>
          <cell r="IT4">
            <v>314</v>
          </cell>
        </row>
        <row r="5">
          <cell r="IT5">
            <v>316</v>
          </cell>
        </row>
        <row r="8">
          <cell r="IT8"/>
        </row>
        <row r="9">
          <cell r="IT9"/>
        </row>
        <row r="19">
          <cell r="IF19">
            <v>619</v>
          </cell>
          <cell r="IT19">
            <v>630</v>
          </cell>
        </row>
        <row r="22">
          <cell r="IT22">
            <v>46071</v>
          </cell>
        </row>
        <row r="23">
          <cell r="IT23">
            <v>46124</v>
          </cell>
        </row>
        <row r="27">
          <cell r="IT27">
            <v>1387</v>
          </cell>
        </row>
        <row r="28">
          <cell r="IT28">
            <v>1628</v>
          </cell>
        </row>
        <row r="41">
          <cell r="IF41">
            <v>87452</v>
          </cell>
          <cell r="IT41">
            <v>92195</v>
          </cell>
        </row>
        <row r="43">
          <cell r="IF43">
            <v>90676</v>
          </cell>
          <cell r="IT43">
            <v>95210</v>
          </cell>
        </row>
        <row r="47">
          <cell r="IT47">
            <v>33258</v>
          </cell>
        </row>
        <row r="48">
          <cell r="IT48">
            <v>9320</v>
          </cell>
        </row>
        <row r="52">
          <cell r="IT52">
            <v>4805</v>
          </cell>
        </row>
        <row r="53">
          <cell r="IT53">
            <v>5252</v>
          </cell>
        </row>
        <row r="57">
          <cell r="IT57"/>
        </row>
        <row r="58">
          <cell r="IT58"/>
        </row>
        <row r="64">
          <cell r="IF64">
            <v>57420</v>
          </cell>
          <cell r="IT64">
            <v>52635</v>
          </cell>
        </row>
      </sheetData>
      <sheetData sheetId="10"/>
      <sheetData sheetId="11">
        <row r="4">
          <cell r="GM4">
            <v>80</v>
          </cell>
        </row>
      </sheetData>
      <sheetData sheetId="12">
        <row r="4">
          <cell r="GM4"/>
        </row>
        <row r="5">
          <cell r="IT5"/>
        </row>
        <row r="8">
          <cell r="IT8"/>
        </row>
        <row r="9">
          <cell r="IT9"/>
        </row>
        <row r="15">
          <cell r="IT15"/>
        </row>
        <row r="16">
          <cell r="IT16"/>
        </row>
        <row r="19">
          <cell r="IF19">
            <v>0</v>
          </cell>
          <cell r="IT19">
            <v>0</v>
          </cell>
        </row>
        <row r="22">
          <cell r="IT22"/>
        </row>
        <row r="23">
          <cell r="IT23"/>
        </row>
        <row r="27">
          <cell r="IT27"/>
        </row>
        <row r="28">
          <cell r="IT28"/>
        </row>
        <row r="32">
          <cell r="IT32"/>
        </row>
        <row r="33">
          <cell r="IT33"/>
        </row>
        <row r="37">
          <cell r="IT37"/>
        </row>
        <row r="38">
          <cell r="IT38"/>
        </row>
        <row r="41">
          <cell r="IF41">
            <v>0</v>
          </cell>
          <cell r="IT41">
            <v>0</v>
          </cell>
        </row>
        <row r="43">
          <cell r="IF43">
            <v>0</v>
          </cell>
          <cell r="IT43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13">
        <row r="4">
          <cell r="GM4">
            <v>5590</v>
          </cell>
          <cell r="IT4">
            <v>4825</v>
          </cell>
        </row>
        <row r="5">
          <cell r="IT5">
            <v>4820</v>
          </cell>
        </row>
        <row r="8">
          <cell r="IT8">
            <v>5</v>
          </cell>
        </row>
        <row r="9">
          <cell r="IT9">
            <v>15</v>
          </cell>
        </row>
        <row r="15">
          <cell r="IT15">
            <v>637</v>
          </cell>
        </row>
        <row r="16">
          <cell r="IT16">
            <v>638</v>
          </cell>
        </row>
        <row r="19">
          <cell r="IF19">
            <v>10531</v>
          </cell>
          <cell r="IT19">
            <v>10940</v>
          </cell>
        </row>
        <row r="22">
          <cell r="IT22">
            <v>604874</v>
          </cell>
        </row>
        <row r="23">
          <cell r="IT23">
            <v>630631</v>
          </cell>
        </row>
        <row r="27">
          <cell r="IT27">
            <v>21921</v>
          </cell>
        </row>
        <row r="28">
          <cell r="IT28">
            <v>21786</v>
          </cell>
        </row>
        <row r="32">
          <cell r="IT32">
            <v>101603</v>
          </cell>
        </row>
        <row r="33">
          <cell r="IT33">
            <v>99364</v>
          </cell>
        </row>
        <row r="37">
          <cell r="IT37">
            <v>2944</v>
          </cell>
        </row>
        <row r="38">
          <cell r="IT38">
            <v>2653</v>
          </cell>
        </row>
        <row r="41">
          <cell r="IF41">
            <v>1377931</v>
          </cell>
          <cell r="IT41">
            <v>1436472</v>
          </cell>
        </row>
        <row r="43">
          <cell r="IF43">
            <v>1424970</v>
          </cell>
          <cell r="IT43">
            <v>1485776</v>
          </cell>
        </row>
        <row r="47">
          <cell r="IT47">
            <v>3104761</v>
          </cell>
        </row>
        <row r="48">
          <cell r="IT48">
            <v>350122</v>
          </cell>
        </row>
        <row r="52">
          <cell r="IT52">
            <v>2010484</v>
          </cell>
        </row>
        <row r="53">
          <cell r="IT53">
            <v>298581</v>
          </cell>
        </row>
        <row r="57">
          <cell r="IT57"/>
        </row>
        <row r="58">
          <cell r="IT58"/>
        </row>
        <row r="64">
          <cell r="IF64">
            <v>5984086</v>
          </cell>
          <cell r="IT64">
            <v>5763948</v>
          </cell>
        </row>
        <row r="70">
          <cell r="IT70">
            <v>396988</v>
          </cell>
        </row>
        <row r="71">
          <cell r="IT71">
            <v>233643</v>
          </cell>
        </row>
        <row r="73">
          <cell r="IT73">
            <v>62551</v>
          </cell>
        </row>
        <row r="74">
          <cell r="IT74">
            <v>36813</v>
          </cell>
        </row>
      </sheetData>
      <sheetData sheetId="14">
        <row r="4">
          <cell r="HA4">
            <v>58</v>
          </cell>
          <cell r="IT4">
            <v>90</v>
          </cell>
        </row>
        <row r="5">
          <cell r="IT5">
            <v>90</v>
          </cell>
        </row>
        <row r="8">
          <cell r="IT8"/>
        </row>
        <row r="9">
          <cell r="IT9"/>
        </row>
        <row r="15">
          <cell r="IT15"/>
        </row>
        <row r="16">
          <cell r="IT16"/>
        </row>
        <row r="19">
          <cell r="IF19">
            <v>160</v>
          </cell>
          <cell r="IT19">
            <v>180</v>
          </cell>
        </row>
        <row r="22">
          <cell r="IT22">
            <v>831</v>
          </cell>
        </row>
        <row r="23">
          <cell r="IT23">
            <v>815</v>
          </cell>
        </row>
        <row r="27">
          <cell r="IT27">
            <v>38</v>
          </cell>
        </row>
        <row r="28">
          <cell r="IT28">
            <v>39</v>
          </cell>
        </row>
        <row r="32">
          <cell r="IT32"/>
        </row>
        <row r="33">
          <cell r="IT33"/>
        </row>
        <row r="37">
          <cell r="IT37"/>
        </row>
        <row r="38">
          <cell r="IT38"/>
        </row>
        <row r="41">
          <cell r="IF41">
            <v>1483</v>
          </cell>
          <cell r="IT41">
            <v>1646</v>
          </cell>
        </row>
        <row r="43">
          <cell r="IF43">
            <v>1535</v>
          </cell>
          <cell r="IT43">
            <v>1723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15">
        <row r="4">
          <cell r="GM4">
            <v>109</v>
          </cell>
          <cell r="IT4">
            <v>105</v>
          </cell>
        </row>
        <row r="5">
          <cell r="IT5">
            <v>105</v>
          </cell>
        </row>
        <row r="8">
          <cell r="IT8"/>
        </row>
        <row r="9">
          <cell r="IT9"/>
        </row>
        <row r="15">
          <cell r="IT15">
            <v>31</v>
          </cell>
        </row>
        <row r="16">
          <cell r="IT16">
            <v>31</v>
          </cell>
        </row>
        <row r="19">
          <cell r="IF19">
            <v>94</v>
          </cell>
          <cell r="IT19">
            <v>272</v>
          </cell>
        </row>
        <row r="22">
          <cell r="IT22">
            <v>16107</v>
          </cell>
        </row>
        <row r="23">
          <cell r="IT23">
            <v>17752</v>
          </cell>
        </row>
        <row r="27">
          <cell r="IT27">
            <v>120</v>
          </cell>
        </row>
        <row r="28">
          <cell r="IT28">
            <v>119</v>
          </cell>
        </row>
        <row r="32">
          <cell r="IT32">
            <v>4420</v>
          </cell>
        </row>
        <row r="33">
          <cell r="IT33">
            <v>3981</v>
          </cell>
        </row>
        <row r="37">
          <cell r="IT37">
            <v>4</v>
          </cell>
        </row>
        <row r="38">
          <cell r="IT38">
            <v>4</v>
          </cell>
        </row>
        <row r="41">
          <cell r="IF41">
            <v>14510</v>
          </cell>
          <cell r="IT41">
            <v>42260</v>
          </cell>
        </row>
        <row r="43">
          <cell r="IF43">
            <v>14593</v>
          </cell>
          <cell r="IT43">
            <v>42507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16">
        <row r="4">
          <cell r="HP4">
            <v>0</v>
          </cell>
        </row>
        <row r="8">
          <cell r="IT8"/>
        </row>
        <row r="9">
          <cell r="IT9"/>
        </row>
        <row r="15">
          <cell r="IT15">
            <v>5</v>
          </cell>
        </row>
        <row r="16">
          <cell r="IT16">
            <v>5</v>
          </cell>
        </row>
        <row r="19">
          <cell r="IF19">
            <v>6</v>
          </cell>
          <cell r="IT19">
            <v>10</v>
          </cell>
        </row>
        <row r="32">
          <cell r="IT32">
            <v>718</v>
          </cell>
        </row>
        <row r="33">
          <cell r="IT33">
            <v>430</v>
          </cell>
        </row>
        <row r="37">
          <cell r="IT37">
            <v>14</v>
          </cell>
        </row>
        <row r="38">
          <cell r="IT38">
            <v>12</v>
          </cell>
        </row>
        <row r="41">
          <cell r="IF41">
            <v>731</v>
          </cell>
          <cell r="IT41">
            <v>1148</v>
          </cell>
        </row>
        <row r="43">
          <cell r="IF43">
            <v>741</v>
          </cell>
          <cell r="IT43">
            <v>1174</v>
          </cell>
        </row>
        <row r="47">
          <cell r="IT47">
            <v>46</v>
          </cell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337</v>
          </cell>
          <cell r="IT64">
            <v>46</v>
          </cell>
        </row>
      </sheetData>
      <sheetData sheetId="17">
        <row r="4">
          <cell r="GM4">
            <v>77</v>
          </cell>
          <cell r="IT4">
            <v>30</v>
          </cell>
        </row>
        <row r="5">
          <cell r="IT5">
            <v>30</v>
          </cell>
        </row>
        <row r="8">
          <cell r="IT8"/>
        </row>
        <row r="9">
          <cell r="IT9"/>
        </row>
        <row r="19">
          <cell r="IF19">
            <v>124</v>
          </cell>
          <cell r="IT19">
            <v>60</v>
          </cell>
        </row>
        <row r="22">
          <cell r="IT22">
            <v>3072</v>
          </cell>
        </row>
        <row r="23">
          <cell r="IT23">
            <v>2206</v>
          </cell>
        </row>
        <row r="27">
          <cell r="IT27">
            <v>65</v>
          </cell>
        </row>
        <row r="28">
          <cell r="IT28">
            <v>58</v>
          </cell>
        </row>
        <row r="41">
          <cell r="IF41">
            <v>8815</v>
          </cell>
          <cell r="IT41">
            <v>5278</v>
          </cell>
        </row>
        <row r="43">
          <cell r="IF43">
            <v>9174</v>
          </cell>
          <cell r="IT43">
            <v>5401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18">
        <row r="4">
          <cell r="GM4"/>
          <cell r="IT4"/>
        </row>
        <row r="5">
          <cell r="IT5"/>
        </row>
        <row r="8">
          <cell r="IT8"/>
        </row>
        <row r="9">
          <cell r="IT9"/>
        </row>
        <row r="15">
          <cell r="IT15">
            <v>14</v>
          </cell>
        </row>
        <row r="16">
          <cell r="IT16">
            <v>14</v>
          </cell>
        </row>
        <row r="19">
          <cell r="IF19">
            <v>34</v>
          </cell>
          <cell r="IT19">
            <v>28</v>
          </cell>
        </row>
        <row r="22">
          <cell r="IT22"/>
        </row>
        <row r="23">
          <cell r="IT23"/>
        </row>
        <row r="27">
          <cell r="IT27"/>
        </row>
        <row r="28">
          <cell r="IT28"/>
        </row>
        <row r="32">
          <cell r="IT32">
            <v>3082</v>
          </cell>
        </row>
        <row r="33">
          <cell r="IT33">
            <v>2244</v>
          </cell>
        </row>
        <row r="37">
          <cell r="IT37">
            <v>6</v>
          </cell>
        </row>
        <row r="38">
          <cell r="IT38"/>
        </row>
        <row r="41">
          <cell r="IF41">
            <v>6668</v>
          </cell>
          <cell r="IT41">
            <v>5326</v>
          </cell>
        </row>
        <row r="43">
          <cell r="IF43">
            <v>6677</v>
          </cell>
          <cell r="IT43">
            <v>5332</v>
          </cell>
        </row>
        <row r="47">
          <cell r="IT47">
            <v>207371</v>
          </cell>
        </row>
        <row r="48">
          <cell r="IT48"/>
        </row>
        <row r="52">
          <cell r="IT52">
            <v>17064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602670</v>
          </cell>
          <cell r="IT64">
            <v>224435</v>
          </cell>
        </row>
      </sheetData>
      <sheetData sheetId="19"/>
      <sheetData sheetId="20"/>
      <sheetData sheetId="21">
        <row r="12">
          <cell r="EZ12">
            <v>0</v>
          </cell>
        </row>
      </sheetData>
      <sheetData sheetId="22">
        <row r="4">
          <cell r="GM4">
            <v>544</v>
          </cell>
          <cell r="IT4">
            <v>569</v>
          </cell>
        </row>
        <row r="5">
          <cell r="IT5">
            <v>569</v>
          </cell>
        </row>
        <row r="8">
          <cell r="IT8"/>
        </row>
        <row r="9">
          <cell r="IT9"/>
        </row>
        <row r="19">
          <cell r="IF19">
            <v>908</v>
          </cell>
          <cell r="IT19">
            <v>1138</v>
          </cell>
        </row>
        <row r="22">
          <cell r="IT22">
            <v>55786</v>
          </cell>
        </row>
        <row r="23">
          <cell r="IT23">
            <v>59344</v>
          </cell>
        </row>
        <row r="27">
          <cell r="IT27">
            <v>1515</v>
          </cell>
        </row>
        <row r="28">
          <cell r="IT28">
            <v>1903</v>
          </cell>
        </row>
        <row r="41">
          <cell r="IF41">
            <v>88624</v>
          </cell>
          <cell r="IT41">
            <v>115130</v>
          </cell>
        </row>
        <row r="43">
          <cell r="IF43">
            <v>91111</v>
          </cell>
          <cell r="IT43">
            <v>118548</v>
          </cell>
        </row>
        <row r="47">
          <cell r="IT47">
            <v>154643</v>
          </cell>
        </row>
        <row r="48">
          <cell r="IT48"/>
        </row>
        <row r="52">
          <cell r="IT52">
            <v>36930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176647</v>
          </cell>
          <cell r="IT64">
            <v>191573</v>
          </cell>
        </row>
        <row r="70">
          <cell r="IT70">
            <v>58827</v>
          </cell>
        </row>
        <row r="71">
          <cell r="IT71">
            <v>517</v>
          </cell>
        </row>
        <row r="73">
          <cell r="IT73"/>
        </row>
        <row r="74">
          <cell r="IT74"/>
        </row>
      </sheetData>
      <sheetData sheetId="23">
        <row r="4">
          <cell r="GM4">
            <v>321</v>
          </cell>
          <cell r="IT4">
            <v>107</v>
          </cell>
        </row>
        <row r="5">
          <cell r="IT5">
            <v>107</v>
          </cell>
        </row>
        <row r="8">
          <cell r="IT8"/>
        </row>
        <row r="9">
          <cell r="IT9"/>
        </row>
        <row r="19">
          <cell r="IF19">
            <v>381</v>
          </cell>
          <cell r="IT19">
            <v>214</v>
          </cell>
        </row>
        <row r="22">
          <cell r="IT22">
            <v>14296</v>
          </cell>
        </row>
        <row r="23">
          <cell r="IT23">
            <v>13908</v>
          </cell>
        </row>
        <row r="27">
          <cell r="IT27">
            <v>122</v>
          </cell>
        </row>
        <row r="28">
          <cell r="IT28">
            <v>149</v>
          </cell>
        </row>
        <row r="41">
          <cell r="IF41">
            <v>42939</v>
          </cell>
          <cell r="IT41">
            <v>28204</v>
          </cell>
        </row>
        <row r="43">
          <cell r="IF43">
            <v>44607</v>
          </cell>
          <cell r="IT43">
            <v>28475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  <row r="73">
          <cell r="IT73"/>
        </row>
        <row r="74">
          <cell r="IT74"/>
        </row>
      </sheetData>
      <sheetData sheetId="24">
        <row r="4">
          <cell r="GM4">
            <v>848</v>
          </cell>
          <cell r="IT4">
            <v>687</v>
          </cell>
        </row>
        <row r="5">
          <cell r="IT5">
            <v>694</v>
          </cell>
        </row>
        <row r="8">
          <cell r="IT8">
            <v>62</v>
          </cell>
        </row>
        <row r="9">
          <cell r="IT9">
            <v>65</v>
          </cell>
        </row>
        <row r="15">
          <cell r="IT15">
            <v>190</v>
          </cell>
        </row>
        <row r="16">
          <cell r="IT16">
            <v>189</v>
          </cell>
        </row>
        <row r="19">
          <cell r="IF19">
            <v>1792</v>
          </cell>
          <cell r="IT19">
            <v>1887</v>
          </cell>
        </row>
        <row r="22">
          <cell r="IT22">
            <v>106720</v>
          </cell>
        </row>
        <row r="23">
          <cell r="IT23">
            <v>110498</v>
          </cell>
        </row>
        <row r="27">
          <cell r="IT27">
            <v>1796</v>
          </cell>
        </row>
        <row r="28">
          <cell r="IT28">
            <v>1899</v>
          </cell>
        </row>
        <row r="32">
          <cell r="IT32">
            <v>26284</v>
          </cell>
        </row>
        <row r="33">
          <cell r="IT33">
            <v>27796</v>
          </cell>
        </row>
        <row r="37">
          <cell r="IT37">
            <v>477</v>
          </cell>
        </row>
        <row r="38">
          <cell r="IT38">
            <v>503</v>
          </cell>
        </row>
        <row r="41">
          <cell r="IF41">
            <v>253235</v>
          </cell>
          <cell r="IT41">
            <v>271298</v>
          </cell>
        </row>
        <row r="43">
          <cell r="IF43">
            <v>257728</v>
          </cell>
          <cell r="IT43">
            <v>275973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40217</v>
          </cell>
          <cell r="IT64">
            <v>0</v>
          </cell>
        </row>
        <row r="70">
          <cell r="IT70">
            <v>110498</v>
          </cell>
        </row>
        <row r="73">
          <cell r="IT73">
            <v>27796</v>
          </cell>
        </row>
        <row r="74">
          <cell r="IT74"/>
        </row>
      </sheetData>
      <sheetData sheetId="25"/>
      <sheetData sheetId="26"/>
      <sheetData sheetId="27">
        <row r="4">
          <cell r="GM4">
            <v>238</v>
          </cell>
          <cell r="IT4">
            <v>360</v>
          </cell>
        </row>
        <row r="5">
          <cell r="IT5">
            <v>359</v>
          </cell>
        </row>
        <row r="8">
          <cell r="IT8">
            <v>1</v>
          </cell>
        </row>
        <row r="9">
          <cell r="IT9">
            <v>2</v>
          </cell>
        </row>
        <row r="19">
          <cell r="IF19">
            <v>780</v>
          </cell>
          <cell r="IT19">
            <v>722</v>
          </cell>
        </row>
        <row r="22">
          <cell r="IT22">
            <v>44741</v>
          </cell>
        </row>
        <row r="23">
          <cell r="IT23">
            <v>46281</v>
          </cell>
        </row>
        <row r="27">
          <cell r="IT27">
            <v>1666</v>
          </cell>
        </row>
        <row r="28">
          <cell r="IT28">
            <v>1550</v>
          </cell>
        </row>
        <row r="41">
          <cell r="IF41">
            <v>103573</v>
          </cell>
          <cell r="IT41">
            <v>91022</v>
          </cell>
        </row>
        <row r="43">
          <cell r="IF43">
            <v>106792</v>
          </cell>
          <cell r="IT43">
            <v>94238</v>
          </cell>
        </row>
        <row r="47">
          <cell r="IT47">
            <v>13117</v>
          </cell>
        </row>
        <row r="48">
          <cell r="IT48">
            <v>625</v>
          </cell>
        </row>
        <row r="52">
          <cell r="IT52">
            <v>2487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132692</v>
          </cell>
          <cell r="IT64">
            <v>16229</v>
          </cell>
        </row>
      </sheetData>
      <sheetData sheetId="28">
        <row r="4">
          <cell r="IT4"/>
        </row>
        <row r="5">
          <cell r="IT5"/>
        </row>
        <row r="8">
          <cell r="IT8"/>
        </row>
        <row r="9">
          <cell r="IT9"/>
        </row>
        <row r="15">
          <cell r="IT15">
            <v>36</v>
          </cell>
        </row>
        <row r="16">
          <cell r="IT16">
            <v>36</v>
          </cell>
        </row>
        <row r="19">
          <cell r="IF19">
            <v>0</v>
          </cell>
          <cell r="IT19">
            <v>72</v>
          </cell>
        </row>
        <row r="22">
          <cell r="IT22"/>
        </row>
        <row r="23">
          <cell r="IT23"/>
        </row>
        <row r="27">
          <cell r="IT27"/>
        </row>
        <row r="28">
          <cell r="IT28"/>
        </row>
        <row r="32">
          <cell r="IT32">
            <v>3800</v>
          </cell>
        </row>
        <row r="33">
          <cell r="IT33">
            <v>3618</v>
          </cell>
        </row>
        <row r="37">
          <cell r="IT37">
            <v>0</v>
          </cell>
        </row>
        <row r="38">
          <cell r="IT38">
            <v>1</v>
          </cell>
        </row>
        <row r="41">
          <cell r="IF41">
            <v>0</v>
          </cell>
          <cell r="IT41">
            <v>7418</v>
          </cell>
        </row>
        <row r="43">
          <cell r="IF43">
            <v>0</v>
          </cell>
          <cell r="IT43">
            <v>7419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29">
        <row r="12">
          <cell r="EZ12">
            <v>0</v>
          </cell>
        </row>
        <row r="19">
          <cell r="IF19">
            <v>0</v>
          </cell>
        </row>
        <row r="41">
          <cell r="IF41">
            <v>0</v>
          </cell>
        </row>
        <row r="43">
          <cell r="IF43">
            <v>0</v>
          </cell>
        </row>
        <row r="64">
          <cell r="IF64">
            <v>0</v>
          </cell>
        </row>
      </sheetData>
      <sheetData sheetId="30">
        <row r="4">
          <cell r="GM4">
            <v>15</v>
          </cell>
          <cell r="IT4">
            <v>17</v>
          </cell>
        </row>
        <row r="5">
          <cell r="IT5">
            <v>17</v>
          </cell>
        </row>
        <row r="8">
          <cell r="IT8"/>
        </row>
        <row r="9">
          <cell r="IT9"/>
        </row>
        <row r="19">
          <cell r="IF19">
            <v>109</v>
          </cell>
          <cell r="IT19">
            <v>34</v>
          </cell>
        </row>
        <row r="22">
          <cell r="IT22">
            <v>920</v>
          </cell>
        </row>
        <row r="23">
          <cell r="IT23">
            <v>776</v>
          </cell>
        </row>
        <row r="27">
          <cell r="IT27">
            <v>41</v>
          </cell>
        </row>
        <row r="28">
          <cell r="IT28">
            <v>41</v>
          </cell>
        </row>
        <row r="41">
          <cell r="IF41">
            <v>5174</v>
          </cell>
          <cell r="IT41">
            <v>1696</v>
          </cell>
        </row>
        <row r="43">
          <cell r="IF43">
            <v>5367</v>
          </cell>
          <cell r="IT43">
            <v>1778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2228</v>
          </cell>
          <cell r="IT64">
            <v>0</v>
          </cell>
        </row>
      </sheetData>
      <sheetData sheetId="31">
        <row r="4">
          <cell r="GN4">
            <v>1</v>
          </cell>
          <cell r="IT4">
            <v>50</v>
          </cell>
        </row>
        <row r="5">
          <cell r="IT5">
            <v>50</v>
          </cell>
        </row>
        <row r="8">
          <cell r="IT8"/>
        </row>
        <row r="9">
          <cell r="IT9"/>
        </row>
        <row r="19">
          <cell r="IF19">
            <v>2</v>
          </cell>
          <cell r="IT19">
            <v>100</v>
          </cell>
        </row>
        <row r="22">
          <cell r="IT22">
            <v>2169</v>
          </cell>
        </row>
        <row r="23">
          <cell r="IT23">
            <v>2162</v>
          </cell>
        </row>
        <row r="27">
          <cell r="IT27">
            <v>73</v>
          </cell>
        </row>
        <row r="28">
          <cell r="IT28">
            <v>61</v>
          </cell>
        </row>
        <row r="41">
          <cell r="IF41">
            <v>35</v>
          </cell>
          <cell r="IT41">
            <v>4331</v>
          </cell>
        </row>
        <row r="43">
          <cell r="IF43">
            <v>36</v>
          </cell>
          <cell r="IT43">
            <v>4465</v>
          </cell>
        </row>
        <row r="47">
          <cell r="IT47">
            <v>1107</v>
          </cell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BG58"/>
        </row>
        <row r="64">
          <cell r="IF64">
            <v>0</v>
          </cell>
          <cell r="IT64">
            <v>1107</v>
          </cell>
        </row>
      </sheetData>
      <sheetData sheetId="32">
        <row r="4">
          <cell r="GM4">
            <v>31</v>
          </cell>
        </row>
        <row r="19">
          <cell r="IF19">
            <v>0</v>
          </cell>
        </row>
        <row r="41">
          <cell r="IF41">
            <v>0</v>
          </cell>
        </row>
        <row r="43">
          <cell r="IF43">
            <v>0</v>
          </cell>
        </row>
        <row r="58">
          <cell r="BF58"/>
        </row>
        <row r="64">
          <cell r="IF64">
            <v>0</v>
          </cell>
        </row>
      </sheetData>
      <sheetData sheetId="33">
        <row r="4">
          <cell r="GM4"/>
        </row>
        <row r="19">
          <cell r="IF19">
            <v>0</v>
          </cell>
        </row>
        <row r="41">
          <cell r="IF41">
            <v>0</v>
          </cell>
        </row>
        <row r="43">
          <cell r="IF43">
            <v>0</v>
          </cell>
        </row>
        <row r="58">
          <cell r="BG58"/>
        </row>
        <row r="64">
          <cell r="IF64">
            <v>0</v>
          </cell>
        </row>
      </sheetData>
      <sheetData sheetId="34"/>
      <sheetData sheetId="35"/>
      <sheetData sheetId="36"/>
      <sheetData sheetId="37">
        <row r="12">
          <cell r="EZ12">
            <v>1001</v>
          </cell>
        </row>
      </sheetData>
      <sheetData sheetId="38"/>
      <sheetData sheetId="39">
        <row r="4">
          <cell r="GM4">
            <v>48</v>
          </cell>
        </row>
        <row r="58">
          <cell r="BG58"/>
        </row>
      </sheetData>
      <sheetData sheetId="40"/>
      <sheetData sheetId="41">
        <row r="4">
          <cell r="GM4">
            <v>52</v>
          </cell>
        </row>
        <row r="58">
          <cell r="BK58"/>
        </row>
      </sheetData>
      <sheetData sheetId="42">
        <row r="4">
          <cell r="GM4">
            <v>2</v>
          </cell>
          <cell r="IT4"/>
        </row>
        <row r="5">
          <cell r="IT5"/>
        </row>
        <row r="8">
          <cell r="IT8"/>
        </row>
        <row r="9">
          <cell r="IT9"/>
        </row>
        <row r="19">
          <cell r="IF19">
            <v>0</v>
          </cell>
          <cell r="IT19">
            <v>0</v>
          </cell>
        </row>
        <row r="22">
          <cell r="IT22"/>
        </row>
        <row r="23">
          <cell r="IT23"/>
        </row>
        <row r="27">
          <cell r="IT27"/>
        </row>
        <row r="28">
          <cell r="IT28"/>
        </row>
        <row r="41">
          <cell r="IF41">
            <v>0</v>
          </cell>
          <cell r="IT41">
            <v>0</v>
          </cell>
        </row>
        <row r="43">
          <cell r="IF43">
            <v>0</v>
          </cell>
          <cell r="IT43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AJ57"/>
        </row>
        <row r="58">
          <cell r="AJ58"/>
        </row>
        <row r="64">
          <cell r="IF64">
            <v>0</v>
          </cell>
          <cell r="IT64">
            <v>0</v>
          </cell>
        </row>
      </sheetData>
      <sheetData sheetId="43">
        <row r="4">
          <cell r="GM4">
            <v>93</v>
          </cell>
          <cell r="IT4">
            <v>46</v>
          </cell>
        </row>
        <row r="5">
          <cell r="IT5">
            <v>46</v>
          </cell>
        </row>
        <row r="8">
          <cell r="IT8"/>
        </row>
        <row r="9">
          <cell r="IT9"/>
        </row>
        <row r="19">
          <cell r="IF19">
            <v>16</v>
          </cell>
          <cell r="IT19">
            <v>92</v>
          </cell>
        </row>
        <row r="22">
          <cell r="IT22">
            <v>3023</v>
          </cell>
        </row>
        <row r="23">
          <cell r="IT23">
            <v>2879</v>
          </cell>
        </row>
        <row r="27">
          <cell r="IT27">
            <v>128</v>
          </cell>
        </row>
        <row r="28">
          <cell r="IT28">
            <v>128</v>
          </cell>
        </row>
        <row r="41">
          <cell r="IF41">
            <v>561</v>
          </cell>
          <cell r="IT41">
            <v>5902</v>
          </cell>
        </row>
        <row r="43">
          <cell r="IF43">
            <v>574</v>
          </cell>
          <cell r="IT43">
            <v>6158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44">
        <row r="4">
          <cell r="HO4"/>
          <cell r="IT4"/>
        </row>
        <row r="5">
          <cell r="IT5"/>
        </row>
        <row r="8">
          <cell r="IT8"/>
        </row>
        <row r="9">
          <cell r="IT9"/>
        </row>
        <row r="15">
          <cell r="IT15">
            <v>93</v>
          </cell>
        </row>
        <row r="16">
          <cell r="IT16">
            <v>93</v>
          </cell>
        </row>
        <row r="19">
          <cell r="IF19">
            <v>81</v>
          </cell>
          <cell r="IT19">
            <v>186</v>
          </cell>
        </row>
        <row r="22">
          <cell r="IT22"/>
        </row>
        <row r="23">
          <cell r="IT23"/>
        </row>
        <row r="27">
          <cell r="IT27"/>
        </row>
        <row r="28">
          <cell r="IT28"/>
        </row>
        <row r="32">
          <cell r="IT32">
            <v>3974</v>
          </cell>
        </row>
        <row r="33">
          <cell r="IT33">
            <v>3553</v>
          </cell>
        </row>
        <row r="37">
          <cell r="IT37">
            <v>46</v>
          </cell>
        </row>
        <row r="38">
          <cell r="IT38">
            <v>46</v>
          </cell>
        </row>
        <row r="41">
          <cell r="IF41">
            <v>6713</v>
          </cell>
          <cell r="IT41">
            <v>7527</v>
          </cell>
        </row>
        <row r="43">
          <cell r="IF43">
            <v>6832</v>
          </cell>
          <cell r="IT43">
            <v>7619</v>
          </cell>
        </row>
        <row r="47">
          <cell r="IT47">
            <v>5883.8</v>
          </cell>
        </row>
        <row r="48">
          <cell r="IT48"/>
        </row>
        <row r="52">
          <cell r="IT52">
            <v>5074.7</v>
          </cell>
        </row>
        <row r="53">
          <cell r="IT53"/>
        </row>
        <row r="57">
          <cell r="IT57"/>
        </row>
        <row r="58">
          <cell r="BF58"/>
        </row>
        <row r="64">
          <cell r="IF64">
            <v>2900</v>
          </cell>
          <cell r="IT64">
            <v>10958.5</v>
          </cell>
        </row>
      </sheetData>
      <sheetData sheetId="45">
        <row r="4">
          <cell r="GM4">
            <v>136</v>
          </cell>
          <cell r="IT4">
            <v>58</v>
          </cell>
        </row>
        <row r="5">
          <cell r="IT5">
            <v>58</v>
          </cell>
        </row>
        <row r="8">
          <cell r="IT8"/>
        </row>
        <row r="9">
          <cell r="IT9"/>
        </row>
        <row r="19">
          <cell r="IF19">
            <v>6</v>
          </cell>
          <cell r="IT19">
            <v>116</v>
          </cell>
        </row>
        <row r="22">
          <cell r="IT22">
            <v>3734</v>
          </cell>
        </row>
        <row r="23">
          <cell r="IT23">
            <v>3537</v>
          </cell>
        </row>
        <row r="27">
          <cell r="IT27">
            <v>102</v>
          </cell>
        </row>
        <row r="28">
          <cell r="IT28">
            <v>115</v>
          </cell>
        </row>
        <row r="41">
          <cell r="IF41">
            <v>416</v>
          </cell>
          <cell r="IT41">
            <v>7271</v>
          </cell>
        </row>
        <row r="43">
          <cell r="IF43">
            <v>423</v>
          </cell>
          <cell r="IT43">
            <v>7488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46">
        <row r="12">
          <cell r="EZ12">
            <v>0</v>
          </cell>
        </row>
      </sheetData>
      <sheetData sheetId="47"/>
      <sheetData sheetId="48">
        <row r="4">
          <cell r="GM4">
            <v>1184</v>
          </cell>
          <cell r="IT4">
            <v>698</v>
          </cell>
        </row>
        <row r="5">
          <cell r="IT5">
            <v>703</v>
          </cell>
        </row>
        <row r="8">
          <cell r="IT8">
            <v>1</v>
          </cell>
        </row>
        <row r="9">
          <cell r="IT9">
            <v>0</v>
          </cell>
        </row>
        <row r="15">
          <cell r="IT15">
            <v>16</v>
          </cell>
        </row>
        <row r="16">
          <cell r="IT16">
            <v>14</v>
          </cell>
        </row>
        <row r="19">
          <cell r="IF19">
            <v>1886</v>
          </cell>
          <cell r="IT19">
            <v>1432</v>
          </cell>
        </row>
        <row r="22">
          <cell r="IT22">
            <v>41281</v>
          </cell>
        </row>
        <row r="23">
          <cell r="IT23">
            <v>39834</v>
          </cell>
        </row>
        <row r="27">
          <cell r="IT27">
            <v>1592</v>
          </cell>
        </row>
        <row r="28">
          <cell r="IT28">
            <v>1543</v>
          </cell>
        </row>
        <row r="32">
          <cell r="IT32">
            <v>1050</v>
          </cell>
        </row>
        <row r="33">
          <cell r="IT33">
            <v>934</v>
          </cell>
        </row>
        <row r="37">
          <cell r="IT37">
            <v>19</v>
          </cell>
        </row>
        <row r="38">
          <cell r="IT38">
            <v>14</v>
          </cell>
        </row>
        <row r="41">
          <cell r="IF41">
            <v>104952</v>
          </cell>
          <cell r="IT41">
            <v>83099</v>
          </cell>
        </row>
        <row r="43">
          <cell r="IF43">
            <v>109113</v>
          </cell>
          <cell r="IT43">
            <v>86267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  <row r="70">
          <cell r="IT70">
            <v>12892</v>
          </cell>
        </row>
        <row r="71">
          <cell r="IT71">
            <v>26942</v>
          </cell>
        </row>
        <row r="73">
          <cell r="IT73">
            <v>302</v>
          </cell>
        </row>
        <row r="74">
          <cell r="IT74">
            <v>632</v>
          </cell>
        </row>
      </sheetData>
      <sheetData sheetId="49">
        <row r="4">
          <cell r="GM4"/>
          <cell r="IT4">
            <v>63</v>
          </cell>
        </row>
        <row r="5">
          <cell r="IT5">
            <v>63</v>
          </cell>
        </row>
        <row r="8">
          <cell r="IT8"/>
        </row>
        <row r="9">
          <cell r="IT9"/>
        </row>
        <row r="19">
          <cell r="IF19">
            <v>110</v>
          </cell>
          <cell r="IT19">
            <v>126</v>
          </cell>
        </row>
        <row r="22">
          <cell r="IT22">
            <v>3931</v>
          </cell>
        </row>
        <row r="23">
          <cell r="IT23">
            <v>3705</v>
          </cell>
        </row>
        <row r="27">
          <cell r="IT27">
            <v>97</v>
          </cell>
        </row>
        <row r="28">
          <cell r="IT28">
            <v>123</v>
          </cell>
        </row>
        <row r="41">
          <cell r="IF41">
            <v>4990</v>
          </cell>
          <cell r="IT41">
            <v>7636</v>
          </cell>
        </row>
        <row r="43">
          <cell r="IF43">
            <v>5177</v>
          </cell>
          <cell r="IT43">
            <v>7856</v>
          </cell>
        </row>
        <row r="47">
          <cell r="IT47">
            <v>261</v>
          </cell>
        </row>
        <row r="48">
          <cell r="IT48"/>
        </row>
        <row r="52">
          <cell r="IT52">
            <v>40</v>
          </cell>
        </row>
        <row r="53">
          <cell r="IT53"/>
        </row>
        <row r="57">
          <cell r="IT57"/>
        </row>
        <row r="58">
          <cell r="BG58"/>
        </row>
        <row r="64">
          <cell r="IF64">
            <v>0</v>
          </cell>
          <cell r="IT64">
            <v>301</v>
          </cell>
        </row>
      </sheetData>
      <sheetData sheetId="50">
        <row r="4">
          <cell r="GM4">
            <v>221</v>
          </cell>
          <cell r="IT4">
            <v>54</v>
          </cell>
        </row>
        <row r="5">
          <cell r="IT5">
            <v>54</v>
          </cell>
        </row>
        <row r="8">
          <cell r="IT8"/>
        </row>
        <row r="9">
          <cell r="IT9"/>
        </row>
        <row r="19">
          <cell r="IF19">
            <v>158</v>
          </cell>
          <cell r="IT19">
            <v>108</v>
          </cell>
        </row>
        <row r="22">
          <cell r="IT22">
            <v>2036</v>
          </cell>
        </row>
        <row r="23">
          <cell r="IT23">
            <v>2466</v>
          </cell>
        </row>
        <row r="27">
          <cell r="IT27">
            <v>159</v>
          </cell>
        </row>
        <row r="28">
          <cell r="IT28">
            <v>160</v>
          </cell>
        </row>
        <row r="41">
          <cell r="IF41">
            <v>7492</v>
          </cell>
          <cell r="IT41">
            <v>4502</v>
          </cell>
        </row>
        <row r="43">
          <cell r="IF43">
            <v>7786</v>
          </cell>
          <cell r="IT43">
            <v>4821</v>
          </cell>
        </row>
        <row r="47">
          <cell r="IT47">
            <v>1196</v>
          </cell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1260</v>
          </cell>
          <cell r="IT64">
            <v>1196</v>
          </cell>
        </row>
      </sheetData>
      <sheetData sheetId="51">
        <row r="4">
          <cell r="GM4">
            <v>236</v>
          </cell>
          <cell r="IT4">
            <v>31</v>
          </cell>
        </row>
        <row r="5">
          <cell r="IT5">
            <v>32</v>
          </cell>
        </row>
        <row r="8">
          <cell r="IT8">
            <v>1</v>
          </cell>
        </row>
        <row r="9">
          <cell r="IT9"/>
        </row>
        <row r="19">
          <cell r="IF19">
            <v>84</v>
          </cell>
          <cell r="IT19">
            <v>64</v>
          </cell>
        </row>
        <row r="22">
          <cell r="IT22">
            <v>1989</v>
          </cell>
        </row>
        <row r="23">
          <cell r="IT23">
            <v>2020</v>
          </cell>
        </row>
        <row r="27">
          <cell r="IT27">
            <v>70</v>
          </cell>
        </row>
        <row r="28">
          <cell r="IT28">
            <v>61</v>
          </cell>
        </row>
        <row r="41">
          <cell r="IF41">
            <v>5077</v>
          </cell>
          <cell r="IT41">
            <v>4009</v>
          </cell>
        </row>
        <row r="43">
          <cell r="IF43">
            <v>5320</v>
          </cell>
          <cell r="IT43">
            <v>4140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64">
          <cell r="IF64">
            <v>0</v>
          </cell>
          <cell r="IT64">
            <v>0</v>
          </cell>
        </row>
      </sheetData>
      <sheetData sheetId="52">
        <row r="4">
          <cell r="GN4">
            <v>0</v>
          </cell>
        </row>
      </sheetData>
      <sheetData sheetId="53">
        <row r="4">
          <cell r="GM4">
            <v>3385</v>
          </cell>
          <cell r="IT4">
            <v>2052</v>
          </cell>
        </row>
        <row r="5">
          <cell r="IT5">
            <v>2056</v>
          </cell>
        </row>
        <row r="8">
          <cell r="IT8">
            <v>1</v>
          </cell>
        </row>
        <row r="9">
          <cell r="IT9">
            <v>3</v>
          </cell>
        </row>
        <row r="15">
          <cell r="IT15">
            <v>124</v>
          </cell>
        </row>
        <row r="16">
          <cell r="IT16">
            <v>127</v>
          </cell>
        </row>
        <row r="19">
          <cell r="IF19">
            <v>3874</v>
          </cell>
          <cell r="IT19">
            <v>4363</v>
          </cell>
        </row>
        <row r="22">
          <cell r="IT22">
            <v>102803</v>
          </cell>
        </row>
        <row r="23">
          <cell r="IT23">
            <v>104213</v>
          </cell>
        </row>
        <row r="27">
          <cell r="IT27">
            <v>3534</v>
          </cell>
        </row>
        <row r="28">
          <cell r="IT28">
            <v>3615</v>
          </cell>
        </row>
        <row r="32">
          <cell r="IT32">
            <v>7361</v>
          </cell>
        </row>
        <row r="33">
          <cell r="IT33">
            <v>7723</v>
          </cell>
        </row>
        <row r="37">
          <cell r="IT37">
            <v>123</v>
          </cell>
        </row>
        <row r="38">
          <cell r="IT38">
            <v>96</v>
          </cell>
        </row>
        <row r="41">
          <cell r="IF41">
            <v>173193</v>
          </cell>
          <cell r="IT41">
            <v>222100</v>
          </cell>
        </row>
        <row r="43">
          <cell r="IF43">
            <v>178766</v>
          </cell>
          <cell r="IT43">
            <v>229468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  <row r="70">
          <cell r="IT70">
            <v>34584</v>
          </cell>
        </row>
        <row r="71">
          <cell r="IT71">
            <v>69629</v>
          </cell>
        </row>
        <row r="73">
          <cell r="IT73">
            <v>2563</v>
          </cell>
        </row>
        <row r="74">
          <cell r="IT74">
            <v>5160</v>
          </cell>
        </row>
      </sheetData>
      <sheetData sheetId="54"/>
      <sheetData sheetId="55">
        <row r="4">
          <cell r="GM4">
            <v>27</v>
          </cell>
          <cell r="IT4"/>
        </row>
        <row r="5">
          <cell r="IT5"/>
        </row>
        <row r="8">
          <cell r="IT8"/>
        </row>
        <row r="9">
          <cell r="IT9"/>
        </row>
        <row r="19">
          <cell r="IF19">
            <v>0</v>
          </cell>
          <cell r="IT19">
            <v>0</v>
          </cell>
        </row>
        <row r="22">
          <cell r="IT22"/>
        </row>
        <row r="23">
          <cell r="IT23"/>
        </row>
        <row r="27">
          <cell r="IT27"/>
        </row>
        <row r="28">
          <cell r="IT28"/>
        </row>
        <row r="41">
          <cell r="IF41">
            <v>0</v>
          </cell>
          <cell r="IT41">
            <v>0</v>
          </cell>
        </row>
        <row r="43">
          <cell r="IF43">
            <v>0</v>
          </cell>
          <cell r="IT43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56">
        <row r="4">
          <cell r="GM4"/>
          <cell r="IT4"/>
        </row>
        <row r="5">
          <cell r="IT5"/>
        </row>
        <row r="8">
          <cell r="IT8"/>
        </row>
        <row r="9">
          <cell r="IT9"/>
        </row>
        <row r="19">
          <cell r="IF19">
            <v>0</v>
          </cell>
          <cell r="IT19">
            <v>0</v>
          </cell>
        </row>
        <row r="22">
          <cell r="IT22"/>
        </row>
        <row r="23">
          <cell r="IT23"/>
        </row>
        <row r="27">
          <cell r="IT27"/>
        </row>
        <row r="28">
          <cell r="IT28"/>
        </row>
        <row r="41">
          <cell r="IF41">
            <v>0</v>
          </cell>
          <cell r="IT41">
            <v>0</v>
          </cell>
        </row>
        <row r="43">
          <cell r="IF43">
            <v>0</v>
          </cell>
          <cell r="IT43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57">
        <row r="4">
          <cell r="GM4"/>
        </row>
        <row r="58">
          <cell r="BG58"/>
        </row>
      </sheetData>
      <sheetData sheetId="58">
        <row r="4">
          <cell r="GM4"/>
        </row>
        <row r="58">
          <cell r="BH58"/>
        </row>
      </sheetData>
      <sheetData sheetId="59"/>
      <sheetData sheetId="60"/>
      <sheetData sheetId="61"/>
      <sheetData sheetId="62">
        <row r="4">
          <cell r="GM4"/>
        </row>
      </sheetData>
      <sheetData sheetId="63">
        <row r="4">
          <cell r="GM4"/>
          <cell r="IT4"/>
        </row>
        <row r="5">
          <cell r="IT5"/>
        </row>
        <row r="15">
          <cell r="IT15"/>
        </row>
        <row r="16">
          <cell r="IT16"/>
        </row>
        <row r="22">
          <cell r="IT22"/>
        </row>
        <row r="23">
          <cell r="IT23"/>
        </row>
        <row r="32">
          <cell r="IT32"/>
        </row>
        <row r="33">
          <cell r="IT33"/>
        </row>
      </sheetData>
      <sheetData sheetId="64">
        <row r="4">
          <cell r="IT4"/>
        </row>
        <row r="5">
          <cell r="IT5"/>
        </row>
        <row r="15">
          <cell r="IT15"/>
        </row>
        <row r="16">
          <cell r="IT16"/>
        </row>
        <row r="22">
          <cell r="IT22"/>
        </row>
        <row r="23">
          <cell r="IT23"/>
        </row>
        <row r="32">
          <cell r="IT32"/>
        </row>
        <row r="33">
          <cell r="IT33"/>
        </row>
      </sheetData>
      <sheetData sheetId="65">
        <row r="4">
          <cell r="GM4"/>
          <cell r="IT4"/>
        </row>
        <row r="5">
          <cell r="IT5"/>
        </row>
        <row r="15">
          <cell r="IT15"/>
        </row>
        <row r="16">
          <cell r="IT16"/>
        </row>
        <row r="22">
          <cell r="IT22"/>
        </row>
        <row r="23">
          <cell r="IT23"/>
        </row>
        <row r="32">
          <cell r="IT32"/>
        </row>
        <row r="33">
          <cell r="IT33"/>
        </row>
        <row r="37">
          <cell r="IT37"/>
        </row>
        <row r="38">
          <cell r="IT38"/>
        </row>
      </sheetData>
      <sheetData sheetId="66">
        <row r="4">
          <cell r="GM4">
            <v>2</v>
          </cell>
          <cell r="IT4"/>
        </row>
        <row r="5">
          <cell r="IT5"/>
        </row>
        <row r="15">
          <cell r="IT15"/>
        </row>
        <row r="16">
          <cell r="IT16"/>
        </row>
        <row r="22">
          <cell r="IT22"/>
        </row>
        <row r="23">
          <cell r="IT23"/>
        </row>
        <row r="32">
          <cell r="IT32"/>
        </row>
        <row r="33">
          <cell r="IT33"/>
        </row>
        <row r="37">
          <cell r="IT37"/>
        </row>
        <row r="38">
          <cell r="IT38"/>
        </row>
      </sheetData>
      <sheetData sheetId="67">
        <row r="4">
          <cell r="GM4">
            <v>30</v>
          </cell>
          <cell r="IT4"/>
        </row>
        <row r="5">
          <cell r="IT5"/>
        </row>
        <row r="19">
          <cell r="IF19">
            <v>64</v>
          </cell>
          <cell r="IT19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2943114</v>
          </cell>
          <cell r="IT64">
            <v>0</v>
          </cell>
        </row>
      </sheetData>
      <sheetData sheetId="68">
        <row r="4">
          <cell r="HA4">
            <v>29</v>
          </cell>
          <cell r="IT4">
            <v>115</v>
          </cell>
        </row>
        <row r="5">
          <cell r="IT5">
            <v>115</v>
          </cell>
        </row>
        <row r="8">
          <cell r="IT8"/>
        </row>
        <row r="9">
          <cell r="IT9"/>
        </row>
        <row r="15">
          <cell r="IT15"/>
        </row>
        <row r="16">
          <cell r="IT16"/>
        </row>
        <row r="19">
          <cell r="IF19">
            <v>117</v>
          </cell>
          <cell r="IT19">
            <v>230</v>
          </cell>
        </row>
        <row r="47">
          <cell r="IT47">
            <v>2487231</v>
          </cell>
        </row>
        <row r="48">
          <cell r="IT48"/>
        </row>
        <row r="52">
          <cell r="IT52">
            <v>2762649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2626710</v>
          </cell>
          <cell r="IT64">
            <v>5249880</v>
          </cell>
        </row>
      </sheetData>
      <sheetData sheetId="69">
        <row r="4">
          <cell r="GM4">
            <v>1</v>
          </cell>
          <cell r="IT4">
            <v>10</v>
          </cell>
        </row>
        <row r="5">
          <cell r="IT5">
            <v>10</v>
          </cell>
        </row>
        <row r="15">
          <cell r="IT15"/>
        </row>
        <row r="19">
          <cell r="IF19">
            <v>2</v>
          </cell>
          <cell r="IT19">
            <v>20</v>
          </cell>
        </row>
        <row r="47">
          <cell r="IT47">
            <v>388224</v>
          </cell>
        </row>
        <row r="48">
          <cell r="IT48"/>
        </row>
        <row r="52">
          <cell r="IT52">
            <v>378219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35948</v>
          </cell>
          <cell r="IT64">
            <v>766443</v>
          </cell>
        </row>
      </sheetData>
      <sheetData sheetId="70">
        <row r="4">
          <cell r="HA4"/>
          <cell r="IT4"/>
        </row>
        <row r="5">
          <cell r="IT5"/>
        </row>
        <row r="8">
          <cell r="IT8"/>
        </row>
        <row r="9">
          <cell r="IT9"/>
        </row>
        <row r="19">
          <cell r="IF19">
            <v>0</v>
          </cell>
          <cell r="IT19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71">
        <row r="4">
          <cell r="GM4">
            <v>3</v>
          </cell>
        </row>
        <row r="19">
          <cell r="IF19">
            <v>0</v>
          </cell>
          <cell r="IT19">
            <v>0</v>
          </cell>
        </row>
        <row r="64">
          <cell r="IF64">
            <v>0</v>
          </cell>
          <cell r="IT64">
            <v>0</v>
          </cell>
        </row>
      </sheetData>
      <sheetData sheetId="72">
        <row r="4">
          <cell r="IT4"/>
        </row>
        <row r="5">
          <cell r="IT5"/>
        </row>
        <row r="15">
          <cell r="IT15"/>
        </row>
        <row r="19">
          <cell r="IF19">
            <v>32</v>
          </cell>
          <cell r="IT19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843641</v>
          </cell>
          <cell r="IT64">
            <v>0</v>
          </cell>
        </row>
      </sheetData>
      <sheetData sheetId="73">
        <row r="4">
          <cell r="HO4">
            <v>38</v>
          </cell>
          <cell r="IT4">
            <v>35</v>
          </cell>
        </row>
        <row r="5">
          <cell r="IT5">
            <v>35</v>
          </cell>
        </row>
        <row r="19">
          <cell r="IF19">
            <v>56</v>
          </cell>
          <cell r="IT19">
            <v>70</v>
          </cell>
        </row>
        <row r="47">
          <cell r="IT47">
            <v>43923</v>
          </cell>
        </row>
        <row r="48">
          <cell r="IT48"/>
        </row>
        <row r="52">
          <cell r="IT52">
            <v>42317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74018</v>
          </cell>
          <cell r="IT64">
            <v>86240</v>
          </cell>
        </row>
      </sheetData>
      <sheetData sheetId="74">
        <row r="4">
          <cell r="HA4">
            <v>45</v>
          </cell>
          <cell r="IT4"/>
        </row>
        <row r="5">
          <cell r="IT5"/>
        </row>
        <row r="12">
          <cell r="IT12">
            <v>0</v>
          </cell>
        </row>
        <row r="15">
          <cell r="IT15"/>
        </row>
        <row r="19">
          <cell r="IF19">
            <v>0</v>
          </cell>
          <cell r="IT19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75">
        <row r="4">
          <cell r="GM4">
            <v>21</v>
          </cell>
          <cell r="IT4">
            <v>12</v>
          </cell>
        </row>
        <row r="5">
          <cell r="IT5">
            <v>12</v>
          </cell>
        </row>
        <row r="15">
          <cell r="IT15"/>
        </row>
        <row r="19">
          <cell r="IF19">
            <v>0</v>
          </cell>
          <cell r="IT19">
            <v>24</v>
          </cell>
        </row>
        <row r="47">
          <cell r="IT47">
            <v>318340</v>
          </cell>
        </row>
        <row r="48">
          <cell r="IT48"/>
        </row>
        <row r="52">
          <cell r="IT52">
            <v>278725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597065</v>
          </cell>
        </row>
      </sheetData>
      <sheetData sheetId="76">
        <row r="4">
          <cell r="IC4">
            <v>40</v>
          </cell>
          <cell r="IT4">
            <v>1</v>
          </cell>
        </row>
        <row r="5">
          <cell r="IT5">
            <v>1</v>
          </cell>
        </row>
        <row r="15">
          <cell r="IT15"/>
        </row>
        <row r="19">
          <cell r="IF19">
            <v>12</v>
          </cell>
          <cell r="IT19">
            <v>2</v>
          </cell>
        </row>
        <row r="47">
          <cell r="IT47">
            <v>22802</v>
          </cell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221384</v>
          </cell>
          <cell r="IT64">
            <v>22802</v>
          </cell>
        </row>
      </sheetData>
      <sheetData sheetId="77">
        <row r="4">
          <cell r="HA4"/>
        </row>
      </sheetData>
      <sheetData sheetId="78">
        <row r="4">
          <cell r="HA4">
            <v>24</v>
          </cell>
          <cell r="IT4">
            <v>1</v>
          </cell>
        </row>
        <row r="5">
          <cell r="IT5">
            <v>1</v>
          </cell>
        </row>
        <row r="15">
          <cell r="IT15"/>
        </row>
        <row r="19">
          <cell r="IF19">
            <v>14</v>
          </cell>
          <cell r="IT19">
            <v>2</v>
          </cell>
        </row>
        <row r="47">
          <cell r="IT47">
            <v>23997</v>
          </cell>
        </row>
        <row r="48">
          <cell r="IT48"/>
        </row>
        <row r="52">
          <cell r="IT52">
            <v>29348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165251</v>
          </cell>
          <cell r="IT64">
            <v>53345</v>
          </cell>
        </row>
      </sheetData>
      <sheetData sheetId="79">
        <row r="4">
          <cell r="GM4">
            <v>40</v>
          </cell>
        </row>
        <row r="19">
          <cell r="IF19">
            <v>0</v>
          </cell>
        </row>
        <row r="64">
          <cell r="IF64">
            <v>0</v>
          </cell>
        </row>
      </sheetData>
      <sheetData sheetId="80">
        <row r="4">
          <cell r="GN4">
            <v>0</v>
          </cell>
        </row>
      </sheetData>
      <sheetData sheetId="81">
        <row r="4">
          <cell r="GM4">
            <v>159</v>
          </cell>
          <cell r="IT4">
            <v>93</v>
          </cell>
        </row>
        <row r="5">
          <cell r="IT5">
            <v>93</v>
          </cell>
        </row>
        <row r="15">
          <cell r="IT15"/>
        </row>
        <row r="19">
          <cell r="IF19">
            <v>180</v>
          </cell>
          <cell r="IT19">
            <v>186</v>
          </cell>
        </row>
        <row r="47">
          <cell r="IT47">
            <v>6314474</v>
          </cell>
        </row>
        <row r="48">
          <cell r="IT48"/>
        </row>
        <row r="52">
          <cell r="IT52">
            <v>5516531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12282155</v>
          </cell>
          <cell r="IT64">
            <v>11831005</v>
          </cell>
        </row>
      </sheetData>
      <sheetData sheetId="82">
        <row r="4">
          <cell r="GM4">
            <v>20</v>
          </cell>
          <cell r="IT4">
            <v>21</v>
          </cell>
        </row>
        <row r="5">
          <cell r="IT5">
            <v>21</v>
          </cell>
        </row>
        <row r="19">
          <cell r="IF19">
            <v>36</v>
          </cell>
          <cell r="IT19">
            <v>42</v>
          </cell>
        </row>
        <row r="47">
          <cell r="IT47"/>
        </row>
        <row r="48">
          <cell r="IT48">
            <v>42587</v>
          </cell>
        </row>
        <row r="52">
          <cell r="IT52">
            <v>50866</v>
          </cell>
        </row>
        <row r="53">
          <cell r="IT53"/>
        </row>
        <row r="57">
          <cell r="IT57"/>
        </row>
        <row r="58">
          <cell r="IT58"/>
        </row>
        <row r="64">
          <cell r="IF64">
            <v>106638</v>
          </cell>
          <cell r="IT64">
            <v>93453</v>
          </cell>
        </row>
      </sheetData>
      <sheetData sheetId="83">
        <row r="4">
          <cell r="GM4">
            <v>15</v>
          </cell>
          <cell r="IT4">
            <v>15</v>
          </cell>
        </row>
        <row r="5">
          <cell r="IT5">
            <v>15</v>
          </cell>
        </row>
        <row r="15">
          <cell r="IT15"/>
        </row>
        <row r="19">
          <cell r="IF19">
            <v>22</v>
          </cell>
          <cell r="IT19">
            <v>30</v>
          </cell>
        </row>
        <row r="47">
          <cell r="IT47">
            <v>54567</v>
          </cell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67333</v>
          </cell>
          <cell r="IT64">
            <v>54567</v>
          </cell>
        </row>
      </sheetData>
      <sheetData sheetId="84">
        <row r="4">
          <cell r="GM4">
            <v>189</v>
          </cell>
          <cell r="IT4">
            <v>86</v>
          </cell>
        </row>
        <row r="5">
          <cell r="IT5">
            <v>86</v>
          </cell>
        </row>
        <row r="15">
          <cell r="IT15"/>
        </row>
        <row r="16">
          <cell r="IT16"/>
        </row>
        <row r="19">
          <cell r="IF19">
            <v>238</v>
          </cell>
          <cell r="IT19">
            <v>172</v>
          </cell>
        </row>
        <row r="47">
          <cell r="IT47">
            <v>4890616</v>
          </cell>
        </row>
        <row r="48">
          <cell r="IT48">
            <v>28879</v>
          </cell>
        </row>
        <row r="52">
          <cell r="IT52">
            <v>3723973</v>
          </cell>
        </row>
        <row r="53">
          <cell r="IT53">
            <v>75387</v>
          </cell>
        </row>
        <row r="57">
          <cell r="IT57"/>
        </row>
        <row r="58">
          <cell r="IT58"/>
        </row>
        <row r="64">
          <cell r="IF64">
            <v>10210625</v>
          </cell>
          <cell r="IT64">
            <v>8718855</v>
          </cell>
        </row>
      </sheetData>
      <sheetData sheetId="85"/>
      <sheetData sheetId="86"/>
      <sheetData sheetId="87"/>
      <sheetData sheetId="88">
        <row r="4">
          <cell r="GM4">
            <v>236</v>
          </cell>
          <cell r="IT4">
            <v>177</v>
          </cell>
        </row>
        <row r="5">
          <cell r="IT5">
            <v>177</v>
          </cell>
        </row>
        <row r="19">
          <cell r="IF19">
            <v>354</v>
          </cell>
          <cell r="IT19">
            <v>354</v>
          </cell>
        </row>
      </sheetData>
      <sheetData sheetId="89">
        <row r="4">
          <cell r="GM4"/>
        </row>
        <row r="19">
          <cell r="IF19">
            <v>0</v>
          </cell>
        </row>
        <row r="64">
          <cell r="IF64">
            <v>0</v>
          </cell>
        </row>
      </sheetData>
      <sheetData sheetId="90">
        <row r="4">
          <cell r="GM4"/>
          <cell r="IT4"/>
        </row>
        <row r="5">
          <cell r="IT5"/>
        </row>
        <row r="8">
          <cell r="IT8"/>
        </row>
        <row r="9">
          <cell r="IT9"/>
        </row>
        <row r="19">
          <cell r="IF19">
            <v>0</v>
          </cell>
          <cell r="IT19">
            <v>0</v>
          </cell>
        </row>
        <row r="47">
          <cell r="IT47"/>
        </row>
        <row r="48">
          <cell r="IT48"/>
        </row>
        <row r="52">
          <cell r="IT52"/>
        </row>
        <row r="53">
          <cell r="IT53"/>
        </row>
        <row r="57">
          <cell r="IT57"/>
        </row>
        <row r="58">
          <cell r="IT58"/>
        </row>
        <row r="64">
          <cell r="IF64">
            <v>0</v>
          </cell>
          <cell r="IT64">
            <v>0</v>
          </cell>
        </row>
      </sheetData>
      <sheetData sheetId="91">
        <row r="4">
          <cell r="GM4">
            <v>17</v>
          </cell>
          <cell r="IT4">
            <v>37</v>
          </cell>
        </row>
        <row r="5">
          <cell r="IT5">
            <v>37</v>
          </cell>
        </row>
      </sheetData>
      <sheetData sheetId="92">
        <row r="4">
          <cell r="GM4">
            <v>588</v>
          </cell>
          <cell r="IT4">
            <v>606</v>
          </cell>
        </row>
        <row r="5">
          <cell r="IT5">
            <v>606</v>
          </cell>
        </row>
      </sheetData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251121</v>
          </cell>
          <cell r="I22">
            <v>2010512</v>
          </cell>
          <cell r="N22">
            <v>2261633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341563</v>
          </cell>
          <cell r="I23">
            <v>2692997</v>
          </cell>
          <cell r="N23">
            <v>3034560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249458</v>
          </cell>
          <cell r="I24">
            <v>2532647</v>
          </cell>
          <cell r="N24">
            <v>2782105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214242</v>
          </cell>
          <cell r="I25">
            <v>2648712</v>
          </cell>
          <cell r="N25">
            <v>2862954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250278</v>
          </cell>
          <cell r="I26">
            <v>3007302</v>
          </cell>
          <cell r="N26">
            <v>3257580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265615</v>
          </cell>
          <cell r="I27">
            <v>3154132</v>
          </cell>
          <cell r="N27">
            <v>3419747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261890</v>
          </cell>
          <cell r="I28">
            <v>3081501</v>
          </cell>
          <cell r="N28">
            <v>3343391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L13" sqref="L13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45292</v>
      </c>
      <c r="B2" s="10"/>
      <c r="C2" s="10"/>
      <c r="D2" s="449" t="s">
        <v>237</v>
      </c>
      <c r="E2" s="449" t="s">
        <v>218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50"/>
      <c r="E3" s="451"/>
      <c r="F3" s="5" t="s">
        <v>2</v>
      </c>
      <c r="G3" s="5" t="s">
        <v>238</v>
      </c>
      <c r="H3" s="5" t="s">
        <v>219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1042906</v>
      </c>
      <c r="C5" s="10">
        <f>'Major Airline Stats'!K5</f>
        <v>1075845</v>
      </c>
      <c r="D5" s="2">
        <f>'Major Airline Stats'!K6</f>
        <v>2118751</v>
      </c>
      <c r="E5" s="2">
        <f>'[1]Monthly Summary'!D5</f>
        <v>2010290</v>
      </c>
      <c r="F5" s="3">
        <f>(D5-E5)/E5</f>
        <v>5.3952912266389423E-2</v>
      </c>
      <c r="G5" s="2">
        <f>+D5</f>
        <v>2118751</v>
      </c>
      <c r="H5" s="2">
        <f>'[1]Monthly Summary'!G5</f>
        <v>2010290</v>
      </c>
      <c r="I5" s="65">
        <f>(G5-H5)/H5</f>
        <v>5.3952912266389423E-2</v>
      </c>
      <c r="J5" s="2"/>
    </row>
    <row r="6" spans="1:14" x14ac:dyDescent="0.2">
      <c r="A6" s="50" t="s">
        <v>5</v>
      </c>
      <c r="B6" s="217">
        <f>'Regional Major'!M5</f>
        <v>174271</v>
      </c>
      <c r="C6" s="217">
        <f>'Regional Major'!M6</f>
        <v>173802</v>
      </c>
      <c r="D6" s="2">
        <f>B6+C6</f>
        <v>348073</v>
      </c>
      <c r="E6" s="2">
        <f>'[1]Monthly Summary'!D6</f>
        <v>308603</v>
      </c>
      <c r="F6" s="3">
        <f>(D6-E6)/E6</f>
        <v>0.12789895107954233</v>
      </c>
      <c r="G6" s="2">
        <f t="shared" ref="G6:G7" si="0">+D6</f>
        <v>348073</v>
      </c>
      <c r="H6" s="2">
        <f>'[1]Monthly Summary'!G6</f>
        <v>308603</v>
      </c>
      <c r="I6" s="65">
        <f>(G6-H6)/H6</f>
        <v>0.12789895107954233</v>
      </c>
      <c r="K6" s="2"/>
    </row>
    <row r="7" spans="1:14" x14ac:dyDescent="0.2">
      <c r="A7" s="50" t="s">
        <v>6</v>
      </c>
      <c r="B7" s="2">
        <f>Charter!H5</f>
        <v>0</v>
      </c>
      <c r="C7" s="217">
        <f>Charter!H6</f>
        <v>0</v>
      </c>
      <c r="D7" s="2">
        <f>B7+C7</f>
        <v>0</v>
      </c>
      <c r="E7" s="2">
        <f>'[1]Monthly Summary'!D7</f>
        <v>65</v>
      </c>
      <c r="F7" s="3">
        <f>(D7-E7)/E7</f>
        <v>-1</v>
      </c>
      <c r="G7" s="2">
        <f t="shared" si="0"/>
        <v>0</v>
      </c>
      <c r="H7" s="2">
        <f>'[1]Monthly Summary'!G7</f>
        <v>65</v>
      </c>
      <c r="I7" s="65">
        <f>(G7-H7)/H7</f>
        <v>-1</v>
      </c>
      <c r="K7" s="2"/>
    </row>
    <row r="8" spans="1:14" x14ac:dyDescent="0.2">
      <c r="A8" s="52" t="s">
        <v>7</v>
      </c>
      <c r="B8" s="119">
        <f>SUM(B5:B7)</f>
        <v>1217177</v>
      </c>
      <c r="C8" s="119">
        <f>SUM(C5:C7)</f>
        <v>1249647</v>
      </c>
      <c r="D8" s="119">
        <f>SUM(D5:D7)</f>
        <v>2466824</v>
      </c>
      <c r="E8" s="119">
        <f>SUM(E5:E7)</f>
        <v>2318958</v>
      </c>
      <c r="F8" s="71">
        <f>(D8-E8)/E8</f>
        <v>6.3763983651277861E-2</v>
      </c>
      <c r="G8" s="119">
        <f>SUM(G5:G7)</f>
        <v>2466824</v>
      </c>
      <c r="H8" s="119">
        <f>SUM(H5:H7)</f>
        <v>2318958</v>
      </c>
      <c r="I8" s="70">
        <f>(G8-H8)/H8</f>
        <v>6.3763983651277861E-2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38306</v>
      </c>
      <c r="C10" s="218">
        <f>'Major Airline Stats'!K10+'Regional Major'!M11</f>
        <v>38598</v>
      </c>
      <c r="D10" s="96">
        <f>SUM(B10:C10)</f>
        <v>76904</v>
      </c>
      <c r="E10" s="402">
        <f>'[1]Monthly Summary'!D10</f>
        <v>73972</v>
      </c>
      <c r="F10" s="72">
        <f>(D10-E10)/E10</f>
        <v>3.9636619261342126E-2</v>
      </c>
      <c r="G10" s="402">
        <f>+D10</f>
        <v>76904</v>
      </c>
      <c r="H10" s="402">
        <f>'[1]Monthly Summary'!G10</f>
        <v>73972</v>
      </c>
      <c r="I10" s="75">
        <f>(G10-H10)/H10</f>
        <v>3.9636619261342126E-2</v>
      </c>
      <c r="J10" s="169"/>
    </row>
    <row r="11" spans="1:14" ht="15.75" thickBot="1" x14ac:dyDescent="0.3">
      <c r="A11" s="51" t="s">
        <v>13</v>
      </c>
      <c r="B11" s="197">
        <f>B10+B8</f>
        <v>1255483</v>
      </c>
      <c r="C11" s="197">
        <f>C10+C8</f>
        <v>1288245</v>
      </c>
      <c r="D11" s="197">
        <f>D10+D8</f>
        <v>2543728</v>
      </c>
      <c r="E11" s="197">
        <f>E10+E8</f>
        <v>2392930</v>
      </c>
      <c r="F11" s="73">
        <f>(D11-E11)/E11</f>
        <v>6.3018140940186304E-2</v>
      </c>
      <c r="G11" s="197">
        <f>G8+G10</f>
        <v>2543728</v>
      </c>
      <c r="H11" s="197">
        <f>H8+H10</f>
        <v>2392930</v>
      </c>
      <c r="I11" s="76">
        <f>(G11-H11)/H11</f>
        <v>6.3018140940186304E-2</v>
      </c>
      <c r="N11" s="436"/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  <c r="N12" s="391"/>
    </row>
    <row r="13" spans="1:14" ht="16.5" customHeight="1" x14ac:dyDescent="0.2">
      <c r="B13" s="10"/>
      <c r="C13" s="10"/>
      <c r="D13" s="449" t="s">
        <v>237</v>
      </c>
      <c r="E13" s="449" t="s">
        <v>218</v>
      </c>
      <c r="F13" s="5"/>
      <c r="G13" s="5"/>
      <c r="H13" s="5"/>
      <c r="I13" s="5"/>
    </row>
    <row r="14" spans="1:14" ht="13.5" thickBot="1" x14ac:dyDescent="0.25">
      <c r="A14" s="9"/>
      <c r="B14" s="5" t="s">
        <v>250</v>
      </c>
      <c r="C14" s="5" t="s">
        <v>251</v>
      </c>
      <c r="D14" s="450"/>
      <c r="E14" s="451"/>
      <c r="F14" s="5" t="s">
        <v>2</v>
      </c>
      <c r="G14" s="5" t="s">
        <v>238</v>
      </c>
      <c r="H14" s="5" t="s">
        <v>219</v>
      </c>
      <c r="I14" s="5" t="s">
        <v>2</v>
      </c>
      <c r="N14" s="340"/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  <c r="N15" s="340"/>
    </row>
    <row r="16" spans="1:14" x14ac:dyDescent="0.2">
      <c r="A16" s="50" t="s">
        <v>4</v>
      </c>
      <c r="B16" s="226">
        <f>'Major Airline Stats'!K15+'Major Airline Stats'!K19</f>
        <v>8154</v>
      </c>
      <c r="C16" s="226">
        <f>'Major Airline Stats'!K16+'Major Airline Stats'!K20</f>
        <v>8170</v>
      </c>
      <c r="D16" s="31">
        <f>SUM(B16:C16)</f>
        <v>16324</v>
      </c>
      <c r="E16" s="2">
        <f>'[1]Monthly Summary'!D16</f>
        <v>15601</v>
      </c>
      <c r="F16" s="74">
        <f t="shared" ref="F16:F22" si="1">(D16-E16)/E16</f>
        <v>4.6343183129286585E-2</v>
      </c>
      <c r="G16" s="2">
        <f t="shared" ref="G16:H21" si="2">+D16</f>
        <v>16324</v>
      </c>
      <c r="H16" s="2">
        <f t="shared" si="2"/>
        <v>15601</v>
      </c>
      <c r="I16" s="192">
        <f t="shared" ref="I16:I22" si="3">(G16-H16)/H16</f>
        <v>4.6343183129286585E-2</v>
      </c>
      <c r="N16" s="340"/>
    </row>
    <row r="17" spans="1:14" x14ac:dyDescent="0.2">
      <c r="A17" s="50" t="s">
        <v>5</v>
      </c>
      <c r="B17" s="31">
        <f>'Regional Major'!M15+'Regional Major'!M18</f>
        <v>3305</v>
      </c>
      <c r="C17" s="31">
        <f>'Regional Major'!M16+'Regional Major'!M19</f>
        <v>3316</v>
      </c>
      <c r="D17" s="31">
        <f>SUM(B17:C17)</f>
        <v>6621</v>
      </c>
      <c r="E17" s="2">
        <f>'[1]Monthly Summary'!D17</f>
        <v>6326</v>
      </c>
      <c r="F17" s="74">
        <f t="shared" si="1"/>
        <v>4.663294340815681E-2</v>
      </c>
      <c r="G17" s="2">
        <f t="shared" si="2"/>
        <v>6621</v>
      </c>
      <c r="H17" s="2">
        <f t="shared" si="2"/>
        <v>6326</v>
      </c>
      <c r="I17" s="192">
        <f t="shared" si="3"/>
        <v>4.663294340815681E-2</v>
      </c>
      <c r="L17" s="2"/>
      <c r="M17" s="2"/>
      <c r="N17" s="340"/>
    </row>
    <row r="18" spans="1:14" x14ac:dyDescent="0.2">
      <c r="A18" s="50" t="s">
        <v>10</v>
      </c>
      <c r="B18" s="31">
        <f>Charter!H10</f>
        <v>0</v>
      </c>
      <c r="C18" s="31">
        <f>Charter!H11</f>
        <v>0</v>
      </c>
      <c r="D18" s="31">
        <f t="shared" ref="D18:D21" si="4">SUM(B18:C18)</f>
        <v>0</v>
      </c>
      <c r="E18" s="2">
        <f>'[1]Monthly Summary'!D18</f>
        <v>1</v>
      </c>
      <c r="F18" s="74">
        <f t="shared" si="1"/>
        <v>-1</v>
      </c>
      <c r="G18" s="2">
        <f t="shared" si="2"/>
        <v>0</v>
      </c>
      <c r="H18" s="2">
        <f t="shared" si="2"/>
        <v>1</v>
      </c>
      <c r="I18" s="192">
        <f t="shared" si="3"/>
        <v>-1</v>
      </c>
      <c r="N18" s="340"/>
    </row>
    <row r="19" spans="1:14" x14ac:dyDescent="0.2">
      <c r="A19" s="50" t="s">
        <v>11</v>
      </c>
      <c r="B19" s="31">
        <f>Cargo!S4+Cargo!S8</f>
        <v>566</v>
      </c>
      <c r="C19" s="31">
        <f>Cargo!S5+Cargo!S9</f>
        <v>566</v>
      </c>
      <c r="D19" s="31">
        <f t="shared" si="4"/>
        <v>1132</v>
      </c>
      <c r="E19" s="2">
        <f>'[1]Monthly Summary'!D19</f>
        <v>1127</v>
      </c>
      <c r="F19" s="74">
        <f t="shared" si="1"/>
        <v>4.4365572315882874E-3</v>
      </c>
      <c r="G19" s="2">
        <f t="shared" si="2"/>
        <v>1132</v>
      </c>
      <c r="H19" s="2">
        <f t="shared" si="2"/>
        <v>1127</v>
      </c>
      <c r="I19" s="192">
        <f t="shared" si="3"/>
        <v>4.4365572315882874E-3</v>
      </c>
      <c r="N19" s="340"/>
    </row>
    <row r="20" spans="1:14" x14ac:dyDescent="0.2">
      <c r="A20" s="50" t="s">
        <v>146</v>
      </c>
      <c r="B20" s="31">
        <f>'[2]General Avation'!$IT$4</f>
        <v>606</v>
      </c>
      <c r="C20" s="31">
        <f>'[2]General Avation'!$IT$5</f>
        <v>606</v>
      </c>
      <c r="D20" s="31">
        <f t="shared" si="4"/>
        <v>1212</v>
      </c>
      <c r="E20" s="2">
        <f>'[1]Monthly Summary'!D20</f>
        <v>1297</v>
      </c>
      <c r="F20" s="74">
        <f t="shared" si="1"/>
        <v>-6.5535851966075559E-2</v>
      </c>
      <c r="G20" s="2">
        <f t="shared" si="2"/>
        <v>1212</v>
      </c>
      <c r="H20" s="2">
        <f t="shared" si="2"/>
        <v>1297</v>
      </c>
      <c r="I20" s="192">
        <f t="shared" si="3"/>
        <v>-6.5535851966075559E-2</v>
      </c>
      <c r="M20" s="2"/>
      <c r="N20" s="340"/>
    </row>
    <row r="21" spans="1:14" ht="12.75" customHeight="1" x14ac:dyDescent="0.2">
      <c r="A21" s="50" t="s">
        <v>12</v>
      </c>
      <c r="B21" s="11">
        <f>'[2]Military '!$IT$4</f>
        <v>37</v>
      </c>
      <c r="C21" s="11">
        <f>'[2]Military '!$IT$5</f>
        <v>37</v>
      </c>
      <c r="D21" s="11">
        <f t="shared" si="4"/>
        <v>74</v>
      </c>
      <c r="E21" s="402">
        <f>'[1]Monthly Summary'!D21</f>
        <v>86</v>
      </c>
      <c r="F21" s="190">
        <f t="shared" si="1"/>
        <v>-0.13953488372093023</v>
      </c>
      <c r="G21" s="402">
        <f t="shared" si="2"/>
        <v>74</v>
      </c>
      <c r="H21" s="402">
        <f t="shared" si="2"/>
        <v>86</v>
      </c>
      <c r="I21" s="193">
        <f t="shared" si="3"/>
        <v>-0.13953488372093023</v>
      </c>
      <c r="K21" s="95"/>
      <c r="N21" s="340"/>
    </row>
    <row r="22" spans="1:14" ht="15.75" thickBot="1" x14ac:dyDescent="0.3">
      <c r="A22" s="51" t="s">
        <v>28</v>
      </c>
      <c r="B22" s="198">
        <f>SUM(B16:B21)</f>
        <v>12668</v>
      </c>
      <c r="C22" s="198">
        <f>SUM(C16:C21)</f>
        <v>12695</v>
      </c>
      <c r="D22" s="198">
        <f>SUM(D16:D21)</f>
        <v>25363</v>
      </c>
      <c r="E22" s="198">
        <f>SUM(E16:E21)</f>
        <v>24438</v>
      </c>
      <c r="F22" s="195">
        <f t="shared" si="1"/>
        <v>3.7850887961371635E-2</v>
      </c>
      <c r="G22" s="198">
        <f>SUM(G16:G21)</f>
        <v>25363</v>
      </c>
      <c r="H22" s="198">
        <f>SUM(H16:H21)</f>
        <v>24438</v>
      </c>
      <c r="I22" s="196">
        <f t="shared" si="3"/>
        <v>3.7850887961371635E-2</v>
      </c>
      <c r="N22" s="340"/>
    </row>
    <row r="23" spans="1:14" x14ac:dyDescent="0.2">
      <c r="B23" s="95"/>
      <c r="C23" s="95"/>
      <c r="L23" s="2"/>
      <c r="N23" s="340"/>
    </row>
    <row r="24" spans="1:14" ht="12.75" customHeight="1" x14ac:dyDescent="0.2">
      <c r="B24" s="10"/>
      <c r="C24" s="10"/>
      <c r="D24" s="449" t="s">
        <v>237</v>
      </c>
      <c r="E24" s="449" t="s">
        <v>218</v>
      </c>
      <c r="F24" s="5"/>
      <c r="G24" s="5"/>
      <c r="H24" s="5"/>
      <c r="I24" s="5"/>
      <c r="N24" s="340"/>
    </row>
    <row r="25" spans="1:14" ht="13.5" thickBot="1" x14ac:dyDescent="0.25">
      <c r="B25" s="5" t="s">
        <v>0</v>
      </c>
      <c r="C25" s="5" t="s">
        <v>1</v>
      </c>
      <c r="D25" s="450"/>
      <c r="E25" s="451"/>
      <c r="F25" s="5" t="s">
        <v>2</v>
      </c>
      <c r="G25" s="5" t="s">
        <v>238</v>
      </c>
      <c r="H25" s="5" t="s">
        <v>219</v>
      </c>
      <c r="I25" s="5" t="s">
        <v>2</v>
      </c>
      <c r="N25" s="340"/>
    </row>
    <row r="26" spans="1:14" ht="15" x14ac:dyDescent="0.25">
      <c r="A26" s="48" t="s">
        <v>125</v>
      </c>
      <c r="B26" s="35"/>
      <c r="C26" s="35"/>
      <c r="D26" s="35"/>
      <c r="E26" s="35"/>
      <c r="F26" s="35"/>
      <c r="G26" s="35"/>
      <c r="H26" s="35"/>
      <c r="I26" s="36"/>
    </row>
    <row r="27" spans="1:14" x14ac:dyDescent="0.2">
      <c r="A27" s="45" t="s">
        <v>15</v>
      </c>
      <c r="B27" s="13">
        <f>(Cargo!S16+'Major Airline Stats'!K28+'Regional Major'!M25)*0.00045359237</f>
        <v>8195.9813080605454</v>
      </c>
      <c r="C27" s="13">
        <f>(Cargo!S21+'Major Airline Stats'!K33+'Regional Major'!M30)*0.00045359237</f>
        <v>6744.0275504076089</v>
      </c>
      <c r="D27" s="13">
        <f>(SUM(B27:C27)+('Cargo Summary'!E17*0.00045359237))</f>
        <v>14940.008858468154</v>
      </c>
      <c r="E27" s="2">
        <f>'[1]Monthly Summary'!D27</f>
        <v>15154.86717267831</v>
      </c>
      <c r="F27" s="77">
        <f>(D27-E27)/E27</f>
        <v>-1.417751219868886E-2</v>
      </c>
      <c r="G27" s="2">
        <f>+D27</f>
        <v>14940.008858468154</v>
      </c>
      <c r="H27" s="2">
        <f t="shared" ref="H27:H28" si="5">+E27</f>
        <v>15154.86717267831</v>
      </c>
      <c r="I27" s="79">
        <f>(G27-H27)/H27</f>
        <v>-1.417751219868886E-2</v>
      </c>
      <c r="N27" s="95"/>
    </row>
    <row r="28" spans="1:14" x14ac:dyDescent="0.2">
      <c r="A28" s="45" t="s">
        <v>16</v>
      </c>
      <c r="B28" s="13">
        <f>(Cargo!S17+'Major Airline Stats'!K29+'Regional Major'!M26)*0.00045359237</f>
        <v>195.74007620321001</v>
      </c>
      <c r="C28" s="13">
        <f>(Cargo!S22+'Major Airline Stats'!K34+'Regional Major'!M31)*0.00045359237</f>
        <v>172.01129855139999</v>
      </c>
      <c r="D28" s="13">
        <f>SUM(B28:C28)</f>
        <v>367.75137475460997</v>
      </c>
      <c r="E28" s="2">
        <f>'[1]Monthly Summary'!D28</f>
        <v>1444.782416924</v>
      </c>
      <c r="F28" s="77">
        <f>(D28-E28)/E28</f>
        <v>-0.74546245133743572</v>
      </c>
      <c r="G28" s="2">
        <f>+D28</f>
        <v>367.75137475460997</v>
      </c>
      <c r="H28" s="402">
        <f t="shared" si="5"/>
        <v>1444.782416924</v>
      </c>
      <c r="I28" s="79">
        <f>(G28-H28)/H28</f>
        <v>-0.74546245133743572</v>
      </c>
    </row>
    <row r="29" spans="1:14" ht="15.75" thickBot="1" x14ac:dyDescent="0.3">
      <c r="A29" s="46" t="s">
        <v>62</v>
      </c>
      <c r="B29" s="38">
        <f>SUM(B27:B28)</f>
        <v>8391.7213842637557</v>
      </c>
      <c r="C29" s="38">
        <f>SUM(C27:C28)</f>
        <v>6916.0388489590086</v>
      </c>
      <c r="D29" s="38">
        <f>SUM(D27:D28)</f>
        <v>15307.760233222765</v>
      </c>
      <c r="E29" s="38">
        <f>SUM(E27:E28)</f>
        <v>16599.649589602312</v>
      </c>
      <c r="F29" s="78">
        <f>(D29-E29)/E29</f>
        <v>-7.7826302862968863E-2</v>
      </c>
      <c r="G29" s="38">
        <f>SUM(G27:G28)</f>
        <v>15307.760233222765</v>
      </c>
      <c r="H29" s="38">
        <f>SUM(H27:H28)</f>
        <v>16599.649589602312</v>
      </c>
      <c r="I29" s="80">
        <f>(G29-H29)/H29</f>
        <v>-7.7826302862968863E-2</v>
      </c>
    </row>
    <row r="30" spans="1:14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4" ht="13.5" thickBot="1" x14ac:dyDescent="0.25">
      <c r="B31" s="448" t="s">
        <v>142</v>
      </c>
      <c r="C31" s="447"/>
      <c r="D31" s="448" t="s">
        <v>149</v>
      </c>
      <c r="E31" s="447"/>
      <c r="F31" s="308"/>
      <c r="G31" s="309"/>
    </row>
    <row r="32" spans="1:14" x14ac:dyDescent="0.2">
      <c r="A32" s="290" t="s">
        <v>143</v>
      </c>
      <c r="B32" s="291">
        <f>C8-B33</f>
        <v>876311</v>
      </c>
      <c r="C32" s="292">
        <f>B32/C8</f>
        <v>0.70124683210538652</v>
      </c>
      <c r="D32" s="293">
        <f>+B32</f>
        <v>876311</v>
      </c>
      <c r="E32" s="294">
        <f>+D32/D34</f>
        <v>0.70124683210538652</v>
      </c>
      <c r="G32" s="2"/>
      <c r="I32" s="307"/>
    </row>
    <row r="33" spans="1:14" ht="13.5" thickBot="1" x14ac:dyDescent="0.25">
      <c r="A33" s="295" t="s">
        <v>144</v>
      </c>
      <c r="B33" s="296">
        <f>'Major Airline Stats'!K51+'Regional Major'!M45</f>
        <v>373336</v>
      </c>
      <c r="C33" s="297">
        <f>+B33/C8</f>
        <v>0.29875316789461343</v>
      </c>
      <c r="D33" s="298">
        <f>+B33</f>
        <v>373336</v>
      </c>
      <c r="E33" s="299">
        <f>+D33/D34</f>
        <v>0.29875316789461343</v>
      </c>
      <c r="G33" s="230"/>
      <c r="H33" s="436"/>
      <c r="I33" s="307"/>
    </row>
    <row r="34" spans="1:14" ht="13.5" thickBot="1" x14ac:dyDescent="0.25">
      <c r="B34" s="230"/>
      <c r="D34" s="300">
        <f>SUM(D32:D33)</f>
        <v>1249647</v>
      </c>
    </row>
    <row r="35" spans="1:14" ht="13.5" thickBot="1" x14ac:dyDescent="0.25">
      <c r="B35" s="446" t="s">
        <v>240</v>
      </c>
      <c r="C35" s="447"/>
      <c r="D35" s="448" t="s">
        <v>239</v>
      </c>
      <c r="E35" s="447"/>
    </row>
    <row r="36" spans="1:14" x14ac:dyDescent="0.2">
      <c r="A36" s="290" t="s">
        <v>143</v>
      </c>
      <c r="B36" s="291">
        <f>'[1]Monthly Summary'!$B$32</f>
        <v>846314</v>
      </c>
      <c r="C36" s="292">
        <f>+B36/B38</f>
        <v>0.72000006805985184</v>
      </c>
      <c r="D36" s="293">
        <f>+'[1]Monthly Summary'!D32</f>
        <v>846314</v>
      </c>
      <c r="E36" s="294">
        <f>+D36/D38</f>
        <v>0.72000006805985184</v>
      </c>
    </row>
    <row r="37" spans="1:14" ht="13.5" thickBot="1" x14ac:dyDescent="0.25">
      <c r="A37" s="295" t="s">
        <v>144</v>
      </c>
      <c r="B37" s="296">
        <f>'[1]Monthly Summary'!$B$33</f>
        <v>329122</v>
      </c>
      <c r="C37" s="299">
        <f>+B37/B38</f>
        <v>0.27999993194014816</v>
      </c>
      <c r="D37" s="298">
        <f>+'[1]Monthly Summary'!D33</f>
        <v>329122</v>
      </c>
      <c r="E37" s="299">
        <f>+D37/D38</f>
        <v>0.27999993194014816</v>
      </c>
      <c r="G37" s="230"/>
      <c r="M37" s="1"/>
    </row>
    <row r="38" spans="1:14" x14ac:dyDescent="0.2">
      <c r="B38" s="312">
        <f>+SUM(B36:B37)</f>
        <v>1175436</v>
      </c>
      <c r="D38" s="300">
        <f>SUM(D36:D37)</f>
        <v>1175436</v>
      </c>
      <c r="K38" s="305"/>
    </row>
    <row r="39" spans="1:14" x14ac:dyDescent="0.2">
      <c r="A39" s="304" t="s">
        <v>145</v>
      </c>
    </row>
    <row r="40" spans="1:14" x14ac:dyDescent="0.2">
      <c r="A40" s="170" t="s">
        <v>147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B13:C13 E13 B15:I22 B26:I30">
    <cfRule type="expression" dxfId="3" priority="29" stopIfTrue="1">
      <formula>"*.*"</formula>
    </cfRule>
  </conditionalFormatting>
  <conditionalFormatting sqref="B24:C24 E24 D24:D25 F24:I25">
    <cfRule type="expression" dxfId="2" priority="3" stopIfTrue="1">
      <formula>"*.*"</formula>
    </cfRule>
  </conditionalFormatting>
  <conditionalFormatting sqref="B4:E12">
    <cfRule type="expression" dxfId="1" priority="24" stopIfTrue="1">
      <formula>"*.*"</formula>
    </cfRule>
  </conditionalFormatting>
  <conditionalFormatting sqref="F2:I14">
    <cfRule type="expression" dxfId="0" priority="2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2024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/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9" ht="39" thickBot="1" x14ac:dyDescent="0.25">
      <c r="A1" s="396">
        <v>45292</v>
      </c>
      <c r="B1" s="326" t="s">
        <v>18</v>
      </c>
      <c r="C1" s="325" t="s">
        <v>186</v>
      </c>
      <c r="D1" s="364" t="s">
        <v>155</v>
      </c>
      <c r="E1" s="325" t="s">
        <v>161</v>
      </c>
      <c r="F1" s="325" t="s">
        <v>160</v>
      </c>
      <c r="G1" s="325" t="s">
        <v>49</v>
      </c>
      <c r="H1" s="325" t="s">
        <v>113</v>
      </c>
      <c r="I1" s="325" t="s">
        <v>185</v>
      </c>
      <c r="J1" s="325" t="s">
        <v>236</v>
      </c>
      <c r="K1" s="325" t="s">
        <v>187</v>
      </c>
      <c r="L1" s="325" t="s">
        <v>159</v>
      </c>
      <c r="M1" s="325" t="s">
        <v>194</v>
      </c>
      <c r="N1" s="325" t="s">
        <v>154</v>
      </c>
      <c r="O1" s="325" t="s">
        <v>47</v>
      </c>
      <c r="P1" s="325" t="s">
        <v>137</v>
      </c>
      <c r="Q1" s="325" t="s">
        <v>21</v>
      </c>
    </row>
    <row r="2" spans="1:19" ht="15" x14ac:dyDescent="0.25">
      <c r="A2" s="482" t="s">
        <v>138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4"/>
    </row>
    <row r="3" spans="1:19" x14ac:dyDescent="0.2">
      <c r="A3" s="45" t="s">
        <v>29</v>
      </c>
      <c r="Q3" s="39"/>
    </row>
    <row r="4" spans="1:19" x14ac:dyDescent="0.2">
      <c r="A4" s="45" t="s">
        <v>30</v>
      </c>
      <c r="B4" s="12">
        <f>[2]Delta!$IT$32</f>
        <v>101603</v>
      </c>
      <c r="C4" s="12">
        <f>'[2]Atlantic Southeast'!$IT$32</f>
        <v>0</v>
      </c>
      <c r="D4" s="12">
        <f>[2]Pinnacle!$IT$32</f>
        <v>1050</v>
      </c>
      <c r="E4" s="12">
        <f>'[2]Sky West'!$IT$32</f>
        <v>7361</v>
      </c>
      <c r="F4" s="12">
        <f>'[2]Go Jet'!$IT$32</f>
        <v>0</v>
      </c>
      <c r="G4" s="12">
        <f>'[2]Sun Country'!$IT$32</f>
        <v>26284</v>
      </c>
      <c r="H4" s="12">
        <f>[2]Icelandair!$IT$32</f>
        <v>718</v>
      </c>
      <c r="I4" s="12">
        <f>[2]KLM!$IT$32</f>
        <v>3082</v>
      </c>
      <c r="J4" s="12">
        <f>[2]Jazz_AC!$IT$32</f>
        <v>3974</v>
      </c>
      <c r="K4" s="12">
        <f>'[2]Sky Regional'!$IT$32</f>
        <v>0</v>
      </c>
      <c r="L4" s="12">
        <f>[2]Condor!$IT$32</f>
        <v>0</v>
      </c>
      <c r="M4" s="12">
        <f>'[2]Aer Lingus'!$IT$32</f>
        <v>0</v>
      </c>
      <c r="N4" s="12">
        <f>'[2]Air France'!$IT$32</f>
        <v>0</v>
      </c>
      <c r="O4" s="12">
        <f>[2]Frontier!$IT$32</f>
        <v>4420</v>
      </c>
      <c r="P4" s="12">
        <f>'[2]Charter Misc'!$IT$32+[2]Ryan!$IT$32+[2]Omni!$IT$32</f>
        <v>0</v>
      </c>
      <c r="Q4" s="205">
        <f>SUM(B4:P4)</f>
        <v>148492</v>
      </c>
    </row>
    <row r="5" spans="1:19" x14ac:dyDescent="0.2">
      <c r="A5" s="45" t="s">
        <v>31</v>
      </c>
      <c r="B5" s="7">
        <f>[2]Delta!$IT$33</f>
        <v>99364</v>
      </c>
      <c r="C5" s="7">
        <f>'[2]Atlantic Southeast'!$IT$33</f>
        <v>0</v>
      </c>
      <c r="D5" s="7">
        <f>[2]Pinnacle!$IT$33</f>
        <v>934</v>
      </c>
      <c r="E5" s="7">
        <f>'[2]Sky West'!$IT$33</f>
        <v>7723</v>
      </c>
      <c r="F5" s="7">
        <f>'[2]Go Jet'!$IT$33</f>
        <v>0</v>
      </c>
      <c r="G5" s="7">
        <f>'[2]Sun Country'!$IT$33</f>
        <v>27796</v>
      </c>
      <c r="H5" s="7">
        <f>[2]Icelandair!$IT$33</f>
        <v>430</v>
      </c>
      <c r="I5" s="7">
        <f>[2]KLM!$IT$33</f>
        <v>2244</v>
      </c>
      <c r="J5" s="7">
        <f>[2]Jazz_AC!$IT$33</f>
        <v>3553</v>
      </c>
      <c r="K5" s="7">
        <f>'[2]Sky Regional'!$IT$33</f>
        <v>0</v>
      </c>
      <c r="L5" s="7">
        <f>[2]Condor!$IT$33</f>
        <v>0</v>
      </c>
      <c r="M5" s="7">
        <f>'[2]Aer Lingus'!$IT$33</f>
        <v>0</v>
      </c>
      <c r="N5" s="7">
        <f>'[2]Air France'!$IT$33</f>
        <v>0</v>
      </c>
      <c r="O5" s="7">
        <f>[2]Frontier!$IT$33</f>
        <v>3981</v>
      </c>
      <c r="P5" s="7">
        <f>'[2]Charter Misc'!$IT$33++[2]Ryan!$IT$33+[2]Omni!$IT$33</f>
        <v>0</v>
      </c>
      <c r="Q5" s="206">
        <f>SUM(B5:P5)</f>
        <v>146025</v>
      </c>
    </row>
    <row r="6" spans="1:19" ht="15" x14ac:dyDescent="0.25">
      <c r="A6" s="43" t="s">
        <v>7</v>
      </c>
      <c r="B6" s="24">
        <f t="shared" ref="B6:P6" si="0">SUM(B4:B5)</f>
        <v>200967</v>
      </c>
      <c r="C6" s="24">
        <f t="shared" si="0"/>
        <v>0</v>
      </c>
      <c r="D6" s="24">
        <f t="shared" si="0"/>
        <v>1984</v>
      </c>
      <c r="E6" s="24">
        <f t="shared" si="0"/>
        <v>15084</v>
      </c>
      <c r="F6" s="24">
        <f t="shared" ref="F6" si="1">SUM(F4:F5)</f>
        <v>0</v>
      </c>
      <c r="G6" s="24">
        <f t="shared" si="0"/>
        <v>54080</v>
      </c>
      <c r="H6" s="24">
        <f t="shared" si="0"/>
        <v>1148</v>
      </c>
      <c r="I6" s="24">
        <f t="shared" ref="I6" si="2">SUM(I4:I5)</f>
        <v>5326</v>
      </c>
      <c r="J6" s="24">
        <f t="shared" si="0"/>
        <v>7527</v>
      </c>
      <c r="K6" s="24">
        <f t="shared" ref="K6" si="3">SUM(K4:K5)</f>
        <v>0</v>
      </c>
      <c r="L6" s="24">
        <f t="shared" ref="L6:M6" si="4">SUM(L4:L5)</f>
        <v>0</v>
      </c>
      <c r="M6" s="24">
        <f t="shared" si="4"/>
        <v>0</v>
      </c>
      <c r="N6" s="24">
        <f t="shared" si="0"/>
        <v>0</v>
      </c>
      <c r="O6" s="24">
        <f t="shared" si="0"/>
        <v>8401</v>
      </c>
      <c r="P6" s="24">
        <f t="shared" si="0"/>
        <v>0</v>
      </c>
      <c r="Q6" s="207">
        <f>SUM(B6:P6)</f>
        <v>294517</v>
      </c>
    </row>
    <row r="7" spans="1:19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9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9" x14ac:dyDescent="0.2">
      <c r="A9" s="45" t="s">
        <v>30</v>
      </c>
      <c r="B9" s="12">
        <f>[2]Delta!$IT$37</f>
        <v>2944</v>
      </c>
      <c r="C9" s="12">
        <f>'[2]Atlantic Southeast'!$IT$37</f>
        <v>0</v>
      </c>
      <c r="D9" s="12">
        <f>[2]Pinnacle!$IT$37</f>
        <v>19</v>
      </c>
      <c r="E9" s="12">
        <f>'[2]Sky West'!$IT$37</f>
        <v>123</v>
      </c>
      <c r="F9" s="12">
        <f>'[2]Go Jet'!$IT$37</f>
        <v>0</v>
      </c>
      <c r="G9" s="12">
        <f>'[2]Sun Country'!$IT$37</f>
        <v>477</v>
      </c>
      <c r="H9" s="12">
        <f>[2]Icelandair!$IT$37</f>
        <v>14</v>
      </c>
      <c r="I9" s="12">
        <f>[2]KLM!$IT$37</f>
        <v>6</v>
      </c>
      <c r="J9" s="12">
        <f>[2]Jazz_AC!$IT$37</f>
        <v>46</v>
      </c>
      <c r="K9" s="12">
        <f>'[2]Sky Regional'!$IT$37</f>
        <v>0</v>
      </c>
      <c r="L9" s="12">
        <f>[2]Condor!$IT$37</f>
        <v>0</v>
      </c>
      <c r="M9" s="12">
        <f>'[2]Aer Lingus'!$IT$37</f>
        <v>0</v>
      </c>
      <c r="N9" s="12">
        <f>'[2]Air France'!$IT$37</f>
        <v>0</v>
      </c>
      <c r="O9" s="12">
        <f>[2]Frontier!$IT$37</f>
        <v>4</v>
      </c>
      <c r="P9" s="12">
        <f>'[2]Charter Misc'!$IT$37+[2]Ryan!$IT$37+[2]Omni!$IT$37</f>
        <v>0</v>
      </c>
      <c r="Q9" s="205">
        <f>SUM(B9:P9)</f>
        <v>3633</v>
      </c>
    </row>
    <row r="10" spans="1:19" x14ac:dyDescent="0.2">
      <c r="A10" s="45" t="s">
        <v>33</v>
      </c>
      <c r="B10" s="7">
        <f>[2]Delta!$IT$38</f>
        <v>2653</v>
      </c>
      <c r="C10" s="7">
        <f>'[2]Atlantic Southeast'!$IT$38</f>
        <v>0</v>
      </c>
      <c r="D10" s="7">
        <f>[2]Pinnacle!$IT$38</f>
        <v>14</v>
      </c>
      <c r="E10" s="7">
        <f>'[2]Sky West'!$IT$38</f>
        <v>96</v>
      </c>
      <c r="F10" s="7">
        <f>'[2]Go Jet'!$IT$38</f>
        <v>0</v>
      </c>
      <c r="G10" s="7">
        <f>'[2]Sun Country'!$IT$38</f>
        <v>503</v>
      </c>
      <c r="H10" s="7">
        <f>[2]Icelandair!$IT$38</f>
        <v>12</v>
      </c>
      <c r="I10" s="7">
        <f>[2]KLM!$IT$38</f>
        <v>0</v>
      </c>
      <c r="J10" s="7">
        <f>[2]Jazz_AC!$IT$38</f>
        <v>46</v>
      </c>
      <c r="K10" s="7">
        <f>'[2]Sky Regional'!$IT$38</f>
        <v>0</v>
      </c>
      <c r="L10" s="7">
        <f>[2]Condor!$IT$38</f>
        <v>0</v>
      </c>
      <c r="M10" s="7">
        <f>'[2]Aer Lingus'!$IT$38</f>
        <v>0</v>
      </c>
      <c r="N10" s="7">
        <f>'[2]Air France'!$IT$38</f>
        <v>0</v>
      </c>
      <c r="O10" s="7">
        <f>[2]Frontier!$IT$38</f>
        <v>4</v>
      </c>
      <c r="P10" s="7">
        <f>'[2]Charter Misc'!$IT$38+[2]Ryan!$IT$38+[2]Omni!$IT$38</f>
        <v>0</v>
      </c>
      <c r="Q10" s="206">
        <f>SUM(B10:P10)</f>
        <v>3328</v>
      </c>
    </row>
    <row r="11" spans="1:19" ht="15.75" thickBot="1" x14ac:dyDescent="0.3">
      <c r="A11" s="46" t="s">
        <v>34</v>
      </c>
      <c r="B11" s="208">
        <f t="shared" ref="B11:G11" si="5">SUM(B9:B10)</f>
        <v>5597</v>
      </c>
      <c r="C11" s="208">
        <f t="shared" si="5"/>
        <v>0</v>
      </c>
      <c r="D11" s="208">
        <f t="shared" si="5"/>
        <v>33</v>
      </c>
      <c r="E11" s="208">
        <f t="shared" si="5"/>
        <v>219</v>
      </c>
      <c r="F11" s="208">
        <f t="shared" ref="F11" si="6">SUM(F9:F10)</f>
        <v>0</v>
      </c>
      <c r="G11" s="208">
        <f t="shared" si="5"/>
        <v>980</v>
      </c>
      <c r="H11" s="208">
        <f t="shared" ref="H11:P11" si="7">SUM(H9:H10)</f>
        <v>26</v>
      </c>
      <c r="I11" s="208">
        <f t="shared" ref="I11" si="8">SUM(I9:I10)</f>
        <v>6</v>
      </c>
      <c r="J11" s="208">
        <f t="shared" si="7"/>
        <v>92</v>
      </c>
      <c r="K11" s="208">
        <f t="shared" ref="K11" si="9">SUM(K9:K10)</f>
        <v>0</v>
      </c>
      <c r="L11" s="208">
        <f t="shared" si="7"/>
        <v>0</v>
      </c>
      <c r="M11" s="208">
        <f t="shared" ref="M11" si="10">SUM(M9:M10)</f>
        <v>0</v>
      </c>
      <c r="N11" s="208">
        <f t="shared" si="7"/>
        <v>0</v>
      </c>
      <c r="O11" s="208">
        <f t="shared" si="7"/>
        <v>8</v>
      </c>
      <c r="P11" s="208">
        <f t="shared" si="7"/>
        <v>0</v>
      </c>
      <c r="Q11" s="209">
        <f>SUM(B11:P11)</f>
        <v>6961</v>
      </c>
      <c r="S11" s="230"/>
    </row>
    <row r="12" spans="1:19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9" ht="39" thickBot="1" x14ac:dyDescent="0.25">
      <c r="B13" s="326" t="s">
        <v>18</v>
      </c>
      <c r="C13" s="325" t="s">
        <v>186</v>
      </c>
      <c r="D13" s="364" t="s">
        <v>155</v>
      </c>
      <c r="E13" s="325" t="s">
        <v>161</v>
      </c>
      <c r="F13" s="325" t="s">
        <v>160</v>
      </c>
      <c r="G13" s="325" t="s">
        <v>49</v>
      </c>
      <c r="H13" s="325" t="s">
        <v>113</v>
      </c>
      <c r="I13" s="325" t="s">
        <v>185</v>
      </c>
      <c r="J13" s="325" t="s">
        <v>236</v>
      </c>
      <c r="K13" s="325" t="s">
        <v>187</v>
      </c>
      <c r="L13" s="325" t="s">
        <v>159</v>
      </c>
      <c r="M13" s="325" t="s">
        <v>194</v>
      </c>
      <c r="N13" s="325" t="s">
        <v>154</v>
      </c>
      <c r="O13" s="325" t="s">
        <v>47</v>
      </c>
      <c r="P13" s="325" t="s">
        <v>137</v>
      </c>
      <c r="Q13" s="325" t="s">
        <v>21</v>
      </c>
    </row>
    <row r="14" spans="1:19" ht="15" x14ac:dyDescent="0.25">
      <c r="A14" s="485" t="s">
        <v>139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7"/>
    </row>
    <row r="15" spans="1:19" x14ac:dyDescent="0.2">
      <c r="A15" s="45" t="s">
        <v>29</v>
      </c>
      <c r="Q15" s="39"/>
    </row>
    <row r="16" spans="1:19" x14ac:dyDescent="0.2">
      <c r="A16" s="45"/>
      <c r="Q16" s="39"/>
    </row>
    <row r="17" spans="1:20" x14ac:dyDescent="0.2">
      <c r="A17" s="45" t="s">
        <v>30</v>
      </c>
      <c r="B17" s="12">
        <f>SUM([2]Delta!$IT$32:$IT$32)</f>
        <v>101603</v>
      </c>
      <c r="C17" s="12">
        <f>SUM('[2]Atlantic Southeast'!$IT$32:$IT$32)</f>
        <v>0</v>
      </c>
      <c r="D17" s="12">
        <f>SUM([2]Pinnacle!$IT$32:$IT$32)</f>
        <v>1050</v>
      </c>
      <c r="E17" s="12">
        <f>SUM('[2]Sky West'!$IT$32:$IT$32)</f>
        <v>7361</v>
      </c>
      <c r="F17" s="12">
        <f>SUM('[2]Go Jet'!$IT$32:$IT$32)</f>
        <v>0</v>
      </c>
      <c r="G17" s="12">
        <f>SUM('[2]Sun Country'!$IT$32:$IT$32)</f>
        <v>26284</v>
      </c>
      <c r="H17" s="12">
        <f>SUM([2]Icelandair!$IT$32:$IT$32)</f>
        <v>718</v>
      </c>
      <c r="I17" s="12">
        <f>SUM([2]KLM!$IT$32:$IT$32)</f>
        <v>3082</v>
      </c>
      <c r="J17" s="12">
        <f>SUM([2]Jazz_AC!$IT$32:$IT$32)</f>
        <v>3974</v>
      </c>
      <c r="K17" s="12">
        <f>SUM('[2]Sky Regional'!$IT$32:$IT$32)</f>
        <v>0</v>
      </c>
      <c r="L17" s="12">
        <f>SUM([2]Condor!$IT$32:$IT$32)</f>
        <v>0</v>
      </c>
      <c r="M17" s="12">
        <f>SUM('[2]Aer Lingus'!$IT$32:$IT$32)</f>
        <v>0</v>
      </c>
      <c r="N17" s="12">
        <f>SUM('[2]Air France'!$IT$32:$IT$32)</f>
        <v>0</v>
      </c>
      <c r="O17" s="12">
        <f>SUM([2]Frontier!$IT$32:$IT$32)</f>
        <v>4420</v>
      </c>
      <c r="P17" s="12">
        <f>SUM('[2]Charter Misc'!$IT$32:$IT$32)+SUM([2]Ryan!$IT$32:$IT$32)+SUM([2]Omni!$IT$32:$IT$32)</f>
        <v>0</v>
      </c>
      <c r="Q17" s="205">
        <f>SUM(B17:P17)</f>
        <v>148492</v>
      </c>
    </row>
    <row r="18" spans="1:20" x14ac:dyDescent="0.2">
      <c r="A18" s="45" t="s">
        <v>31</v>
      </c>
      <c r="B18" s="7">
        <f>SUM([2]Delta!$IT$33:$IT$33)</f>
        <v>99364</v>
      </c>
      <c r="C18" s="7">
        <f>SUM('[2]Atlantic Southeast'!$IT$33:$IT$33)</f>
        <v>0</v>
      </c>
      <c r="D18" s="7">
        <f>SUM([2]Pinnacle!$IT$33:$IT$33)</f>
        <v>934</v>
      </c>
      <c r="E18" s="7">
        <f>SUM('[2]Sky West'!$IT$33:$IT$33)</f>
        <v>7723</v>
      </c>
      <c r="F18" s="7">
        <f>SUM('[2]Go Jet'!$IT$33:$IT$33)</f>
        <v>0</v>
      </c>
      <c r="G18" s="7">
        <f>SUM('[2]Sun Country'!$IT$33:$IT$33)</f>
        <v>27796</v>
      </c>
      <c r="H18" s="7">
        <f>SUM([2]Icelandair!$IT$33:$IT$33)</f>
        <v>430</v>
      </c>
      <c r="I18" s="7">
        <f>SUM([2]KLM!$IT$33:$IT$33)</f>
        <v>2244</v>
      </c>
      <c r="J18" s="7">
        <f>SUM([2]Jazz_AC!$IT$33:$IT$33)</f>
        <v>3553</v>
      </c>
      <c r="K18" s="7">
        <f>SUM('[2]Sky Regional'!$IT$33:$IT$33)</f>
        <v>0</v>
      </c>
      <c r="L18" s="7">
        <f>SUM([2]Condor!$IT$33:$IT$33)</f>
        <v>0</v>
      </c>
      <c r="M18" s="7">
        <f>SUM('[2]Aer Lingus'!$IT$33:$IT$33)</f>
        <v>0</v>
      </c>
      <c r="N18" s="7">
        <f>SUM('[2]Air France'!$IT$33:$IT$33)</f>
        <v>0</v>
      </c>
      <c r="O18" s="7">
        <f>SUM([2]Frontier!$IT$33:$IT$33)</f>
        <v>3981</v>
      </c>
      <c r="P18" s="7">
        <f>SUM('[2]Charter Misc'!$IT$33:$IT$33)++SUM([2]Ryan!$IT$33:$IT$33)+SUM([2]Omni!$IT$33:$IT$33)</f>
        <v>0</v>
      </c>
      <c r="Q18" s="206">
        <f>SUM(B18:P18)</f>
        <v>146025</v>
      </c>
    </row>
    <row r="19" spans="1:20" ht="15" x14ac:dyDescent="0.25">
      <c r="A19" s="43" t="s">
        <v>7</v>
      </c>
      <c r="B19" s="24">
        <f t="shared" ref="B19:P19" si="11">SUM(B17:B18)</f>
        <v>200967</v>
      </c>
      <c r="C19" s="24">
        <f t="shared" si="11"/>
        <v>0</v>
      </c>
      <c r="D19" s="24">
        <f t="shared" si="11"/>
        <v>1984</v>
      </c>
      <c r="E19" s="24">
        <f t="shared" si="11"/>
        <v>15084</v>
      </c>
      <c r="F19" s="24">
        <f t="shared" ref="F19" si="12">SUM(F17:F18)</f>
        <v>0</v>
      </c>
      <c r="G19" s="24">
        <f t="shared" si="11"/>
        <v>54080</v>
      </c>
      <c r="H19" s="24">
        <f t="shared" si="11"/>
        <v>1148</v>
      </c>
      <c r="I19" s="24">
        <f t="shared" ref="I19" si="13">SUM(I17:I18)</f>
        <v>5326</v>
      </c>
      <c r="J19" s="24">
        <f t="shared" si="11"/>
        <v>7527</v>
      </c>
      <c r="K19" s="24">
        <f t="shared" ref="K19" si="14">SUM(K17:K18)</f>
        <v>0</v>
      </c>
      <c r="L19" s="24">
        <f t="shared" ref="L19:M19" si="15">SUM(L17:L18)</f>
        <v>0</v>
      </c>
      <c r="M19" s="24">
        <f t="shared" si="15"/>
        <v>0</v>
      </c>
      <c r="N19" s="24">
        <f t="shared" si="11"/>
        <v>0</v>
      </c>
      <c r="O19" s="24">
        <f t="shared" si="11"/>
        <v>8401</v>
      </c>
      <c r="P19" s="24">
        <f t="shared" si="11"/>
        <v>0</v>
      </c>
      <c r="Q19" s="207">
        <f>SUM(B19:P19)</f>
        <v>294517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SUM([2]Delta!$IT$37:$IT$37)</f>
        <v>2944</v>
      </c>
      <c r="C22" s="12">
        <f>SUM('[2]Atlantic Southeast'!$IT$37:$IT$37)</f>
        <v>0</v>
      </c>
      <c r="D22" s="12">
        <f>SUM([2]Pinnacle!$IT$37:$IT$37)</f>
        <v>19</v>
      </c>
      <c r="E22" s="12">
        <f>SUM('[2]Sky West'!$IT$37:$IT$37)</f>
        <v>123</v>
      </c>
      <c r="F22" s="12">
        <f>SUM('[2]Go Jet'!$IT$37:$IT$37)</f>
        <v>0</v>
      </c>
      <c r="G22" s="12">
        <f>SUM('[2]Sun Country'!$IT$37:$IT$37)</f>
        <v>477</v>
      </c>
      <c r="H22" s="12">
        <f>SUM([2]Icelandair!$IT$37:$IT$37)</f>
        <v>14</v>
      </c>
      <c r="I22" s="12">
        <f>SUM([2]KLM!$IT$37:$IT$37)</f>
        <v>6</v>
      </c>
      <c r="J22" s="12">
        <f>SUM([2]Jazz_AC!$IT$37:$IT$37)</f>
        <v>46</v>
      </c>
      <c r="K22" s="12">
        <f>SUM('[2]Sky Regional'!$IT$37:$IT$37)</f>
        <v>0</v>
      </c>
      <c r="L22" s="12">
        <f>SUM([2]Condor!$IT$37:$IT$37)</f>
        <v>0</v>
      </c>
      <c r="M22" s="12">
        <f>SUM('[2]Aer Lingus'!$IT$37:$IT$37)</f>
        <v>0</v>
      </c>
      <c r="N22" s="12">
        <f>SUM('[2]Air France'!$IT$37:$IT$37)</f>
        <v>0</v>
      </c>
      <c r="O22" s="12">
        <f>SUM([2]Frontier!$IT$37:$IT$37)</f>
        <v>4</v>
      </c>
      <c r="P22" s="12">
        <f>SUM('[2]Charter Misc'!$IT$37:$IT$37)++SUM([2]Ryan!$IT$37:$IT$37)+SUM([2]Omni!$IT$37:$IT$37)</f>
        <v>0</v>
      </c>
      <c r="Q22" s="205">
        <f>SUM(B22:P22)</f>
        <v>3633</v>
      </c>
    </row>
    <row r="23" spans="1:20" x14ac:dyDescent="0.2">
      <c r="A23" s="45" t="s">
        <v>33</v>
      </c>
      <c r="B23" s="7">
        <f>SUM([2]Delta!$IT$38:$IT$38)</f>
        <v>2653</v>
      </c>
      <c r="C23" s="7">
        <f>SUM('[2]Atlantic Southeast'!$IT$38:$IT$38)</f>
        <v>0</v>
      </c>
      <c r="D23" s="7">
        <f>SUM([2]Pinnacle!$IT$38:$IT$38)</f>
        <v>14</v>
      </c>
      <c r="E23" s="7">
        <f>SUM('[2]Sky West'!$IT$38:$IT$38)</f>
        <v>96</v>
      </c>
      <c r="F23" s="7">
        <f>SUM('[2]Go Jet'!$IT$38:$IT$38)</f>
        <v>0</v>
      </c>
      <c r="G23" s="7">
        <f>SUM('[2]Sun Country'!$IT$38:$IT$38)</f>
        <v>503</v>
      </c>
      <c r="H23" s="7">
        <f>SUM([2]Icelandair!$IT$38:$IT$38)</f>
        <v>12</v>
      </c>
      <c r="I23" s="7">
        <f>SUM([2]KLM!$IT$38:$IT$38)</f>
        <v>0</v>
      </c>
      <c r="J23" s="7">
        <f>SUM([2]Jazz_AC!$IT$38:$IT$38)</f>
        <v>46</v>
      </c>
      <c r="K23" s="7">
        <f>SUM('[2]Sky Regional'!$IT$38:$IT$38)</f>
        <v>0</v>
      </c>
      <c r="L23" s="7">
        <f>SUM([2]Condor!$IT$38:$IT$38)</f>
        <v>0</v>
      </c>
      <c r="M23" s="7">
        <f>SUM('[2]Aer Lingus'!$IT$38:$IT$38)</f>
        <v>0</v>
      </c>
      <c r="N23" s="7">
        <f>SUM('[2]Air France'!$IT$38:$IT$38)</f>
        <v>0</v>
      </c>
      <c r="O23" s="7">
        <f>SUM([2]Frontier!$IT$38:$IT$38)</f>
        <v>4</v>
      </c>
      <c r="P23" s="7">
        <f>SUM('[2]Charter Misc'!$IT$38:$IT$38)++SUM([2]Ryan!$IT$38:$IT$38)+SUM([2]Omni!$IT$38:$IT$38)</f>
        <v>0</v>
      </c>
      <c r="Q23" s="206">
        <f>SUM(B23:P23)</f>
        <v>3328</v>
      </c>
    </row>
    <row r="24" spans="1:20" ht="15.75" thickBot="1" x14ac:dyDescent="0.3">
      <c r="A24" s="46" t="s">
        <v>34</v>
      </c>
      <c r="B24" s="208">
        <f t="shared" ref="B24:P24" si="16">SUM(B22:B23)</f>
        <v>5597</v>
      </c>
      <c r="C24" s="208">
        <f t="shared" si="16"/>
        <v>0</v>
      </c>
      <c r="D24" s="208">
        <f t="shared" si="16"/>
        <v>33</v>
      </c>
      <c r="E24" s="208">
        <f t="shared" si="16"/>
        <v>219</v>
      </c>
      <c r="F24" s="208">
        <f t="shared" ref="F24" si="17">SUM(F22:F23)</f>
        <v>0</v>
      </c>
      <c r="G24" s="208">
        <f t="shared" si="16"/>
        <v>980</v>
      </c>
      <c r="H24" s="208">
        <f t="shared" si="16"/>
        <v>26</v>
      </c>
      <c r="I24" s="208">
        <f t="shared" ref="I24" si="18">SUM(I22:I23)</f>
        <v>6</v>
      </c>
      <c r="J24" s="208">
        <f t="shared" si="16"/>
        <v>92</v>
      </c>
      <c r="K24" s="208">
        <f t="shared" ref="K24" si="19">SUM(K22:K23)</f>
        <v>0</v>
      </c>
      <c r="L24" s="208">
        <f t="shared" ref="L24:M24" si="20">SUM(L22:L23)</f>
        <v>0</v>
      </c>
      <c r="M24" s="208">
        <f t="shared" si="20"/>
        <v>0</v>
      </c>
      <c r="N24" s="208">
        <f t="shared" si="16"/>
        <v>0</v>
      </c>
      <c r="O24" s="208">
        <f t="shared" si="16"/>
        <v>8</v>
      </c>
      <c r="P24" s="208">
        <f t="shared" si="16"/>
        <v>0</v>
      </c>
      <c r="Q24" s="209">
        <f>SUM(B24:P24)</f>
        <v>6961</v>
      </c>
    </row>
    <row r="26" spans="1:20" ht="39" thickBot="1" x14ac:dyDescent="0.25">
      <c r="B26" s="326" t="s">
        <v>18</v>
      </c>
      <c r="C26" s="325" t="s">
        <v>186</v>
      </c>
      <c r="D26" s="364" t="s">
        <v>155</v>
      </c>
      <c r="E26" s="325" t="s">
        <v>161</v>
      </c>
      <c r="F26" s="325" t="s">
        <v>160</v>
      </c>
      <c r="G26" s="325" t="s">
        <v>49</v>
      </c>
      <c r="H26" s="325" t="s">
        <v>113</v>
      </c>
      <c r="I26" s="325" t="s">
        <v>185</v>
      </c>
      <c r="J26" s="325" t="s">
        <v>236</v>
      </c>
      <c r="K26" s="325" t="s">
        <v>187</v>
      </c>
      <c r="L26" s="325" t="s">
        <v>159</v>
      </c>
      <c r="M26" s="325" t="s">
        <v>194</v>
      </c>
      <c r="N26" s="325" t="s">
        <v>154</v>
      </c>
      <c r="O26" s="325" t="s">
        <v>47</v>
      </c>
      <c r="P26" s="325" t="s">
        <v>137</v>
      </c>
      <c r="Q26" s="325" t="s">
        <v>21</v>
      </c>
    </row>
    <row r="27" spans="1:20" ht="15" x14ac:dyDescent="0.25">
      <c r="A27" s="488" t="s">
        <v>140</v>
      </c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90"/>
    </row>
    <row r="28" spans="1:20" x14ac:dyDescent="0.2">
      <c r="A28" s="45" t="s">
        <v>22</v>
      </c>
      <c r="B28" s="12">
        <f>[2]Delta!$IT$15</f>
        <v>637</v>
      </c>
      <c r="C28" s="12">
        <f>'[2]Atlantic Southeast'!$IT$15</f>
        <v>0</v>
      </c>
      <c r="D28" s="12">
        <f>[2]Pinnacle!$IT$15</f>
        <v>16</v>
      </c>
      <c r="E28" s="12">
        <f>'[2]Sky West'!$IT$15</f>
        <v>124</v>
      </c>
      <c r="F28" s="12">
        <f>'[2]Go Jet'!$IT$15</f>
        <v>0</v>
      </c>
      <c r="G28" s="12">
        <f>'[2]Sun Country'!$IT$15</f>
        <v>190</v>
      </c>
      <c r="H28" s="12">
        <f>[2]Icelandair!$IT$15</f>
        <v>5</v>
      </c>
      <c r="I28" s="12">
        <f>[2]KLM!$IT$15</f>
        <v>14</v>
      </c>
      <c r="J28" s="12">
        <f>[2]Jazz_AC!$IT$15</f>
        <v>93</v>
      </c>
      <c r="K28" s="12">
        <f>'[2]Sky Regional'!$IT$15</f>
        <v>0</v>
      </c>
      <c r="L28" s="12">
        <f>[2]Condor!$IT$15</f>
        <v>0</v>
      </c>
      <c r="M28" s="12">
        <f>'[2]Aer Lingus'!$IT$15</f>
        <v>0</v>
      </c>
      <c r="N28" s="12">
        <f>'[2]Air France'!$IT$15</f>
        <v>0</v>
      </c>
      <c r="O28" s="12">
        <f>[2]Frontier!$IT$15</f>
        <v>31</v>
      </c>
      <c r="P28" s="12">
        <f>'[2]Charter Misc'!$IT$15+[2]Ryan!$IT$15+[2]Omni!$IT$15</f>
        <v>0</v>
      </c>
      <c r="Q28" s="205">
        <f>SUM(B28:P28)</f>
        <v>1110</v>
      </c>
    </row>
    <row r="29" spans="1:20" x14ac:dyDescent="0.2">
      <c r="A29" s="45" t="s">
        <v>23</v>
      </c>
      <c r="B29" s="12">
        <f>[2]Delta!$IT$16</f>
        <v>638</v>
      </c>
      <c r="C29" s="12">
        <f>'[2]Atlantic Southeast'!$IT$16</f>
        <v>0</v>
      </c>
      <c r="D29" s="12">
        <f>[2]Pinnacle!$IT$16</f>
        <v>14</v>
      </c>
      <c r="E29" s="12">
        <f>'[2]Sky West'!$IT$16</f>
        <v>127</v>
      </c>
      <c r="F29" s="12">
        <f>'[2]Go Jet'!$IT$16</f>
        <v>0</v>
      </c>
      <c r="G29" s="12">
        <f>'[2]Sun Country'!$IT$16</f>
        <v>189</v>
      </c>
      <c r="H29" s="12">
        <f>[2]Icelandair!$IT$16</f>
        <v>5</v>
      </c>
      <c r="I29" s="12">
        <f>[2]KLM!$IT$16</f>
        <v>14</v>
      </c>
      <c r="J29" s="12">
        <f>[2]Jazz_AC!$IT$16</f>
        <v>93</v>
      </c>
      <c r="K29" s="12">
        <f>'[2]Sky Regional'!$IT$16</f>
        <v>0</v>
      </c>
      <c r="L29" s="12">
        <f>[2]Condor!$IT$16</f>
        <v>0</v>
      </c>
      <c r="M29" s="12">
        <f>'[2]Aer Lingus'!$IT$16</f>
        <v>0</v>
      </c>
      <c r="N29" s="12">
        <f>'[2]Air France'!$IT$16</f>
        <v>0</v>
      </c>
      <c r="O29" s="12">
        <f>[2]Frontier!$IT$16</f>
        <v>31</v>
      </c>
      <c r="P29" s="12">
        <f>'[2]Charter Misc'!$IT$16+[2]Ryan!$IT$16+[2]Omni!$IT$16</f>
        <v>0</v>
      </c>
      <c r="Q29" s="205">
        <f>SUM(B29:P29)</f>
        <v>1111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1275</v>
      </c>
      <c r="C31" s="282">
        <f t="shared" si="21"/>
        <v>0</v>
      </c>
      <c r="D31" s="282">
        <f t="shared" si="21"/>
        <v>30</v>
      </c>
      <c r="E31" s="282">
        <f>SUM(E28:E29)</f>
        <v>251</v>
      </c>
      <c r="F31" s="282">
        <f>SUM(F28:F29)</f>
        <v>0</v>
      </c>
      <c r="G31" s="282">
        <f t="shared" si="21"/>
        <v>379</v>
      </c>
      <c r="H31" s="282">
        <f t="shared" si="21"/>
        <v>10</v>
      </c>
      <c r="I31" s="282">
        <f t="shared" ref="I31" si="22">SUM(I28:I29)</f>
        <v>28</v>
      </c>
      <c r="J31" s="282">
        <f t="shared" si="21"/>
        <v>186</v>
      </c>
      <c r="K31" s="282">
        <f t="shared" ref="K31" si="23">SUM(K28:K29)</f>
        <v>0</v>
      </c>
      <c r="L31" s="282">
        <f>SUM(L28:L29)</f>
        <v>0</v>
      </c>
      <c r="M31" s="282">
        <f>SUM(M28:M29)</f>
        <v>0</v>
      </c>
      <c r="N31" s="282">
        <f>SUM(N28:N29)</f>
        <v>0</v>
      </c>
      <c r="O31" s="282">
        <f t="shared" ref="O31" si="24">SUM(O28:O29)</f>
        <v>62</v>
      </c>
      <c r="P31" s="282">
        <f>SUM(P28:P29)</f>
        <v>0</v>
      </c>
      <c r="Q31" s="283">
        <f>SUM(B31:P31)</f>
        <v>2221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186</v>
      </c>
      <c r="D33" s="364" t="s">
        <v>155</v>
      </c>
      <c r="E33" s="325" t="s">
        <v>161</v>
      </c>
      <c r="F33" s="325" t="s">
        <v>160</v>
      </c>
      <c r="G33" s="325" t="s">
        <v>49</v>
      </c>
      <c r="H33" s="325" t="s">
        <v>113</v>
      </c>
      <c r="I33" s="325" t="s">
        <v>185</v>
      </c>
      <c r="J33" s="325" t="s">
        <v>236</v>
      </c>
      <c r="K33" s="325" t="s">
        <v>187</v>
      </c>
      <c r="L33" s="325" t="s">
        <v>159</v>
      </c>
      <c r="M33" s="325" t="s">
        <v>194</v>
      </c>
      <c r="N33" s="325" t="s">
        <v>154</v>
      </c>
      <c r="O33" s="325" t="s">
        <v>47</v>
      </c>
      <c r="P33" s="325" t="s">
        <v>137</v>
      </c>
      <c r="Q33" s="325" t="s">
        <v>21</v>
      </c>
    </row>
    <row r="34" spans="1:17" ht="15" x14ac:dyDescent="0.25">
      <c r="A34" s="491" t="s">
        <v>141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3"/>
    </row>
    <row r="35" spans="1:17" x14ac:dyDescent="0.2">
      <c r="A35" s="45" t="s">
        <v>22</v>
      </c>
      <c r="B35" s="12">
        <f>SUM([2]Delta!$IT$15:$IT$15)</f>
        <v>637</v>
      </c>
      <c r="C35" s="12">
        <f>SUM('[2]Atlantic Southeast'!$IT$15:$IT$15)</f>
        <v>0</v>
      </c>
      <c r="D35" s="12">
        <f>SUM([2]Pinnacle!$IT$15:$IT$15)</f>
        <v>16</v>
      </c>
      <c r="E35" s="12">
        <f>SUM('[2]Sky West'!$IT$15:$IT$15)</f>
        <v>124</v>
      </c>
      <c r="F35" s="12">
        <f>SUM('[2]Go Jet'!$IT$15:$IT$15)</f>
        <v>0</v>
      </c>
      <c r="G35" s="12">
        <f>SUM('[2]Sun Country'!$IT$15:$IT$15)</f>
        <v>190</v>
      </c>
      <c r="H35" s="12">
        <f>SUM([2]Icelandair!$IT$15:$IT$15)</f>
        <v>5</v>
      </c>
      <c r="I35" s="12">
        <f>SUM([2]KLM!$IT$15:$IT$15)</f>
        <v>14</v>
      </c>
      <c r="J35" s="12">
        <f>SUM([2]Jazz_AC!$IT$15:$IT$15)</f>
        <v>93</v>
      </c>
      <c r="K35" s="12">
        <f>SUM('[2]Sky Regional'!$IT$15:$IT$15)</f>
        <v>0</v>
      </c>
      <c r="L35" s="12">
        <f>SUM([2]Condor!$IT$15:$IT$15)</f>
        <v>0</v>
      </c>
      <c r="M35" s="12">
        <f>SUM('[2]Aer Lingus'!$IT$15:$IT$15)</f>
        <v>0</v>
      </c>
      <c r="N35" s="12">
        <f>SUM('[2]Air France'!$IT$15:$IT$15)</f>
        <v>0</v>
      </c>
      <c r="O35" s="12">
        <f>SUM([2]Frontier!$IT$15:$IT$15)</f>
        <v>31</v>
      </c>
      <c r="P35" s="12">
        <f>SUM('[2]Charter Misc'!$IT$15:$IT$15)+SUM([2]Ryan!$IT$15:$IT$15)+SUM([2]Omni!$IT$15:$IT$15)</f>
        <v>0</v>
      </c>
      <c r="Q35" s="205">
        <f>SUM(B35:P35)</f>
        <v>1110</v>
      </c>
    </row>
    <row r="36" spans="1:17" x14ac:dyDescent="0.2">
      <c r="A36" s="45" t="s">
        <v>23</v>
      </c>
      <c r="B36" s="12">
        <f>SUM([2]Delta!$IT$16:$IT$16)</f>
        <v>638</v>
      </c>
      <c r="C36" s="12">
        <f>SUM('[2]Atlantic Southeast'!$IT$16:$IT$16)</f>
        <v>0</v>
      </c>
      <c r="D36" s="12">
        <f>SUM([2]Pinnacle!$IT$16:$IT$16)</f>
        <v>14</v>
      </c>
      <c r="E36" s="12">
        <f>SUM('[2]Sky West'!$IT$16:$IT$16)</f>
        <v>127</v>
      </c>
      <c r="F36" s="12">
        <f>SUM('[2]Go Jet'!$IT$16:$IT$16)</f>
        <v>0</v>
      </c>
      <c r="G36" s="12">
        <f>SUM('[2]Sun Country'!$IT$16:$IT$16)</f>
        <v>189</v>
      </c>
      <c r="H36" s="12">
        <f>SUM([2]Icelandair!$IT$16:$IT$16)</f>
        <v>5</v>
      </c>
      <c r="I36" s="12">
        <f>SUM([2]KLM!$IT$16:$IT$16)</f>
        <v>14</v>
      </c>
      <c r="J36" s="12">
        <f>SUM([2]Jazz_AC!$IT$16:$IT$16)</f>
        <v>93</v>
      </c>
      <c r="K36" s="12">
        <f>SUM('[2]Sky Regional'!$IT$16:$IT$16)</f>
        <v>0</v>
      </c>
      <c r="L36" s="12">
        <f>SUM([2]Condor!$IT$16:$IT$16)</f>
        <v>0</v>
      </c>
      <c r="M36" s="12">
        <f>SUM('[2]Aer Lingus'!$IT$16:$IT$16)</f>
        <v>0</v>
      </c>
      <c r="N36" s="12">
        <f>SUM('[2]Air France'!$IT$16:$IT$16)</f>
        <v>0</v>
      </c>
      <c r="O36" s="12">
        <f>SUM([2]Frontier!$IT$16:$IT$16)</f>
        <v>31</v>
      </c>
      <c r="P36" s="12">
        <f>SUM('[2]Charter Misc'!$IT$16:$IT$16)+SUM([2]Ryan!$IT$16:$IT$16)+SUM([2]Omni!$IT$16:$IT$16)</f>
        <v>0</v>
      </c>
      <c r="Q36" s="205">
        <f>SUM(B36:P36)</f>
        <v>1111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1275</v>
      </c>
      <c r="C38" s="282">
        <f t="shared" si="25"/>
        <v>0</v>
      </c>
      <c r="D38" s="282">
        <f t="shared" si="25"/>
        <v>30</v>
      </c>
      <c r="E38" s="282">
        <f>+SUM(E35:E36)</f>
        <v>251</v>
      </c>
      <c r="F38" s="282">
        <f>+SUM(F35:F36)</f>
        <v>0</v>
      </c>
      <c r="G38" s="282">
        <f t="shared" si="25"/>
        <v>379</v>
      </c>
      <c r="H38" s="282">
        <f t="shared" si="25"/>
        <v>10</v>
      </c>
      <c r="I38" s="282">
        <f t="shared" ref="I38" si="26">+SUM(I35:I36)</f>
        <v>28</v>
      </c>
      <c r="J38" s="282">
        <f t="shared" si="25"/>
        <v>186</v>
      </c>
      <c r="K38" s="282">
        <f t="shared" ref="K38" si="27">+SUM(K35:K36)</f>
        <v>0</v>
      </c>
      <c r="L38" s="282">
        <f>+SUM(L35:L36)</f>
        <v>0</v>
      </c>
      <c r="M38" s="282">
        <f>+SUM(M35:M36)</f>
        <v>0</v>
      </c>
      <c r="N38" s="282">
        <f>+SUM(N35:N36)</f>
        <v>0</v>
      </c>
      <c r="O38" s="282">
        <f t="shared" ref="O38" si="28">+SUM(O35:O36)</f>
        <v>62</v>
      </c>
      <c r="P38" s="282">
        <f>+SUM(P35:P36)</f>
        <v>0</v>
      </c>
      <c r="Q38" s="283">
        <f>SUM(B38:P38)</f>
        <v>2221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&amp;"Arial,Bold"January 2024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4701"/>
  <sheetViews>
    <sheetView topLeftCell="L13" zoomScaleNormal="100" zoomScaleSheetLayoutView="85" workbookViewId="0">
      <selection activeCell="AE39" sqref="AE39"/>
    </sheetView>
  </sheetViews>
  <sheetFormatPr defaultRowHeight="12.75" x14ac:dyDescent="0.2"/>
  <cols>
    <col min="1" max="1" width="3.42578125" customWidth="1"/>
    <col min="2" max="2" width="20" bestFit="1" customWidth="1"/>
    <col min="3" max="3" width="9.7109375" style="2" bestFit="1" customWidth="1"/>
    <col min="4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  <col min="29" max="29" width="14.42578125" bestFit="1" customWidth="1"/>
    <col min="30" max="31" width="9.85546875" bestFit="1" customWidth="1"/>
    <col min="32" max="32" width="10.28515625" bestFit="1" customWidth="1"/>
    <col min="33" max="34" width="9.85546875" bestFit="1" customWidth="1"/>
    <col min="35" max="35" width="10.28515625" bestFit="1" customWidth="1"/>
  </cols>
  <sheetData>
    <row r="1" spans="1:36" s="9" customFormat="1" ht="39" thickBot="1" x14ac:dyDescent="0.25">
      <c r="A1" s="507" t="s">
        <v>130</v>
      </c>
      <c r="B1" s="508"/>
      <c r="C1" s="407" t="s">
        <v>243</v>
      </c>
      <c r="D1" s="407" t="s">
        <v>220</v>
      </c>
      <c r="E1" s="406" t="s">
        <v>95</v>
      </c>
      <c r="F1" s="408" t="s">
        <v>244</v>
      </c>
      <c r="G1" s="407" t="s">
        <v>221</v>
      </c>
      <c r="H1" s="409" t="s">
        <v>96</v>
      </c>
      <c r="I1" s="406" t="s">
        <v>247</v>
      </c>
      <c r="J1" s="511" t="s">
        <v>134</v>
      </c>
      <c r="K1" s="512"/>
      <c r="L1" s="410" t="s">
        <v>248</v>
      </c>
      <c r="M1" s="410" t="s">
        <v>222</v>
      </c>
      <c r="N1" s="411" t="s">
        <v>96</v>
      </c>
      <c r="O1" s="412" t="s">
        <v>249</v>
      </c>
      <c r="P1" s="412" t="s">
        <v>223</v>
      </c>
      <c r="Q1" s="413" t="s">
        <v>96</v>
      </c>
      <c r="R1" s="414" t="s">
        <v>247</v>
      </c>
      <c r="S1" s="499" t="s">
        <v>208</v>
      </c>
      <c r="T1" s="500"/>
      <c r="U1" s="415" t="s">
        <v>248</v>
      </c>
      <c r="V1" s="415" t="s">
        <v>222</v>
      </c>
      <c r="W1" s="416" t="s">
        <v>96</v>
      </c>
      <c r="X1" s="417" t="s">
        <v>249</v>
      </c>
      <c r="Y1" s="417" t="s">
        <v>223</v>
      </c>
      <c r="Z1" s="418" t="s">
        <v>96</v>
      </c>
      <c r="AA1" s="419" t="s">
        <v>247</v>
      </c>
      <c r="AB1" s="494" t="s">
        <v>13</v>
      </c>
      <c r="AC1" s="495"/>
      <c r="AD1" s="441" t="s">
        <v>248</v>
      </c>
      <c r="AE1" s="441" t="s">
        <v>222</v>
      </c>
      <c r="AF1" s="442" t="s">
        <v>96</v>
      </c>
      <c r="AG1" s="443" t="s">
        <v>249</v>
      </c>
      <c r="AH1" s="443" t="s">
        <v>223</v>
      </c>
      <c r="AI1" s="444" t="s">
        <v>96</v>
      </c>
      <c r="AJ1" s="445" t="s">
        <v>247</v>
      </c>
    </row>
    <row r="2" spans="1:36" s="9" customFormat="1" ht="13.5" customHeight="1" thickBot="1" x14ac:dyDescent="0.25">
      <c r="A2" s="477">
        <v>45292</v>
      </c>
      <c r="B2" s="478"/>
      <c r="C2" s="509" t="s">
        <v>9</v>
      </c>
      <c r="D2" s="510"/>
      <c r="E2" s="510"/>
      <c r="F2" s="510"/>
      <c r="G2" s="510"/>
      <c r="H2" s="510"/>
      <c r="I2" s="332"/>
      <c r="J2" s="477">
        <f>+A2</f>
        <v>45292</v>
      </c>
      <c r="K2" s="478"/>
      <c r="L2" s="504" t="s">
        <v>136</v>
      </c>
      <c r="M2" s="505"/>
      <c r="N2" s="505"/>
      <c r="O2" s="505"/>
      <c r="P2" s="505"/>
      <c r="Q2" s="505"/>
      <c r="R2" s="506"/>
      <c r="S2" s="477">
        <f>+J2</f>
        <v>45292</v>
      </c>
      <c r="T2" s="478"/>
      <c r="U2" s="501" t="s">
        <v>209</v>
      </c>
      <c r="V2" s="502"/>
      <c r="W2" s="502"/>
      <c r="X2" s="502"/>
      <c r="Y2" s="502"/>
      <c r="Z2" s="502"/>
      <c r="AA2" s="503"/>
      <c r="AB2" s="477">
        <f>+S2</f>
        <v>45292</v>
      </c>
      <c r="AC2" s="478"/>
      <c r="AD2" s="496" t="s">
        <v>13</v>
      </c>
      <c r="AE2" s="497"/>
      <c r="AF2" s="497"/>
      <c r="AG2" s="497"/>
      <c r="AH2" s="497"/>
      <c r="AI2" s="497"/>
      <c r="AJ2" s="498"/>
    </row>
    <row r="3" spans="1:36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  <c r="AB3" s="256"/>
      <c r="AC3" s="252"/>
      <c r="AD3" s="263"/>
      <c r="AE3" s="2"/>
      <c r="AF3" s="65"/>
      <c r="AG3" s="251"/>
      <c r="AH3" s="257"/>
      <c r="AI3" s="257"/>
      <c r="AJ3" s="252"/>
    </row>
    <row r="4" spans="1:36" ht="14.1" customHeight="1" x14ac:dyDescent="0.2">
      <c r="A4" s="258" t="s">
        <v>98</v>
      </c>
      <c r="B4" s="39"/>
      <c r="C4" s="259">
        <f>SUM(C5:C7)</f>
        <v>186</v>
      </c>
      <c r="D4" s="261">
        <f>SUM(D5:D7)</f>
        <v>81</v>
      </c>
      <c r="E4" s="262">
        <f>(C4-D4)/D4</f>
        <v>1.2962962962962963</v>
      </c>
      <c r="F4" s="259">
        <f>SUM(F5:F7)</f>
        <v>186</v>
      </c>
      <c r="G4" s="261">
        <f>SUM(G5:G7)</f>
        <v>81</v>
      </c>
      <c r="H4" s="260">
        <f>(F4-G4)/G4</f>
        <v>1.2962962962962963</v>
      </c>
      <c r="I4" s="262">
        <f>F4/$F$62</f>
        <v>8.1063412508171721E-3</v>
      </c>
      <c r="J4" s="258" t="s">
        <v>98</v>
      </c>
      <c r="K4" s="39"/>
      <c r="L4" s="259">
        <f>SUM(L5:L7)</f>
        <v>7527</v>
      </c>
      <c r="M4" s="261">
        <f>SUM(M5:M7)</f>
        <v>6713</v>
      </c>
      <c r="N4" s="262">
        <f>(L4-M4)/M4</f>
        <v>0.12125726202889915</v>
      </c>
      <c r="O4" s="259">
        <f>SUM(O5:O7)</f>
        <v>7527</v>
      </c>
      <c r="P4" s="261">
        <f>SUM(P5:P7)</f>
        <v>6713</v>
      </c>
      <c r="Q4" s="260">
        <f>(O4-P4)/P4</f>
        <v>0.12125726202889915</v>
      </c>
      <c r="R4" s="262">
        <f>O4/$O$62</f>
        <v>3.051291863546001E-3</v>
      </c>
      <c r="S4" s="258" t="s">
        <v>98</v>
      </c>
      <c r="T4" s="39"/>
      <c r="U4" s="259">
        <f>SUM(U5:U7)</f>
        <v>10958.5</v>
      </c>
      <c r="V4" s="261">
        <f>SUM(V5:V7)</f>
        <v>2900</v>
      </c>
      <c r="W4" s="262">
        <f>(U4-V4)/V4</f>
        <v>2.778793103448276</v>
      </c>
      <c r="X4" s="259">
        <f>SUM(X5:X7)</f>
        <v>10958.5</v>
      </c>
      <c r="Y4" s="261">
        <f>SUM(Y5:Y7)</f>
        <v>2900</v>
      </c>
      <c r="Z4" s="260">
        <f>(X4-Y4)/Y4</f>
        <v>2.778793103448276</v>
      </c>
      <c r="AA4" s="262">
        <f>X4/$X$62</f>
        <v>1.7466028824964285E-3</v>
      </c>
      <c r="AB4" s="258" t="s">
        <v>98</v>
      </c>
      <c r="AC4" s="39"/>
      <c r="AD4" s="259">
        <f>SUM(AD5:AD7)</f>
        <v>7619</v>
      </c>
      <c r="AE4" s="261">
        <f>SUM(AE5:AE7)</f>
        <v>6832</v>
      </c>
      <c r="AF4" s="262">
        <f>(AD4-AE4)/AE4</f>
        <v>0.11519320843091335</v>
      </c>
      <c r="AG4" s="259">
        <f>SUM(AG5:AG7)</f>
        <v>7619</v>
      </c>
      <c r="AH4" s="261">
        <f>SUM(AH5:AH7)</f>
        <v>6832</v>
      </c>
      <c r="AI4" s="260">
        <f>(AG4-AH4)/AH4</f>
        <v>0.11519320843091335</v>
      </c>
      <c r="AJ4" s="262">
        <f>AG4/$X$62</f>
        <v>1.2143420506219179E-3</v>
      </c>
    </row>
    <row r="5" spans="1:36" ht="14.1" customHeight="1" x14ac:dyDescent="0.2">
      <c r="A5" s="258"/>
      <c r="B5" s="318" t="s">
        <v>98</v>
      </c>
      <c r="C5" s="263">
        <f>+[2]AirCanada!$IT$19</f>
        <v>0</v>
      </c>
      <c r="D5" s="2">
        <f>+[2]AirCanada!$IF$19</f>
        <v>0</v>
      </c>
      <c r="E5" s="65" t="e">
        <f>(C5-D5)/D5</f>
        <v>#DIV/0!</v>
      </c>
      <c r="F5" s="217">
        <f>SUM([2]AirCanada!$IT$19:$IT$19)</f>
        <v>0</v>
      </c>
      <c r="G5" s="217">
        <f>SUM([2]AirCanada!$IF$19:$IF$19)</f>
        <v>0</v>
      </c>
      <c r="H5" s="323" t="e">
        <f>(F5-G5)/G5</f>
        <v>#DIV/0!</v>
      </c>
      <c r="I5" s="65">
        <f>F5/$F$62</f>
        <v>0</v>
      </c>
      <c r="J5" s="258"/>
      <c r="K5" s="318" t="s">
        <v>98</v>
      </c>
      <c r="L5" s="322">
        <f>+[2]AirCanada!$IT$41</f>
        <v>0</v>
      </c>
      <c r="M5" s="217">
        <f>+[2]AirCanada!$IF$41</f>
        <v>0</v>
      </c>
      <c r="N5" s="324" t="e">
        <f>(L5-M5)/M5</f>
        <v>#DIV/0!</v>
      </c>
      <c r="O5" s="322">
        <f>SUM([2]AirCanada!$IT$41:$IT$41)</f>
        <v>0</v>
      </c>
      <c r="P5" s="217">
        <f>SUM([2]AirCanada!$IF$41:$IF$41)</f>
        <v>0</v>
      </c>
      <c r="Q5" s="323" t="e">
        <f>(O5-P5)/P5</f>
        <v>#DIV/0!</v>
      </c>
      <c r="R5" s="324">
        <f>O5/$O$62</f>
        <v>0</v>
      </c>
      <c r="S5" s="258"/>
      <c r="T5" s="318" t="s">
        <v>98</v>
      </c>
      <c r="U5" s="322">
        <f>+[2]AirCanada!$IT$64</f>
        <v>0</v>
      </c>
      <c r="V5" s="217">
        <f>+[2]AirCanada!$IF$64</f>
        <v>0</v>
      </c>
      <c r="W5" s="324" t="e">
        <f>(U5-V5)/V5</f>
        <v>#DIV/0!</v>
      </c>
      <c r="X5" s="322">
        <f>SUM([2]AirCanada!$IT$64:$IT$64)</f>
        <v>0</v>
      </c>
      <c r="Y5" s="217">
        <f>SUM([2]AirCanada!$IF$64:$IF$64)</f>
        <v>0</v>
      </c>
      <c r="Z5" s="323" t="e">
        <f>(X5-Y5)/Y5</f>
        <v>#DIV/0!</v>
      </c>
      <c r="AA5" s="324">
        <f>X5/$X$62</f>
        <v>0</v>
      </c>
      <c r="AB5" s="258"/>
      <c r="AC5" s="318" t="s">
        <v>98</v>
      </c>
      <c r="AD5" s="322">
        <f>+[2]AirCanada!$IT$43</f>
        <v>0</v>
      </c>
      <c r="AE5" s="217">
        <f>+[2]AirCanada!$IF$43</f>
        <v>0</v>
      </c>
      <c r="AF5" s="324" t="e">
        <f>(AD5-AE5)/AE5</f>
        <v>#DIV/0!</v>
      </c>
      <c r="AG5" s="322">
        <f>SUM([2]AirCanada!$IT$43:$IT$43)</f>
        <v>0</v>
      </c>
      <c r="AH5" s="217">
        <f>SUM([2]AirCanada!$IF$43:$IF$43)</f>
        <v>0</v>
      </c>
      <c r="AI5" s="323" t="e">
        <f>(AG5-AH5)/AH5</f>
        <v>#DIV/0!</v>
      </c>
      <c r="AJ5" s="324">
        <f>AG5/$X$62</f>
        <v>0</v>
      </c>
    </row>
    <row r="6" spans="1:36" ht="14.1" customHeight="1" x14ac:dyDescent="0.2">
      <c r="A6" s="258"/>
      <c r="B6" s="318" t="s">
        <v>162</v>
      </c>
      <c r="C6" s="263">
        <f>'[2]Air Georgian'!$IT$19</f>
        <v>0</v>
      </c>
      <c r="D6" s="2">
        <f>'[2]Air Georgian'!$IF$19</f>
        <v>0</v>
      </c>
      <c r="E6" s="65" t="e">
        <f>(C6-D6)/D6</f>
        <v>#DIV/0!</v>
      </c>
      <c r="F6" s="217">
        <f>SUM('[2]Air Georgian'!$IT$19:$IT$19)</f>
        <v>0</v>
      </c>
      <c r="G6" s="217">
        <f>SUM('[2]Air Georgian'!$IF$19:$IF$19)</f>
        <v>0</v>
      </c>
      <c r="H6" s="323" t="e">
        <f>(F6-G6)/G6</f>
        <v>#DIV/0!</v>
      </c>
      <c r="I6" s="65">
        <f>F6/$F$62</f>
        <v>0</v>
      </c>
      <c r="J6" s="258"/>
      <c r="K6" s="318" t="s">
        <v>162</v>
      </c>
      <c r="L6" s="263">
        <f>'[2]Air Georgian'!$IT$41</f>
        <v>0</v>
      </c>
      <c r="M6" s="2">
        <f>'[2]Air Georgian'!$IF$41</f>
        <v>0</v>
      </c>
      <c r="N6" s="65" t="e">
        <f>(L6-M6)/M6</f>
        <v>#DIV/0!</v>
      </c>
      <c r="O6" s="263">
        <f>SUM('[2]Air Georgian'!$IT$41:$IT$41)</f>
        <v>0</v>
      </c>
      <c r="P6" s="2">
        <f>SUM('[2]Air Georgian'!$IF$41:$IF$41)</f>
        <v>0</v>
      </c>
      <c r="Q6" s="3" t="e">
        <f>(O6-P6)/P6</f>
        <v>#DIV/0!</v>
      </c>
      <c r="R6" s="65">
        <f>O6/$O$62</f>
        <v>0</v>
      </c>
      <c r="S6" s="258"/>
      <c r="T6" s="318" t="s">
        <v>162</v>
      </c>
      <c r="U6" s="263">
        <f>'[2]Air Georgian'!$IT$64</f>
        <v>0</v>
      </c>
      <c r="V6" s="2">
        <f>'[2]Air Georgian'!$IF$64</f>
        <v>0</v>
      </c>
      <c r="W6" s="65" t="e">
        <f>(U6-V6)/V6</f>
        <v>#DIV/0!</v>
      </c>
      <c r="X6" s="263">
        <f>SUM('[2]Air Georgian'!$IT$64:$IT$64)</f>
        <v>0</v>
      </c>
      <c r="Y6" s="2">
        <f>SUM('[2]Air Georgian'!$IF$64:$IF$64)</f>
        <v>0</v>
      </c>
      <c r="Z6" s="3" t="e">
        <f>(X6-Y6)/Y6</f>
        <v>#DIV/0!</v>
      </c>
      <c r="AA6" s="65">
        <f>X6/$X$62</f>
        <v>0</v>
      </c>
      <c r="AB6" s="258"/>
      <c r="AC6" s="318" t="s">
        <v>162</v>
      </c>
      <c r="AD6" s="263">
        <f>'[2]Air Georgian'!$IT$43</f>
        <v>0</v>
      </c>
      <c r="AE6" s="2">
        <f>'[2]Air Georgian'!$IF$43</f>
        <v>0</v>
      </c>
      <c r="AF6" s="65" t="e">
        <f>(AD6-AE6)/AE6</f>
        <v>#DIV/0!</v>
      </c>
      <c r="AG6" s="263">
        <f>SUM('[2]Air Georgian'!$IT$43:$IT$43)</f>
        <v>0</v>
      </c>
      <c r="AH6" s="2">
        <f>SUM('[2]Air Georgian'!$IF$43:$IF$43)</f>
        <v>0</v>
      </c>
      <c r="AI6" s="3" t="e">
        <f>(AG6-AH6)/AH6</f>
        <v>#DIV/0!</v>
      </c>
      <c r="AJ6" s="65">
        <f>AG6/$X$62</f>
        <v>0</v>
      </c>
    </row>
    <row r="7" spans="1:36" ht="14.1" customHeight="1" x14ac:dyDescent="0.2">
      <c r="A7" s="258"/>
      <c r="B7" s="318" t="s">
        <v>216</v>
      </c>
      <c r="C7" s="263">
        <f>[2]Jazz_AC!$IT$19</f>
        <v>186</v>
      </c>
      <c r="D7" s="2">
        <f>[2]Jazz_AC!$IF$19</f>
        <v>81</v>
      </c>
      <c r="E7" s="65">
        <f t="shared" ref="E7" si="0">(C7-D7)/D7</f>
        <v>1.2962962962962963</v>
      </c>
      <c r="F7" s="2">
        <f>SUM([2]Jazz_AC!$IT$19:$IT$19)</f>
        <v>186</v>
      </c>
      <c r="G7" s="2">
        <f>SUM([2]Jazz_AC!$IF$19:$IF$19)</f>
        <v>81</v>
      </c>
      <c r="H7" s="3">
        <f t="shared" ref="H7" si="1">(F7-G7)/G7</f>
        <v>1.2962962962962963</v>
      </c>
      <c r="I7" s="65">
        <f>F7/$F$62</f>
        <v>8.1063412508171721E-3</v>
      </c>
      <c r="J7" s="258"/>
      <c r="K7" s="318" t="s">
        <v>216</v>
      </c>
      <c r="L7" s="263">
        <f>[2]Jazz_AC!$IT$41</f>
        <v>7527</v>
      </c>
      <c r="M7" s="2">
        <f>[2]Jazz_AC!$IF$41</f>
        <v>6713</v>
      </c>
      <c r="N7" s="65">
        <f t="shared" ref="N7" si="2">(L7-M7)/M7</f>
        <v>0.12125726202889915</v>
      </c>
      <c r="O7" s="263">
        <f>SUM([2]Jazz_AC!$IT$41:$IT$41)</f>
        <v>7527</v>
      </c>
      <c r="P7" s="2">
        <f>SUM([2]Jazz_AC!$IF$41:$IF$41)</f>
        <v>6713</v>
      </c>
      <c r="Q7" s="3">
        <f t="shared" ref="Q7" si="3">(O7-P7)/P7</f>
        <v>0.12125726202889915</v>
      </c>
      <c r="R7" s="65">
        <f>O7/$O$62</f>
        <v>3.051291863546001E-3</v>
      </c>
      <c r="S7" s="258"/>
      <c r="T7" s="318" t="s">
        <v>216</v>
      </c>
      <c r="U7" s="263">
        <f>[2]Jazz_AC!$IT$64</f>
        <v>10958.5</v>
      </c>
      <c r="V7" s="2">
        <f>[2]Jazz_AC!$IF$64</f>
        <v>2900</v>
      </c>
      <c r="W7" s="65">
        <f t="shared" ref="W7" si="4">(U7-V7)/V7</f>
        <v>2.778793103448276</v>
      </c>
      <c r="X7" s="263">
        <f>SUM([2]Jazz_AC!$IT$64:$IT$64)</f>
        <v>10958.5</v>
      </c>
      <c r="Y7" s="2">
        <f>SUM([2]Jazz_AC!$IF$64:$IF$64)</f>
        <v>2900</v>
      </c>
      <c r="Z7" s="3">
        <f t="shared" ref="Z7" si="5">(X7-Y7)/Y7</f>
        <v>2.778793103448276</v>
      </c>
      <c r="AA7" s="65">
        <f>X7/$X$62</f>
        <v>1.7466028824964285E-3</v>
      </c>
      <c r="AB7" s="258"/>
      <c r="AC7" s="318" t="s">
        <v>216</v>
      </c>
      <c r="AD7" s="263">
        <f>[2]Jazz_AC!$IT$43</f>
        <v>7619</v>
      </c>
      <c r="AE7" s="2">
        <f>[2]Jazz_AC!$IF$43</f>
        <v>6832</v>
      </c>
      <c r="AF7" s="65">
        <f t="shared" ref="AF7" si="6">(AD7-AE7)/AE7</f>
        <v>0.11519320843091335</v>
      </c>
      <c r="AG7" s="263">
        <f>SUM([2]Jazz_AC!$IT$43:$IT$43)</f>
        <v>7619</v>
      </c>
      <c r="AH7" s="2">
        <f>SUM([2]Jazz_AC!$IF$43:$IF$43)</f>
        <v>6832</v>
      </c>
      <c r="AI7" s="3">
        <f t="shared" ref="AI7" si="7">(AG7-AH7)/AH7</f>
        <v>0.11519320843091335</v>
      </c>
      <c r="AJ7" s="65">
        <f>AG7/$X$62</f>
        <v>1.2143420506219179E-3</v>
      </c>
    </row>
    <row r="8" spans="1:36" ht="14.1" customHeight="1" x14ac:dyDescent="0.2">
      <c r="A8" s="258"/>
      <c r="B8" s="39"/>
      <c r="C8" s="259"/>
      <c r="D8" s="261"/>
      <c r="E8" s="262"/>
      <c r="F8" s="261"/>
      <c r="G8" s="261"/>
      <c r="H8" s="260"/>
      <c r="I8" s="262"/>
      <c r="J8" s="258"/>
      <c r="K8" s="39"/>
      <c r="L8" s="263"/>
      <c r="N8" s="65"/>
      <c r="O8" s="263"/>
      <c r="P8" s="2"/>
      <c r="Q8" s="3"/>
      <c r="R8" s="65"/>
      <c r="S8" s="258"/>
      <c r="T8" s="39"/>
      <c r="U8" s="263"/>
      <c r="V8" s="2"/>
      <c r="W8" s="65"/>
      <c r="X8" s="263"/>
      <c r="Y8" s="2"/>
      <c r="Z8" s="3"/>
      <c r="AA8" s="65"/>
      <c r="AB8" s="258"/>
      <c r="AC8" s="39"/>
      <c r="AD8" s="263"/>
      <c r="AE8" s="2"/>
      <c r="AF8" s="65"/>
      <c r="AG8" s="263"/>
      <c r="AH8" s="2"/>
      <c r="AI8" s="3"/>
      <c r="AJ8" s="65"/>
    </row>
    <row r="9" spans="1:36" ht="14.1" customHeight="1" x14ac:dyDescent="0.2">
      <c r="A9" s="258" t="s">
        <v>154</v>
      </c>
      <c r="B9" s="39"/>
      <c r="C9" s="259">
        <f>'[2]Air France'!$IT$19</f>
        <v>0</v>
      </c>
      <c r="D9" s="261">
        <f>'[2]Air France'!$IF$19</f>
        <v>0</v>
      </c>
      <c r="E9" s="262" t="e">
        <f>(C9-D9)/D9</f>
        <v>#DIV/0!</v>
      </c>
      <c r="F9" s="261">
        <f>SUM('[2]Air France'!$IT$19:$IT$19)</f>
        <v>0</v>
      </c>
      <c r="G9" s="261">
        <f>SUM('[2]Air France'!$IF$19:$IF$19)</f>
        <v>0</v>
      </c>
      <c r="H9" s="260" t="e">
        <f>(F9-G9)/G9</f>
        <v>#DIV/0!</v>
      </c>
      <c r="I9" s="262">
        <f>F9/$F$62</f>
        <v>0</v>
      </c>
      <c r="J9" s="258" t="s">
        <v>154</v>
      </c>
      <c r="K9" s="39"/>
      <c r="L9" s="259">
        <f>'[2]Air France'!$IT$41</f>
        <v>0</v>
      </c>
      <c r="M9" s="261">
        <f>'[2]Air France'!$IF$41</f>
        <v>0</v>
      </c>
      <c r="N9" s="262" t="e">
        <f>(L9-M9)/M9</f>
        <v>#DIV/0!</v>
      </c>
      <c r="O9" s="259">
        <f>SUM('[2]Air France'!$IT$41:$IT$41)</f>
        <v>0</v>
      </c>
      <c r="P9" s="261">
        <f>SUM('[2]Air France'!$IF$41:$IF$41)</f>
        <v>0</v>
      </c>
      <c r="Q9" s="260" t="e">
        <f>(O9-P9)/P9</f>
        <v>#DIV/0!</v>
      </c>
      <c r="R9" s="262">
        <f>O9/$O$62</f>
        <v>0</v>
      </c>
      <c r="S9" s="258" t="s">
        <v>154</v>
      </c>
      <c r="T9" s="39"/>
      <c r="U9" s="259">
        <f>'[2]Air France'!$IT$64</f>
        <v>0</v>
      </c>
      <c r="V9" s="261">
        <f>'[2]Air France'!$IF$64</f>
        <v>0</v>
      </c>
      <c r="W9" s="262" t="e">
        <f>(U9-V9)/V9</f>
        <v>#DIV/0!</v>
      </c>
      <c r="X9" s="259">
        <f>SUM('[2]Air France'!$IT$64:$IT$64)</f>
        <v>0</v>
      </c>
      <c r="Y9" s="261">
        <f>SUM('[2]Air France'!$IF$64:$IF$64)</f>
        <v>0</v>
      </c>
      <c r="Z9" s="260" t="e">
        <f>(X9-Y9)/Y9</f>
        <v>#DIV/0!</v>
      </c>
      <c r="AA9" s="262">
        <f>X9/$X$62</f>
        <v>0</v>
      </c>
      <c r="AB9" s="258" t="s">
        <v>154</v>
      </c>
      <c r="AC9" s="39"/>
      <c r="AD9" s="259">
        <f>'[2]Air France'!$IT$43</f>
        <v>0</v>
      </c>
      <c r="AE9" s="261">
        <f>'[2]Air France'!$IF$43</f>
        <v>0</v>
      </c>
      <c r="AF9" s="262" t="e">
        <f>(AD9-AE9)/AE9</f>
        <v>#DIV/0!</v>
      </c>
      <c r="AG9" s="259">
        <f>SUM('[2]Air France'!$IT$43:$IT$43)</f>
        <v>0</v>
      </c>
      <c r="AH9" s="261">
        <f>SUM('[2]Air France'!$IF$43:$IF$43)</f>
        <v>0</v>
      </c>
      <c r="AI9" s="260" t="e">
        <f>(AG9-AH9)/AH9</f>
        <v>#DIV/0!</v>
      </c>
      <c r="AJ9" s="262">
        <f>AG9/$X$62</f>
        <v>0</v>
      </c>
    </row>
    <row r="10" spans="1:36" ht="14.1" customHeight="1" x14ac:dyDescent="0.2">
      <c r="A10" s="258"/>
      <c r="B10" s="39"/>
      <c r="C10" s="259"/>
      <c r="D10" s="261"/>
      <c r="E10" s="262"/>
      <c r="F10" s="261"/>
      <c r="G10" s="261"/>
      <c r="H10" s="260"/>
      <c r="I10" s="262"/>
      <c r="J10" s="258"/>
      <c r="K10" s="39"/>
      <c r="L10" s="263"/>
      <c r="N10" s="65"/>
      <c r="O10" s="263"/>
      <c r="P10" s="2"/>
      <c r="Q10" s="3"/>
      <c r="R10" s="65"/>
      <c r="S10" s="258"/>
      <c r="T10" s="39"/>
      <c r="U10" s="263"/>
      <c r="V10" s="2"/>
      <c r="W10" s="65"/>
      <c r="X10" s="263"/>
      <c r="Y10" s="2"/>
      <c r="Z10" s="3"/>
      <c r="AA10" s="65"/>
      <c r="AB10" s="258"/>
      <c r="AC10" s="39"/>
      <c r="AD10" s="263"/>
      <c r="AE10" s="2"/>
      <c r="AF10" s="65"/>
      <c r="AG10" s="263"/>
      <c r="AH10" s="2"/>
      <c r="AI10" s="3"/>
      <c r="AJ10" s="65"/>
    </row>
    <row r="11" spans="1:36" ht="14.1" customHeight="1" x14ac:dyDescent="0.2">
      <c r="A11" s="258" t="s">
        <v>217</v>
      </c>
      <c r="B11" s="39"/>
      <c r="C11" s="263">
        <f>'[2]Allegiant '!$IT$19</f>
        <v>68</v>
      </c>
      <c r="D11" s="2">
        <f>'[2]Allegiant '!$IF$19</f>
        <v>74</v>
      </c>
      <c r="E11" s="262">
        <f t="shared" ref="E11" si="8">(C11-D11)/D11</f>
        <v>-8.1081081081081086E-2</v>
      </c>
      <c r="F11" s="2">
        <f>SUM('[2]Allegiant '!$IT$19:$IT$19)</f>
        <v>68</v>
      </c>
      <c r="G11" s="2">
        <f>SUM('[2]Allegiant '!$IF$19:$IF$19)</f>
        <v>74</v>
      </c>
      <c r="H11" s="260">
        <f t="shared" ref="H11" si="9">(F11-G11)/G11</f>
        <v>-8.1081081081081086E-2</v>
      </c>
      <c r="I11" s="262">
        <f>F11/$F$62</f>
        <v>2.9636086293310091E-3</v>
      </c>
      <c r="J11" s="258" t="s">
        <v>217</v>
      </c>
      <c r="K11" s="39"/>
      <c r="L11" s="263">
        <f>'[2]Allegiant '!$IT$41</f>
        <v>9310</v>
      </c>
      <c r="M11" s="2">
        <f>'[2]Allegiant '!$IF$41</f>
        <v>11477</v>
      </c>
      <c r="N11" s="262">
        <f t="shared" ref="N11" si="10">(L11-M11)/M11</f>
        <v>-0.18881240742354274</v>
      </c>
      <c r="O11" s="263">
        <f>SUM('[2]Allegiant '!$IT$41:$IT$41)</f>
        <v>9310</v>
      </c>
      <c r="P11" s="2">
        <f>SUM('[2]Allegiant '!$IF$41:$IF$41)</f>
        <v>11477</v>
      </c>
      <c r="Q11" s="260">
        <f t="shared" ref="Q11" si="11">(O11-P11)/P11</f>
        <v>-0.18881240742354274</v>
      </c>
      <c r="R11" s="262">
        <f>O11/$O$62</f>
        <v>3.7740835989920644E-3</v>
      </c>
      <c r="S11" s="258" t="s">
        <v>217</v>
      </c>
      <c r="T11" s="39"/>
      <c r="U11" s="263">
        <f>'[2]Allegiant '!$IT$64</f>
        <v>0</v>
      </c>
      <c r="V11" s="2">
        <f>'[2]Allegiant '!$IF$64</f>
        <v>0</v>
      </c>
      <c r="W11" s="262" t="e">
        <f t="shared" ref="W11" si="12">(U11-V11)/V11</f>
        <v>#DIV/0!</v>
      </c>
      <c r="X11" s="263">
        <f>SUM('[2]Allegiant '!$IT$64:$IT$64)</f>
        <v>0</v>
      </c>
      <c r="Y11" s="2">
        <f>SUM('[2]Allegiant '!$IF$64:$IF$64)</f>
        <v>0</v>
      </c>
      <c r="Z11" s="260" t="e">
        <f t="shared" ref="Z11" si="13">(X11-Y11)/Y11</f>
        <v>#DIV/0!</v>
      </c>
      <c r="AA11" s="262">
        <f>X11/$X$62</f>
        <v>0</v>
      </c>
      <c r="AB11" s="258" t="s">
        <v>217</v>
      </c>
      <c r="AC11" s="39"/>
      <c r="AD11" s="263">
        <f>'[2]Allegiant '!$IT$43</f>
        <v>9310</v>
      </c>
      <c r="AE11" s="2">
        <f>'[2]Allegiant '!$IF$43</f>
        <v>11477</v>
      </c>
      <c r="AF11" s="262">
        <f t="shared" ref="AF11" si="14">(AD11-AE11)/AE11</f>
        <v>-0.18881240742354274</v>
      </c>
      <c r="AG11" s="263">
        <f>SUM('[2]Allegiant '!$IT$43:$IT$43)</f>
        <v>9310</v>
      </c>
      <c r="AH11" s="2">
        <f>SUM('[2]Allegiant '!$IF$43:$IF$43)</f>
        <v>11477</v>
      </c>
      <c r="AI11" s="260">
        <f t="shared" ref="AI11" si="15">(AG11-AH11)/AH11</f>
        <v>-0.18881240742354274</v>
      </c>
      <c r="AJ11" s="262">
        <f>AG11/$X$62</f>
        <v>1.4838593636028424E-3</v>
      </c>
    </row>
    <row r="12" spans="1:36" ht="14.1" customHeight="1" x14ac:dyDescent="0.2">
      <c r="A12" s="258"/>
      <c r="B12" s="39"/>
      <c r="C12" s="259"/>
      <c r="D12" s="261"/>
      <c r="E12" s="262"/>
      <c r="F12" s="261"/>
      <c r="G12" s="261"/>
      <c r="H12" s="260"/>
      <c r="I12" s="262"/>
      <c r="J12" s="258"/>
      <c r="K12" s="39"/>
      <c r="L12" s="263"/>
      <c r="N12" s="65"/>
      <c r="O12" s="263"/>
      <c r="P12" s="2"/>
      <c r="Q12" s="3"/>
      <c r="R12" s="65"/>
      <c r="S12" s="258"/>
      <c r="T12" s="39"/>
      <c r="U12" s="263"/>
      <c r="V12" s="2"/>
      <c r="W12" s="65"/>
      <c r="X12" s="263"/>
      <c r="Y12" s="2"/>
      <c r="Z12" s="3"/>
      <c r="AA12" s="65"/>
      <c r="AB12" s="258"/>
      <c r="AC12" s="39"/>
      <c r="AD12" s="263"/>
      <c r="AE12" s="2"/>
      <c r="AF12" s="65"/>
      <c r="AG12" s="263"/>
      <c r="AH12" s="2"/>
      <c r="AI12" s="3"/>
      <c r="AJ12" s="65"/>
    </row>
    <row r="13" spans="1:36" ht="14.1" customHeight="1" x14ac:dyDescent="0.2">
      <c r="A13" s="258" t="s">
        <v>127</v>
      </c>
      <c r="B13" s="39"/>
      <c r="C13" s="259">
        <f>SUM(C14:C16)</f>
        <v>103</v>
      </c>
      <c r="D13" s="261">
        <f>SUM(D14:D16)</f>
        <v>98</v>
      </c>
      <c r="E13" s="262">
        <f>(C13-D13)/D13</f>
        <v>5.1020408163265307E-2</v>
      </c>
      <c r="F13" s="261">
        <f>SUM(F14:F16)</f>
        <v>103</v>
      </c>
      <c r="G13" s="261">
        <f>SUM(G14:G16)</f>
        <v>98</v>
      </c>
      <c r="H13" s="260">
        <f>(F13-G13)/G13</f>
        <v>5.1020408163265307E-2</v>
      </c>
      <c r="I13" s="262">
        <f>F13/$F$62</f>
        <v>4.4889954238396161E-3</v>
      </c>
      <c r="J13" s="258" t="s">
        <v>127</v>
      </c>
      <c r="K13" s="39"/>
      <c r="L13" s="259">
        <f>SUM(L14:L16)</f>
        <v>12044</v>
      </c>
      <c r="M13" s="261">
        <f>SUM(M14:M16)</f>
        <v>12852</v>
      </c>
      <c r="N13" s="262">
        <f>(L13-M13)/M13</f>
        <v>-6.2869592281356981E-2</v>
      </c>
      <c r="O13" s="259">
        <f>SUM(O14:O16)</f>
        <v>12044</v>
      </c>
      <c r="P13" s="261">
        <f>SUM(P14:P16)</f>
        <v>12852</v>
      </c>
      <c r="Q13" s="260">
        <f>(O13-P13)/P13</f>
        <v>-6.2869592281356981E-2</v>
      </c>
      <c r="R13" s="262">
        <f>O13/$O$62</f>
        <v>4.8823912853126128E-3</v>
      </c>
      <c r="S13" s="258" t="s">
        <v>127</v>
      </c>
      <c r="T13" s="39"/>
      <c r="U13" s="259">
        <f>SUM(U14:U16)</f>
        <v>11751</v>
      </c>
      <c r="V13" s="261">
        <f>SUM(V14:V16)</f>
        <v>18689</v>
      </c>
      <c r="W13" s="262">
        <f>(U13-V13)/V13</f>
        <v>-0.37123441596661139</v>
      </c>
      <c r="X13" s="259">
        <f>SUM(X14:X16)</f>
        <v>11751</v>
      </c>
      <c r="Y13" s="261">
        <f>SUM(Y14:Y16)</f>
        <v>18689</v>
      </c>
      <c r="Z13" s="260">
        <f>(X13-Y13)/Y13</f>
        <v>-0.37123441596661139</v>
      </c>
      <c r="AA13" s="262">
        <f>X13/$X$62</f>
        <v>1.8729142193015039E-3</v>
      </c>
      <c r="AB13" s="258" t="s">
        <v>127</v>
      </c>
      <c r="AC13" s="39"/>
      <c r="AD13" s="259">
        <f>SUM(AD14:AD16)</f>
        <v>12582</v>
      </c>
      <c r="AE13" s="261">
        <f>SUM(AE14:AE16)</f>
        <v>13390</v>
      </c>
      <c r="AF13" s="262">
        <f>(AD13-AE13)/AE13</f>
        <v>-6.0343539955190442E-2</v>
      </c>
      <c r="AG13" s="259">
        <f>SUM(AG14:AG16)</f>
        <v>12582</v>
      </c>
      <c r="AH13" s="261">
        <f>SUM(AH14:AH16)</f>
        <v>13390</v>
      </c>
      <c r="AI13" s="260">
        <f>(AG13-AH13)/AH13</f>
        <v>-6.0343539955190442E-2</v>
      </c>
      <c r="AJ13" s="262">
        <f>AG13/$X$62</f>
        <v>2.0053618166327564E-3</v>
      </c>
    </row>
    <row r="14" spans="1:36" ht="14.1" customHeight="1" x14ac:dyDescent="0.2">
      <c r="A14" s="258"/>
      <c r="B14" s="318" t="s">
        <v>127</v>
      </c>
      <c r="C14" s="322">
        <f>[2]Alaska!$IT$19</f>
        <v>103</v>
      </c>
      <c r="D14" s="217">
        <f>[2]Alaska!$IF$19</f>
        <v>98</v>
      </c>
      <c r="E14" s="324">
        <f>(C14-D14)/D14</f>
        <v>5.1020408163265307E-2</v>
      </c>
      <c r="F14" s="217">
        <f>SUM([2]Alaska!$IT$19:$IT$19)</f>
        <v>103</v>
      </c>
      <c r="G14" s="217">
        <f>SUM([2]Alaska!$IF$19:$IF$19)</f>
        <v>98</v>
      </c>
      <c r="H14" s="323">
        <f>(F14-G14)/G14</f>
        <v>5.1020408163265307E-2</v>
      </c>
      <c r="I14" s="324">
        <f>F14/$F$62</f>
        <v>4.4889954238396161E-3</v>
      </c>
      <c r="J14" s="258"/>
      <c r="K14" s="318" t="s">
        <v>127</v>
      </c>
      <c r="L14" s="322">
        <f>[2]Alaska!$IT$41</f>
        <v>12044</v>
      </c>
      <c r="M14" s="217">
        <f>[2]Alaska!$IF$41</f>
        <v>12852</v>
      </c>
      <c r="N14" s="324">
        <f>(L14-M14)/M14</f>
        <v>-6.2869592281356981E-2</v>
      </c>
      <c r="O14" s="322">
        <f>SUM([2]Alaska!$IT$41:$IT$41)</f>
        <v>12044</v>
      </c>
      <c r="P14" s="217">
        <f>SUM([2]Alaska!$IF$41:$IF$41)</f>
        <v>12852</v>
      </c>
      <c r="Q14" s="323">
        <f>(O14-P14)/P14</f>
        <v>-6.2869592281356981E-2</v>
      </c>
      <c r="R14" s="324">
        <f>O14/$O$62</f>
        <v>4.8823912853126128E-3</v>
      </c>
      <c r="S14" s="258"/>
      <c r="T14" s="318" t="s">
        <v>127</v>
      </c>
      <c r="U14" s="322">
        <f>[2]Alaska!$IT$64</f>
        <v>11751</v>
      </c>
      <c r="V14" s="217">
        <f>[2]Alaska!$IF$64</f>
        <v>18689</v>
      </c>
      <c r="W14" s="324">
        <f>(U14-V14)/V14</f>
        <v>-0.37123441596661139</v>
      </c>
      <c r="X14" s="322">
        <f>SUM([2]Alaska!$IT$64:$IT$64)</f>
        <v>11751</v>
      </c>
      <c r="Y14" s="217">
        <f>SUM([2]Alaska!$IF$64:$IF$64)</f>
        <v>18689</v>
      </c>
      <c r="Z14" s="323">
        <f>(X14-Y14)/Y14</f>
        <v>-0.37123441596661139</v>
      </c>
      <c r="AA14" s="324">
        <f>X14/$X$62</f>
        <v>1.8729142193015039E-3</v>
      </c>
      <c r="AB14" s="258"/>
      <c r="AC14" s="318" t="s">
        <v>127</v>
      </c>
      <c r="AD14" s="322">
        <f>[2]Alaska!$IT$43</f>
        <v>12582</v>
      </c>
      <c r="AE14" s="217">
        <f>[2]Alaska!$IF$43</f>
        <v>13390</v>
      </c>
      <c r="AF14" s="324">
        <f>(AD14-AE14)/AE14</f>
        <v>-6.0343539955190442E-2</v>
      </c>
      <c r="AG14" s="322">
        <f>SUM([2]Alaska!$IT$43:$IT$43)</f>
        <v>12582</v>
      </c>
      <c r="AH14" s="217">
        <f>SUM([2]Alaska!$IF$43:$IF$43)</f>
        <v>13390</v>
      </c>
      <c r="AI14" s="323">
        <f>(AG14-AH14)/AH14</f>
        <v>-6.0343539955190442E-2</v>
      </c>
      <c r="AJ14" s="324">
        <f>AG14/$X$62</f>
        <v>2.0053618166327564E-3</v>
      </c>
    </row>
    <row r="15" spans="1:36" ht="14.1" customHeight="1" x14ac:dyDescent="0.2">
      <c r="A15" s="258"/>
      <c r="B15" s="318" t="s">
        <v>97</v>
      </c>
      <c r="C15" s="263">
        <f>'[2]Sky West_AS'!$IT$19</f>
        <v>0</v>
      </c>
      <c r="D15" s="2">
        <f>'[2]Sky West_AS'!$IF$19</f>
        <v>0</v>
      </c>
      <c r="E15" s="65" t="e">
        <f>(C15-D15)/D15</f>
        <v>#DIV/0!</v>
      </c>
      <c r="F15" s="2">
        <f>SUM('[2]Sky West_AS'!$IT$19:$IT$19)</f>
        <v>0</v>
      </c>
      <c r="G15" s="2">
        <f>SUM('[2]Sky West_AS'!$IF$19:$IF$19)</f>
        <v>0</v>
      </c>
      <c r="H15" s="3" t="e">
        <f>(F15-G15)/G15</f>
        <v>#DIV/0!</v>
      </c>
      <c r="I15" s="65">
        <f>F15/$F$62</f>
        <v>0</v>
      </c>
      <c r="J15" s="258"/>
      <c r="K15" s="318" t="s">
        <v>97</v>
      </c>
      <c r="L15" s="263">
        <f>'[2]Sky West_AS'!$IT$41</f>
        <v>0</v>
      </c>
      <c r="M15" s="2">
        <f>'[2]Sky West_AS'!$IF$41</f>
        <v>0</v>
      </c>
      <c r="N15" s="65" t="e">
        <f>(L15-M15)/M15</f>
        <v>#DIV/0!</v>
      </c>
      <c r="O15" s="263">
        <f>SUM('[2]Sky West_AS'!$IT$41:$IT$41)</f>
        <v>0</v>
      </c>
      <c r="P15" s="2">
        <f>SUM('[2]Sky West_AS'!$IF$41:$IF$41)</f>
        <v>0</v>
      </c>
      <c r="Q15" s="3" t="e">
        <f>(O15-P15)/P15</f>
        <v>#DIV/0!</v>
      </c>
      <c r="R15" s="324">
        <f>O15/$O$62</f>
        <v>0</v>
      </c>
      <c r="S15" s="258"/>
      <c r="T15" s="318" t="s">
        <v>97</v>
      </c>
      <c r="U15" s="263">
        <f>'[2]Sky West_AS'!$IT$64</f>
        <v>0</v>
      </c>
      <c r="V15" s="2">
        <f>'[2]Sky West_AS'!$IF$64</f>
        <v>0</v>
      </c>
      <c r="W15" s="65" t="e">
        <f>(U15-V15)/V15</f>
        <v>#DIV/0!</v>
      </c>
      <c r="X15" s="263">
        <f>SUM('[2]Sky West_AS'!$IT$64:$IT$64)</f>
        <v>0</v>
      </c>
      <c r="Y15" s="2">
        <f>SUM('[2]Sky West_AS'!$IF$64:$IF$64)</f>
        <v>0</v>
      </c>
      <c r="Z15" s="3" t="e">
        <f>(X15-Y15)/Y15</f>
        <v>#DIV/0!</v>
      </c>
      <c r="AA15" s="324">
        <f>X15/$X$62</f>
        <v>0</v>
      </c>
      <c r="AB15" s="258"/>
      <c r="AC15" s="318" t="s">
        <v>97</v>
      </c>
      <c r="AD15" s="263">
        <f>'[2]Sky West_AS'!$IT$43</f>
        <v>0</v>
      </c>
      <c r="AE15" s="2">
        <f>'[2]Sky West_AS'!$IF$43</f>
        <v>0</v>
      </c>
      <c r="AF15" s="65" t="e">
        <f>(AD15-AE15)/AE15</f>
        <v>#DIV/0!</v>
      </c>
      <c r="AG15" s="263">
        <f>SUM('[2]Sky West_AS'!$IT$43:$IT$43)</f>
        <v>0</v>
      </c>
      <c r="AH15" s="2">
        <f>SUM('[2]Sky West_AS'!$IF$43:$IF$43)</f>
        <v>0</v>
      </c>
      <c r="AI15" s="3" t="e">
        <f>(AG15-AH15)/AH15</f>
        <v>#DIV/0!</v>
      </c>
      <c r="AJ15" s="324">
        <f>AG15/$X$62</f>
        <v>0</v>
      </c>
    </row>
    <row r="16" spans="1:36" ht="14.1" customHeight="1" x14ac:dyDescent="0.2">
      <c r="A16" s="258"/>
      <c r="B16" s="318" t="s">
        <v>184</v>
      </c>
      <c r="C16" s="263">
        <f>[2]Horizon_AS!$IT$19</f>
        <v>0</v>
      </c>
      <c r="D16" s="2">
        <f>[2]Horizon_AS!$IF$19</f>
        <v>0</v>
      </c>
      <c r="E16" s="65" t="e">
        <f>(C16-D16)/D16</f>
        <v>#DIV/0!</v>
      </c>
      <c r="F16" s="2">
        <f>SUM([2]Horizon_AS!$IT$19:$IT$19)</f>
        <v>0</v>
      </c>
      <c r="G16" s="2">
        <f>SUM([2]Horizon_AS!$IF$19:$IF$19)</f>
        <v>0</v>
      </c>
      <c r="H16" s="3" t="e">
        <f>(F16-G16)/G16</f>
        <v>#DIV/0!</v>
      </c>
      <c r="I16" s="65">
        <f>F16/$F$62</f>
        <v>0</v>
      </c>
      <c r="J16" s="258"/>
      <c r="K16" s="318" t="s">
        <v>184</v>
      </c>
      <c r="L16" s="263">
        <f>[2]Horizon_AS!$IT$41</f>
        <v>0</v>
      </c>
      <c r="M16" s="2">
        <f>[2]Horizon_AS!$IF$41</f>
        <v>0</v>
      </c>
      <c r="N16" s="65" t="e">
        <f>(L16-M16)/M16</f>
        <v>#DIV/0!</v>
      </c>
      <c r="O16" s="263">
        <f>SUM([2]Horizon_AS!$IT$41:$IT$41)</f>
        <v>0</v>
      </c>
      <c r="P16" s="2">
        <f>SUM([2]Horizon_AS!$IF$41:$IF$41)</f>
        <v>0</v>
      </c>
      <c r="Q16" s="3" t="e">
        <f>(O16-P16)/P16</f>
        <v>#DIV/0!</v>
      </c>
      <c r="R16" s="324">
        <f>O16/$O$62</f>
        <v>0</v>
      </c>
      <c r="S16" s="258"/>
      <c r="T16" s="318" t="s">
        <v>184</v>
      </c>
      <c r="U16" s="263">
        <f>[2]Horizon_AS!$IT$64</f>
        <v>0</v>
      </c>
      <c r="V16" s="2">
        <f>[2]Horizon_AS!$IF$64</f>
        <v>0</v>
      </c>
      <c r="W16" s="65" t="e">
        <f>(U16-V16)/V16</f>
        <v>#DIV/0!</v>
      </c>
      <c r="X16" s="263">
        <f>SUM([2]Horizon_AS!$IT$64:$IT$64)</f>
        <v>0</v>
      </c>
      <c r="Y16" s="2">
        <f>SUM([2]Horizon_AS!$IF$64:$IF$64)</f>
        <v>0</v>
      </c>
      <c r="Z16" s="3" t="e">
        <f>(X16-Y16)/Y16</f>
        <v>#DIV/0!</v>
      </c>
      <c r="AA16" s="324">
        <f>X16/$X$62</f>
        <v>0</v>
      </c>
      <c r="AB16" s="258"/>
      <c r="AC16" s="318" t="s">
        <v>184</v>
      </c>
      <c r="AD16" s="263">
        <f>[2]Horizon_AS!$IT$43</f>
        <v>0</v>
      </c>
      <c r="AE16" s="2">
        <f>[2]Horizon_AS!$IF$43</f>
        <v>0</v>
      </c>
      <c r="AF16" s="65" t="e">
        <f>(AD16-AE16)/AE16</f>
        <v>#DIV/0!</v>
      </c>
      <c r="AG16" s="263">
        <f>SUM([2]Horizon_AS!$IT$43:$IT$43)</f>
        <v>0</v>
      </c>
      <c r="AH16" s="2">
        <f>SUM([2]Horizon_AS!$IF$43:$IF$43)</f>
        <v>0</v>
      </c>
      <c r="AI16" s="3" t="e">
        <f>(AG16-AH16)/AH16</f>
        <v>#DIV/0!</v>
      </c>
      <c r="AJ16" s="324">
        <f>AG16/$X$62</f>
        <v>0</v>
      </c>
    </row>
    <row r="17" spans="1:36" ht="14.1" customHeight="1" x14ac:dyDescent="0.2">
      <c r="A17" s="258"/>
      <c r="B17" s="39"/>
      <c r="C17" s="259"/>
      <c r="D17" s="264"/>
      <c r="E17" s="262"/>
      <c r="F17" s="264"/>
      <c r="G17" s="264"/>
      <c r="H17" s="260"/>
      <c r="I17" s="262"/>
      <c r="J17" s="258"/>
      <c r="K17" s="39"/>
      <c r="L17" s="139"/>
      <c r="M17" s="95"/>
      <c r="N17" s="65"/>
      <c r="O17" s="139"/>
      <c r="P17" s="95"/>
      <c r="Q17" s="3"/>
      <c r="R17" s="65"/>
      <c r="S17" s="258"/>
      <c r="T17" s="39"/>
      <c r="U17" s="139"/>
      <c r="V17" s="95"/>
      <c r="W17" s="65"/>
      <c r="X17" s="139"/>
      <c r="Y17" s="95"/>
      <c r="Z17" s="3"/>
      <c r="AA17" s="65"/>
      <c r="AB17" s="258"/>
      <c r="AC17" s="39"/>
      <c r="AD17" s="139"/>
      <c r="AE17" s="95"/>
      <c r="AF17" s="65"/>
      <c r="AG17" s="139"/>
      <c r="AH17" s="95"/>
      <c r="AI17" s="3"/>
      <c r="AJ17" s="65"/>
    </row>
    <row r="18" spans="1:36" ht="14.1" customHeight="1" x14ac:dyDescent="0.2">
      <c r="A18" s="258" t="s">
        <v>17</v>
      </c>
      <c r="B18" s="265"/>
      <c r="C18" s="259">
        <f>SUM(C19:C24)</f>
        <v>998</v>
      </c>
      <c r="D18" s="261">
        <f>SUM(D19:D24)</f>
        <v>998</v>
      </c>
      <c r="E18" s="262">
        <f t="shared" ref="E18:E24" si="16">(C18-D18)/D18</f>
        <v>0</v>
      </c>
      <c r="F18" s="259">
        <f>SUM(F19:F24)</f>
        <v>998</v>
      </c>
      <c r="G18" s="261">
        <f>SUM(G19:G24)</f>
        <v>998</v>
      </c>
      <c r="H18" s="260">
        <f t="shared" ref="H18:H24" si="17">(F18-G18)/G18</f>
        <v>0</v>
      </c>
      <c r="I18" s="262">
        <f t="shared" ref="I18:I24" si="18">F18/$F$62</f>
        <v>4.3495314883416868E-2</v>
      </c>
      <c r="J18" s="258" t="s">
        <v>17</v>
      </c>
      <c r="K18" s="265"/>
      <c r="L18" s="259">
        <f>SUM(L19:L24)</f>
        <v>110360</v>
      </c>
      <c r="M18" s="261">
        <f>SUM(M19:M24)</f>
        <v>105143</v>
      </c>
      <c r="N18" s="262">
        <f t="shared" ref="N18:N24" si="19">(L18-M18)/M18</f>
        <v>4.9618139105789258E-2</v>
      </c>
      <c r="O18" s="259">
        <f>SUM(O19:O24)</f>
        <v>110360</v>
      </c>
      <c r="P18" s="261">
        <f>SUM(P19:P24)</f>
        <v>105143</v>
      </c>
      <c r="Q18" s="260">
        <f t="shared" ref="Q18:Q24" si="20">(O18-P18)/P18</f>
        <v>4.9618139105789258E-2</v>
      </c>
      <c r="R18" s="262">
        <f t="shared" ref="R18:R24" si="21">O18/$O$62</f>
        <v>4.4737687001585848E-2</v>
      </c>
      <c r="S18" s="258" t="s">
        <v>17</v>
      </c>
      <c r="T18" s="265"/>
      <c r="U18" s="259">
        <f>SUM(U19:U24)</f>
        <v>55239</v>
      </c>
      <c r="V18" s="261">
        <f>SUM(V19:V24)</f>
        <v>60908</v>
      </c>
      <c r="W18" s="262">
        <f t="shared" ref="W18:W22" si="22">(U18-V18)/V18</f>
        <v>-9.3074801339725483E-2</v>
      </c>
      <c r="X18" s="259">
        <f>SUM(X19:X24)</f>
        <v>55239</v>
      </c>
      <c r="Y18" s="261">
        <f>SUM(Y19:Y24)</f>
        <v>60908</v>
      </c>
      <c r="Z18" s="260">
        <f t="shared" ref="Z18:Z22" si="23">(X18-Y18)/Y18</f>
        <v>-9.3074801339725483E-2</v>
      </c>
      <c r="AA18" s="262">
        <f t="shared" ref="AA18:AA24" si="24">X18/$X$62</f>
        <v>8.804179096246768E-3</v>
      </c>
      <c r="AB18" s="258" t="s">
        <v>17</v>
      </c>
      <c r="AC18" s="265"/>
      <c r="AD18" s="259">
        <f>SUM(AD19:AD24)</f>
        <v>114130</v>
      </c>
      <c r="AE18" s="261">
        <f>SUM(AE19:AE24)</f>
        <v>109042</v>
      </c>
      <c r="AF18" s="262">
        <f t="shared" ref="AF18:AF22" si="25">(AD18-AE18)/AE18</f>
        <v>4.6660919645641126E-2</v>
      </c>
      <c r="AG18" s="259">
        <f>SUM(AG19:AG24)</f>
        <v>114130</v>
      </c>
      <c r="AH18" s="261">
        <f>SUM(AH19:AH24)</f>
        <v>109042</v>
      </c>
      <c r="AI18" s="260">
        <f t="shared" ref="AI18:AI22" si="26">(AG18-AH18)/AH18</f>
        <v>4.6660919645641126E-2</v>
      </c>
      <c r="AJ18" s="262">
        <f t="shared" ref="AJ18:AJ24" si="27">AG18/$X$62</f>
        <v>1.8190426333833772E-2</v>
      </c>
    </row>
    <row r="19" spans="1:36" ht="14.1" customHeight="1" x14ac:dyDescent="0.2">
      <c r="A19" s="37"/>
      <c r="B19" s="39" t="s">
        <v>17</v>
      </c>
      <c r="C19" s="263">
        <f>[2]American!$IT$19</f>
        <v>630</v>
      </c>
      <c r="D19" s="2">
        <f>[2]American!$IF$19</f>
        <v>619</v>
      </c>
      <c r="E19" s="65">
        <f t="shared" si="16"/>
        <v>1.7770597738287562E-2</v>
      </c>
      <c r="F19" s="2">
        <f>SUM([2]American!$IT$19:$IT$19)</f>
        <v>630</v>
      </c>
      <c r="G19" s="2">
        <f>SUM([2]American!$IF$19:$IF$19)</f>
        <v>619</v>
      </c>
      <c r="H19" s="3">
        <f t="shared" si="17"/>
        <v>1.7770597738287562E-2</v>
      </c>
      <c r="I19" s="65">
        <f t="shared" si="18"/>
        <v>2.7456962301154936E-2</v>
      </c>
      <c r="J19" s="37"/>
      <c r="K19" s="39" t="s">
        <v>17</v>
      </c>
      <c r="L19" s="263">
        <f>[2]American!$IT$41</f>
        <v>92195</v>
      </c>
      <c r="M19" s="2">
        <f>[2]American!$IF$41</f>
        <v>87452</v>
      </c>
      <c r="N19" s="65">
        <f t="shared" si="19"/>
        <v>5.4235466312948816E-2</v>
      </c>
      <c r="O19" s="263">
        <f>SUM([2]American!$IT$41:$IT$41)</f>
        <v>92195</v>
      </c>
      <c r="P19" s="2">
        <f>SUM([2]American!$IF$41:$IF$41)</f>
        <v>87452</v>
      </c>
      <c r="Q19" s="3">
        <f t="shared" si="20"/>
        <v>5.4235466312948816E-2</v>
      </c>
      <c r="R19" s="65">
        <f t="shared" si="21"/>
        <v>3.73739674982893E-2</v>
      </c>
      <c r="S19" s="37"/>
      <c r="T19" s="39" t="s">
        <v>17</v>
      </c>
      <c r="U19" s="263">
        <f>[2]American!$IT$64</f>
        <v>52635</v>
      </c>
      <c r="V19" s="2">
        <f>[2]American!$IF$64</f>
        <v>57420</v>
      </c>
      <c r="W19" s="65">
        <f t="shared" si="22"/>
        <v>-8.3333333333333329E-2</v>
      </c>
      <c r="X19" s="263">
        <f>SUM([2]American!$IT$64:$IT$64)</f>
        <v>52635</v>
      </c>
      <c r="Y19" s="2">
        <f>SUM([2]American!$IF$64:$IF$64)</f>
        <v>57420</v>
      </c>
      <c r="Z19" s="3">
        <f t="shared" si="23"/>
        <v>-8.3333333333333329E-2</v>
      </c>
      <c r="AA19" s="65">
        <f t="shared" si="24"/>
        <v>8.3891447479307844E-3</v>
      </c>
      <c r="AB19" s="37"/>
      <c r="AC19" s="39" t="s">
        <v>17</v>
      </c>
      <c r="AD19" s="263">
        <f>[2]American!$IT$43</f>
        <v>95210</v>
      </c>
      <c r="AE19" s="2">
        <f>[2]American!$IF$43</f>
        <v>90676</v>
      </c>
      <c r="AF19" s="65">
        <f t="shared" si="25"/>
        <v>5.000220565530019E-2</v>
      </c>
      <c r="AG19" s="263">
        <f>SUM([2]American!$IT$43:$IT$43)</f>
        <v>95210</v>
      </c>
      <c r="AH19" s="2">
        <f>SUM([2]American!$IF$43:$IF$43)</f>
        <v>90676</v>
      </c>
      <c r="AI19" s="3">
        <f t="shared" si="26"/>
        <v>5.000220565530019E-2</v>
      </c>
      <c r="AJ19" s="65">
        <f t="shared" si="27"/>
        <v>1.5174892589540991E-2</v>
      </c>
    </row>
    <row r="20" spans="1:36" ht="14.1" customHeight="1" x14ac:dyDescent="0.2">
      <c r="A20" s="37"/>
      <c r="B20" s="318" t="s">
        <v>163</v>
      </c>
      <c r="C20" s="263">
        <f>'[2]American Eagle'!$IT$19</f>
        <v>34</v>
      </c>
      <c r="D20" s="2">
        <f>'[2]American Eagle'!$IF$19</f>
        <v>109</v>
      </c>
      <c r="E20" s="65">
        <f t="shared" si="16"/>
        <v>-0.68807339449541283</v>
      </c>
      <c r="F20" s="2">
        <f>SUM('[2]American Eagle'!$IT$19:$IT$19)</f>
        <v>34</v>
      </c>
      <c r="G20" s="2">
        <f>SUM('[2]American Eagle'!$IF$19:$IF$19)</f>
        <v>109</v>
      </c>
      <c r="H20" s="3">
        <f t="shared" si="17"/>
        <v>-0.68807339449541283</v>
      </c>
      <c r="I20" s="65">
        <f t="shared" si="18"/>
        <v>1.4818043146655046E-3</v>
      </c>
      <c r="J20" s="37"/>
      <c r="K20" s="318" t="s">
        <v>163</v>
      </c>
      <c r="L20" s="263">
        <f>'[2]American Eagle'!$IT$41</f>
        <v>1696</v>
      </c>
      <c r="M20" s="2">
        <f>'[2]American Eagle'!$IF$41</f>
        <v>5174</v>
      </c>
      <c r="N20" s="65">
        <f t="shared" si="19"/>
        <v>-0.6722071897951295</v>
      </c>
      <c r="O20" s="263">
        <f>SUM('[2]American Eagle'!$IT$41:$IT$41)</f>
        <v>1696</v>
      </c>
      <c r="P20" s="2">
        <f>SUM('[2]American Eagle'!$IF$41:$IF$41)</f>
        <v>5174</v>
      </c>
      <c r="Q20" s="3">
        <f t="shared" si="20"/>
        <v>-0.6722071897951295</v>
      </c>
      <c r="R20" s="65">
        <f t="shared" si="21"/>
        <v>6.8752371470360272E-4</v>
      </c>
      <c r="S20" s="37"/>
      <c r="T20" s="318" t="s">
        <v>163</v>
      </c>
      <c r="U20" s="263">
        <f>'[2]American Eagle'!$IT$64</f>
        <v>0</v>
      </c>
      <c r="V20" s="2">
        <f>'[2]American Eagle'!$IF$64</f>
        <v>2228</v>
      </c>
      <c r="W20" s="65">
        <f t="shared" si="22"/>
        <v>-1</v>
      </c>
      <c r="X20" s="263">
        <f>SUM('[2]American Eagle'!$IT$64:$IT$64)</f>
        <v>0</v>
      </c>
      <c r="Y20" s="2">
        <f>SUM('[2]American Eagle'!$IF$64:$IF$64)</f>
        <v>2228</v>
      </c>
      <c r="Z20" s="3">
        <f t="shared" si="23"/>
        <v>-1</v>
      </c>
      <c r="AA20" s="65">
        <f t="shared" si="24"/>
        <v>0</v>
      </c>
      <c r="AB20" s="37"/>
      <c r="AC20" s="318" t="s">
        <v>163</v>
      </c>
      <c r="AD20" s="263">
        <f>'[2]American Eagle'!$IT$43</f>
        <v>1778</v>
      </c>
      <c r="AE20" s="2">
        <f>'[2]American Eagle'!$IF$43</f>
        <v>5367</v>
      </c>
      <c r="AF20" s="65">
        <f t="shared" si="25"/>
        <v>-0.66871622880566428</v>
      </c>
      <c r="AG20" s="263">
        <f>SUM('[2]American Eagle'!$IT$43:$IT$43)</f>
        <v>1778</v>
      </c>
      <c r="AH20" s="2">
        <f>SUM('[2]American Eagle'!$IF$43:$IF$43)</f>
        <v>5367</v>
      </c>
      <c r="AI20" s="3">
        <f t="shared" si="26"/>
        <v>-0.66871622880566428</v>
      </c>
      <c r="AJ20" s="65">
        <f t="shared" si="27"/>
        <v>2.8338366793618196E-4</v>
      </c>
    </row>
    <row r="21" spans="1:36" ht="14.1" customHeight="1" x14ac:dyDescent="0.2">
      <c r="A21" s="37"/>
      <c r="B21" s="318" t="s">
        <v>52</v>
      </c>
      <c r="C21" s="263">
        <f>[2]Republic!$IT$19</f>
        <v>108</v>
      </c>
      <c r="D21" s="2">
        <f>[2]Republic!$IF$19</f>
        <v>158</v>
      </c>
      <c r="E21" s="65">
        <f t="shared" si="16"/>
        <v>-0.31645569620253167</v>
      </c>
      <c r="F21" s="2">
        <f>SUM([2]Republic!$IT$19:$IT$19)</f>
        <v>108</v>
      </c>
      <c r="G21" s="2">
        <f>SUM([2]Republic!$IF$19:$IF$19)</f>
        <v>158</v>
      </c>
      <c r="H21" s="3">
        <f t="shared" si="17"/>
        <v>-0.31645569620253167</v>
      </c>
      <c r="I21" s="65">
        <f t="shared" si="18"/>
        <v>4.7069078230551316E-3</v>
      </c>
      <c r="J21" s="37"/>
      <c r="K21" s="266" t="s">
        <v>52</v>
      </c>
      <c r="L21" s="263">
        <f>[2]Republic!$IT$41</f>
        <v>4502</v>
      </c>
      <c r="M21" s="2">
        <f>[2]Republic!$IF$41</f>
        <v>7492</v>
      </c>
      <c r="N21" s="65">
        <f t="shared" si="19"/>
        <v>-0.3990923651895355</v>
      </c>
      <c r="O21" s="263">
        <f>SUM([2]Republic!$IT$41:$IT$41)</f>
        <v>4502</v>
      </c>
      <c r="P21" s="2">
        <f>SUM([2]Republic!$IF$41:$IF$41)</f>
        <v>7492</v>
      </c>
      <c r="Q21" s="3">
        <f t="shared" si="20"/>
        <v>-0.3990923651895355</v>
      </c>
      <c r="R21" s="65">
        <f t="shared" si="21"/>
        <v>1.8250187285351529E-3</v>
      </c>
      <c r="S21" s="37"/>
      <c r="T21" s="266" t="s">
        <v>52</v>
      </c>
      <c r="U21" s="263">
        <f>[2]Republic!$IT$64</f>
        <v>1196</v>
      </c>
      <c r="V21" s="2">
        <f>[2]Republic!$IF$64</f>
        <v>1260</v>
      </c>
      <c r="W21" s="65">
        <f t="shared" si="22"/>
        <v>-5.0793650793650794E-2</v>
      </c>
      <c r="X21" s="263">
        <f>SUM([2]Republic!$IT$64:$IT$64)</f>
        <v>1196</v>
      </c>
      <c r="Y21" s="2">
        <f>SUM([2]Republic!$IF$64:$IF$64)</f>
        <v>1260</v>
      </c>
      <c r="Z21" s="3">
        <f t="shared" si="23"/>
        <v>-5.0793650793650794E-2</v>
      </c>
      <c r="AA21" s="65">
        <f t="shared" si="24"/>
        <v>1.90622534787218E-4</v>
      </c>
      <c r="AB21" s="37"/>
      <c r="AC21" s="266" t="s">
        <v>52</v>
      </c>
      <c r="AD21" s="263">
        <f>[2]Republic!$IT$43</f>
        <v>4821</v>
      </c>
      <c r="AE21" s="2">
        <f>[2]Republic!$IF$43</f>
        <v>7786</v>
      </c>
      <c r="AF21" s="65">
        <f t="shared" si="25"/>
        <v>-0.38081171333162084</v>
      </c>
      <c r="AG21" s="263">
        <f>SUM([2]Republic!$IT$43:$IT$43)</f>
        <v>4821</v>
      </c>
      <c r="AH21" s="2">
        <f>SUM([2]Republic!$IF$43:$IF$43)</f>
        <v>7786</v>
      </c>
      <c r="AI21" s="3">
        <f t="shared" si="26"/>
        <v>-0.38081171333162084</v>
      </c>
      <c r="AJ21" s="65">
        <f t="shared" si="27"/>
        <v>7.6838732458961369E-4</v>
      </c>
    </row>
    <row r="22" spans="1:36" ht="14.1" customHeight="1" x14ac:dyDescent="0.2">
      <c r="A22" s="37"/>
      <c r="B22" s="318" t="s">
        <v>177</v>
      </c>
      <c r="C22" s="263">
        <f>[2]PSA!$IT$19</f>
        <v>126</v>
      </c>
      <c r="D22" s="2">
        <f>[2]PSA!$IF$19</f>
        <v>110</v>
      </c>
      <c r="E22" s="65">
        <f t="shared" si="16"/>
        <v>0.14545454545454545</v>
      </c>
      <c r="F22" s="2">
        <f>SUM([2]PSA!$IT$19:$IT$19)</f>
        <v>126</v>
      </c>
      <c r="G22" s="2">
        <f>SUM([2]PSA!$IF$19:$IF$19)</f>
        <v>110</v>
      </c>
      <c r="H22" s="3">
        <f t="shared" si="17"/>
        <v>0.14545454545454545</v>
      </c>
      <c r="I22" s="65">
        <f t="shared" si="18"/>
        <v>5.4913924602309873E-3</v>
      </c>
      <c r="J22" s="37"/>
      <c r="K22" s="318" t="s">
        <v>177</v>
      </c>
      <c r="L22" s="263">
        <f>[2]PSA!$IT$41</f>
        <v>7636</v>
      </c>
      <c r="M22" s="2">
        <f>[2]PSA!$IF$41</f>
        <v>4990</v>
      </c>
      <c r="N22" s="65">
        <f t="shared" si="19"/>
        <v>0.53026052104208421</v>
      </c>
      <c r="O22" s="263">
        <f>SUM([2]PSA!$IT$41:$IT$41)</f>
        <v>7636</v>
      </c>
      <c r="P22" s="2">
        <f>SUM([2]PSA!$IF$41:$IF$41)</f>
        <v>4990</v>
      </c>
      <c r="Q22" s="3">
        <f t="shared" si="20"/>
        <v>0.53026052104208421</v>
      </c>
      <c r="R22" s="65">
        <f t="shared" si="21"/>
        <v>3.0954782343612678E-3</v>
      </c>
      <c r="S22" s="37"/>
      <c r="T22" s="318" t="s">
        <v>177</v>
      </c>
      <c r="U22" s="263">
        <f>[2]PSA!$IT$64</f>
        <v>301</v>
      </c>
      <c r="V22" s="2">
        <f>[2]PSA!$IF$64</f>
        <v>0</v>
      </c>
      <c r="W22" s="65" t="e">
        <f t="shared" si="22"/>
        <v>#DIV/0!</v>
      </c>
      <c r="X22" s="263">
        <f>SUM([2]PSA!$IT$64:$IT$64)</f>
        <v>301</v>
      </c>
      <c r="Y22" s="2">
        <f>SUM([2]PSA!$IF$64:$IF$64)</f>
        <v>0</v>
      </c>
      <c r="Z22" s="3" t="e">
        <f t="shared" si="23"/>
        <v>#DIV/0!</v>
      </c>
      <c r="AA22" s="65">
        <f t="shared" si="24"/>
        <v>4.7974400477385132E-5</v>
      </c>
      <c r="AB22" s="37"/>
      <c r="AC22" s="318" t="s">
        <v>177</v>
      </c>
      <c r="AD22" s="263">
        <f>[2]PSA!$IT$43</f>
        <v>7856</v>
      </c>
      <c r="AE22" s="2">
        <f>[2]PSA!$IF$43</f>
        <v>5177</v>
      </c>
      <c r="AF22" s="65">
        <f t="shared" si="25"/>
        <v>0.51748116669886035</v>
      </c>
      <c r="AG22" s="263">
        <f>SUM([2]PSA!$IT$43:$IT$43)</f>
        <v>7856</v>
      </c>
      <c r="AH22" s="2">
        <f>SUM([2]PSA!$IF$43:$IF$43)</f>
        <v>5177</v>
      </c>
      <c r="AI22" s="3">
        <f t="shared" si="26"/>
        <v>0.51748116669886035</v>
      </c>
      <c r="AJ22" s="65">
        <f t="shared" si="27"/>
        <v>1.252115914120723E-3</v>
      </c>
    </row>
    <row r="23" spans="1:36" ht="14.1" customHeight="1" x14ac:dyDescent="0.2">
      <c r="A23" s="37"/>
      <c r="B23" s="318" t="s">
        <v>97</v>
      </c>
      <c r="C23" s="263">
        <f>'[2]Sky West_AA'!$IT$19</f>
        <v>0</v>
      </c>
      <c r="D23" s="2">
        <f>'[2]Sky West_AA'!$IF$19</f>
        <v>0</v>
      </c>
      <c r="E23" s="65" t="e">
        <f>(C23-D23)/D23</f>
        <v>#DIV/0!</v>
      </c>
      <c r="F23" s="2">
        <f>SUM('[2]Sky West_AA'!$IT$19:$IT$19)</f>
        <v>0</v>
      </c>
      <c r="G23" s="2">
        <f>SUM('[2]Sky West_AA'!$IF$19:$IF$19)</f>
        <v>0</v>
      </c>
      <c r="H23" s="3" t="e">
        <f>(F23-G23)/G23</f>
        <v>#DIV/0!</v>
      </c>
      <c r="I23" s="65">
        <f t="shared" si="18"/>
        <v>0</v>
      </c>
      <c r="J23" s="37"/>
      <c r="K23" s="318" t="s">
        <v>97</v>
      </c>
      <c r="L23" s="263">
        <f>'[2]Sky West_AA'!$IT$41</f>
        <v>0</v>
      </c>
      <c r="M23" s="2">
        <f>'[2]Sky West_AA'!$IF$41</f>
        <v>0</v>
      </c>
      <c r="N23" s="65" t="e">
        <f>(L23-M23)/M23</f>
        <v>#DIV/0!</v>
      </c>
      <c r="O23" s="263">
        <f>SUM('[2]Sky West_AA'!$IT$41:$IT$41)</f>
        <v>0</v>
      </c>
      <c r="P23" s="2">
        <f>SUM('[2]Sky West_AA'!$IF$41:$IF$41)</f>
        <v>0</v>
      </c>
      <c r="Q23" s="3" t="e">
        <f>(O23-P23)/P23</f>
        <v>#DIV/0!</v>
      </c>
      <c r="R23" s="324">
        <f t="shared" si="21"/>
        <v>0</v>
      </c>
      <c r="S23" s="37"/>
      <c r="T23" s="318" t="s">
        <v>97</v>
      </c>
      <c r="U23" s="263">
        <f>'[2]Sky West_AA'!$IT$64</f>
        <v>0</v>
      </c>
      <c r="V23" s="2">
        <f>'[2]Sky West_AA'!$IF$64</f>
        <v>0</v>
      </c>
      <c r="W23" s="65" t="e">
        <f>(U23-V23)/V23</f>
        <v>#DIV/0!</v>
      </c>
      <c r="X23" s="263">
        <f>SUM('[2]Sky West_AA'!$IT$64:$IT$64)</f>
        <v>0</v>
      </c>
      <c r="Y23" s="2">
        <f>SUM('[2]Sky West_AA'!$IF$64:$IF$64)</f>
        <v>0</v>
      </c>
      <c r="Z23" s="3" t="e">
        <f>(X23-Y23)/Y23</f>
        <v>#DIV/0!</v>
      </c>
      <c r="AA23" s="324">
        <f t="shared" si="24"/>
        <v>0</v>
      </c>
      <c r="AB23" s="37"/>
      <c r="AC23" s="318" t="s">
        <v>97</v>
      </c>
      <c r="AD23" s="263">
        <f>'[2]Sky West_AA'!$IT$43</f>
        <v>0</v>
      </c>
      <c r="AE23" s="2">
        <f>'[2]Sky West_AA'!$IF$43</f>
        <v>0</v>
      </c>
      <c r="AF23" s="65" t="e">
        <f>(AD23-AE23)/AE23</f>
        <v>#DIV/0!</v>
      </c>
      <c r="AG23" s="263">
        <f>SUM('[2]Sky West_AA'!$IT$43:$IT$43)</f>
        <v>0</v>
      </c>
      <c r="AH23" s="2">
        <f>SUM('[2]Sky West_AA'!$IF$43:$IF$43)</f>
        <v>0</v>
      </c>
      <c r="AI23" s="3" t="e">
        <f>(AG23-AH23)/AH23</f>
        <v>#DIV/0!</v>
      </c>
      <c r="AJ23" s="324">
        <f t="shared" si="27"/>
        <v>0</v>
      </c>
    </row>
    <row r="24" spans="1:36" ht="14.1" customHeight="1" x14ac:dyDescent="0.2">
      <c r="A24" s="37"/>
      <c r="B24" s="318" t="s">
        <v>50</v>
      </c>
      <c r="C24" s="263">
        <f>'[2]Air Wisconsin'!$IT$19</f>
        <v>100</v>
      </c>
      <c r="D24" s="2">
        <f>'[2]Air Wisconsin'!$IF$19</f>
        <v>2</v>
      </c>
      <c r="E24" s="65">
        <f t="shared" si="16"/>
        <v>49</v>
      </c>
      <c r="F24" s="2">
        <f>SUM('[2]Air Wisconsin'!$IT$19:$IT$19)</f>
        <v>100</v>
      </c>
      <c r="G24" s="2">
        <f>SUM('[2]Air Wisconsin'!$IF$19:$IF$19)</f>
        <v>2</v>
      </c>
      <c r="H24" s="349">
        <f t="shared" si="17"/>
        <v>49</v>
      </c>
      <c r="I24" s="65">
        <f t="shared" si="18"/>
        <v>4.3582479843103069E-3</v>
      </c>
      <c r="J24" s="37"/>
      <c r="K24" s="266" t="s">
        <v>50</v>
      </c>
      <c r="L24" s="263">
        <f>'[2]Air Wisconsin'!$IT$41</f>
        <v>4331</v>
      </c>
      <c r="M24" s="2">
        <f>'[2]Air Wisconsin'!$IF$41</f>
        <v>35</v>
      </c>
      <c r="N24" s="65">
        <f t="shared" si="19"/>
        <v>122.74285714285715</v>
      </c>
      <c r="O24" s="263">
        <f>SUM('[2]Air Wisconsin'!$IT$41:$IT$41)</f>
        <v>4331</v>
      </c>
      <c r="P24" s="2">
        <f>SUM('[2]Air Wisconsin'!$IF$41:$IF$41)</f>
        <v>35</v>
      </c>
      <c r="Q24" s="3">
        <f t="shared" si="20"/>
        <v>122.74285714285715</v>
      </c>
      <c r="R24" s="65">
        <f t="shared" si="21"/>
        <v>1.7556988256965231E-3</v>
      </c>
      <c r="S24" s="37"/>
      <c r="T24" s="266" t="s">
        <v>50</v>
      </c>
      <c r="U24" s="263">
        <f>'[2]Air Wisconsin'!$IT$64</f>
        <v>1107</v>
      </c>
      <c r="V24" s="2">
        <f>'[2]Air Wisconsin'!$IF$64</f>
        <v>0</v>
      </c>
      <c r="W24" s="65" t="e">
        <f t="shared" ref="W24" si="28">(U24-V24)/V24</f>
        <v>#DIV/0!</v>
      </c>
      <c r="X24" s="263">
        <f>SUM('[2]Air Wisconsin'!$IT$64:$IT$64)</f>
        <v>1107</v>
      </c>
      <c r="Y24" s="2">
        <f>SUM('[2]Air Wisconsin'!$IF$64:$IF$64)</f>
        <v>0</v>
      </c>
      <c r="Z24" s="3" t="e">
        <f t="shared" ref="Z24" si="29">(X24-Y24)/Y24</f>
        <v>#DIV/0!</v>
      </c>
      <c r="AA24" s="65">
        <f t="shared" si="24"/>
        <v>1.7643741305137987E-4</v>
      </c>
      <c r="AB24" s="37"/>
      <c r="AC24" s="266" t="s">
        <v>50</v>
      </c>
      <c r="AD24" s="263">
        <f>'[2]Air Wisconsin'!$IT$43</f>
        <v>4465</v>
      </c>
      <c r="AE24" s="2">
        <f>'[2]Air Wisconsin'!$IF$43</f>
        <v>36</v>
      </c>
      <c r="AF24" s="65">
        <f t="shared" ref="AF24" si="30">(AD24-AE24)/AE24</f>
        <v>123.02777777777777</v>
      </c>
      <c r="AG24" s="263">
        <f>SUM('[2]Air Wisconsin'!$IT$43:$IT$43)</f>
        <v>4465</v>
      </c>
      <c r="AH24" s="2">
        <f>SUM('[2]Air Wisconsin'!$IF$43:$IF$43)</f>
        <v>36</v>
      </c>
      <c r="AI24" s="3">
        <f t="shared" ref="AI24" si="31">(AG24-AH24)/AH24</f>
        <v>123.02777777777777</v>
      </c>
      <c r="AJ24" s="65">
        <f t="shared" si="27"/>
        <v>7.1164683764626119E-4</v>
      </c>
    </row>
    <row r="25" spans="1:36" ht="14.1" customHeight="1" x14ac:dyDescent="0.2">
      <c r="A25" s="37"/>
      <c r="B25" s="39"/>
      <c r="C25" s="263"/>
      <c r="E25" s="65"/>
      <c r="F25" s="2"/>
      <c r="I25" s="65"/>
      <c r="J25" s="37"/>
      <c r="K25" s="39"/>
      <c r="L25" s="263"/>
      <c r="N25" s="65"/>
      <c r="O25" s="263"/>
      <c r="P25" s="2"/>
      <c r="Q25" s="3"/>
      <c r="R25" s="65"/>
      <c r="S25" s="37"/>
      <c r="T25" s="39"/>
      <c r="U25" s="263"/>
      <c r="V25" s="2"/>
      <c r="W25" s="65"/>
      <c r="X25" s="263"/>
      <c r="Y25" s="2"/>
      <c r="Z25" s="3"/>
      <c r="AA25" s="65"/>
      <c r="AB25" s="37"/>
      <c r="AC25" s="39"/>
      <c r="AD25" s="263"/>
      <c r="AE25" s="2"/>
      <c r="AF25" s="65"/>
      <c r="AG25" s="263"/>
      <c r="AH25" s="2"/>
      <c r="AI25" s="3"/>
      <c r="AJ25" s="65"/>
    </row>
    <row r="26" spans="1:36" ht="14.1" customHeight="1" x14ac:dyDescent="0.2">
      <c r="A26" s="258" t="s">
        <v>159</v>
      </c>
      <c r="B26" s="39"/>
      <c r="C26" s="259">
        <f>[2]Condor!$IT$19</f>
        <v>0</v>
      </c>
      <c r="D26" s="261">
        <f>[2]Condor!$IF$19</f>
        <v>0</v>
      </c>
      <c r="E26" s="262" t="e">
        <f>(C26-D26)/D26</f>
        <v>#DIV/0!</v>
      </c>
      <c r="F26" s="261">
        <f>SUM([2]Condor!$IT$19:$IT$19)</f>
        <v>0</v>
      </c>
      <c r="G26" s="261">
        <f>SUM([2]Condor!$IF$19:$IF$19)</f>
        <v>0</v>
      </c>
      <c r="H26" s="260" t="e">
        <f>(F26-G26)/G26</f>
        <v>#DIV/0!</v>
      </c>
      <c r="I26" s="262">
        <f>F26/$F$62</f>
        <v>0</v>
      </c>
      <c r="J26" s="258" t="s">
        <v>159</v>
      </c>
      <c r="K26" s="39"/>
      <c r="L26" s="259">
        <f>[2]Condor!$IT$41</f>
        <v>0</v>
      </c>
      <c r="M26" s="261">
        <f>[2]Condor!$IF$41</f>
        <v>0</v>
      </c>
      <c r="N26" s="262" t="e">
        <f>(L26-M26)/M26</f>
        <v>#DIV/0!</v>
      </c>
      <c r="O26" s="259">
        <f>SUM([2]Condor!$IT$41:$IT$41)</f>
        <v>0</v>
      </c>
      <c r="P26" s="261">
        <f>SUM([2]Condor!$IF$41:$IF$41)</f>
        <v>0</v>
      </c>
      <c r="Q26" s="260" t="e">
        <f>(O26-P26)/P26</f>
        <v>#DIV/0!</v>
      </c>
      <c r="R26" s="262">
        <f>O26/$O$62</f>
        <v>0</v>
      </c>
      <c r="S26" s="258" t="s">
        <v>159</v>
      </c>
      <c r="T26" s="39"/>
      <c r="U26" s="259">
        <f>[2]Condor!$IT$64</f>
        <v>0</v>
      </c>
      <c r="V26" s="261">
        <f>[2]Condor!$IF$64</f>
        <v>0</v>
      </c>
      <c r="W26" s="262" t="e">
        <f>(U26-V26)/V26</f>
        <v>#DIV/0!</v>
      </c>
      <c r="X26" s="259">
        <f>SUM([2]Condor!$IT$64:$IT$64)</f>
        <v>0</v>
      </c>
      <c r="Y26" s="261">
        <f>SUM([2]Condor!$IF$64:$IF$64)</f>
        <v>0</v>
      </c>
      <c r="Z26" s="260" t="e">
        <f>(X26-Y26)/Y26</f>
        <v>#DIV/0!</v>
      </c>
      <c r="AA26" s="262">
        <f>X26/$X$62</f>
        <v>0</v>
      </c>
      <c r="AB26" s="258" t="s">
        <v>159</v>
      </c>
      <c r="AC26" s="39"/>
      <c r="AD26" s="259">
        <f>[2]Condor!$IT$43</f>
        <v>0</v>
      </c>
      <c r="AE26" s="261">
        <f>[2]Condor!$IF$43</f>
        <v>0</v>
      </c>
      <c r="AF26" s="262" t="e">
        <f>(AD26-AE26)/AE26</f>
        <v>#DIV/0!</v>
      </c>
      <c r="AG26" s="259">
        <f>SUM([2]Condor!$IT$43:$IT$43)</f>
        <v>0</v>
      </c>
      <c r="AH26" s="261">
        <f>SUM([2]Condor!$IF$43:$IF$43)</f>
        <v>0</v>
      </c>
      <c r="AI26" s="260" t="e">
        <f>(AG26-AH26)/AH26</f>
        <v>#DIV/0!</v>
      </c>
      <c r="AJ26" s="262">
        <f>AG26/$X$62</f>
        <v>0</v>
      </c>
    </row>
    <row r="27" spans="1:36" ht="14.1" customHeight="1" x14ac:dyDescent="0.2">
      <c r="A27" s="37"/>
      <c r="B27" s="39"/>
      <c r="C27" s="263"/>
      <c r="E27" s="65"/>
      <c r="F27" s="2"/>
      <c r="I27" s="65"/>
      <c r="J27" s="37"/>
      <c r="K27" s="39"/>
      <c r="L27" s="263"/>
      <c r="N27" s="65"/>
      <c r="O27" s="263"/>
      <c r="P27" s="2"/>
      <c r="Q27" s="3"/>
      <c r="R27" s="65"/>
      <c r="S27" s="37"/>
      <c r="T27" s="39"/>
      <c r="U27" s="263"/>
      <c r="V27" s="2"/>
      <c r="W27" s="65"/>
      <c r="X27" s="263"/>
      <c r="Y27" s="2"/>
      <c r="Z27" s="3"/>
      <c r="AA27" s="65"/>
      <c r="AB27" s="37"/>
      <c r="AC27" s="39"/>
      <c r="AD27" s="263"/>
      <c r="AE27" s="2"/>
      <c r="AF27" s="65"/>
      <c r="AG27" s="263"/>
      <c r="AH27" s="2"/>
      <c r="AI27" s="3"/>
      <c r="AJ27" s="65"/>
    </row>
    <row r="28" spans="1:36" ht="14.1" customHeight="1" x14ac:dyDescent="0.2">
      <c r="A28" s="258" t="s">
        <v>210</v>
      </c>
      <c r="B28" s="39"/>
      <c r="C28" s="259">
        <f>'[2]Denver Air'!$IT$19</f>
        <v>180</v>
      </c>
      <c r="D28" s="261">
        <f>'[2]Denver Air'!$IF$19</f>
        <v>160</v>
      </c>
      <c r="E28" s="262">
        <f>(C28-D28)/D28</f>
        <v>0.125</v>
      </c>
      <c r="F28" s="261">
        <f>SUM('[2]Denver Air'!$IT$19:$IT$19)</f>
        <v>180</v>
      </c>
      <c r="G28" s="261">
        <f>SUM('[2]Denver Air'!$IF$19:$IF$19)</f>
        <v>160</v>
      </c>
      <c r="H28" s="260">
        <f>(F28-G28)/G28</f>
        <v>0.125</v>
      </c>
      <c r="I28" s="262">
        <f>F28/$F$62</f>
        <v>7.8448463717585536E-3</v>
      </c>
      <c r="J28" s="258" t="s">
        <v>210</v>
      </c>
      <c r="K28" s="39"/>
      <c r="L28" s="259">
        <f>'[2]Denver Air'!$IT$41</f>
        <v>1646</v>
      </c>
      <c r="M28" s="261">
        <f>'[2]Denver Air'!$IF$41</f>
        <v>1483</v>
      </c>
      <c r="N28" s="262">
        <f>(L28-M28)/M28</f>
        <v>0.10991233985165205</v>
      </c>
      <c r="O28" s="259">
        <f>SUM('[2]Denver Air'!$IT$41:$IT$41)</f>
        <v>1646</v>
      </c>
      <c r="P28" s="261">
        <f>SUM('[2]Denver Air'!$IF$41:$IF$41)</f>
        <v>1483</v>
      </c>
      <c r="Q28" s="260">
        <f>(O28-P28)/P28</f>
        <v>0.10991233985165205</v>
      </c>
      <c r="R28" s="262">
        <f>O28/$O$62</f>
        <v>6.6725473726540687E-4</v>
      </c>
      <c r="S28" s="258" t="s">
        <v>210</v>
      </c>
      <c r="T28" s="39"/>
      <c r="U28" s="259">
        <f>'[2]Denver Air'!$IT$64</f>
        <v>0</v>
      </c>
      <c r="V28" s="261">
        <f>'[2]Denver Air'!$IF$64</f>
        <v>0</v>
      </c>
      <c r="W28" s="262" t="e">
        <f>(U28-V28)/V28</f>
        <v>#DIV/0!</v>
      </c>
      <c r="X28" s="259">
        <f>SUM('[2]Denver Air'!$IT$64:$IT$64)</f>
        <v>0</v>
      </c>
      <c r="Y28" s="261">
        <f>SUM('[2]Denver Air'!$IF$64:$IF$64)</f>
        <v>0</v>
      </c>
      <c r="Z28" s="260" t="e">
        <f>(X28-Y28)/Y28</f>
        <v>#DIV/0!</v>
      </c>
      <c r="AA28" s="262">
        <f>X28/$X$60</f>
        <v>0</v>
      </c>
      <c r="AB28" s="258" t="s">
        <v>210</v>
      </c>
      <c r="AC28" s="39"/>
      <c r="AD28" s="259">
        <f>'[2]Denver Air'!$IT$43</f>
        <v>1723</v>
      </c>
      <c r="AE28" s="261">
        <f>'[2]Denver Air'!$IF$43</f>
        <v>1535</v>
      </c>
      <c r="AF28" s="262">
        <f>(AD28-AE28)/AE28</f>
        <v>0.12247557003257328</v>
      </c>
      <c r="AG28" s="259">
        <f>SUM('[2]Denver Air'!$IT$43:$IT$43)</f>
        <v>1723</v>
      </c>
      <c r="AH28" s="261">
        <f>SUM('[2]Denver Air'!$IF$43:$IF$43)</f>
        <v>1535</v>
      </c>
      <c r="AI28" s="260">
        <f>(AG28-AH28)/AH28</f>
        <v>0.12247557003257328</v>
      </c>
      <c r="AJ28" s="262">
        <f>AG28/$X$60</f>
        <v>2.7521249103722525E-4</v>
      </c>
    </row>
    <row r="29" spans="1:36" ht="14.1" customHeight="1" x14ac:dyDescent="0.2">
      <c r="A29" s="37"/>
      <c r="B29" s="39"/>
      <c r="C29" s="263"/>
      <c r="E29" s="65"/>
      <c r="F29" s="2"/>
      <c r="I29" s="65"/>
      <c r="J29" s="37"/>
      <c r="K29" s="39"/>
      <c r="L29" s="263"/>
      <c r="N29" s="65"/>
      <c r="O29" s="263"/>
      <c r="P29" s="2"/>
      <c r="Q29" s="3"/>
      <c r="R29" s="65"/>
      <c r="S29" s="37"/>
      <c r="T29" s="39"/>
      <c r="U29" s="263"/>
      <c r="V29" s="2"/>
      <c r="W29" s="65"/>
      <c r="X29" s="263"/>
      <c r="Y29" s="2"/>
      <c r="Z29" s="3"/>
      <c r="AA29" s="65"/>
      <c r="AB29" s="37"/>
      <c r="AC29" s="39"/>
      <c r="AD29" s="263"/>
      <c r="AE29" s="2"/>
      <c r="AF29" s="65"/>
      <c r="AG29" s="263"/>
      <c r="AH29" s="2"/>
      <c r="AI29" s="3"/>
      <c r="AJ29" s="65"/>
    </row>
    <row r="30" spans="1:36" ht="14.1" customHeight="1" x14ac:dyDescent="0.2">
      <c r="A30" s="258" t="s">
        <v>18</v>
      </c>
      <c r="B30" s="265"/>
      <c r="C30" s="259">
        <f>SUM(C31:C34)</f>
        <v>16735</v>
      </c>
      <c r="D30" s="261">
        <f>SUM(D31:D34)</f>
        <v>16291</v>
      </c>
      <c r="E30" s="262">
        <f t="shared" ref="E30:E34" si="32">(C30-D30)/D30</f>
        <v>2.7254312196918543E-2</v>
      </c>
      <c r="F30" s="264">
        <f>SUM(F31:F34)</f>
        <v>16735</v>
      </c>
      <c r="G30" s="264">
        <f>SUM(G31:G34)</f>
        <v>16291</v>
      </c>
      <c r="H30" s="260">
        <f>(F30-G30)/G30</f>
        <v>2.7254312196918543E-2</v>
      </c>
      <c r="I30" s="262">
        <f>F30/$F$62</f>
        <v>0.72935280017432991</v>
      </c>
      <c r="J30" s="258" t="s">
        <v>18</v>
      </c>
      <c r="K30" s="265"/>
      <c r="L30" s="259">
        <f>SUM(L31:L34)</f>
        <v>1741671</v>
      </c>
      <c r="M30" s="261">
        <f>SUM(M31:M34)</f>
        <v>1656076</v>
      </c>
      <c r="N30" s="262">
        <f t="shared" ref="N30:N34" si="33">(L30-M30)/M30</f>
        <v>5.1685429895729426E-2</v>
      </c>
      <c r="O30" s="259">
        <f>SUM(O31:O34)</f>
        <v>1741671</v>
      </c>
      <c r="P30" s="261">
        <f>SUM(P31:P34)</f>
        <v>1656076</v>
      </c>
      <c r="Q30" s="260">
        <f t="shared" ref="Q30:Q34" si="34">(O30-P30)/P30</f>
        <v>5.1685429895729426E-2</v>
      </c>
      <c r="R30" s="262">
        <f>O30/$O$62</f>
        <v>0.70603780407519956</v>
      </c>
      <c r="S30" s="258" t="s">
        <v>18</v>
      </c>
      <c r="T30" s="265"/>
      <c r="U30" s="259">
        <f>SUM(U31:U34)</f>
        <v>5763948</v>
      </c>
      <c r="V30" s="261">
        <f>SUM(V31:V34)</f>
        <v>5984086</v>
      </c>
      <c r="W30" s="262">
        <f t="shared" ref="W30:W34" si="35">(U30-V30)/V30</f>
        <v>-3.678723868607503E-2</v>
      </c>
      <c r="X30" s="259">
        <f>SUM(X31:X34)</f>
        <v>5763948</v>
      </c>
      <c r="Y30" s="261">
        <f>SUM(Y31:Y34)</f>
        <v>5984086</v>
      </c>
      <c r="Z30" s="260">
        <f t="shared" ref="Z30:Z32" si="36">(X30-Y30)/Y30</f>
        <v>-3.678723868607503E-2</v>
      </c>
      <c r="AA30" s="262">
        <f>X30/$X$62</f>
        <v>0.91867757369708658</v>
      </c>
      <c r="AB30" s="258" t="s">
        <v>18</v>
      </c>
      <c r="AC30" s="265"/>
      <c r="AD30" s="259">
        <f>SUM(AD31:AD34)</f>
        <v>1801511</v>
      </c>
      <c r="AE30" s="261">
        <f>SUM(AE31:AE34)</f>
        <v>1712849</v>
      </c>
      <c r="AF30" s="262">
        <f t="shared" ref="AF30:AF34" si="37">(AD30-AE30)/AE30</f>
        <v>5.1762881608361275E-2</v>
      </c>
      <c r="AG30" s="259">
        <f>SUM(AG31:AG34)</f>
        <v>1801511</v>
      </c>
      <c r="AH30" s="261">
        <f>SUM(AH31:AH34)</f>
        <v>1712849</v>
      </c>
      <c r="AI30" s="260">
        <f t="shared" ref="AI30:AI34" si="38">(AG30-AH30)/AH30</f>
        <v>5.1762881608361275E-2</v>
      </c>
      <c r="AJ30" s="262">
        <f>AG30/$X$62</f>
        <v>0.28713093082529756</v>
      </c>
    </row>
    <row r="31" spans="1:36" ht="14.1" customHeight="1" x14ac:dyDescent="0.2">
      <c r="A31" s="37"/>
      <c r="B31" s="39" t="s">
        <v>18</v>
      </c>
      <c r="C31" s="263">
        <f>[2]Delta!$IT$19</f>
        <v>10940</v>
      </c>
      <c r="D31" s="2">
        <f>[2]Delta!$IF$19</f>
        <v>10531</v>
      </c>
      <c r="E31" s="65">
        <f t="shared" si="32"/>
        <v>3.8837717215838952E-2</v>
      </c>
      <c r="F31" s="2">
        <f>SUM([2]Delta!$IT$19:$IT$19)</f>
        <v>10940</v>
      </c>
      <c r="G31" s="2">
        <f>SUM([2]Delta!$IF$19:$IF$19)</f>
        <v>10531</v>
      </c>
      <c r="H31" s="3">
        <f t="shared" ref="H31:H34" si="39">(F31-G31)/G31</f>
        <v>3.8837717215838952E-2</v>
      </c>
      <c r="I31" s="65">
        <f>F31/$F$62</f>
        <v>0.47679232948354761</v>
      </c>
      <c r="J31" s="37"/>
      <c r="K31" s="39" t="s">
        <v>18</v>
      </c>
      <c r="L31" s="263">
        <f>[2]Delta!$IT$41</f>
        <v>1436472</v>
      </c>
      <c r="M31" s="2">
        <f>[2]Delta!$IF$41</f>
        <v>1377931</v>
      </c>
      <c r="N31" s="65">
        <f t="shared" si="33"/>
        <v>4.2484710772890663E-2</v>
      </c>
      <c r="O31" s="263">
        <f>SUM([2]Delta!$IT$41:$IT$41)</f>
        <v>1436472</v>
      </c>
      <c r="P31" s="2">
        <f>SUM([2]Delta!$IF$41:$IF$41)</f>
        <v>1377931</v>
      </c>
      <c r="Q31" s="3">
        <f t="shared" si="34"/>
        <v>4.2484710772890663E-2</v>
      </c>
      <c r="R31" s="65">
        <f>O31/$O$62</f>
        <v>0.58231637117200097</v>
      </c>
      <c r="S31" s="37"/>
      <c r="T31" s="39" t="s">
        <v>18</v>
      </c>
      <c r="U31" s="263">
        <f>[2]Delta!$IT$64</f>
        <v>5763948</v>
      </c>
      <c r="V31" s="2">
        <f>[2]Delta!$IF$64</f>
        <v>5984086</v>
      </c>
      <c r="W31" s="65">
        <f t="shared" si="35"/>
        <v>-3.678723868607503E-2</v>
      </c>
      <c r="X31" s="263">
        <f>SUM([2]Delta!$IT$64:$IT$64)</f>
        <v>5763948</v>
      </c>
      <c r="Y31" s="2">
        <f>SUM([2]Delta!$IF$64:$IF$64)</f>
        <v>5984086</v>
      </c>
      <c r="Z31" s="3">
        <f t="shared" si="36"/>
        <v>-3.678723868607503E-2</v>
      </c>
      <c r="AA31" s="65">
        <f>X31/$X$62</f>
        <v>0.91867757369708658</v>
      </c>
      <c r="AB31" s="37"/>
      <c r="AC31" s="39" t="s">
        <v>18</v>
      </c>
      <c r="AD31" s="263">
        <f>[2]Delta!$IT$43</f>
        <v>1485776</v>
      </c>
      <c r="AE31" s="2">
        <f>[2]Delta!$IF$43</f>
        <v>1424970</v>
      </c>
      <c r="AF31" s="65">
        <f t="shared" si="37"/>
        <v>4.2671775546151848E-2</v>
      </c>
      <c r="AG31" s="263">
        <f>SUM([2]Delta!$IT$43:$IT$43)</f>
        <v>1485776</v>
      </c>
      <c r="AH31" s="2">
        <f>SUM([2]Delta!$IF$43:$IF$43)</f>
        <v>1424970</v>
      </c>
      <c r="AI31" s="3">
        <f t="shared" si="38"/>
        <v>4.2671775546151848E-2</v>
      </c>
      <c r="AJ31" s="65">
        <f>AG31/$X$62</f>
        <v>0.23680801609198462</v>
      </c>
    </row>
    <row r="32" spans="1:36" ht="14.1" customHeight="1" x14ac:dyDescent="0.2">
      <c r="A32" s="37"/>
      <c r="B32" s="39" t="s">
        <v>156</v>
      </c>
      <c r="C32" s="263">
        <f>[2]Pinnacle!$IT$19</f>
        <v>1432</v>
      </c>
      <c r="D32" s="2">
        <f>[2]Pinnacle!$IF$19</f>
        <v>1886</v>
      </c>
      <c r="E32" s="65">
        <f t="shared" si="32"/>
        <v>-0.24072110286320256</v>
      </c>
      <c r="F32" s="2">
        <f>SUM([2]Pinnacle!$IT$19:$IT$19)</f>
        <v>1432</v>
      </c>
      <c r="G32" s="2">
        <f>SUM([2]Pinnacle!$IF$19:$IF$19)</f>
        <v>1886</v>
      </c>
      <c r="H32" s="3">
        <f t="shared" si="39"/>
        <v>-0.24072110286320256</v>
      </c>
      <c r="I32" s="65">
        <f>F32/$F$62</f>
        <v>6.2410111135323597E-2</v>
      </c>
      <c r="J32" s="37"/>
      <c r="K32" s="39" t="s">
        <v>156</v>
      </c>
      <c r="L32" s="263">
        <f>[2]Pinnacle!$IT$41</f>
        <v>83099</v>
      </c>
      <c r="M32" s="2">
        <f>[2]Pinnacle!$IF$41</f>
        <v>104952</v>
      </c>
      <c r="N32" s="65">
        <f t="shared" si="33"/>
        <v>-0.20821899535025534</v>
      </c>
      <c r="O32" s="263">
        <f>SUM([2]Pinnacle!$IT$41:$IT$41)</f>
        <v>83099</v>
      </c>
      <c r="P32" s="2">
        <f>SUM([2]Pinnacle!$IF$41:$IF$41)</f>
        <v>104952</v>
      </c>
      <c r="Q32" s="3">
        <f t="shared" si="34"/>
        <v>-0.20821899535025534</v>
      </c>
      <c r="R32" s="65">
        <f>O32/$O$62</f>
        <v>3.3686635122732712E-2</v>
      </c>
      <c r="S32" s="37"/>
      <c r="T32" s="39" t="s">
        <v>156</v>
      </c>
      <c r="U32" s="263">
        <f>[2]Pinnacle!$IT$64</f>
        <v>0</v>
      </c>
      <c r="V32" s="2">
        <f>[2]Pinnacle!$IF$64</f>
        <v>0</v>
      </c>
      <c r="W32" s="65" t="e">
        <f t="shared" si="35"/>
        <v>#DIV/0!</v>
      </c>
      <c r="X32" s="263">
        <f>SUM([2]Pinnacle!$IT$64:$IT$64)</f>
        <v>0</v>
      </c>
      <c r="Y32" s="2">
        <f>SUM([2]Pinnacle!$IF$64:$IF$64)</f>
        <v>0</v>
      </c>
      <c r="Z32" s="3" t="e">
        <f t="shared" si="36"/>
        <v>#DIV/0!</v>
      </c>
      <c r="AA32" s="65">
        <f>X32/$X$62</f>
        <v>0</v>
      </c>
      <c r="AB32" s="37"/>
      <c r="AC32" s="39" t="s">
        <v>156</v>
      </c>
      <c r="AD32" s="263">
        <f>[2]Pinnacle!$IT$43</f>
        <v>86267</v>
      </c>
      <c r="AE32" s="2">
        <f>[2]Pinnacle!$IF$43</f>
        <v>109113</v>
      </c>
      <c r="AF32" s="65">
        <f t="shared" si="37"/>
        <v>-0.20937926736502524</v>
      </c>
      <c r="AG32" s="263">
        <f>SUM([2]Pinnacle!$IT$43:$IT$43)</f>
        <v>86267</v>
      </c>
      <c r="AH32" s="2">
        <f>SUM([2]Pinnacle!$IF$43:$IF$43)</f>
        <v>109113</v>
      </c>
      <c r="AI32" s="3">
        <f t="shared" si="38"/>
        <v>-0.20937926736502524</v>
      </c>
      <c r="AJ32" s="65">
        <f>AG32/$X$62</f>
        <v>1.3749526930174694E-2</v>
      </c>
    </row>
    <row r="33" spans="1:36" ht="14.1" customHeight="1" x14ac:dyDescent="0.2">
      <c r="A33" s="37"/>
      <c r="B33" s="39" t="s">
        <v>97</v>
      </c>
      <c r="C33" s="263">
        <f>'[2]Sky West'!$IT$19</f>
        <v>4363</v>
      </c>
      <c r="D33" s="2">
        <f>'[2]Sky West'!$IF$19</f>
        <v>3874</v>
      </c>
      <c r="E33" s="65">
        <f t="shared" si="32"/>
        <v>0.12622612287041818</v>
      </c>
      <c r="F33" s="2">
        <f>SUM('[2]Sky West'!$IT$19:$IT$19)</f>
        <v>4363</v>
      </c>
      <c r="G33" s="2">
        <f>SUM('[2]Sky West'!$IF$19:$IF$19)</f>
        <v>3874</v>
      </c>
      <c r="H33" s="3">
        <f t="shared" si="39"/>
        <v>0.12622612287041818</v>
      </c>
      <c r="I33" s="65">
        <f>F33/$F$62</f>
        <v>0.1901503595554587</v>
      </c>
      <c r="J33" s="37"/>
      <c r="K33" s="39" t="s">
        <v>97</v>
      </c>
      <c r="L33" s="263">
        <f>'[2]Sky West'!$IT$41</f>
        <v>222100</v>
      </c>
      <c r="M33" s="2">
        <f>'[2]Sky West'!$IF$41</f>
        <v>173193</v>
      </c>
      <c r="N33" s="65">
        <f t="shared" si="33"/>
        <v>0.28238439197889059</v>
      </c>
      <c r="O33" s="263">
        <f>SUM('[2]Sky West'!$IT$41:$IT$41)</f>
        <v>222100</v>
      </c>
      <c r="P33" s="2">
        <f>SUM('[2]Sky West'!$IF$41:$IF$41)</f>
        <v>173193</v>
      </c>
      <c r="Q33" s="3">
        <f t="shared" si="34"/>
        <v>0.28238439197889059</v>
      </c>
      <c r="R33" s="65">
        <f>O33/$O$62</f>
        <v>9.00347977804659E-2</v>
      </c>
      <c r="S33" s="37"/>
      <c r="T33" s="39" t="s">
        <v>97</v>
      </c>
      <c r="U33" s="263">
        <f>'[2]Sky West'!$IT$64</f>
        <v>0</v>
      </c>
      <c r="V33" s="2">
        <f>'[2]Sky West'!$IF$64</f>
        <v>0</v>
      </c>
      <c r="W33" s="65" t="e">
        <f t="shared" si="35"/>
        <v>#DIV/0!</v>
      </c>
      <c r="X33" s="263">
        <f>SUM('[2]Sky West'!$IT$64:$IT$64)</f>
        <v>0</v>
      </c>
      <c r="Y33" s="2">
        <f>SUM('[2]Sky West'!$IF$64:$IF$64)</f>
        <v>0</v>
      </c>
      <c r="Z33" s="3" t="e">
        <f t="shared" ref="Z33:Z34" si="40">(X33-Y33)/Y33</f>
        <v>#DIV/0!</v>
      </c>
      <c r="AA33" s="65">
        <f>X33/$X$62</f>
        <v>0</v>
      </c>
      <c r="AB33" s="37"/>
      <c r="AC33" s="39" t="s">
        <v>97</v>
      </c>
      <c r="AD33" s="263">
        <f>'[2]Sky West'!$IT$43</f>
        <v>229468</v>
      </c>
      <c r="AE33" s="2">
        <f>'[2]Sky West'!$IF$43</f>
        <v>178766</v>
      </c>
      <c r="AF33" s="65">
        <f t="shared" si="37"/>
        <v>0.28362216528870143</v>
      </c>
      <c r="AG33" s="263">
        <f>SUM('[2]Sky West'!$IT$43:$IT$43)</f>
        <v>229468</v>
      </c>
      <c r="AH33" s="2">
        <f>SUM('[2]Sky West'!$IF$43:$IF$43)</f>
        <v>178766</v>
      </c>
      <c r="AI33" s="3">
        <f t="shared" si="38"/>
        <v>0.28362216528870143</v>
      </c>
      <c r="AJ33" s="65">
        <f>AG33/$X$62</f>
        <v>3.6573387803138242E-2</v>
      </c>
    </row>
    <row r="34" spans="1:36" ht="14.1" customHeight="1" x14ac:dyDescent="0.2">
      <c r="A34" s="37"/>
      <c r="B34" s="318" t="s">
        <v>164</v>
      </c>
      <c r="C34" s="263">
        <f>'[2]Atlantic Southeast'!$IT$19</f>
        <v>0</v>
      </c>
      <c r="D34" s="2">
        <f>'[2]Atlantic Southeast'!$IF$19</f>
        <v>0</v>
      </c>
      <c r="E34" s="65" t="e">
        <f t="shared" si="32"/>
        <v>#DIV/0!</v>
      </c>
      <c r="F34" s="2">
        <f>SUM('[2]Atlantic Southeast'!$IT$19:$IT$19)</f>
        <v>0</v>
      </c>
      <c r="G34" s="2">
        <f>SUM('[2]Atlantic Southeast'!$IF$19:$IF$19)</f>
        <v>0</v>
      </c>
      <c r="H34" s="3" t="e">
        <f t="shared" si="39"/>
        <v>#DIV/0!</v>
      </c>
      <c r="I34" s="65">
        <f>F34/$F$62</f>
        <v>0</v>
      </c>
      <c r="J34" s="37"/>
      <c r="K34" s="318" t="s">
        <v>164</v>
      </c>
      <c r="L34" s="263">
        <f>'[2]Atlantic Southeast'!$IT$41</f>
        <v>0</v>
      </c>
      <c r="M34" s="2">
        <f>'[2]Atlantic Southeast'!$IF$41</f>
        <v>0</v>
      </c>
      <c r="N34" s="65" t="e">
        <f t="shared" si="33"/>
        <v>#DIV/0!</v>
      </c>
      <c r="O34" s="263">
        <f>SUM('[2]Atlantic Southeast'!$IT$41:$IT$41)</f>
        <v>0</v>
      </c>
      <c r="P34" s="2">
        <f>SUM('[2]Atlantic Southeast'!$IF$41:$IF$41)</f>
        <v>0</v>
      </c>
      <c r="Q34" s="3" t="e">
        <f t="shared" si="34"/>
        <v>#DIV/0!</v>
      </c>
      <c r="R34" s="65">
        <f>O34/$O$62</f>
        <v>0</v>
      </c>
      <c r="S34" s="37"/>
      <c r="T34" s="318" t="s">
        <v>164</v>
      </c>
      <c r="U34" s="263">
        <f>'[2]Atlantic Southeast'!$IT$64</f>
        <v>0</v>
      </c>
      <c r="V34" s="2">
        <f>'[2]Atlantic Southeast'!$IF$64</f>
        <v>0</v>
      </c>
      <c r="W34" s="65" t="e">
        <f t="shared" si="35"/>
        <v>#DIV/0!</v>
      </c>
      <c r="X34" s="263">
        <f>SUM('[2]Atlantic Southeast'!$IT$64:$IT$64)</f>
        <v>0</v>
      </c>
      <c r="Y34" s="2">
        <f>SUM('[2]Atlantic Southeast'!$IF$64:$IF$64)</f>
        <v>0</v>
      </c>
      <c r="Z34" s="3" t="e">
        <f t="shared" si="40"/>
        <v>#DIV/0!</v>
      </c>
      <c r="AA34" s="65">
        <f>X34/$X$62</f>
        <v>0</v>
      </c>
      <c r="AB34" s="37"/>
      <c r="AC34" s="318" t="s">
        <v>164</v>
      </c>
      <c r="AD34" s="263">
        <f>'[2]Atlantic Southeast'!$IT$43</f>
        <v>0</v>
      </c>
      <c r="AE34" s="2">
        <f>'[2]Atlantic Southeast'!$IF$43</f>
        <v>0</v>
      </c>
      <c r="AF34" s="65" t="e">
        <f t="shared" si="37"/>
        <v>#DIV/0!</v>
      </c>
      <c r="AG34" s="263">
        <f>SUM('[2]Atlantic Southeast'!$IT$43:$IT$43)</f>
        <v>0</v>
      </c>
      <c r="AH34" s="2">
        <f>SUM('[2]Atlantic Southeast'!$IF$43:$IF$43)</f>
        <v>0</v>
      </c>
      <c r="AI34" s="3" t="e">
        <f t="shared" si="38"/>
        <v>#DIV/0!</v>
      </c>
      <c r="AJ34" s="65">
        <f>AG34/$X$62</f>
        <v>0</v>
      </c>
    </row>
    <row r="35" spans="1:36" ht="14.1" customHeight="1" x14ac:dyDescent="0.2">
      <c r="A35" s="37"/>
      <c r="B35" s="318"/>
      <c r="C35" s="263"/>
      <c r="E35" s="65"/>
      <c r="F35" s="2"/>
      <c r="I35" s="65"/>
      <c r="J35" s="37"/>
      <c r="K35" s="318"/>
      <c r="L35" s="263"/>
      <c r="N35" s="65"/>
      <c r="O35" s="263"/>
      <c r="P35" s="2"/>
      <c r="Q35" s="3"/>
      <c r="R35" s="65"/>
      <c r="S35" s="37"/>
      <c r="T35" s="318"/>
      <c r="U35" s="263"/>
      <c r="V35" s="2"/>
      <c r="W35" s="65"/>
      <c r="X35" s="263"/>
      <c r="Y35" s="2"/>
      <c r="Z35" s="3"/>
      <c r="AA35" s="65"/>
      <c r="AB35" s="37"/>
      <c r="AC35" s="318"/>
      <c r="AD35" s="263"/>
      <c r="AE35" s="2"/>
      <c r="AF35" s="65"/>
      <c r="AG35" s="263"/>
      <c r="AH35" s="2"/>
      <c r="AI35" s="3"/>
      <c r="AJ35" s="65"/>
    </row>
    <row r="36" spans="1:36" ht="14.1" customHeight="1" x14ac:dyDescent="0.2">
      <c r="A36" s="258" t="s">
        <v>47</v>
      </c>
      <c r="B36" s="39"/>
      <c r="C36" s="259">
        <f>[2]Frontier!$IT$19</f>
        <v>272</v>
      </c>
      <c r="D36" s="261">
        <f>[2]Frontier!$IF$19</f>
        <v>94</v>
      </c>
      <c r="E36" s="262">
        <f>(C36-D36)/D36</f>
        <v>1.8936170212765957</v>
      </c>
      <c r="F36" s="261">
        <f>SUM([2]Frontier!$IT$19:$IT$19)</f>
        <v>272</v>
      </c>
      <c r="G36" s="261">
        <f>SUM([2]Frontier!$IF$19:$IF$19)</f>
        <v>94</v>
      </c>
      <c r="H36" s="260">
        <f>(F36-G36)/G36</f>
        <v>1.8936170212765957</v>
      </c>
      <c r="I36" s="262">
        <f>F36/$F$62</f>
        <v>1.1854434517324037E-2</v>
      </c>
      <c r="J36" s="258" t="s">
        <v>47</v>
      </c>
      <c r="K36" s="39"/>
      <c r="L36" s="259">
        <f>[2]Frontier!$IT$41</f>
        <v>42260</v>
      </c>
      <c r="M36" s="261">
        <f>[2]Frontier!$IF$41</f>
        <v>14510</v>
      </c>
      <c r="N36" s="262">
        <f>(L36-M36)/M36</f>
        <v>1.9124741557546521</v>
      </c>
      <c r="O36" s="259">
        <f>SUM([2]Frontier!$IT$41:$IT$41)</f>
        <v>42260</v>
      </c>
      <c r="P36" s="261">
        <f>SUM([2]Frontier!$IF$41:$IF$41)</f>
        <v>14510</v>
      </c>
      <c r="Q36" s="260">
        <f>(O36-P36)/P36</f>
        <v>1.9124741557546521</v>
      </c>
      <c r="R36" s="262">
        <f>O36/$O$62</f>
        <v>1.7131339730763119E-2</v>
      </c>
      <c r="S36" s="258" t="s">
        <v>47</v>
      </c>
      <c r="T36" s="39"/>
      <c r="U36" s="259">
        <f>[2]Frontier!$IT$64</f>
        <v>0</v>
      </c>
      <c r="V36" s="261">
        <f>[2]Frontier!$IF$64</f>
        <v>0</v>
      </c>
      <c r="W36" s="262" t="e">
        <f>(U36-V36)/V36</f>
        <v>#DIV/0!</v>
      </c>
      <c r="X36" s="259">
        <f>SUM([2]Frontier!$IT$64:$IT$64)</f>
        <v>0</v>
      </c>
      <c r="Y36" s="261">
        <f>SUM([2]Frontier!$IF$64:$IF$64)</f>
        <v>0</v>
      </c>
      <c r="Z36" s="260" t="e">
        <f>(X36-Y36)/Y36</f>
        <v>#DIV/0!</v>
      </c>
      <c r="AA36" s="262">
        <f>X36/$X$62</f>
        <v>0</v>
      </c>
      <c r="AB36" s="258" t="s">
        <v>47</v>
      </c>
      <c r="AC36" s="39"/>
      <c r="AD36" s="259">
        <f>[2]Frontier!$IT$43</f>
        <v>42507</v>
      </c>
      <c r="AE36" s="261">
        <f>[2]Frontier!$IF$43</f>
        <v>14593</v>
      </c>
      <c r="AF36" s="262">
        <f>(AD36-AE36)/AE36</f>
        <v>1.9128349208524635</v>
      </c>
      <c r="AG36" s="259">
        <f>SUM([2]Frontier!$IT$43:$IT$43)</f>
        <v>42507</v>
      </c>
      <c r="AH36" s="261">
        <f>SUM([2]Frontier!$IF$43:$IF$43)</f>
        <v>14593</v>
      </c>
      <c r="AI36" s="260">
        <f>(AG36-AH36)/AH36</f>
        <v>1.9128349208524635</v>
      </c>
      <c r="AJ36" s="262">
        <f>AG36/$X$62</f>
        <v>6.7749097710704644E-3</v>
      </c>
    </row>
    <row r="37" spans="1:36" ht="14.1" customHeight="1" x14ac:dyDescent="0.2">
      <c r="A37" s="258"/>
      <c r="B37" s="39"/>
      <c r="C37" s="259"/>
      <c r="D37" s="261"/>
      <c r="E37" s="262"/>
      <c r="F37" s="261"/>
      <c r="G37" s="261"/>
      <c r="H37" s="260"/>
      <c r="I37" s="262"/>
      <c r="J37" s="258"/>
      <c r="K37" s="39"/>
      <c r="L37" s="263"/>
      <c r="N37" s="65"/>
      <c r="O37" s="263"/>
      <c r="P37" s="2"/>
      <c r="Q37" s="3"/>
      <c r="R37" s="65"/>
      <c r="S37" s="258"/>
      <c r="T37" s="39"/>
      <c r="U37" s="263"/>
      <c r="V37" s="2"/>
      <c r="W37" s="65"/>
      <c r="X37" s="263"/>
      <c r="Y37" s="2"/>
      <c r="Z37" s="3"/>
      <c r="AA37" s="65"/>
      <c r="AB37" s="258"/>
      <c r="AC37" s="39"/>
      <c r="AD37" s="263"/>
      <c r="AE37" s="2"/>
      <c r="AF37" s="65"/>
      <c r="AG37" s="263"/>
      <c r="AH37" s="2"/>
      <c r="AI37" s="3"/>
      <c r="AJ37" s="65"/>
    </row>
    <row r="38" spans="1:36" ht="14.1" customHeight="1" x14ac:dyDescent="0.2">
      <c r="A38" s="258" t="s">
        <v>48</v>
      </c>
      <c r="B38" s="39"/>
      <c r="C38" s="259">
        <f>[2]Icelandair!$IT$19</f>
        <v>10</v>
      </c>
      <c r="D38" s="261">
        <f>[2]Icelandair!$IF$19</f>
        <v>6</v>
      </c>
      <c r="E38" s="262">
        <f>(C38-D38)/D38</f>
        <v>0.66666666666666663</v>
      </c>
      <c r="F38" s="261">
        <f>SUM([2]Icelandair!$IT$19:$IT$19)</f>
        <v>10</v>
      </c>
      <c r="G38" s="261">
        <f>SUM([2]Icelandair!$IF$19:$IF$19)</f>
        <v>6</v>
      </c>
      <c r="H38" s="260">
        <f>(F38-G38)/G38</f>
        <v>0.66666666666666663</v>
      </c>
      <c r="I38" s="262">
        <f>F38/$F$62</f>
        <v>4.3582479843103073E-4</v>
      </c>
      <c r="J38" s="258" t="s">
        <v>48</v>
      </c>
      <c r="K38" s="39"/>
      <c r="L38" s="259">
        <f>[2]Icelandair!$IT$41</f>
        <v>1148</v>
      </c>
      <c r="M38" s="261">
        <f>[2]Icelandair!$IF$41</f>
        <v>731</v>
      </c>
      <c r="N38" s="262">
        <f>(L38-M38)/M38</f>
        <v>0.57045143638850893</v>
      </c>
      <c r="O38" s="259">
        <f>SUM([2]Icelandair!$IT$41:$IT$41)</f>
        <v>1148</v>
      </c>
      <c r="P38" s="261">
        <f>SUM([2]Icelandair!$IF$41:$IF$41)</f>
        <v>731</v>
      </c>
      <c r="Q38" s="260">
        <f>(O38-P38)/P38</f>
        <v>0.57045143638850893</v>
      </c>
      <c r="R38" s="262">
        <f>O38/$O$62</f>
        <v>4.6537572198097633E-4</v>
      </c>
      <c r="S38" s="258" t="s">
        <v>48</v>
      </c>
      <c r="T38" s="39"/>
      <c r="U38" s="259">
        <f>[2]Icelandair!$IT$64</f>
        <v>46</v>
      </c>
      <c r="V38" s="261">
        <f>[2]Icelandair!$IF$64</f>
        <v>337</v>
      </c>
      <c r="W38" s="262">
        <f>(U38-V38)/V38</f>
        <v>-0.86350148367952517</v>
      </c>
      <c r="X38" s="259">
        <f>SUM([2]Icelandair!$IT$64:$IT$64)</f>
        <v>46</v>
      </c>
      <c r="Y38" s="261">
        <f>SUM([2]Icelandair!$IF$64:$IF$64)</f>
        <v>337</v>
      </c>
      <c r="Z38" s="260">
        <f>(X38-Y38)/Y38</f>
        <v>-0.86350148367952517</v>
      </c>
      <c r="AA38" s="262">
        <f>X38/$X$62</f>
        <v>7.331635953354538E-6</v>
      </c>
      <c r="AB38" s="258" t="s">
        <v>48</v>
      </c>
      <c r="AC38" s="39"/>
      <c r="AD38" s="259">
        <f>[2]Icelandair!$IT$43</f>
        <v>1174</v>
      </c>
      <c r="AE38" s="261">
        <f>[2]Icelandair!$IF$43</f>
        <v>741</v>
      </c>
      <c r="AF38" s="262">
        <f>(AD38-AE38)/AE38</f>
        <v>0.58434547908232115</v>
      </c>
      <c r="AG38" s="259">
        <f>SUM([2]Icelandair!$IT$43:$IT$43)</f>
        <v>1174</v>
      </c>
      <c r="AH38" s="261">
        <f>SUM([2]Icelandair!$IF$43:$IF$43)</f>
        <v>741</v>
      </c>
      <c r="AI38" s="260">
        <f>(AG38-AH38)/AH38</f>
        <v>0.58434547908232115</v>
      </c>
      <c r="AJ38" s="262">
        <f>AG38/$X$62</f>
        <v>1.8711610020083103E-4</v>
      </c>
    </row>
    <row r="39" spans="1:36" ht="14.1" customHeight="1" x14ac:dyDescent="0.2">
      <c r="A39" s="258"/>
      <c r="B39" s="39"/>
      <c r="C39" s="259"/>
      <c r="D39" s="261"/>
      <c r="E39" s="262"/>
      <c r="F39" s="261"/>
      <c r="G39" s="261"/>
      <c r="H39" s="260"/>
      <c r="I39" s="262"/>
      <c r="J39" s="258"/>
      <c r="K39" s="39"/>
      <c r="L39" s="263"/>
      <c r="N39" s="65"/>
      <c r="O39" s="263"/>
      <c r="P39" s="2"/>
      <c r="Q39" s="3"/>
      <c r="R39" s="65"/>
      <c r="S39" s="258"/>
      <c r="T39" s="39"/>
      <c r="U39" s="263"/>
      <c r="V39" s="2"/>
      <c r="W39" s="65"/>
      <c r="X39" s="263"/>
      <c r="Y39" s="2"/>
      <c r="Z39" s="3"/>
      <c r="AA39" s="65"/>
      <c r="AB39" s="258"/>
      <c r="AC39" s="39"/>
      <c r="AD39" s="263"/>
      <c r="AE39" s="2"/>
      <c r="AF39" s="65"/>
      <c r="AG39" s="263"/>
      <c r="AH39" s="2"/>
      <c r="AI39" s="3"/>
      <c r="AJ39" s="65"/>
    </row>
    <row r="40" spans="1:36" ht="14.1" customHeight="1" x14ac:dyDescent="0.2">
      <c r="A40" s="258" t="s">
        <v>190</v>
      </c>
      <c r="B40" s="39"/>
      <c r="C40" s="259">
        <f>'[2]Jet Blue'!$IT$19</f>
        <v>60</v>
      </c>
      <c r="D40" s="261">
        <f>'[2]Jet Blue'!$IF$19</f>
        <v>124</v>
      </c>
      <c r="E40" s="262">
        <f>(C40-D40)/D40</f>
        <v>-0.5161290322580645</v>
      </c>
      <c r="F40" s="261">
        <f>SUM('[2]Jet Blue'!$IT$19:$IT$19)</f>
        <v>60</v>
      </c>
      <c r="G40" s="261">
        <f>SUM('[2]Jet Blue'!$IF$19:$IF$19)</f>
        <v>124</v>
      </c>
      <c r="H40" s="260">
        <f>(F40-G40)/G40</f>
        <v>-0.5161290322580645</v>
      </c>
      <c r="I40" s="262">
        <f>F40/$F$62</f>
        <v>2.6149487905861844E-3</v>
      </c>
      <c r="J40" s="258" t="s">
        <v>190</v>
      </c>
      <c r="K40" s="39"/>
      <c r="L40" s="259">
        <f>'[2]Jet Blue'!$IT$41</f>
        <v>5278</v>
      </c>
      <c r="M40" s="261">
        <f>'[2]Jet Blue'!$IF$41</f>
        <v>8815</v>
      </c>
      <c r="N40" s="262">
        <f>(L40-M40)/M40</f>
        <v>-0.40124787294384573</v>
      </c>
      <c r="O40" s="259">
        <f>SUM('[2]Jet Blue'!$IT$41:$IT$41)</f>
        <v>5278</v>
      </c>
      <c r="P40" s="261">
        <f>SUM('[2]Jet Blue'!$IF$41:$IF$41)</f>
        <v>8815</v>
      </c>
      <c r="Q40" s="260">
        <f>(O40-P40)/P40</f>
        <v>-0.40124787294384573</v>
      </c>
      <c r="R40" s="262">
        <f>O40/$O$62</f>
        <v>2.1395932583759521E-3</v>
      </c>
      <c r="S40" s="258" t="s">
        <v>190</v>
      </c>
      <c r="T40" s="39"/>
      <c r="U40" s="259">
        <f>'[2]Jet Blue'!$IT$64</f>
        <v>0</v>
      </c>
      <c r="V40" s="261">
        <f>'[2]Jet Blue'!$IF$64</f>
        <v>0</v>
      </c>
      <c r="W40" s="262" t="e">
        <f>(U40-V40)/V40</f>
        <v>#DIV/0!</v>
      </c>
      <c r="X40" s="259">
        <f>SUM('[2]Jet Blue'!$IT$64:$IT$64)</f>
        <v>0</v>
      </c>
      <c r="Y40" s="261">
        <f>SUM('[2]Jet Blue'!$IF$64:$IF$64)</f>
        <v>0</v>
      </c>
      <c r="Z40" s="260" t="e">
        <f>(X40-Y40)/Y40</f>
        <v>#DIV/0!</v>
      </c>
      <c r="AA40" s="262">
        <f>X40/$X$62</f>
        <v>0</v>
      </c>
      <c r="AB40" s="258" t="s">
        <v>190</v>
      </c>
      <c r="AC40" s="39"/>
      <c r="AD40" s="259">
        <f>'[2]Jet Blue'!$IT$43</f>
        <v>5401</v>
      </c>
      <c r="AE40" s="261">
        <f>'[2]Jet Blue'!$IF$43</f>
        <v>9174</v>
      </c>
      <c r="AF40" s="262">
        <f>(AD40-AE40)/AE40</f>
        <v>-0.41127098321342925</v>
      </c>
      <c r="AG40" s="259">
        <f>SUM('[2]Jet Blue'!$IT$43:$IT$43)</f>
        <v>5401</v>
      </c>
      <c r="AH40" s="261">
        <f>SUM('[2]Jet Blue'!$IF$43:$IF$43)</f>
        <v>9174</v>
      </c>
      <c r="AI40" s="260">
        <f>(AG40-AH40)/AH40</f>
        <v>-0.41127098321342925</v>
      </c>
      <c r="AJ40" s="262">
        <f>AG40/$X$62</f>
        <v>8.60829690957997E-4</v>
      </c>
    </row>
    <row r="41" spans="1:36" ht="14.1" customHeight="1" x14ac:dyDescent="0.2">
      <c r="A41" s="258"/>
      <c r="B41" s="39"/>
      <c r="C41" s="259"/>
      <c r="D41" s="261"/>
      <c r="E41" s="262"/>
      <c r="F41" s="261"/>
      <c r="G41" s="261"/>
      <c r="H41" s="260"/>
      <c r="I41" s="262"/>
      <c r="J41" s="258"/>
      <c r="K41" s="39"/>
      <c r="L41" s="263"/>
      <c r="N41" s="65"/>
      <c r="O41" s="263"/>
      <c r="P41" s="2"/>
      <c r="Q41" s="3"/>
      <c r="R41" s="65"/>
      <c r="S41" s="258"/>
      <c r="T41" s="39"/>
      <c r="U41" s="263"/>
      <c r="V41" s="2"/>
      <c r="W41" s="65"/>
      <c r="X41" s="263"/>
      <c r="Y41" s="2"/>
      <c r="Z41" s="3"/>
      <c r="AA41" s="65"/>
      <c r="AB41" s="258"/>
      <c r="AC41" s="39"/>
      <c r="AD41" s="263"/>
      <c r="AE41" s="2"/>
      <c r="AF41" s="65"/>
      <c r="AG41" s="263"/>
      <c r="AH41" s="2"/>
      <c r="AI41" s="3"/>
      <c r="AJ41" s="65"/>
    </row>
    <row r="42" spans="1:36" ht="14.1" customHeight="1" x14ac:dyDescent="0.2">
      <c r="A42" s="258" t="s">
        <v>185</v>
      </c>
      <c r="B42" s="39"/>
      <c r="C42" s="259">
        <f>[2]KLM!$IT$19</f>
        <v>28</v>
      </c>
      <c r="D42" s="261">
        <f>[2]KLM!$IF$19</f>
        <v>34</v>
      </c>
      <c r="E42" s="262">
        <f>(C42-D42)/D42</f>
        <v>-0.17647058823529413</v>
      </c>
      <c r="F42" s="261">
        <f>SUM([2]KLM!$IT$19:$IT$19)</f>
        <v>28</v>
      </c>
      <c r="G42" s="261">
        <f>SUM([2]KLM!$IF$19:$IF$19)</f>
        <v>34</v>
      </c>
      <c r="H42" s="260">
        <f>(F42-G42)/G42</f>
        <v>-0.17647058823529413</v>
      </c>
      <c r="I42" s="262">
        <f>F42/$F$62</f>
        <v>1.220309435606886E-3</v>
      </c>
      <c r="J42" s="258" t="s">
        <v>185</v>
      </c>
      <c r="K42" s="39"/>
      <c r="L42" s="259">
        <f>[2]KLM!$IT$41</f>
        <v>5326</v>
      </c>
      <c r="M42" s="261">
        <f>[2]KLM!$IF$41</f>
        <v>6668</v>
      </c>
      <c r="N42" s="262">
        <f>(L42-M42)/M42</f>
        <v>-0.20125974805038993</v>
      </c>
      <c r="O42" s="259">
        <f>SUM([2]KLM!$IT$41:$IT$41)</f>
        <v>5326</v>
      </c>
      <c r="P42" s="261">
        <f>SUM([2]KLM!$IF$41:$IF$41)</f>
        <v>6668</v>
      </c>
      <c r="Q42" s="260">
        <f>(O42-P42)/P42</f>
        <v>-0.20125974805038993</v>
      </c>
      <c r="R42" s="262">
        <f>O42/$O$62</f>
        <v>2.1590514767166201E-3</v>
      </c>
      <c r="S42" s="258" t="s">
        <v>185</v>
      </c>
      <c r="T42" s="39"/>
      <c r="U42" s="259">
        <f>[2]KLM!$IT$64</f>
        <v>224435</v>
      </c>
      <c r="V42" s="261">
        <f>[2]KLM!$IF$64</f>
        <v>602670</v>
      </c>
      <c r="W42" s="262">
        <f>(U42-V42)/V42</f>
        <v>-0.62759885177626229</v>
      </c>
      <c r="X42" s="259">
        <f>SUM([2]KLM!$IT$64:$IT$64)</f>
        <v>224435</v>
      </c>
      <c r="Y42" s="261">
        <f>SUM([2]KLM!$IF$64:$IF$64)</f>
        <v>602670</v>
      </c>
      <c r="Z42" s="260">
        <f>(X42-Y42)/Y42</f>
        <v>-0.62759885177626229</v>
      </c>
      <c r="AA42" s="262">
        <f>X42/$X$62</f>
        <v>3.5771211199807085E-2</v>
      </c>
      <c r="AB42" s="258" t="s">
        <v>185</v>
      </c>
      <c r="AC42" s="39"/>
      <c r="AD42" s="259">
        <f>[2]KLM!$IT$43</f>
        <v>5332</v>
      </c>
      <c r="AE42" s="261">
        <f>[2]KLM!$IF$43</f>
        <v>6677</v>
      </c>
      <c r="AF42" s="262">
        <f>(AD42-AE42)/AE42</f>
        <v>-0.20143777145424591</v>
      </c>
      <c r="AG42" s="259">
        <f>SUM([2]KLM!$IT$43:$IT$43)</f>
        <v>5332</v>
      </c>
      <c r="AH42" s="261">
        <f>SUM([2]KLM!$IF$43:$IF$43)</f>
        <v>6677</v>
      </c>
      <c r="AI42" s="260">
        <f>(AG42-AH42)/AH42</f>
        <v>-0.20143777145424591</v>
      </c>
      <c r="AJ42" s="262">
        <f>AG42/$X$62</f>
        <v>8.498322370279652E-4</v>
      </c>
    </row>
    <row r="43" spans="1:36" ht="14.1" customHeight="1" x14ac:dyDescent="0.2">
      <c r="A43" s="258"/>
      <c r="B43" s="39"/>
      <c r="C43" s="259"/>
      <c r="D43" s="261"/>
      <c r="E43" s="262"/>
      <c r="F43" s="261"/>
      <c r="G43" s="261"/>
      <c r="H43" s="260"/>
      <c r="I43" s="262"/>
      <c r="J43" s="258"/>
      <c r="K43" s="39"/>
      <c r="L43" s="263"/>
      <c r="N43" s="65"/>
      <c r="O43" s="263"/>
      <c r="P43" s="2"/>
      <c r="Q43" s="3"/>
      <c r="R43" s="65"/>
      <c r="S43" s="258"/>
      <c r="T43" s="39"/>
      <c r="U43" s="263"/>
      <c r="V43" s="2"/>
      <c r="W43" s="65"/>
      <c r="X43" s="263"/>
      <c r="Y43" s="2"/>
      <c r="Z43" s="3"/>
      <c r="AA43" s="65"/>
      <c r="AB43" s="258"/>
      <c r="AC43" s="39"/>
      <c r="AD43" s="263"/>
      <c r="AE43" s="2"/>
      <c r="AF43" s="65"/>
      <c r="AG43" s="263"/>
      <c r="AH43" s="2"/>
      <c r="AI43" s="3"/>
      <c r="AJ43" s="65"/>
    </row>
    <row r="44" spans="1:36" ht="14.1" customHeight="1" x14ac:dyDescent="0.2">
      <c r="A44" s="258" t="s">
        <v>128</v>
      </c>
      <c r="B44" s="39"/>
      <c r="C44" s="259">
        <f>[2]Southwest!$IT$19</f>
        <v>1138</v>
      </c>
      <c r="D44" s="261">
        <f>[2]Southwest!$IF$19</f>
        <v>908</v>
      </c>
      <c r="E44" s="262">
        <f>(C44-D44)/D44</f>
        <v>0.25330396475770928</v>
      </c>
      <c r="F44" s="261">
        <f>SUM([2]Southwest!$IT$19:$IT$19)</f>
        <v>1138</v>
      </c>
      <c r="G44" s="261">
        <f>SUM([2]Southwest!$IF$19:$IF$19)</f>
        <v>908</v>
      </c>
      <c r="H44" s="260">
        <f>(F44-G44)/G44</f>
        <v>0.25330396475770928</v>
      </c>
      <c r="I44" s="262">
        <f>F44/$F$62</f>
        <v>4.9596862061451294E-2</v>
      </c>
      <c r="J44" s="258" t="s">
        <v>128</v>
      </c>
      <c r="K44" s="39"/>
      <c r="L44" s="259">
        <f>[2]Southwest!$IT$41</f>
        <v>115130</v>
      </c>
      <c r="M44" s="261">
        <f>[2]Southwest!$IF$41</f>
        <v>88624</v>
      </c>
      <c r="N44" s="262">
        <f>(L44-M44)/M44</f>
        <v>0.29908376963350786</v>
      </c>
      <c r="O44" s="259">
        <f>SUM([2]Southwest!$IT$41:$IT$41)</f>
        <v>115130</v>
      </c>
      <c r="P44" s="261">
        <f>SUM([2]Southwest!$IF$41:$IF$41)</f>
        <v>88624</v>
      </c>
      <c r="Q44" s="260">
        <f>(O44-P44)/P44</f>
        <v>0.29908376963350786</v>
      </c>
      <c r="R44" s="262">
        <f>O44/$O$62</f>
        <v>4.6671347449189729E-2</v>
      </c>
      <c r="S44" s="258" t="s">
        <v>128</v>
      </c>
      <c r="T44" s="39"/>
      <c r="U44" s="259">
        <f>[2]Southwest!$IT$64</f>
        <v>191573</v>
      </c>
      <c r="V44" s="261">
        <f>[2]Southwest!$IF$64</f>
        <v>176647</v>
      </c>
      <c r="W44" s="262">
        <f>(U44-V44)/V44</f>
        <v>8.4496198633432773E-2</v>
      </c>
      <c r="X44" s="259">
        <f>SUM([2]Southwest!$IT$64:$IT$64)</f>
        <v>191573</v>
      </c>
      <c r="Y44" s="261">
        <f>SUM([2]Southwest!$IF$64:$IF$64)</f>
        <v>176647</v>
      </c>
      <c r="Z44" s="260">
        <f>(X44-Y44)/Y44</f>
        <v>8.4496198633432773E-2</v>
      </c>
      <c r="AA44" s="262">
        <f>X44/$X$62</f>
        <v>3.0533554228086717E-2</v>
      </c>
      <c r="AB44" s="258" t="s">
        <v>128</v>
      </c>
      <c r="AC44" s="39"/>
      <c r="AD44" s="259">
        <f>[2]Southwest!$IT$43</f>
        <v>118548</v>
      </c>
      <c r="AE44" s="261">
        <f>[2]Southwest!$IF$43</f>
        <v>91111</v>
      </c>
      <c r="AF44" s="262">
        <f>(AD44-AE44)/AE44</f>
        <v>0.3011381721197221</v>
      </c>
      <c r="AG44" s="259">
        <f>SUM([2]Southwest!$IT$43:$IT$43)</f>
        <v>118548</v>
      </c>
      <c r="AH44" s="261">
        <f>SUM([2]Southwest!$IF$43:$IF$43)</f>
        <v>91111</v>
      </c>
      <c r="AI44" s="260">
        <f>(AG44-AH44)/AH44</f>
        <v>0.3011381721197221</v>
      </c>
      <c r="AJ44" s="262">
        <f>AG44/$X$62</f>
        <v>1.8894582152136387E-2</v>
      </c>
    </row>
    <row r="45" spans="1:36" ht="14.1" customHeight="1" x14ac:dyDescent="0.2">
      <c r="A45" s="258"/>
      <c r="B45" s="39"/>
      <c r="C45" s="259"/>
      <c r="D45" s="261"/>
      <c r="E45" s="262"/>
      <c r="F45" s="261"/>
      <c r="G45" s="261"/>
      <c r="H45" s="260"/>
      <c r="I45" s="262"/>
      <c r="J45" s="258"/>
      <c r="K45" s="39"/>
      <c r="L45" s="263"/>
      <c r="N45" s="65"/>
      <c r="O45" s="263"/>
      <c r="P45" s="2"/>
      <c r="Q45" s="3"/>
      <c r="R45" s="65"/>
      <c r="S45" s="258"/>
      <c r="T45" s="39"/>
      <c r="U45" s="263"/>
      <c r="V45" s="2"/>
      <c r="W45" s="65"/>
      <c r="X45" s="263"/>
      <c r="Y45" s="2"/>
      <c r="Z45" s="3"/>
      <c r="AA45" s="65"/>
      <c r="AB45" s="258"/>
      <c r="AC45" s="39"/>
      <c r="AD45" s="263"/>
      <c r="AE45" s="2"/>
      <c r="AF45" s="65"/>
      <c r="AG45" s="263"/>
      <c r="AH45" s="2"/>
      <c r="AI45" s="3"/>
      <c r="AJ45" s="65"/>
    </row>
    <row r="46" spans="1:36" ht="14.1" customHeight="1" x14ac:dyDescent="0.2">
      <c r="A46" s="258" t="s">
        <v>153</v>
      </c>
      <c r="B46" s="39"/>
      <c r="C46" s="259">
        <f>[2]Spirit!$IT$19</f>
        <v>214</v>
      </c>
      <c r="D46" s="261">
        <f>[2]Spirit!$IF$19</f>
        <v>381</v>
      </c>
      <c r="E46" s="262">
        <f>(C46-D46)/D46</f>
        <v>-0.43832020997375326</v>
      </c>
      <c r="F46" s="261">
        <f>SUM([2]Spirit!$IT$19:$IT$19)</f>
        <v>214</v>
      </c>
      <c r="G46" s="261">
        <f>SUM([2]Spirit!$IF$19:$IF$19)</f>
        <v>381</v>
      </c>
      <c r="H46" s="260">
        <f>(F46-G46)/G46</f>
        <v>-0.43832020997375326</v>
      </c>
      <c r="I46" s="262">
        <f>F46/$F$62</f>
        <v>9.326650686424057E-3</v>
      </c>
      <c r="J46" s="258" t="s">
        <v>153</v>
      </c>
      <c r="K46" s="39"/>
      <c r="L46" s="259">
        <f>[2]Spirit!$IT$41</f>
        <v>28204</v>
      </c>
      <c r="M46" s="261">
        <f>[2]Spirit!$IF$41</f>
        <v>42939</v>
      </c>
      <c r="N46" s="262">
        <f>(L46-M46)/M46</f>
        <v>-0.34316122871981181</v>
      </c>
      <c r="O46" s="259">
        <f>SUM([2]Spirit!$IT$41:$IT$41)</f>
        <v>28204</v>
      </c>
      <c r="P46" s="261">
        <f>SUM([2]Spirit!$IF$41:$IF$41)</f>
        <v>42939</v>
      </c>
      <c r="Q46" s="260">
        <f>(O46-P46)/P46</f>
        <v>-0.34316122871981181</v>
      </c>
      <c r="R46" s="262">
        <f>O46/$O$62</f>
        <v>1.1433324793337507E-2</v>
      </c>
      <c r="S46" s="258" t="s">
        <v>153</v>
      </c>
      <c r="T46" s="39"/>
      <c r="U46" s="259">
        <f>[2]Spirit!$IT$64</f>
        <v>0</v>
      </c>
      <c r="V46" s="261">
        <f>[2]Spirit!$IF$64</f>
        <v>0</v>
      </c>
      <c r="W46" s="262" t="e">
        <f>(U46-V46)/V46</f>
        <v>#DIV/0!</v>
      </c>
      <c r="X46" s="259">
        <f>SUM([2]Spirit!$IT$64:$IT$64)</f>
        <v>0</v>
      </c>
      <c r="Y46" s="261">
        <f>SUM([2]Spirit!$IF$64:$IF$64)</f>
        <v>0</v>
      </c>
      <c r="Z46" s="260" t="e">
        <f>(X46-Y46)/Y46</f>
        <v>#DIV/0!</v>
      </c>
      <c r="AA46" s="262">
        <f>X46/$X$62</f>
        <v>0</v>
      </c>
      <c r="AB46" s="258" t="s">
        <v>153</v>
      </c>
      <c r="AC46" s="39"/>
      <c r="AD46" s="259">
        <f>[2]Spirit!$IT$43</f>
        <v>28475</v>
      </c>
      <c r="AE46" s="261">
        <f>[2]Spirit!$IF$43</f>
        <v>44607</v>
      </c>
      <c r="AF46" s="262">
        <f>(AD46-AE46)/AE46</f>
        <v>-0.36164727509135336</v>
      </c>
      <c r="AG46" s="259">
        <f>SUM([2]Spirit!$IT$43:$IT$43)</f>
        <v>28475</v>
      </c>
      <c r="AH46" s="261">
        <f>SUM([2]Spirit!$IF$43:$IF$43)</f>
        <v>44607</v>
      </c>
      <c r="AI46" s="260">
        <f>(AG46-AH46)/AH46</f>
        <v>-0.36164727509135336</v>
      </c>
      <c r="AJ46" s="262">
        <f>AG46/$X$62</f>
        <v>4.5384420385167499E-3</v>
      </c>
    </row>
    <row r="47" spans="1:36" ht="14.1" customHeight="1" x14ac:dyDescent="0.2">
      <c r="A47" s="258"/>
      <c r="B47" s="39"/>
      <c r="C47" s="259"/>
      <c r="D47" s="261"/>
      <c r="E47" s="262"/>
      <c r="F47" s="261"/>
      <c r="G47" s="261"/>
      <c r="H47" s="260"/>
      <c r="I47" s="262"/>
      <c r="J47" s="258"/>
      <c r="K47" s="39"/>
      <c r="L47" s="263"/>
      <c r="N47" s="65"/>
      <c r="O47" s="263"/>
      <c r="P47" s="2"/>
      <c r="Q47" s="3"/>
      <c r="R47" s="65">
        <f>O47/$O$62</f>
        <v>0</v>
      </c>
      <c r="S47" s="258"/>
      <c r="T47" s="39"/>
      <c r="U47" s="263"/>
      <c r="V47" s="2"/>
      <c r="W47" s="65"/>
      <c r="X47" s="263"/>
      <c r="Y47" s="2"/>
      <c r="Z47" s="3"/>
      <c r="AA47" s="65">
        <f>X47/$X$62</f>
        <v>0</v>
      </c>
      <c r="AB47" s="258"/>
      <c r="AC47" s="39"/>
      <c r="AD47" s="263"/>
      <c r="AE47" s="2"/>
      <c r="AF47" s="65"/>
      <c r="AG47" s="263"/>
      <c r="AH47" s="2"/>
      <c r="AI47" s="3"/>
      <c r="AJ47" s="65">
        <f>AG47/$X$62</f>
        <v>0</v>
      </c>
    </row>
    <row r="48" spans="1:36" ht="14.1" customHeight="1" x14ac:dyDescent="0.2">
      <c r="A48" s="258" t="s">
        <v>49</v>
      </c>
      <c r="B48" s="39"/>
      <c r="C48" s="259">
        <f>'[2]Sun Country'!$IT$19</f>
        <v>1887</v>
      </c>
      <c r="D48" s="261">
        <f>'[2]Sun Country'!$IF$19</f>
        <v>1792</v>
      </c>
      <c r="E48" s="262">
        <f>(C48-D48)/D48</f>
        <v>5.3013392857142856E-2</v>
      </c>
      <c r="F48" s="261">
        <f>SUM('[2]Sun Country'!$IT$19:$IT$19)</f>
        <v>1887</v>
      </c>
      <c r="G48" s="261">
        <f>SUM('[2]Sun Country'!$IF$19:$IF$19)</f>
        <v>1792</v>
      </c>
      <c r="H48" s="260">
        <f>(F48-G48)/G48</f>
        <v>5.3013392857142856E-2</v>
      </c>
      <c r="I48" s="262">
        <f>F48/$F$62</f>
        <v>8.2240139463935491E-2</v>
      </c>
      <c r="J48" s="258" t="s">
        <v>49</v>
      </c>
      <c r="K48" s="39"/>
      <c r="L48" s="259">
        <f>'[2]Sun Country'!$IT$41</f>
        <v>271298</v>
      </c>
      <c r="M48" s="261">
        <f>'[2]Sun Country'!$IF$41</f>
        <v>253235</v>
      </c>
      <c r="N48" s="262">
        <f>(L48-M48)/M48</f>
        <v>7.1329002704997341E-2</v>
      </c>
      <c r="O48" s="259">
        <f>SUM('[2]Sun Country'!$IT$41:$IT$41)</f>
        <v>271298</v>
      </c>
      <c r="P48" s="261">
        <f>SUM('[2]Sun Country'!$IF$41:$IF$41)</f>
        <v>253235</v>
      </c>
      <c r="Q48" s="260">
        <f>(O48-P48)/P48</f>
        <v>7.1329002704997341E-2</v>
      </c>
      <c r="R48" s="262">
        <f>O48/$O$62</f>
        <v>0.10997866082055306</v>
      </c>
      <c r="S48" s="258" t="s">
        <v>49</v>
      </c>
      <c r="T48" s="39"/>
      <c r="U48" s="259">
        <f>'[2]Sun Country'!$IT$64</f>
        <v>0</v>
      </c>
      <c r="V48" s="261">
        <f>'[2]Sun Country'!$IF$64</f>
        <v>40217</v>
      </c>
      <c r="W48" s="262">
        <f>(U48-V48)/V48</f>
        <v>-1</v>
      </c>
      <c r="X48" s="259">
        <f>SUM('[2]Sun Country'!$IT$64:$IT$64)</f>
        <v>0</v>
      </c>
      <c r="Y48" s="261">
        <f>SUM('[2]Sun Country'!$IF$64:$IF$64)</f>
        <v>40217</v>
      </c>
      <c r="Z48" s="260">
        <f>(X48-Y48)/Y48</f>
        <v>-1</v>
      </c>
      <c r="AA48" s="262">
        <f>X48/$X$62</f>
        <v>0</v>
      </c>
      <c r="AB48" s="258" t="s">
        <v>49</v>
      </c>
      <c r="AC48" s="39"/>
      <c r="AD48" s="259">
        <f>'[2]Sun Country'!$IT$43</f>
        <v>275973</v>
      </c>
      <c r="AE48" s="261">
        <f>'[2]Sun Country'!$IF$43</f>
        <v>257728</v>
      </c>
      <c r="AF48" s="262">
        <f>(AD48-AE48)/AE48</f>
        <v>7.0791687360317851E-2</v>
      </c>
      <c r="AG48" s="259">
        <f>SUM('[2]Sun Country'!$IT$43:$IT$43)</f>
        <v>275973</v>
      </c>
      <c r="AH48" s="261">
        <f>SUM('[2]Sun Country'!$IF$43:$IF$43)</f>
        <v>257728</v>
      </c>
      <c r="AI48" s="260">
        <f>(AG48-AH48)/AH48</f>
        <v>7.0791687360317851E-2</v>
      </c>
      <c r="AJ48" s="262">
        <f>AG48/$X$62</f>
        <v>4.3985512368589393E-2</v>
      </c>
    </row>
    <row r="49" spans="1:36" ht="14.1" customHeight="1" x14ac:dyDescent="0.2">
      <c r="A49" s="258"/>
      <c r="B49" s="39"/>
      <c r="C49" s="259"/>
      <c r="D49" s="261"/>
      <c r="E49" s="262"/>
      <c r="F49" s="261"/>
      <c r="G49" s="261"/>
      <c r="H49" s="260"/>
      <c r="I49" s="262"/>
      <c r="J49" s="258"/>
      <c r="K49" s="39"/>
      <c r="L49" s="263"/>
      <c r="N49" s="65"/>
      <c r="O49" s="263"/>
      <c r="P49" s="2"/>
      <c r="Q49" s="3"/>
      <c r="R49" s="65"/>
      <c r="S49" s="258"/>
      <c r="T49" s="39"/>
      <c r="U49" s="263"/>
      <c r="V49" s="2"/>
      <c r="W49" s="65"/>
      <c r="X49" s="263"/>
      <c r="Y49" s="2"/>
      <c r="Z49" s="3"/>
      <c r="AA49" s="65"/>
      <c r="AB49" s="258"/>
      <c r="AC49" s="39"/>
      <c r="AD49" s="263"/>
      <c r="AE49" s="2"/>
      <c r="AF49" s="65"/>
      <c r="AG49" s="263"/>
      <c r="AH49" s="2"/>
      <c r="AI49" s="3"/>
      <c r="AJ49" s="65"/>
    </row>
    <row r="50" spans="1:36" ht="14.1" customHeight="1" x14ac:dyDescent="0.2">
      <c r="A50" s="258" t="s">
        <v>19</v>
      </c>
      <c r="B50" s="265"/>
      <c r="C50" s="259">
        <f>SUM(C51:C55)</f>
        <v>994</v>
      </c>
      <c r="D50" s="261">
        <f>SUM(D51:D55)</f>
        <v>886</v>
      </c>
      <c r="E50" s="262">
        <f t="shared" ref="E50:E55" si="41">(C50-D50)/D50</f>
        <v>0.12189616252821671</v>
      </c>
      <c r="F50" s="261">
        <f>SUM(F51:F55)</f>
        <v>994</v>
      </c>
      <c r="G50" s="261">
        <f>SUM(G51:G55)</f>
        <v>886</v>
      </c>
      <c r="H50" s="260">
        <f t="shared" ref="H50:H55" si="42">(F50-G50)/G50</f>
        <v>0.12189616252821671</v>
      </c>
      <c r="I50" s="262">
        <f t="shared" ref="I50:I55" si="43">F50/$F$62</f>
        <v>4.3320984964044455E-2</v>
      </c>
      <c r="J50" s="258" t="s">
        <v>19</v>
      </c>
      <c r="K50" s="265"/>
      <c r="L50" s="259">
        <f>SUM(L51:L55)</f>
        <v>108204</v>
      </c>
      <c r="M50" s="261">
        <f>SUM(M51:M55)</f>
        <v>109627</v>
      </c>
      <c r="N50" s="262">
        <f t="shared" ref="N50:N55" si="44">(L50-M50)/M50</f>
        <v>-1.2980378921251151E-2</v>
      </c>
      <c r="O50" s="259">
        <f>SUM(O51:O55)</f>
        <v>108204</v>
      </c>
      <c r="P50" s="261">
        <f>SUM(P51:P55)</f>
        <v>109627</v>
      </c>
      <c r="Q50" s="260">
        <f t="shared" ref="Q50:Q55" si="45">(O50-P50)/P50</f>
        <v>-1.2980378921251151E-2</v>
      </c>
      <c r="R50" s="262">
        <f t="shared" ref="R50:R55" si="46">O50/$O$62</f>
        <v>4.3863688694450842E-2</v>
      </c>
      <c r="S50" s="258" t="s">
        <v>19</v>
      </c>
      <c r="T50" s="265"/>
      <c r="U50" s="259">
        <f>SUM(U51:U55)</f>
        <v>16229</v>
      </c>
      <c r="V50" s="261">
        <f>SUM(V51:V55)</f>
        <v>132692</v>
      </c>
      <c r="W50" s="262">
        <f t="shared" ref="W50:W55" si="47">(U50-V50)/V50</f>
        <v>-0.87769420914599228</v>
      </c>
      <c r="X50" s="259">
        <f>SUM(X51:X55)</f>
        <v>16229</v>
      </c>
      <c r="Y50" s="261">
        <f>SUM(Y51:Y55)</f>
        <v>132692</v>
      </c>
      <c r="Z50" s="260">
        <f t="shared" ref="Z50:Z55" si="48">(X50-Y50)/Y50</f>
        <v>-0.87769420914599228</v>
      </c>
      <c r="AA50" s="262">
        <f t="shared" ref="AA50:AA55" si="49">X50/$X$62</f>
        <v>2.5866330410215391E-3</v>
      </c>
      <c r="AB50" s="258" t="s">
        <v>19</v>
      </c>
      <c r="AC50" s="265"/>
      <c r="AD50" s="259">
        <f>SUM(AD51:AD55)</f>
        <v>112024</v>
      </c>
      <c r="AE50" s="261">
        <f>SUM(AE51:AE55)</f>
        <v>113109</v>
      </c>
      <c r="AF50" s="262">
        <f t="shared" ref="AF50:AF55" si="50">(AD50-AE50)/AE50</f>
        <v>-9.5925169526739698E-3</v>
      </c>
      <c r="AG50" s="259">
        <f>SUM(AG51:AG55)</f>
        <v>112024</v>
      </c>
      <c r="AH50" s="261">
        <f>SUM(AH51:AH55)</f>
        <v>113109</v>
      </c>
      <c r="AI50" s="260">
        <f t="shared" ref="AI50:AI55" si="51">(AG50-AH50)/AH50</f>
        <v>-9.5925169526739698E-3</v>
      </c>
      <c r="AJ50" s="262">
        <f t="shared" ref="AJ50:AJ55" si="52">AG50/$X$62</f>
        <v>1.7854764913882364E-2</v>
      </c>
    </row>
    <row r="51" spans="1:36" ht="14.1" customHeight="1" x14ac:dyDescent="0.2">
      <c r="A51" s="37"/>
      <c r="B51" s="318" t="s">
        <v>19</v>
      </c>
      <c r="C51" s="263">
        <f>[2]United!$IT$19</f>
        <v>722</v>
      </c>
      <c r="D51" s="2">
        <f>[2]United!$IF$19+[2]Continental!$IF$19</f>
        <v>780</v>
      </c>
      <c r="E51" s="65">
        <f t="shared" si="41"/>
        <v>-7.4358974358974358E-2</v>
      </c>
      <c r="F51" s="2">
        <f>SUM([2]United!$IT$19:$IT$19)</f>
        <v>722</v>
      </c>
      <c r="G51" s="2">
        <f>SUM([2]United!$IF$19:$IF$19)+SUM([2]Continental!$IF$19:$IF$19)</f>
        <v>780</v>
      </c>
      <c r="H51" s="3">
        <f t="shared" si="42"/>
        <v>-7.4358974358974358E-2</v>
      </c>
      <c r="I51" s="65">
        <f t="shared" si="43"/>
        <v>3.146655044672042E-2</v>
      </c>
      <c r="J51" s="37"/>
      <c r="K51" s="318" t="s">
        <v>19</v>
      </c>
      <c r="L51" s="263">
        <f>[2]United!$IT$41</f>
        <v>91022</v>
      </c>
      <c r="M51" s="2">
        <f>[2]United!$IF$41+[2]Continental!$IF$41</f>
        <v>103573</v>
      </c>
      <c r="N51" s="65">
        <f t="shared" si="44"/>
        <v>-0.12118023036891853</v>
      </c>
      <c r="O51" s="263">
        <f>SUM([2]United!$IT$41:$IT$41)</f>
        <v>91022</v>
      </c>
      <c r="P51" s="2">
        <f>SUM([2]United!$IF$41:$IF$41)+SUM([2]Continental!$IF$41:$IF$41)</f>
        <v>103573</v>
      </c>
      <c r="Q51" s="3">
        <f t="shared" si="45"/>
        <v>-0.12118023036891853</v>
      </c>
      <c r="R51" s="65">
        <f t="shared" si="46"/>
        <v>3.6898457287589226E-2</v>
      </c>
      <c r="S51" s="37"/>
      <c r="T51" s="318" t="s">
        <v>19</v>
      </c>
      <c r="U51" s="263">
        <f>[2]United!$IT$64</f>
        <v>16229</v>
      </c>
      <c r="V51" s="2">
        <f>[2]United!$IF$64+[2]Continental!$IF$64</f>
        <v>132692</v>
      </c>
      <c r="W51" s="65">
        <f t="shared" si="47"/>
        <v>-0.87769420914599228</v>
      </c>
      <c r="X51" s="263">
        <f>SUM([2]United!$IT$64:$IT$64)</f>
        <v>16229</v>
      </c>
      <c r="Y51" s="2">
        <f>SUM([2]United!$IF$64:$IF$64)+SUM([2]Continental!$IF$64:$IF$64)</f>
        <v>132692</v>
      </c>
      <c r="Z51" s="3">
        <f t="shared" si="48"/>
        <v>-0.87769420914599228</v>
      </c>
      <c r="AA51" s="65">
        <f t="shared" si="49"/>
        <v>2.5866330410215391E-3</v>
      </c>
      <c r="AB51" s="37"/>
      <c r="AC51" s="318" t="s">
        <v>19</v>
      </c>
      <c r="AD51" s="263">
        <f>[2]United!$IT$43</f>
        <v>94238</v>
      </c>
      <c r="AE51" s="2">
        <f>[2]United!$IF$43+[2]Continental!$IF$43</f>
        <v>106792</v>
      </c>
      <c r="AF51" s="65">
        <f t="shared" si="50"/>
        <v>-0.11755562214398083</v>
      </c>
      <c r="AG51" s="263">
        <f>SUM([2]United!$IT$43:$IT$43)</f>
        <v>94238</v>
      </c>
      <c r="AH51" s="2">
        <f>SUM([2]United!$IF$43:$IF$43)+SUM([2]Continental!$IF$43:$IF$43)</f>
        <v>106792</v>
      </c>
      <c r="AI51" s="3">
        <f t="shared" si="51"/>
        <v>-0.11755562214398083</v>
      </c>
      <c r="AJ51" s="65">
        <f t="shared" si="52"/>
        <v>1.5019971934178804E-2</v>
      </c>
    </row>
    <row r="52" spans="1:36" ht="14.1" customHeight="1" x14ac:dyDescent="0.2">
      <c r="A52" s="37"/>
      <c r="B52" s="39" t="s">
        <v>152</v>
      </c>
      <c r="C52" s="263">
        <f>'[2]Go Jet_UA'!$IT$19</f>
        <v>0</v>
      </c>
      <c r="D52" s="2">
        <f>'[2]Go Jet_UA'!$IF$19</f>
        <v>0</v>
      </c>
      <c r="E52" s="65" t="e">
        <f t="shared" si="41"/>
        <v>#DIV/0!</v>
      </c>
      <c r="F52" s="2">
        <f>SUM('[2]Go Jet_UA'!$IT$19:$IT$19)</f>
        <v>0</v>
      </c>
      <c r="G52" s="2">
        <f>SUM('[2]Go Jet_UA'!$IF$19:$IF$19)</f>
        <v>0</v>
      </c>
      <c r="H52" s="3" t="e">
        <f t="shared" si="42"/>
        <v>#DIV/0!</v>
      </c>
      <c r="I52" s="65">
        <f t="shared" si="43"/>
        <v>0</v>
      </c>
      <c r="J52" s="37"/>
      <c r="K52" s="39" t="s">
        <v>152</v>
      </c>
      <c r="L52" s="263">
        <f>'[2]Go Jet_UA'!$IT$41</f>
        <v>0</v>
      </c>
      <c r="M52" s="2">
        <f>'[2]Go Jet_UA'!$IF$41</f>
        <v>0</v>
      </c>
      <c r="N52" s="65" t="e">
        <f t="shared" si="44"/>
        <v>#DIV/0!</v>
      </c>
      <c r="O52" s="263">
        <f>SUM('[2]Go Jet_UA'!$IT$41:$IT$41)</f>
        <v>0</v>
      </c>
      <c r="P52" s="2">
        <f>SUM('[2]Go Jet_UA'!$IF$41:$IF$41)</f>
        <v>0</v>
      </c>
      <c r="Q52" s="3" t="e">
        <f t="shared" si="45"/>
        <v>#DIV/0!</v>
      </c>
      <c r="R52" s="65">
        <f t="shared" si="46"/>
        <v>0</v>
      </c>
      <c r="S52" s="37"/>
      <c r="T52" s="39" t="s">
        <v>152</v>
      </c>
      <c r="U52" s="263">
        <f>'[2]Go Jet_UA'!$IT$64</f>
        <v>0</v>
      </c>
      <c r="V52" s="2">
        <f>'[2]Go Jet_UA'!$IF$64</f>
        <v>0</v>
      </c>
      <c r="W52" s="65" t="e">
        <f t="shared" si="47"/>
        <v>#DIV/0!</v>
      </c>
      <c r="X52" s="263">
        <f>SUM('[2]Go Jet_UA'!$IT$64:$IT$64)</f>
        <v>0</v>
      </c>
      <c r="Y52" s="2">
        <f>SUM('[2]Go Jet_UA'!$IF$64:$IF$64)</f>
        <v>0</v>
      </c>
      <c r="Z52" s="3" t="e">
        <f t="shared" si="48"/>
        <v>#DIV/0!</v>
      </c>
      <c r="AA52" s="65">
        <f t="shared" si="49"/>
        <v>0</v>
      </c>
      <c r="AB52" s="37"/>
      <c r="AC52" s="39" t="s">
        <v>152</v>
      </c>
      <c r="AD52" s="263">
        <f>'[2]Go Jet_UA'!$IT$43</f>
        <v>0</v>
      </c>
      <c r="AE52" s="2">
        <f>'[2]Go Jet_UA'!$IF$43</f>
        <v>0</v>
      </c>
      <c r="AF52" s="65" t="e">
        <f t="shared" si="50"/>
        <v>#DIV/0!</v>
      </c>
      <c r="AG52" s="263">
        <f>SUM('[2]Go Jet_UA'!$IT$43:$IT$43)</f>
        <v>0</v>
      </c>
      <c r="AH52" s="2">
        <f>SUM('[2]Go Jet_UA'!$IF$43:$IF$43)</f>
        <v>0</v>
      </c>
      <c r="AI52" s="3" t="e">
        <f t="shared" si="51"/>
        <v>#DIV/0!</v>
      </c>
      <c r="AJ52" s="65">
        <f t="shared" si="52"/>
        <v>0</v>
      </c>
    </row>
    <row r="53" spans="1:36" ht="14.1" customHeight="1" x14ac:dyDescent="0.2">
      <c r="A53" s="37"/>
      <c r="B53" s="39" t="s">
        <v>51</v>
      </c>
      <c r="C53" s="263">
        <f>[2]MESA_UA!$IT$19</f>
        <v>116</v>
      </c>
      <c r="D53" s="2">
        <f>[2]MESA_UA!$IF$19</f>
        <v>6</v>
      </c>
      <c r="E53" s="65">
        <f t="shared" si="41"/>
        <v>18.333333333333332</v>
      </c>
      <c r="F53" s="2">
        <f>SUM([2]MESA_UA!$IT$19:$IT$19)</f>
        <v>116</v>
      </c>
      <c r="G53" s="2">
        <f>SUM([2]MESA_UA!$IF$19:$IF$19)</f>
        <v>6</v>
      </c>
      <c r="H53" s="3">
        <f>(F53-G53)/G53</f>
        <v>18.333333333333332</v>
      </c>
      <c r="I53" s="65">
        <f t="shared" si="43"/>
        <v>5.0555676617999564E-3</v>
      </c>
      <c r="J53" s="37"/>
      <c r="K53" s="39" t="s">
        <v>51</v>
      </c>
      <c r="L53" s="263">
        <f>[2]MESA_UA!$IT$41</f>
        <v>7271</v>
      </c>
      <c r="M53" s="2">
        <f>[2]MESA_UA!$IF$41</f>
        <v>416</v>
      </c>
      <c r="N53" s="65">
        <f t="shared" si="44"/>
        <v>16.478365384615383</v>
      </c>
      <c r="O53" s="263">
        <f>SUM([2]MESA_UA!$IT$41:$IT$41)</f>
        <v>7271</v>
      </c>
      <c r="P53" s="2">
        <f>SUM([2]MESA_UA!$IF$41:$IF$41)</f>
        <v>416</v>
      </c>
      <c r="Q53" s="3">
        <f t="shared" si="45"/>
        <v>16.478365384615383</v>
      </c>
      <c r="R53" s="65">
        <f t="shared" si="46"/>
        <v>2.9475146990624382E-3</v>
      </c>
      <c r="S53" s="37"/>
      <c r="T53" s="39" t="s">
        <v>51</v>
      </c>
      <c r="U53" s="263">
        <f>[2]MESA_UA!$IT$64</f>
        <v>0</v>
      </c>
      <c r="V53" s="2">
        <f>[2]MESA_UA!$IF$64</f>
        <v>0</v>
      </c>
      <c r="W53" s="65" t="e">
        <f t="shared" si="47"/>
        <v>#DIV/0!</v>
      </c>
      <c r="X53" s="263">
        <f>SUM([2]MESA_UA!$IT$64:$IT$64)</f>
        <v>0</v>
      </c>
      <c r="Y53" s="2">
        <f>SUM([2]MESA_UA!$IF$64:$IF$64)</f>
        <v>0</v>
      </c>
      <c r="Z53" s="3" t="e">
        <f t="shared" si="48"/>
        <v>#DIV/0!</v>
      </c>
      <c r="AA53" s="65">
        <f t="shared" si="49"/>
        <v>0</v>
      </c>
      <c r="AB53" s="37"/>
      <c r="AC53" s="39" t="s">
        <v>51</v>
      </c>
      <c r="AD53" s="263">
        <f>[2]MESA_UA!$IT$43</f>
        <v>7488</v>
      </c>
      <c r="AE53" s="2">
        <f>[2]MESA_UA!$IF$43</f>
        <v>423</v>
      </c>
      <c r="AF53" s="65">
        <f t="shared" si="50"/>
        <v>16.702127659574469</v>
      </c>
      <c r="AG53" s="263">
        <f>SUM([2]MESA_UA!$IT$43:$IT$43)</f>
        <v>7488</v>
      </c>
      <c r="AH53" s="2">
        <f>SUM([2]MESA_UA!$IF$43:$IF$43)</f>
        <v>423</v>
      </c>
      <c r="AI53" s="3">
        <f t="shared" si="51"/>
        <v>16.702127659574469</v>
      </c>
      <c r="AJ53" s="65">
        <f t="shared" si="52"/>
        <v>1.1934628264938865E-3</v>
      </c>
    </row>
    <row r="54" spans="1:36" ht="14.1" customHeight="1" x14ac:dyDescent="0.2">
      <c r="A54" s="37"/>
      <c r="B54" s="318" t="s">
        <v>52</v>
      </c>
      <c r="C54" s="263">
        <f>[2]Republic_UA!$IT$19</f>
        <v>64</v>
      </c>
      <c r="D54" s="2">
        <f>[2]Republic_UA!$IF$19</f>
        <v>84</v>
      </c>
      <c r="E54" s="65">
        <f t="shared" si="41"/>
        <v>-0.23809523809523808</v>
      </c>
      <c r="F54" s="2">
        <f>SUM([2]Republic_UA!$IT$19:$IT$19)</f>
        <v>64</v>
      </c>
      <c r="G54" s="2">
        <f>SUM([2]Republic_UA!$IF$19:$IF$19)</f>
        <v>84</v>
      </c>
      <c r="H54" s="3">
        <f t="shared" ref="H54" si="53">(F54-G54)/G54</f>
        <v>-0.23809523809523808</v>
      </c>
      <c r="I54" s="65">
        <f t="shared" si="43"/>
        <v>2.7892787099585968E-3</v>
      </c>
      <c r="J54" s="37"/>
      <c r="K54" s="318" t="s">
        <v>52</v>
      </c>
      <c r="L54" s="263">
        <f>[2]Republic_UA!$IT$41</f>
        <v>4009</v>
      </c>
      <c r="M54" s="2">
        <f>[2]Republic_UA!$IF$41</f>
        <v>5077</v>
      </c>
      <c r="N54" s="65">
        <f t="shared" si="44"/>
        <v>-0.21036044908410478</v>
      </c>
      <c r="O54" s="263">
        <f>SUM([2]Republic_UA!$IT$41:$IT$41)</f>
        <v>4009</v>
      </c>
      <c r="P54" s="2">
        <f>SUM([2]Republic_UA!$IF$41:$IF$41)</f>
        <v>5077</v>
      </c>
      <c r="Q54" s="3">
        <f t="shared" si="45"/>
        <v>-0.21036044908410478</v>
      </c>
      <c r="R54" s="65">
        <f t="shared" si="46"/>
        <v>1.625166610994542E-3</v>
      </c>
      <c r="S54" s="37"/>
      <c r="T54" s="318" t="s">
        <v>52</v>
      </c>
      <c r="U54" s="263">
        <f>[2]Republic_UA!$IT$64</f>
        <v>0</v>
      </c>
      <c r="V54" s="2">
        <f>[2]Republic_UA!$IF$64</f>
        <v>0</v>
      </c>
      <c r="W54" s="65" t="e">
        <f t="shared" si="47"/>
        <v>#DIV/0!</v>
      </c>
      <c r="X54" s="263">
        <f>SUM([2]Republic_UA!$IT$64:$IT$64)</f>
        <v>0</v>
      </c>
      <c r="Y54" s="2">
        <f>SUM([2]Republic_UA!$IF$64:$IF$64)</f>
        <v>0</v>
      </c>
      <c r="Z54" s="3" t="e">
        <f t="shared" si="48"/>
        <v>#DIV/0!</v>
      </c>
      <c r="AA54" s="65">
        <f t="shared" si="49"/>
        <v>0</v>
      </c>
      <c r="AB54" s="37"/>
      <c r="AC54" s="318" t="s">
        <v>52</v>
      </c>
      <c r="AD54" s="263">
        <f>[2]Republic_UA!$IT$43</f>
        <v>4140</v>
      </c>
      <c r="AE54" s="2">
        <f>[2]Republic_UA!$IF$43</f>
        <v>5320</v>
      </c>
      <c r="AF54" s="65">
        <f t="shared" si="50"/>
        <v>-0.22180451127819548</v>
      </c>
      <c r="AG54" s="263">
        <f>SUM([2]Republic_UA!$IT$43:$IT$43)</f>
        <v>4140</v>
      </c>
      <c r="AH54" s="2">
        <f>SUM([2]Republic_UA!$IF$43:$IF$43)</f>
        <v>5320</v>
      </c>
      <c r="AI54" s="3">
        <f t="shared" si="51"/>
        <v>-0.22180451127819548</v>
      </c>
      <c r="AJ54" s="65">
        <f t="shared" si="52"/>
        <v>6.5984723580190846E-4</v>
      </c>
    </row>
    <row r="55" spans="1:36" ht="14.1" customHeight="1" x14ac:dyDescent="0.2">
      <c r="A55" s="37"/>
      <c r="B55" s="39" t="s">
        <v>97</v>
      </c>
      <c r="C55" s="263">
        <f>'[2]Sky West_UA'!$IT$19</f>
        <v>92</v>
      </c>
      <c r="D55" s="2">
        <f>'[2]Sky West_UA'!$IF$19+'[2]Sky West_CO'!$IF$19</f>
        <v>16</v>
      </c>
      <c r="E55" s="65">
        <f t="shared" si="41"/>
        <v>4.75</v>
      </c>
      <c r="F55" s="2">
        <f>SUM('[2]Sky West_UA'!$IT$19:$IT$19)</f>
        <v>92</v>
      </c>
      <c r="G55" s="2">
        <f>SUM('[2]Sky West_UA'!$IF$19:$IF$19)+SUM('[2]Sky West_CO'!$IF$19:$IF$19)</f>
        <v>16</v>
      </c>
      <c r="H55" s="3">
        <f t="shared" si="42"/>
        <v>4.75</v>
      </c>
      <c r="I55" s="65">
        <f t="shared" si="43"/>
        <v>4.009588145565483E-3</v>
      </c>
      <c r="J55" s="37"/>
      <c r="K55" s="39" t="s">
        <v>97</v>
      </c>
      <c r="L55" s="263">
        <f>'[2]Sky West_UA'!$IT$41</f>
        <v>5902</v>
      </c>
      <c r="M55" s="2">
        <f>'[2]Sky West_UA'!$IF$41+'[2]Sky West_CO'!$IF$41</f>
        <v>561</v>
      </c>
      <c r="N55" s="65">
        <f t="shared" si="44"/>
        <v>9.520499108734402</v>
      </c>
      <c r="O55" s="263">
        <f>SUM('[2]Sky West_UA'!$IT$41:$IT$41)</f>
        <v>5902</v>
      </c>
      <c r="P55" s="2">
        <f>SUM('[2]Sky West_UA'!$IF$41:$IF$41)+SUM('[2]Sky West_CO'!$IF$41:$IF$41)</f>
        <v>561</v>
      </c>
      <c r="Q55" s="3">
        <f t="shared" si="45"/>
        <v>9.520499108734402</v>
      </c>
      <c r="R55" s="65">
        <f t="shared" si="46"/>
        <v>2.3925500968046362E-3</v>
      </c>
      <c r="S55" s="37"/>
      <c r="T55" s="39" t="s">
        <v>97</v>
      </c>
      <c r="U55" s="263">
        <f>'[2]Sky West_UA'!$IT$64</f>
        <v>0</v>
      </c>
      <c r="V55" s="2">
        <f>'[2]Sky West_UA'!$IF$64+'[2]Sky West_CO'!$IF$64</f>
        <v>0</v>
      </c>
      <c r="W55" s="65" t="e">
        <f t="shared" si="47"/>
        <v>#DIV/0!</v>
      </c>
      <c r="X55" s="263">
        <f>SUM('[2]Sky West_UA'!$IT$64:$IT$64)</f>
        <v>0</v>
      </c>
      <c r="Y55" s="2">
        <f>SUM('[2]Sky West_UA'!$IF$64:$IF$64)+SUM('[2]Sky West_CO'!$IF$64:$IF$64)</f>
        <v>0</v>
      </c>
      <c r="Z55" s="3" t="e">
        <f t="shared" si="48"/>
        <v>#DIV/0!</v>
      </c>
      <c r="AA55" s="65">
        <f t="shared" si="49"/>
        <v>0</v>
      </c>
      <c r="AB55" s="37"/>
      <c r="AC55" s="39" t="s">
        <v>97</v>
      </c>
      <c r="AD55" s="263">
        <f>'[2]Sky West_UA'!$IT$43</f>
        <v>6158</v>
      </c>
      <c r="AE55" s="2">
        <f>'[2]Sky West_UA'!$IF$43+'[2]Sky West_CO'!$IF$43</f>
        <v>574</v>
      </c>
      <c r="AF55" s="65">
        <f t="shared" si="50"/>
        <v>9.7282229965156795</v>
      </c>
      <c r="AG55" s="263">
        <f>SUM('[2]Sky West_UA'!$IT$43:$IT$43)</f>
        <v>6158</v>
      </c>
      <c r="AH55" s="2">
        <f>SUM('[2]Sky West_UA'!$IF$43:$IF$43)+SUM('[2]Sky West_CO'!$IF$43:$IF$43)</f>
        <v>574</v>
      </c>
      <c r="AI55" s="3">
        <f t="shared" si="51"/>
        <v>9.7282229965156795</v>
      </c>
      <c r="AJ55" s="65">
        <f t="shared" si="52"/>
        <v>9.8148291740776617E-4</v>
      </c>
    </row>
    <row r="56" spans="1:36" ht="14.1" customHeight="1" x14ac:dyDescent="0.2">
      <c r="A56" s="37"/>
      <c r="B56" s="266"/>
      <c r="C56" s="263"/>
      <c r="E56" s="65"/>
      <c r="F56" s="2"/>
      <c r="I56" s="65"/>
      <c r="J56" s="37"/>
      <c r="K56" s="266"/>
      <c r="L56" s="263"/>
      <c r="N56" s="65"/>
      <c r="O56" s="263"/>
      <c r="P56" s="2"/>
      <c r="Q56" s="3"/>
      <c r="R56" s="65"/>
      <c r="S56" s="37"/>
      <c r="T56" s="266"/>
      <c r="U56" s="263"/>
      <c r="V56" s="2"/>
      <c r="W56" s="65"/>
      <c r="X56" s="263"/>
      <c r="Y56" s="2"/>
      <c r="Z56" s="3"/>
      <c r="AA56" s="65"/>
      <c r="AB56" s="37"/>
      <c r="AC56" s="266"/>
      <c r="AD56" s="263"/>
      <c r="AE56" s="2"/>
      <c r="AF56" s="65"/>
      <c r="AG56" s="263"/>
      <c r="AH56" s="2"/>
      <c r="AI56" s="3"/>
      <c r="AJ56" s="65"/>
    </row>
    <row r="57" spans="1:36" ht="14.1" customHeight="1" x14ac:dyDescent="0.2">
      <c r="A57" s="258" t="s">
        <v>232</v>
      </c>
      <c r="B57" s="266"/>
      <c r="C57" s="259">
        <f>[2]WestJet!$IT$19</f>
        <v>72</v>
      </c>
      <c r="D57" s="261">
        <f>[2]WestJet!$IF$19</f>
        <v>0</v>
      </c>
      <c r="E57" s="262" t="e">
        <f>(C57-D57)/D57</f>
        <v>#DIV/0!</v>
      </c>
      <c r="F57" s="261">
        <f>SUM([2]WestJet!$IT$19:$IT$19)</f>
        <v>72</v>
      </c>
      <c r="G57" s="261">
        <f>SUM([2]WestJet!$IF$19:$IF$19)</f>
        <v>0</v>
      </c>
      <c r="H57" s="260" t="e">
        <f>(F57-G57)/G57</f>
        <v>#DIV/0!</v>
      </c>
      <c r="I57" s="262">
        <f>F57/$F$62</f>
        <v>3.1379385487034211E-3</v>
      </c>
      <c r="J57" s="258" t="s">
        <v>232</v>
      </c>
      <c r="K57" s="39"/>
      <c r="L57" s="259">
        <f>[2]WestJet!$IT$41</f>
        <v>7418</v>
      </c>
      <c r="M57" s="261">
        <f>[2]WestJet!$IF$41</f>
        <v>0</v>
      </c>
      <c r="N57" s="262" t="e">
        <f>(L57-M57)/M57</f>
        <v>#DIV/0!</v>
      </c>
      <c r="O57" s="259">
        <f>SUM([2]WestJet!$IT$41:$IT$41)</f>
        <v>7418</v>
      </c>
      <c r="P57" s="261">
        <f>SUM([2]WestJet!$IF$41:$IF$41)</f>
        <v>0</v>
      </c>
      <c r="Q57" s="260" t="e">
        <f>(O57-P57)/P57</f>
        <v>#DIV/0!</v>
      </c>
      <c r="R57" s="262">
        <f>O57/$O$62</f>
        <v>3.0071054927307338E-3</v>
      </c>
      <c r="S57" s="258" t="s">
        <v>232</v>
      </c>
      <c r="T57" s="39"/>
      <c r="U57" s="259">
        <f>[2]WestJet!$IT$64</f>
        <v>0</v>
      </c>
      <c r="V57" s="261">
        <f>[2]WestJet!$IF$64</f>
        <v>0</v>
      </c>
      <c r="W57" s="262" t="e">
        <f>(U57-V57)/V57</f>
        <v>#DIV/0!</v>
      </c>
      <c r="X57" s="259">
        <f>SUM([2]WestJet!$IT$64:$IT$64)</f>
        <v>0</v>
      </c>
      <c r="Y57" s="261">
        <f>SUM([2]WestJet!$IF$64:$IF$64)</f>
        <v>0</v>
      </c>
      <c r="Z57" s="260" t="e">
        <f>(X57-Y57)/Y57</f>
        <v>#DIV/0!</v>
      </c>
      <c r="AA57" s="262">
        <f>X57/$X$62</f>
        <v>0</v>
      </c>
      <c r="AB57" s="258" t="s">
        <v>232</v>
      </c>
      <c r="AC57" s="39"/>
      <c r="AD57" s="259">
        <f>[2]WestJet!$IT$43</f>
        <v>7419</v>
      </c>
      <c r="AE57" s="261">
        <f>[2]WestJet!$IF$43</f>
        <v>0</v>
      </c>
      <c r="AF57" s="262" t="e">
        <f>(AD57-AE57)/AE57</f>
        <v>#DIV/0!</v>
      </c>
      <c r="AG57" s="259">
        <f>SUM([2]WestJet!$IT$43:$IT$43)</f>
        <v>7419</v>
      </c>
      <c r="AH57" s="261">
        <f>SUM([2]WestJet!$IF$43:$IF$43)</f>
        <v>0</v>
      </c>
      <c r="AI57" s="260" t="e">
        <f>(AG57-AH57)/AH57</f>
        <v>#DIV/0!</v>
      </c>
      <c r="AJ57" s="262">
        <f>AG57/$X$62</f>
        <v>1.1824653725638547E-3</v>
      </c>
    </row>
    <row r="58" spans="1:36" ht="14.1" customHeight="1" thickBot="1" x14ac:dyDescent="0.25">
      <c r="A58" s="320"/>
      <c r="B58" s="321"/>
      <c r="C58" s="267"/>
      <c r="D58" s="269"/>
      <c r="E58" s="270"/>
      <c r="F58" s="269"/>
      <c r="G58" s="269"/>
      <c r="H58" s="268"/>
      <c r="I58" s="270"/>
      <c r="J58" s="320"/>
      <c r="K58" s="321"/>
      <c r="L58" s="267"/>
      <c r="M58" s="269"/>
      <c r="N58" s="270"/>
      <c r="O58" s="267"/>
      <c r="P58" s="269"/>
      <c r="Q58" s="268"/>
      <c r="R58" s="342"/>
      <c r="S58" s="320"/>
      <c r="T58" s="321"/>
      <c r="U58" s="267"/>
      <c r="V58" s="269"/>
      <c r="W58" s="270"/>
      <c r="X58" s="267"/>
      <c r="Y58" s="269"/>
      <c r="Z58" s="268"/>
      <c r="AA58" s="342"/>
      <c r="AB58" s="320"/>
      <c r="AC58" s="321"/>
      <c r="AD58" s="267"/>
      <c r="AE58" s="269"/>
      <c r="AF58" s="270"/>
      <c r="AG58" s="267"/>
      <c r="AH58" s="269"/>
      <c r="AI58" s="268"/>
      <c r="AJ58" s="342"/>
    </row>
    <row r="59" spans="1:36" s="170" customFormat="1" ht="14.1" customHeight="1" thickBot="1" x14ac:dyDescent="0.25">
      <c r="B59" s="169"/>
      <c r="C59" s="261"/>
      <c r="D59" s="261"/>
      <c r="E59" s="260"/>
      <c r="F59" s="319"/>
      <c r="G59" s="261"/>
      <c r="H59" s="260"/>
      <c r="I59" s="260"/>
      <c r="J59" s="271"/>
      <c r="K59" s="169"/>
      <c r="L59" s="272"/>
      <c r="M59" s="273"/>
      <c r="N59" s="271"/>
      <c r="S59" s="271"/>
      <c r="T59" s="169"/>
      <c r="U59" s="272"/>
      <c r="V59" s="273"/>
      <c r="W59" s="271"/>
      <c r="AB59" s="271"/>
      <c r="AC59" s="169"/>
      <c r="AD59" s="272"/>
      <c r="AE59" s="273"/>
      <c r="AF59" s="271"/>
    </row>
    <row r="60" spans="1:36" ht="14.1" customHeight="1" x14ac:dyDescent="0.2">
      <c r="B60" s="274" t="s">
        <v>131</v>
      </c>
      <c r="C60" s="327">
        <f>+C62-C61</f>
        <v>16324</v>
      </c>
      <c r="D60" s="438">
        <f>+D62-D61</f>
        <v>15601</v>
      </c>
      <c r="E60" s="328">
        <f>(C60-D60)/D60</f>
        <v>4.6343183129286585E-2</v>
      </c>
      <c r="F60" s="327">
        <f>+F62-F61</f>
        <v>16324</v>
      </c>
      <c r="G60" s="438">
        <f>+G62-G61</f>
        <v>15601</v>
      </c>
      <c r="H60" s="328">
        <f>(F60-G60)/G60</f>
        <v>4.6343183129286585E-2</v>
      </c>
      <c r="I60" s="353">
        <f>F60/$F$62</f>
        <v>0.71144040095881456</v>
      </c>
      <c r="K60" s="274" t="s">
        <v>131</v>
      </c>
      <c r="L60" s="327">
        <f>+L62-L61</f>
        <v>2118751</v>
      </c>
      <c r="M60" s="438">
        <f>+M62-M61</f>
        <v>2010290</v>
      </c>
      <c r="N60" s="328">
        <f>(L60-M60)/M60</f>
        <v>5.3952912266389423E-2</v>
      </c>
      <c r="O60" s="327">
        <f>+O62-O61</f>
        <v>2118751</v>
      </c>
      <c r="P60" s="438">
        <f>+P62-P61</f>
        <v>2010290</v>
      </c>
      <c r="Q60" s="351">
        <f>(O60-P60)/P60</f>
        <v>5.3952912266389423E-2</v>
      </c>
      <c r="R60" s="398">
        <f>+O60/O62</f>
        <v>0.85889832432309721</v>
      </c>
      <c r="S60" s="3"/>
      <c r="T60" s="274" t="s">
        <v>131</v>
      </c>
      <c r="U60" s="327">
        <f>+U62-U61</f>
        <v>6260617</v>
      </c>
      <c r="V60" s="438">
        <f>+V62-V61</f>
        <v>7012758</v>
      </c>
      <c r="W60" s="328">
        <f>(U60-V60)/V60</f>
        <v>-0.10725323759924411</v>
      </c>
      <c r="X60" s="327">
        <f>+X62-X61</f>
        <v>6260617</v>
      </c>
      <c r="Y60" s="438">
        <f>+Y62-Y61</f>
        <v>7012758</v>
      </c>
      <c r="Z60" s="351">
        <f>(X60-Y60)/Y60</f>
        <v>-0.10725323759924411</v>
      </c>
      <c r="AA60" s="398">
        <f>+X60/X62</f>
        <v>0.99783836276918758</v>
      </c>
      <c r="AB60" s="3"/>
      <c r="AC60" s="274" t="s">
        <v>131</v>
      </c>
      <c r="AD60" s="327">
        <f>+AD62-AD61</f>
        <v>2183668</v>
      </c>
      <c r="AE60" s="438">
        <f>+AE62-AE61</f>
        <v>2073471</v>
      </c>
      <c r="AF60" s="328">
        <f>(AD60-AE60)/AE60</f>
        <v>5.314614962061201E-2</v>
      </c>
      <c r="AG60" s="327">
        <f>+AG62-AG61</f>
        <v>2183668</v>
      </c>
      <c r="AH60" s="438">
        <f>+AH62-AH61</f>
        <v>2073471</v>
      </c>
      <c r="AI60" s="351">
        <f>(AG60-AH60)/AH60</f>
        <v>5.314614962061201E-2</v>
      </c>
      <c r="AJ60" s="398">
        <f>+AG60/AG62</f>
        <v>0.85845184705282951</v>
      </c>
    </row>
    <row r="61" spans="1:36" ht="14.1" customHeight="1" x14ac:dyDescent="0.2">
      <c r="B61" s="169" t="s">
        <v>132</v>
      </c>
      <c r="C61" s="329">
        <f>+C34+C33+C32+C20+C55+C52+C53+C24+C21+C15+C6+C54+C22+C23+C16+C7</f>
        <v>6621</v>
      </c>
      <c r="D61" s="439">
        <f>+D34+D33+D32+D20+D55+D52+D53+D24+D21+D15+D6+D54+D22+D23+D16+D7</f>
        <v>6326</v>
      </c>
      <c r="E61" s="275">
        <f>(C61-D61)/D61</f>
        <v>4.663294340815681E-2</v>
      </c>
      <c r="F61" s="329">
        <f>+F34+F33+F32+F20+F55+F52+F53+F24+F21+F15+F6+F54+F22+F23+F16+F7</f>
        <v>6621</v>
      </c>
      <c r="G61" s="439">
        <f>+G34+G33+G32+G20+G55+G52+G53+G24+G21+G15+G6+G54+G22+G23+G16+G7</f>
        <v>6326</v>
      </c>
      <c r="H61" s="275">
        <f>(F61-G61)/G61</f>
        <v>4.663294340815681E-2</v>
      </c>
      <c r="I61" s="354">
        <f>F61/$F$62</f>
        <v>0.28855959904118544</v>
      </c>
      <c r="K61" s="169" t="s">
        <v>132</v>
      </c>
      <c r="L61" s="329">
        <f>+L34+L33+L32+L20+L55+L52+L53+L24+L21+L15+L6+L54+L22+L23+L16+L7</f>
        <v>348073</v>
      </c>
      <c r="M61" s="439">
        <f>+M34+M33+M32+M20+M55+M52+M53+M24+M21+M15+M6+M54+M22+M23+M16+M7</f>
        <v>308603</v>
      </c>
      <c r="N61" s="275">
        <f>(L61-M61)/M61</f>
        <v>0.12789895107954233</v>
      </c>
      <c r="O61" s="329">
        <f>+O34+O33+O32+O20+O55+O52+O53+O24+O21+O15+O6+O54+O22+O23+O16+O7</f>
        <v>348073</v>
      </c>
      <c r="P61" s="439">
        <f>+P34+P33+P32+P20+P55+P52+P53+P24+P21+P15+P6+P54+P22+P23+P16+P7</f>
        <v>308603</v>
      </c>
      <c r="Q61" s="350">
        <f>(O61-P61)/P61</f>
        <v>0.12789895107954233</v>
      </c>
      <c r="R61" s="399">
        <f>+O61/O62</f>
        <v>0.14110167567690277</v>
      </c>
      <c r="S61" s="3"/>
      <c r="T61" s="169" t="s">
        <v>132</v>
      </c>
      <c r="U61" s="329">
        <f>+U34+U33+U32+U20+U55+U52+U53+U24+U21+U15+U6+U54+U22+U23+U16+U7</f>
        <v>13562.5</v>
      </c>
      <c r="V61" s="439">
        <f>+V34+V33+V32+V20+V55+V52+V53+V24+V21+V15+V6+V54+V22+V23+V16+V7</f>
        <v>6388</v>
      </c>
      <c r="W61" s="275">
        <f>(U61-V61)/V61</f>
        <v>1.1231214777708203</v>
      </c>
      <c r="X61" s="329">
        <f>+X34+X33+X32+X20+X55+X52+X53+X24+X21+X15+X6+X54+X22+X23+X16+X7</f>
        <v>13562.5</v>
      </c>
      <c r="Y61" s="439">
        <f>+Y34+Y33+Y32+Y20+Y55+Y52+Y53+Y24+Y21+Y15+Y6+Y54+Y22+Y23+Y16+Y7</f>
        <v>6388</v>
      </c>
      <c r="Z61" s="350">
        <f>(X61-Y61)/Y61</f>
        <v>1.1231214777708203</v>
      </c>
      <c r="AA61" s="399">
        <f>+X61/X62</f>
        <v>2.1616372308124114E-3</v>
      </c>
      <c r="AB61" s="3"/>
      <c r="AC61" s="169" t="s">
        <v>132</v>
      </c>
      <c r="AD61" s="329">
        <f>+AD34+AD33+AD32+AD20+AD55+AD52+AD53+AD24+AD21+AD15+AD6+AD54+AD22+AD23+AD16+AD7</f>
        <v>360060</v>
      </c>
      <c r="AE61" s="439">
        <f>+AE34+AE33+AE32+AE20+AE55+AE52+AE53+AE24+AE21+AE15+AE6+AE54+AE22+AE23+AE16+AE7</f>
        <v>319394</v>
      </c>
      <c r="AF61" s="275">
        <f>(AD61-AE61)/AE61</f>
        <v>0.12732236673199873</v>
      </c>
      <c r="AG61" s="329">
        <f>+AG34+AG33+AG32+AG20+AG55+AG52+AG53+AG24+AG21+AG15+AG6+AG54+AG22+AG23+AG16+AG7</f>
        <v>360060</v>
      </c>
      <c r="AH61" s="439">
        <f>+AH34+AH33+AH32+AH20+AH55+AH52+AH53+AH24+AH21+AH15+AH6+AH54+AH22+AH23+AH16+AH7</f>
        <v>319394</v>
      </c>
      <c r="AI61" s="350">
        <f>(AG61-AH61)/AH61</f>
        <v>0.12732236673199873</v>
      </c>
      <c r="AJ61" s="399">
        <f>+AG61/AG62</f>
        <v>0.14154815294717046</v>
      </c>
    </row>
    <row r="62" spans="1:36" ht="14.1" customHeight="1" thickBot="1" x14ac:dyDescent="0.25">
      <c r="B62" s="169" t="s">
        <v>133</v>
      </c>
      <c r="C62" s="330">
        <f>C50+C48+C44+C38+C36+C30+C18+C13+C4+C46+C26+C42+C9+C40+C28+C11+C57</f>
        <v>22945</v>
      </c>
      <c r="D62" s="440">
        <f>D50+D48+D44+D38+D36+D30+D18+D13+D4+D46+D26+D42+D9+D40+D28+D11+D57</f>
        <v>21927</v>
      </c>
      <c r="E62" s="331">
        <f>(C62-D62)/D62</f>
        <v>4.6426779769234275E-2</v>
      </c>
      <c r="F62" s="330">
        <f>F50+F48+F44+F38+F36+F30+F18+F13+F4+F46+F26+F42+F9+F40+F28+F11+F57</f>
        <v>22945</v>
      </c>
      <c r="G62" s="440">
        <f>G50+G48+G44+G38+G36+G30+G18+G13+G4+G46+G26+G42+G9+G40+G28+G11+G57</f>
        <v>21927</v>
      </c>
      <c r="H62" s="331">
        <f>(F62-G62)/G62</f>
        <v>4.6426779769234275E-2</v>
      </c>
      <c r="I62" s="355">
        <f>+H62/H62</f>
        <v>1</v>
      </c>
      <c r="K62" s="169" t="s">
        <v>133</v>
      </c>
      <c r="L62" s="330">
        <f>L50+L48+L44+L38+L36+L30+L18+L13+L4+L46+L26+L42+L9+L40+L28+L11+L57</f>
        <v>2466824</v>
      </c>
      <c r="M62" s="440">
        <f>M50+M48+M44+M38+M36+M30+M18+M13+M4+M46+M26+M42+M9+M40+M28+M11+M57</f>
        <v>2318893</v>
      </c>
      <c r="N62" s="331">
        <f>(L62-M62)/M62</f>
        <v>6.3793801611372325E-2</v>
      </c>
      <c r="O62" s="330">
        <f>O50+O48+O44+O38+O36+O30+O18+O13+O4+O46+O26+O42+O9+O40+O28+O11+O57</f>
        <v>2466824</v>
      </c>
      <c r="P62" s="440">
        <f>P50+P48+P44+P38+P36+P30+P18+P13+P4+P46+P26+P42+P9+P40+P28+P11+P57</f>
        <v>2318893</v>
      </c>
      <c r="Q62" s="397">
        <f>(O62-P62)/P62</f>
        <v>6.3793801611372325E-2</v>
      </c>
      <c r="R62" s="355">
        <f>+Q62/Q62</f>
        <v>1</v>
      </c>
      <c r="S62" s="3"/>
      <c r="T62" s="169" t="s">
        <v>133</v>
      </c>
      <c r="U62" s="330">
        <f>U50+U48+U44+U38+U36+U30+U18+U13+U4+U46+U26+U42+U9+U40+U28+U11+U57</f>
        <v>6274179.5</v>
      </c>
      <c r="V62" s="440">
        <f>V50+V48+V44+V38+V36+V30+V18+V13+V4+V46+V26+V42+V9+V40+V28+V11+V57</f>
        <v>7019146</v>
      </c>
      <c r="W62" s="331">
        <f>(U62-V62)/V62</f>
        <v>-0.10613349544232303</v>
      </c>
      <c r="X62" s="330">
        <f>X50+X48+X44+X38+X36+X30+X18+X13+X4+X46+X26+X42+X9+X40+X28+X11+X57</f>
        <v>6274179.5</v>
      </c>
      <c r="Y62" s="440">
        <f>Y50+Y48+Y44+Y38+Y36+Y30+Y18+Y13+Y4+Y46+Y26+Y42+Y9+Y40+Y28+Y11+Y57</f>
        <v>7019146</v>
      </c>
      <c r="Z62" s="397">
        <f>(X62-Y62)/Y62</f>
        <v>-0.10613349544232303</v>
      </c>
      <c r="AA62" s="355">
        <f>+Z62/Z62</f>
        <v>1</v>
      </c>
      <c r="AB62" s="3"/>
      <c r="AC62" s="169" t="s">
        <v>133</v>
      </c>
      <c r="AD62" s="330">
        <f>AD50+AD48+AD44+AD38+AD36+AD30+AD18+AD13+AD4+AD46+AD26+AD42+AD9+AD40+AD28+AD11+AD57</f>
        <v>2543728</v>
      </c>
      <c r="AE62" s="440">
        <f>AE50+AE48+AE44+AE38+AE36+AE30+AE18+AE13+AE4+AE46+AE26+AE42+AE9+AE40+AE28+AE11+AE57</f>
        <v>2392865</v>
      </c>
      <c r="AF62" s="331">
        <f>(AD62-AE62)/AE62</f>
        <v>6.3047016860541649E-2</v>
      </c>
      <c r="AG62" s="330">
        <f>AG50+AG48+AG44+AG38+AG36+AG30+AG18+AG13+AG4+AG46+AG26+AG42+AG9+AG40+AG28+AG11+AG57</f>
        <v>2543728</v>
      </c>
      <c r="AH62" s="440">
        <f>AH50+AH48+AH44+AH38+AH36+AH30+AH18+AH13+AH4+AH46+AH26+AH42+AH9+AH40+AH28+AH11+AH57</f>
        <v>2392865</v>
      </c>
      <c r="AI62" s="397">
        <f>(AG62-AH62)/AH62</f>
        <v>6.3047016860541649E-2</v>
      </c>
      <c r="AJ62" s="355">
        <f>+AI62/AI62</f>
        <v>1</v>
      </c>
    </row>
    <row r="63" spans="1:36" x14ac:dyDescent="0.2">
      <c r="D63" s="3"/>
      <c r="F63" s="2"/>
      <c r="G63"/>
      <c r="H63"/>
      <c r="I63"/>
      <c r="J63"/>
      <c r="K63"/>
      <c r="M63"/>
      <c r="N63"/>
    </row>
    <row r="64" spans="1:36" x14ac:dyDescent="0.2">
      <c r="B64" s="169"/>
      <c r="E64"/>
      <c r="F64" s="2"/>
      <c r="H64"/>
      <c r="I64"/>
      <c r="J64"/>
      <c r="K64"/>
      <c r="N64"/>
      <c r="O64" s="2"/>
      <c r="P64" s="2"/>
      <c r="U64" s="95"/>
      <c r="V64" s="95"/>
      <c r="W64" s="95"/>
    </row>
    <row r="65" spans="3:23" x14ac:dyDescent="0.2">
      <c r="E65"/>
      <c r="F65" s="2"/>
      <c r="H65"/>
      <c r="I65"/>
      <c r="J65"/>
      <c r="K65"/>
      <c r="N65"/>
      <c r="O65" s="2"/>
      <c r="P65" s="2"/>
      <c r="U65" s="95"/>
      <c r="V65" s="95"/>
      <c r="W65" s="95"/>
    </row>
    <row r="66" spans="3:23" x14ac:dyDescent="0.2">
      <c r="E66"/>
      <c r="F66" s="2"/>
      <c r="H66"/>
      <c r="I66"/>
      <c r="J66"/>
      <c r="K66"/>
      <c r="N66"/>
      <c r="O66" s="2"/>
      <c r="P66" s="2"/>
      <c r="U66" s="95"/>
    </row>
    <row r="67" spans="3:23" x14ac:dyDescent="0.2">
      <c r="E67"/>
      <c r="F67" s="2"/>
      <c r="H67"/>
      <c r="I67"/>
      <c r="J67"/>
      <c r="K67"/>
      <c r="N67"/>
      <c r="O67" s="2"/>
      <c r="P67" s="2"/>
    </row>
    <row r="68" spans="3:23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23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23" x14ac:dyDescent="0.2">
      <c r="D70" s="3"/>
      <c r="F70"/>
      <c r="G70"/>
      <c r="H70"/>
      <c r="I70"/>
      <c r="J70"/>
      <c r="K70"/>
      <c r="L70"/>
      <c r="M70"/>
      <c r="N70"/>
    </row>
    <row r="71" spans="3:23" x14ac:dyDescent="0.2">
      <c r="D71" s="3"/>
      <c r="F71"/>
      <c r="G71"/>
      <c r="H71"/>
      <c r="I71"/>
      <c r="J71"/>
      <c r="K71"/>
      <c r="L71"/>
      <c r="M71"/>
      <c r="N71"/>
    </row>
    <row r="72" spans="3:23" x14ac:dyDescent="0.2">
      <c r="D72" s="3"/>
      <c r="F72"/>
      <c r="G72"/>
      <c r="H72"/>
      <c r="I72"/>
      <c r="J72"/>
      <c r="K72"/>
      <c r="L72"/>
      <c r="M72"/>
      <c r="N72"/>
    </row>
    <row r="73" spans="3:23" x14ac:dyDescent="0.2">
      <c r="D73" s="3"/>
      <c r="F73"/>
      <c r="G73"/>
      <c r="H73"/>
      <c r="I73"/>
      <c r="J73"/>
      <c r="K73"/>
      <c r="L73"/>
      <c r="M73"/>
      <c r="N73"/>
    </row>
    <row r="74" spans="3:23" x14ac:dyDescent="0.2">
      <c r="D74" s="3"/>
      <c r="F74"/>
      <c r="G74"/>
      <c r="H74"/>
      <c r="I74"/>
      <c r="J74"/>
      <c r="K74"/>
      <c r="L74"/>
      <c r="M74"/>
      <c r="N74"/>
    </row>
    <row r="75" spans="3:23" x14ac:dyDescent="0.2">
      <c r="D75" s="3"/>
      <c r="F75"/>
      <c r="G75"/>
      <c r="H75"/>
      <c r="I75"/>
      <c r="J75"/>
      <c r="K75"/>
      <c r="L75"/>
      <c r="M75"/>
      <c r="N75"/>
    </row>
    <row r="76" spans="3:23" x14ac:dyDescent="0.2">
      <c r="D76" s="3"/>
      <c r="F76"/>
      <c r="G76"/>
      <c r="H76"/>
      <c r="I76"/>
      <c r="J76"/>
      <c r="K76"/>
      <c r="L76"/>
      <c r="M76"/>
      <c r="N76"/>
    </row>
    <row r="77" spans="3:23" x14ac:dyDescent="0.2">
      <c r="D77" s="3"/>
      <c r="F77"/>
      <c r="G77"/>
      <c r="H77"/>
      <c r="I77"/>
      <c r="J77"/>
      <c r="K77"/>
      <c r="L77"/>
      <c r="M77"/>
      <c r="N77"/>
    </row>
    <row r="78" spans="3:23" x14ac:dyDescent="0.2">
      <c r="D78" s="3"/>
      <c r="F78"/>
      <c r="G78"/>
      <c r="H78"/>
      <c r="I78"/>
      <c r="J78"/>
      <c r="K78"/>
      <c r="L78"/>
      <c r="M78"/>
      <c r="N78"/>
    </row>
    <row r="79" spans="3:23" x14ac:dyDescent="0.2">
      <c r="D79" s="3"/>
      <c r="F79"/>
      <c r="G79"/>
      <c r="H79"/>
      <c r="I79"/>
      <c r="J79"/>
      <c r="K79"/>
      <c r="L79"/>
      <c r="M79"/>
      <c r="N79"/>
    </row>
    <row r="80" spans="3:23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71"/>
      <c r="K134"/>
    </row>
    <row r="135" spans="4:14" x14ac:dyDescent="0.2">
      <c r="F135" s="171"/>
      <c r="K135"/>
    </row>
    <row r="136" spans="4:14" x14ac:dyDescent="0.2">
      <c r="F136" s="171"/>
      <c r="K136"/>
    </row>
    <row r="137" spans="4:14" x14ac:dyDescent="0.2">
      <c r="F137" s="171"/>
      <c r="K137"/>
    </row>
    <row r="138" spans="4:14" x14ac:dyDescent="0.2">
      <c r="F138" s="171"/>
      <c r="K138"/>
    </row>
    <row r="139" spans="4:14" x14ac:dyDescent="0.2">
      <c r="F139" s="171"/>
      <c r="K139"/>
    </row>
    <row r="140" spans="4:14" x14ac:dyDescent="0.2">
      <c r="F140" s="171"/>
      <c r="K140"/>
    </row>
    <row r="141" spans="4:14" x14ac:dyDescent="0.2">
      <c r="F141" s="171"/>
      <c r="K141"/>
    </row>
    <row r="142" spans="4:14" x14ac:dyDescent="0.2">
      <c r="F142" s="171"/>
      <c r="K142"/>
    </row>
    <row r="143" spans="4:14" x14ac:dyDescent="0.2">
      <c r="F143" s="171"/>
      <c r="K143"/>
    </row>
    <row r="144" spans="4:14" x14ac:dyDescent="0.2">
      <c r="F144" s="171"/>
      <c r="K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</sheetData>
  <mergeCells count="12">
    <mergeCell ref="L2:R2"/>
    <mergeCell ref="A1:B1"/>
    <mergeCell ref="A2:B2"/>
    <mergeCell ref="C2:H2"/>
    <mergeCell ref="J1:K1"/>
    <mergeCell ref="J2:K2"/>
    <mergeCell ref="AB1:AC1"/>
    <mergeCell ref="AB2:AC2"/>
    <mergeCell ref="AD2:AJ2"/>
    <mergeCell ref="S1:T1"/>
    <mergeCell ref="S2:T2"/>
    <mergeCell ref="U2:AA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January 2024</oddHeader>
    <oddFooter>&amp;LPrinted on &amp;D&amp;RPage &amp;P of &amp;N</oddFooter>
  </headerFooter>
  <colBreaks count="3" manualBreakCount="3">
    <brk id="9" max="62" man="1"/>
    <brk id="18" max="62" man="1"/>
    <brk id="2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="130" zoomScaleNormal="130" zoomScaleSheetLayoutView="100" workbookViewId="0">
      <selection activeCell="H16" sqref="H16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96">
        <v>45292</v>
      </c>
      <c r="B1" s="326" t="s">
        <v>17</v>
      </c>
      <c r="C1" s="326" t="s">
        <v>18</v>
      </c>
      <c r="D1" s="326" t="s">
        <v>19</v>
      </c>
      <c r="E1" s="326" t="s">
        <v>153</v>
      </c>
      <c r="F1" s="326" t="s">
        <v>159</v>
      </c>
      <c r="G1" s="326" t="s">
        <v>154</v>
      </c>
      <c r="H1" s="403" t="s">
        <v>190</v>
      </c>
      <c r="I1" s="403" t="s">
        <v>185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[2]American!$IT$22</f>
        <v>46071</v>
      </c>
      <c r="C4" s="12">
        <f>[2]Delta!$IT$22+[2]Delta!$IT$32</f>
        <v>706477</v>
      </c>
      <c r="D4" s="12">
        <f>[2]United!$IT$22</f>
        <v>44741</v>
      </c>
      <c r="E4" s="12">
        <f>[2]Spirit!$IT$22</f>
        <v>14296</v>
      </c>
      <c r="F4" s="12">
        <f>[2]Condor!$IT$22+[2]Condor!$IT$32</f>
        <v>0</v>
      </c>
      <c r="G4" s="12">
        <f>'[2]Air France'!$IT$32</f>
        <v>0</v>
      </c>
      <c r="H4" s="12">
        <f>'[2]Jet Blue'!$IT$22</f>
        <v>3072</v>
      </c>
      <c r="I4" s="12">
        <f>[2]KLM!$IT$22+[2]KLM!$IT$32</f>
        <v>3082</v>
      </c>
      <c r="J4" s="12">
        <f>'Other Major Airline Stats'!K5</f>
        <v>225167</v>
      </c>
      <c r="K4" s="205">
        <f>SUM(B4:J4)</f>
        <v>1042906</v>
      </c>
    </row>
    <row r="5" spans="1:20" x14ac:dyDescent="0.2">
      <c r="A5" s="45" t="s">
        <v>31</v>
      </c>
      <c r="B5" s="7">
        <f>[2]American!$IT$23</f>
        <v>46124</v>
      </c>
      <c r="C5" s="7">
        <f>[2]Delta!$IT$23+[2]Delta!$IT$33</f>
        <v>729995</v>
      </c>
      <c r="D5" s="7">
        <f>[2]United!$IT$23</f>
        <v>46281</v>
      </c>
      <c r="E5" s="7">
        <f>[2]Spirit!$IT$23</f>
        <v>13908</v>
      </c>
      <c r="F5" s="7">
        <f>[2]Condor!$IT$23+[2]Condor!$IT$33</f>
        <v>0</v>
      </c>
      <c r="G5" s="7">
        <f>'[2]Air France'!$IT$33</f>
        <v>0</v>
      </c>
      <c r="H5" s="7">
        <f>'[2]Jet Blue'!$IT$23</f>
        <v>2206</v>
      </c>
      <c r="I5" s="7">
        <f>[2]KLM!$IT$23+[2]KLM!$IT$33</f>
        <v>2244</v>
      </c>
      <c r="J5" s="7">
        <f>'Other Major Airline Stats'!K6</f>
        <v>235087</v>
      </c>
      <c r="K5" s="206">
        <f>SUM(B5:J5)</f>
        <v>1075845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92195</v>
      </c>
      <c r="C6" s="24">
        <f t="shared" si="0"/>
        <v>1436472</v>
      </c>
      <c r="D6" s="24">
        <f t="shared" si="0"/>
        <v>91022</v>
      </c>
      <c r="E6" s="24">
        <f t="shared" si="0"/>
        <v>28204</v>
      </c>
      <c r="F6" s="24">
        <f t="shared" ref="F6:I6" si="1">SUM(F4:F5)</f>
        <v>0</v>
      </c>
      <c r="G6" s="24">
        <f t="shared" si="1"/>
        <v>0</v>
      </c>
      <c r="H6" s="24">
        <f t="shared" ref="H6" si="2">SUM(H4:H5)</f>
        <v>5278</v>
      </c>
      <c r="I6" s="24">
        <f t="shared" si="1"/>
        <v>5326</v>
      </c>
      <c r="J6" s="24">
        <f>SUM(J4:J5)</f>
        <v>460254</v>
      </c>
      <c r="K6" s="207">
        <f>SUM(B6:J6)</f>
        <v>2118751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[2]American!$IT$27</f>
        <v>1387</v>
      </c>
      <c r="C9" s="12">
        <f>[2]Delta!$IT$27+[2]Delta!$IT$37</f>
        <v>24865</v>
      </c>
      <c r="D9" s="12">
        <f>[2]United!$IT$27</f>
        <v>1666</v>
      </c>
      <c r="E9" s="12">
        <f>[2]Spirit!$IT$27</f>
        <v>122</v>
      </c>
      <c r="F9" s="12">
        <f>[2]Condor!$IT$27+[2]Condor!$IT$37</f>
        <v>0</v>
      </c>
      <c r="G9" s="12">
        <f>'[2]Air France'!$IT$37</f>
        <v>0</v>
      </c>
      <c r="H9" s="12">
        <f>'[2]Jet Blue'!$IT$27</f>
        <v>65</v>
      </c>
      <c r="I9" s="12">
        <f>[2]KLM!$IT$27+[2]KLM!$IT$37</f>
        <v>6</v>
      </c>
      <c r="J9" s="12">
        <f>'Other Major Airline Stats'!K10</f>
        <v>4211</v>
      </c>
      <c r="K9" s="205">
        <f>SUM(B9:J9)</f>
        <v>32322</v>
      </c>
      <c r="N9" s="230"/>
    </row>
    <row r="10" spans="1:20" x14ac:dyDescent="0.2">
      <c r="A10" s="45" t="s">
        <v>33</v>
      </c>
      <c r="B10" s="7">
        <f>[2]American!$IT$28</f>
        <v>1628</v>
      </c>
      <c r="C10" s="7">
        <f>[2]Delta!$IT$28+[2]Delta!$IT$38</f>
        <v>24439</v>
      </c>
      <c r="D10" s="7">
        <f>[2]United!$IT$28</f>
        <v>1550</v>
      </c>
      <c r="E10" s="7">
        <f>[2]Spirit!$IT$28</f>
        <v>149</v>
      </c>
      <c r="F10" s="7">
        <f>[2]Condor!$IT$28+[2]Condor!$IT$38</f>
        <v>0</v>
      </c>
      <c r="G10" s="7">
        <f>'[2]Air France'!$IT$38</f>
        <v>0</v>
      </c>
      <c r="H10" s="7">
        <f>'[2]Jet Blue'!$IT$28</f>
        <v>58</v>
      </c>
      <c r="I10" s="7">
        <f>[2]KLM!$IT$28+[2]KLM!$IT$38</f>
        <v>0</v>
      </c>
      <c r="J10" s="7">
        <f>'Other Major Airline Stats'!K11</f>
        <v>4771</v>
      </c>
      <c r="K10" s="206">
        <f>SUM(B10:J10)</f>
        <v>32595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3015</v>
      </c>
      <c r="C11" s="208">
        <f t="shared" si="3"/>
        <v>49304</v>
      </c>
      <c r="D11" s="208">
        <f t="shared" si="3"/>
        <v>3216</v>
      </c>
      <c r="E11" s="208">
        <f t="shared" si="3"/>
        <v>271</v>
      </c>
      <c r="F11" s="208">
        <f t="shared" ref="F11:I11" si="4">SUM(F9:F10)</f>
        <v>0</v>
      </c>
      <c r="G11" s="208">
        <f t="shared" si="4"/>
        <v>0</v>
      </c>
      <c r="H11" s="208">
        <f t="shared" ref="H11" si="5">SUM(H9:H10)</f>
        <v>123</v>
      </c>
      <c r="I11" s="208">
        <f t="shared" si="4"/>
        <v>6</v>
      </c>
      <c r="J11" s="208">
        <f t="shared" si="3"/>
        <v>8982</v>
      </c>
      <c r="K11" s="209">
        <f>SUM(B11:J11)</f>
        <v>64917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[2]American!$IT$4</f>
        <v>314</v>
      </c>
      <c r="C15" s="12">
        <f>[2]Delta!$IT$4+[2]Delta!$IT$15</f>
        <v>5462</v>
      </c>
      <c r="D15" s="12">
        <f>[2]United!$IT$4</f>
        <v>360</v>
      </c>
      <c r="E15" s="12">
        <f>[2]Spirit!$IT$4</f>
        <v>107</v>
      </c>
      <c r="F15" s="12">
        <f>[2]Condor!$IT$15</f>
        <v>0</v>
      </c>
      <c r="G15" s="12">
        <f>'[2]Air France'!$IT$15</f>
        <v>0</v>
      </c>
      <c r="H15" s="12">
        <f>'[2]Jet Blue'!$IT$4</f>
        <v>30</v>
      </c>
      <c r="I15" s="12">
        <f>[2]KLM!$IT$4+[2]KLM!$IT$15</f>
        <v>14</v>
      </c>
      <c r="J15" s="12">
        <f>'Other Major Airline Stats'!K16</f>
        <v>1798</v>
      </c>
      <c r="K15" s="17">
        <f>SUM(B15:J15)</f>
        <v>8085</v>
      </c>
    </row>
    <row r="16" spans="1:20" x14ac:dyDescent="0.2">
      <c r="A16" s="45" t="s">
        <v>23</v>
      </c>
      <c r="B16" s="7">
        <f>[2]American!$IT$5</f>
        <v>316</v>
      </c>
      <c r="C16" s="7">
        <f>[2]Delta!$IT$5+[2]Delta!$IT$16</f>
        <v>5458</v>
      </c>
      <c r="D16" s="7">
        <f>[2]United!$IT$5</f>
        <v>359</v>
      </c>
      <c r="E16" s="7">
        <f>[2]Spirit!$IT$5</f>
        <v>107</v>
      </c>
      <c r="F16" s="7">
        <f>[2]Condor!$IT$5+[2]Condor!$IT$16</f>
        <v>0</v>
      </c>
      <c r="G16" s="7">
        <f>'[2]Air France'!$IT$16</f>
        <v>0</v>
      </c>
      <c r="H16" s="7">
        <f>'[2]Jet Blue'!$IT$5</f>
        <v>30</v>
      </c>
      <c r="I16" s="7">
        <f>[2]KLM!$IT$5+[2]KLM!$IT$16</f>
        <v>14</v>
      </c>
      <c r="J16" s="7">
        <f>'Other Major Airline Stats'!K17</f>
        <v>1803</v>
      </c>
      <c r="K16" s="23">
        <f>SUM(B16:J16)</f>
        <v>8087</v>
      </c>
    </row>
    <row r="17" spans="1:11" x14ac:dyDescent="0.2">
      <c r="A17" s="45" t="s">
        <v>24</v>
      </c>
      <c r="B17" s="212">
        <f t="shared" ref="B17:J17" si="6">SUM(B15:B16)</f>
        <v>630</v>
      </c>
      <c r="C17" s="210">
        <f t="shared" si="6"/>
        <v>10920</v>
      </c>
      <c r="D17" s="210">
        <f t="shared" si="6"/>
        <v>719</v>
      </c>
      <c r="E17" s="210">
        <f t="shared" si="6"/>
        <v>214</v>
      </c>
      <c r="F17" s="210">
        <f t="shared" ref="F17:I17" si="7">SUM(F15:F16)</f>
        <v>0</v>
      </c>
      <c r="G17" s="210">
        <f t="shared" si="7"/>
        <v>0</v>
      </c>
      <c r="H17" s="210">
        <f t="shared" ref="H17" si="8">SUM(H15:H16)</f>
        <v>60</v>
      </c>
      <c r="I17" s="210">
        <f t="shared" si="7"/>
        <v>28</v>
      </c>
      <c r="J17" s="210">
        <f t="shared" si="6"/>
        <v>3601</v>
      </c>
      <c r="K17" s="211">
        <f>SUM(B17:J17)</f>
        <v>16172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[2]American!$IT$8</f>
        <v>0</v>
      </c>
      <c r="C19" s="12">
        <f>[2]Delta!$IT$8</f>
        <v>5</v>
      </c>
      <c r="D19" s="12">
        <f>[2]United!$IT$8</f>
        <v>1</v>
      </c>
      <c r="E19" s="12">
        <f>[2]Spirit!$IT$8</f>
        <v>0</v>
      </c>
      <c r="F19" s="12">
        <f>[2]Condor!$IT$8</f>
        <v>0</v>
      </c>
      <c r="G19" s="12">
        <f>'[2]Air France'!$IT$8</f>
        <v>0</v>
      </c>
      <c r="H19" s="12">
        <f>'[2]Jet Blue'!$IT$8</f>
        <v>0</v>
      </c>
      <c r="I19" s="12">
        <f>[2]KLM!$IT$8</f>
        <v>0</v>
      </c>
      <c r="J19" s="12">
        <f>'Other Major Airline Stats'!K20</f>
        <v>63</v>
      </c>
      <c r="K19" s="17">
        <f>SUM(B19:J19)</f>
        <v>69</v>
      </c>
    </row>
    <row r="20" spans="1:11" x14ac:dyDescent="0.2">
      <c r="A20" s="45" t="s">
        <v>26</v>
      </c>
      <c r="B20" s="7">
        <f>[2]American!$IT$9</f>
        <v>0</v>
      </c>
      <c r="C20" s="7">
        <f>[2]Delta!$IT$9</f>
        <v>15</v>
      </c>
      <c r="D20" s="7">
        <f>[2]United!$IT$9</f>
        <v>2</v>
      </c>
      <c r="E20" s="7">
        <f>[2]Spirit!$IT$9</f>
        <v>0</v>
      </c>
      <c r="F20" s="7">
        <f>[2]Condor!$IT$9</f>
        <v>0</v>
      </c>
      <c r="G20" s="7">
        <f>'[2]Air France'!$IT$9</f>
        <v>0</v>
      </c>
      <c r="H20" s="7">
        <f>'[2]Jet Blue'!$IT$9</f>
        <v>0</v>
      </c>
      <c r="I20" s="7">
        <f>[2]KLM!$IT$9</f>
        <v>0</v>
      </c>
      <c r="J20" s="7">
        <f>'Other Major Airline Stats'!K21</f>
        <v>66</v>
      </c>
      <c r="K20" s="23">
        <f>SUM(B20:J20)</f>
        <v>83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20</v>
      </c>
      <c r="D21" s="210">
        <f t="shared" si="9"/>
        <v>3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129</v>
      </c>
      <c r="K21" s="145">
        <f>SUM(B21:J21)</f>
        <v>152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630</v>
      </c>
      <c r="C23" s="18">
        <f t="shared" si="12"/>
        <v>10940</v>
      </c>
      <c r="D23" s="18">
        <f t="shared" si="12"/>
        <v>722</v>
      </c>
      <c r="E23" s="18">
        <f>E17+E21</f>
        <v>214</v>
      </c>
      <c r="F23" s="18">
        <f t="shared" ref="F23:I23" si="13">F17+F21</f>
        <v>0</v>
      </c>
      <c r="G23" s="18">
        <f t="shared" si="13"/>
        <v>0</v>
      </c>
      <c r="H23" s="18">
        <f t="shared" ref="H23" si="14">H17+H21</f>
        <v>60</v>
      </c>
      <c r="I23" s="18">
        <f t="shared" si="13"/>
        <v>28</v>
      </c>
      <c r="J23" s="18">
        <f t="shared" si="12"/>
        <v>3730</v>
      </c>
      <c r="K23" s="19">
        <f>SUM(B23:J23)</f>
        <v>16324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[2]American!$IT$47</f>
        <v>33258</v>
      </c>
      <c r="C28" s="12">
        <f>[2]Delta!$IT$47</f>
        <v>3104761</v>
      </c>
      <c r="D28" s="12">
        <f>[2]United!$IT$47</f>
        <v>13117</v>
      </c>
      <c r="E28" s="12">
        <f>[2]Spirit!$IT$47</f>
        <v>0</v>
      </c>
      <c r="F28" s="12">
        <f>[2]Condor!$IT$47</f>
        <v>0</v>
      </c>
      <c r="G28" s="12">
        <f>'[2]Air France'!$IT$47</f>
        <v>0</v>
      </c>
      <c r="H28" s="12">
        <f>'[2]Jet Blue'!$IT$47</f>
        <v>0</v>
      </c>
      <c r="I28" s="12">
        <f>[2]KLM!$IT$47</f>
        <v>207371</v>
      </c>
      <c r="J28" s="12">
        <f>'Other Major Airline Stats'!K28</f>
        <v>157917</v>
      </c>
      <c r="K28" s="17">
        <f>SUM(B28:J28)</f>
        <v>3516424</v>
      </c>
    </row>
    <row r="29" spans="1:11" x14ac:dyDescent="0.2">
      <c r="A29" s="45" t="s">
        <v>38</v>
      </c>
      <c r="B29" s="7">
        <f>[2]American!$IT$48</f>
        <v>9320</v>
      </c>
      <c r="C29" s="7">
        <f>[2]Delta!$IT$48</f>
        <v>350122</v>
      </c>
      <c r="D29" s="7">
        <f>[2]United!$IT$48</f>
        <v>625</v>
      </c>
      <c r="E29" s="7">
        <f>[2]Spirit!$IT$48</f>
        <v>0</v>
      </c>
      <c r="F29" s="7">
        <f>[2]Condor!$IT$48</f>
        <v>0</v>
      </c>
      <c r="G29" s="7">
        <f>'[2]Air France'!$IT$48</f>
        <v>0</v>
      </c>
      <c r="H29" s="7">
        <f>'[2]Jet Blue'!$IT$48</f>
        <v>0</v>
      </c>
      <c r="I29" s="7">
        <f>[2]KLM!$IT$48</f>
        <v>0</v>
      </c>
      <c r="J29" s="7">
        <f>'Other Major Airline Stats'!K29</f>
        <v>0</v>
      </c>
      <c r="K29" s="23">
        <f>SUM(B29:J29)</f>
        <v>360067</v>
      </c>
    </row>
    <row r="30" spans="1:11" x14ac:dyDescent="0.2">
      <c r="A30" s="49" t="s">
        <v>39</v>
      </c>
      <c r="B30" s="212">
        <f t="shared" ref="B30:J30" si="15">SUM(B28:B29)</f>
        <v>42578</v>
      </c>
      <c r="C30" s="212">
        <f t="shared" si="15"/>
        <v>3454883</v>
      </c>
      <c r="D30" s="212">
        <f t="shared" si="15"/>
        <v>13742</v>
      </c>
      <c r="E30" s="212">
        <f t="shared" si="15"/>
        <v>0</v>
      </c>
      <c r="F30" s="212">
        <f t="shared" ref="F30:I30" si="16">SUM(F28:F29)</f>
        <v>0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207371</v>
      </c>
      <c r="J30" s="212">
        <f t="shared" si="15"/>
        <v>157917</v>
      </c>
      <c r="K30" s="17">
        <f>SUM(B30:J30)</f>
        <v>3876491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[2]American!$IT$52</f>
        <v>4805</v>
      </c>
      <c r="C33" s="12">
        <f>[2]Delta!$IT$52</f>
        <v>2010484</v>
      </c>
      <c r="D33" s="12">
        <f>[2]United!$IT$52</f>
        <v>2487</v>
      </c>
      <c r="E33" s="12">
        <f>[2]Spirit!$IT$52</f>
        <v>0</v>
      </c>
      <c r="F33" s="12">
        <f>[2]Condor!$IT$52</f>
        <v>0</v>
      </c>
      <c r="G33" s="12">
        <f>'[2]Air France'!$IT$52</f>
        <v>0</v>
      </c>
      <c r="H33" s="12">
        <f>'[2]Jet Blue'!$IT$52</f>
        <v>0</v>
      </c>
      <c r="I33" s="12">
        <f>[2]KLM!$IT$52</f>
        <v>17064</v>
      </c>
      <c r="J33" s="12">
        <f>'Other Major Airline Stats'!K33</f>
        <v>45453</v>
      </c>
      <c r="K33" s="17">
        <f t="shared" si="18"/>
        <v>2080293</v>
      </c>
    </row>
    <row r="34" spans="1:11" x14ac:dyDescent="0.2">
      <c r="A34" s="45" t="s">
        <v>38</v>
      </c>
      <c r="B34" s="7">
        <f>[2]American!$IT$53</f>
        <v>5252</v>
      </c>
      <c r="C34" s="7">
        <f>[2]Delta!$IT$53</f>
        <v>298581</v>
      </c>
      <c r="D34" s="7">
        <f>[2]United!$IT$53</f>
        <v>0</v>
      </c>
      <c r="E34" s="7">
        <f>[2]Spirit!$IT$53</f>
        <v>0</v>
      </c>
      <c r="F34" s="7">
        <f>[2]Condor!$IT$53</f>
        <v>0</v>
      </c>
      <c r="G34" s="7">
        <f>'[2]Air France'!$IT$53</f>
        <v>0</v>
      </c>
      <c r="H34" s="7">
        <f>'[2]Jet Blue'!$IT$53</f>
        <v>0</v>
      </c>
      <c r="I34" s="7">
        <f>[2]KLM!$IT$53</f>
        <v>0</v>
      </c>
      <c r="J34" s="7">
        <f>'Other Major Airline Stats'!K34</f>
        <v>0</v>
      </c>
      <c r="K34" s="23">
        <f t="shared" si="18"/>
        <v>303833</v>
      </c>
    </row>
    <row r="35" spans="1:11" x14ac:dyDescent="0.2">
      <c r="A35" s="49" t="s">
        <v>41</v>
      </c>
      <c r="B35" s="212">
        <f t="shared" ref="B35:J35" si="19">SUM(B33:B34)</f>
        <v>10057</v>
      </c>
      <c r="C35" s="212">
        <f t="shared" si="19"/>
        <v>2309065</v>
      </c>
      <c r="D35" s="212">
        <f t="shared" si="19"/>
        <v>2487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17064</v>
      </c>
      <c r="J35" s="212">
        <f t="shared" si="19"/>
        <v>45453</v>
      </c>
      <c r="K35" s="17">
        <f t="shared" si="18"/>
        <v>2384126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[2]American!$IT$57</f>
        <v>0</v>
      </c>
      <c r="C38" s="12">
        <f>[2]Delta!$IT$57</f>
        <v>0</v>
      </c>
      <c r="D38" s="12">
        <f>[2]United!$IT$57</f>
        <v>0</v>
      </c>
      <c r="E38" s="12">
        <f>[2]Spirit!$IT$57</f>
        <v>0</v>
      </c>
      <c r="F38" s="12">
        <f>[2]Condor!$IT$57</f>
        <v>0</v>
      </c>
      <c r="G38" s="12">
        <f>'[2]Air France'!$IT$57</f>
        <v>0</v>
      </c>
      <c r="H38" s="12">
        <f>'[2]Jet Blue'!$IT$57</f>
        <v>0</v>
      </c>
      <c r="I38" s="12">
        <f>[2]KLM!$IT$57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[2]American!$IT$58</f>
        <v>0</v>
      </c>
      <c r="C39" s="7">
        <f>[2]Delta!$IT$58</f>
        <v>0</v>
      </c>
      <c r="D39" s="7">
        <f>[2]United!$IT$58</f>
        <v>0</v>
      </c>
      <c r="E39" s="7">
        <f>[2]Spirit!$IT$58</f>
        <v>0</v>
      </c>
      <c r="F39" s="7">
        <f>[2]Condor!$IT$58</f>
        <v>0</v>
      </c>
      <c r="G39" s="7">
        <f>'[2]Air France'!$IT$58</f>
        <v>0</v>
      </c>
      <c r="H39" s="7">
        <f>'[2]Jet Blue'!$IT$58</f>
        <v>0</v>
      </c>
      <c r="I39" s="7">
        <f>[2]KLM!$IT$58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38063</v>
      </c>
      <c r="C43" s="12">
        <f t="shared" si="25"/>
        <v>5115245</v>
      </c>
      <c r="D43" s="12">
        <f t="shared" si="25"/>
        <v>15604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224435</v>
      </c>
      <c r="J43" s="12">
        <f t="shared" si="25"/>
        <v>203370</v>
      </c>
      <c r="K43" s="17">
        <f>SUM(B43:J43)</f>
        <v>5596717</v>
      </c>
    </row>
    <row r="44" spans="1:11" x14ac:dyDescent="0.2">
      <c r="A44" s="45" t="s">
        <v>38</v>
      </c>
      <c r="B44" s="7">
        <f t="shared" si="25"/>
        <v>14572</v>
      </c>
      <c r="C44" s="7">
        <f t="shared" si="25"/>
        <v>648703</v>
      </c>
      <c r="D44" s="7">
        <f t="shared" si="25"/>
        <v>625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0</v>
      </c>
      <c r="K44" s="17">
        <f>SUM(B44:J44)</f>
        <v>663900</v>
      </c>
    </row>
    <row r="45" spans="1:11" ht="15.75" thickBot="1" x14ac:dyDescent="0.3">
      <c r="A45" s="46" t="s">
        <v>46</v>
      </c>
      <c r="B45" s="213">
        <f t="shared" ref="B45:J45" si="30">SUM(B43:B44)</f>
        <v>52635</v>
      </c>
      <c r="C45" s="213">
        <f t="shared" si="30"/>
        <v>5763948</v>
      </c>
      <c r="D45" s="213">
        <f t="shared" si="30"/>
        <v>16229</v>
      </c>
      <c r="E45" s="213">
        <f t="shared" si="30"/>
        <v>0</v>
      </c>
      <c r="F45" s="213">
        <f t="shared" ref="F45:I45" si="31">SUM(F43:F44)</f>
        <v>0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224435</v>
      </c>
      <c r="J45" s="213">
        <f t="shared" si="30"/>
        <v>203370</v>
      </c>
      <c r="K45" s="214">
        <f>SUM(B45:J45)</f>
        <v>6260617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120</v>
      </c>
      <c r="C47" s="239">
        <f>[2]Delta!$IT$70+[2]Delta!$IT$73</f>
        <v>459539</v>
      </c>
      <c r="D47" s="227"/>
      <c r="E47" s="227"/>
      <c r="F47" s="227"/>
      <c r="G47" s="227"/>
      <c r="H47" s="227"/>
      <c r="I47" s="227"/>
      <c r="J47" s="227"/>
      <c r="K47" s="228">
        <f>SUM(B47:J47)</f>
        <v>459539</v>
      </c>
    </row>
    <row r="48" spans="1:11" hidden="1" x14ac:dyDescent="0.2">
      <c r="A48" s="277" t="s">
        <v>121</v>
      </c>
      <c r="C48" s="239">
        <f>[2]Delta!$IT$71+[2]Delta!$IT$74</f>
        <v>270456</v>
      </c>
      <c r="D48" s="227"/>
      <c r="E48" s="227"/>
      <c r="F48" s="227"/>
      <c r="G48" s="227"/>
      <c r="H48" s="227"/>
      <c r="I48" s="227"/>
      <c r="J48" s="227"/>
      <c r="K48" s="228">
        <f>SUM(B48:J48)</f>
        <v>270456</v>
      </c>
    </row>
    <row r="49" spans="1:11" hidden="1" x14ac:dyDescent="0.2">
      <c r="A49" s="278" t="s">
        <v>122</v>
      </c>
      <c r="C49" s="240">
        <f>SUM(C47:C48)</f>
        <v>729995</v>
      </c>
      <c r="K49" s="228">
        <f>SUM(B49:J49)</f>
        <v>729995</v>
      </c>
    </row>
    <row r="50" spans="1:11" x14ac:dyDescent="0.2">
      <c r="A50" s="276" t="s">
        <v>120</v>
      </c>
      <c r="B50" s="287"/>
      <c r="C50" s="242">
        <f>[2]Delta!$IT$70+[2]Delta!$IT$73</f>
        <v>459539</v>
      </c>
      <c r="D50" s="287"/>
      <c r="E50" s="242">
        <f>[2]Spirit!$IT$70+[2]Spirit!$IT$73</f>
        <v>0</v>
      </c>
      <c r="F50" s="287"/>
      <c r="G50" s="287"/>
      <c r="H50" s="287"/>
      <c r="I50" s="287"/>
      <c r="J50" s="241">
        <f>'Other Major Airline Stats'!K48</f>
        <v>197121</v>
      </c>
      <c r="K50" s="231">
        <f>SUM(B50:J50)</f>
        <v>656660</v>
      </c>
    </row>
    <row r="51" spans="1:11" x14ac:dyDescent="0.2">
      <c r="A51" s="289" t="s">
        <v>121</v>
      </c>
      <c r="B51" s="287"/>
      <c r="C51" s="242">
        <f>[2]Delta!$IT$71+[2]Delta!$IT$74</f>
        <v>270456</v>
      </c>
      <c r="D51" s="287"/>
      <c r="E51" s="242">
        <f>[2]Spirit!$IT$71+[2]Spirit!$IT$74</f>
        <v>0</v>
      </c>
      <c r="F51" s="287"/>
      <c r="G51" s="287"/>
      <c r="H51" s="287"/>
      <c r="I51" s="287"/>
      <c r="J51" s="241">
        <f>+'Other Major Airline Stats'!K49</f>
        <v>517</v>
      </c>
      <c r="K51" s="231">
        <f>SUM(B51:J51)</f>
        <v>270973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2024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G17" sqref="G17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45292</v>
      </c>
      <c r="B2" s="326" t="s">
        <v>47</v>
      </c>
      <c r="C2" s="325" t="s">
        <v>217</v>
      </c>
      <c r="D2" s="325" t="s">
        <v>194</v>
      </c>
      <c r="E2" s="325" t="s">
        <v>210</v>
      </c>
      <c r="F2" s="325" t="s">
        <v>232</v>
      </c>
      <c r="G2" s="326" t="s">
        <v>48</v>
      </c>
      <c r="H2" s="325" t="s">
        <v>128</v>
      </c>
      <c r="I2" s="325" t="s">
        <v>49</v>
      </c>
      <c r="J2" s="325" t="s">
        <v>127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[2]Frontier!$IT$22+[2]Frontier!$IT$32</f>
        <v>20527</v>
      </c>
      <c r="C5" s="95">
        <f>'[2]Allegiant '!$IT$22</f>
        <v>4479</v>
      </c>
      <c r="D5" s="95">
        <f>'[2]Aer Lingus'!$IT$22+'[2]Aer Lingus'!$IT$32</f>
        <v>0</v>
      </c>
      <c r="E5" s="95">
        <f>'[2]Denver Air'!$IT$22+'[2]Denver Air'!$IT$32</f>
        <v>831</v>
      </c>
      <c r="F5" s="95">
        <f>[2]WestJet!$IT$22+[2]WestJet!$IT$32</f>
        <v>3800</v>
      </c>
      <c r="G5" s="95">
        <f>[2]Icelandair!$IT$32</f>
        <v>718</v>
      </c>
      <c r="H5" s="95">
        <f>[2]Southwest!$IT$22</f>
        <v>55786</v>
      </c>
      <c r="I5" s="95">
        <f>'[2]Sun Country'!$IT$22+'[2]Sun Country'!$IT$32</f>
        <v>133004</v>
      </c>
      <c r="J5" s="95">
        <f>[2]Alaska!$IT$22</f>
        <v>6022</v>
      </c>
      <c r="K5" s="118">
        <f>SUM(B5:J5)</f>
        <v>225167</v>
      </c>
      <c r="N5" s="95"/>
    </row>
    <row r="6" spans="1:14" x14ac:dyDescent="0.2">
      <c r="A6" s="45" t="s">
        <v>31</v>
      </c>
      <c r="B6" s="95">
        <f>[2]Frontier!$IT$23+[2]Frontier!$IT$33</f>
        <v>21733</v>
      </c>
      <c r="C6" s="95">
        <f>'[2]Allegiant '!$IT$23</f>
        <v>4831</v>
      </c>
      <c r="D6" s="95">
        <f>'[2]Aer Lingus'!$IT$23+'[2]Aer Lingus'!$IT$33</f>
        <v>0</v>
      </c>
      <c r="E6" s="95">
        <f>'[2]Denver Air'!$IT$23+'[2]Denver Air'!$IT$33</f>
        <v>815</v>
      </c>
      <c r="F6" s="95">
        <f>[2]WestJet!$IT$23+[2]WestJet!$IT$33</f>
        <v>3618</v>
      </c>
      <c r="G6" s="95">
        <f>[2]Icelandair!$IT$33</f>
        <v>430</v>
      </c>
      <c r="H6" s="95">
        <f>[2]Southwest!$IT$23</f>
        <v>59344</v>
      </c>
      <c r="I6" s="95">
        <f>'[2]Sun Country'!$IT$23+'[2]Sun Country'!$IT$33</f>
        <v>138294</v>
      </c>
      <c r="J6" s="95">
        <f>[2]Alaska!$IT$23</f>
        <v>6022</v>
      </c>
      <c r="K6" s="118">
        <f>SUM(B6:J6)</f>
        <v>235087</v>
      </c>
    </row>
    <row r="7" spans="1:14" ht="15" x14ac:dyDescent="0.25">
      <c r="A7" s="43" t="s">
        <v>7</v>
      </c>
      <c r="B7" s="126">
        <f>SUM(B5:B6)</f>
        <v>42260</v>
      </c>
      <c r="C7" s="126">
        <f t="shared" ref="C7:F7" si="0">SUM(C5:C6)</f>
        <v>9310</v>
      </c>
      <c r="D7" s="126">
        <f>SUM(D5:D6)</f>
        <v>0</v>
      </c>
      <c r="E7" s="126">
        <f>SUM(E5:E6)</f>
        <v>1646</v>
      </c>
      <c r="F7" s="126">
        <f t="shared" si="0"/>
        <v>7418</v>
      </c>
      <c r="G7" s="126">
        <f t="shared" ref="G7:J7" si="1">SUM(G5:G6)</f>
        <v>1148</v>
      </c>
      <c r="H7" s="126">
        <f t="shared" si="1"/>
        <v>115130</v>
      </c>
      <c r="I7" s="126">
        <f>SUM(I5:I6)</f>
        <v>271298</v>
      </c>
      <c r="J7" s="126">
        <f t="shared" si="1"/>
        <v>12044</v>
      </c>
      <c r="K7" s="127">
        <f>SUM(B7:J7)</f>
        <v>460254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[2]Frontier!$IT$27+[2]Frontier!$IT$37</f>
        <v>124</v>
      </c>
      <c r="C10" s="125">
        <f>'[2]Allegiant '!$IT$27</f>
        <v>0</v>
      </c>
      <c r="D10" s="359">
        <f>'[2]Aer Lingus'!$IT$27+'[2]Aer Lingus'!$IT$37</f>
        <v>0</v>
      </c>
      <c r="E10" s="125">
        <f>'[2]Denver Air'!$IT$27+'[2]Denver Air'!$IT$37</f>
        <v>38</v>
      </c>
      <c r="F10" s="125">
        <f>[2]WestJet!$IT$27+[2]WestJet!$IT$37</f>
        <v>0</v>
      </c>
      <c r="G10" s="125">
        <f>[2]Icelandair!$IT$37</f>
        <v>14</v>
      </c>
      <c r="H10" s="125">
        <f>[2]Southwest!$IT$27</f>
        <v>1515</v>
      </c>
      <c r="I10" s="125">
        <f>'[2]Sun Country'!$IT$27+'[2]Sun Country'!$IT$37</f>
        <v>2273</v>
      </c>
      <c r="J10" s="125">
        <f>[2]Alaska!$IT$27</f>
        <v>247</v>
      </c>
      <c r="K10" s="118">
        <f>SUM(B10:J10)</f>
        <v>4211</v>
      </c>
    </row>
    <row r="11" spans="1:14" x14ac:dyDescent="0.2">
      <c r="A11" s="45" t="s">
        <v>33</v>
      </c>
      <c r="B11" s="128">
        <f>[2]Frontier!$IT$28+[2]Frontier!$IT$38</f>
        <v>123</v>
      </c>
      <c r="C11" s="128">
        <f>'[2]Allegiant '!$IT$28</f>
        <v>0</v>
      </c>
      <c r="D11" s="128">
        <f>'[2]Aer Lingus'!$IT$28+'[2]Aer Lingus'!$IT$38</f>
        <v>0</v>
      </c>
      <c r="E11" s="128">
        <f>'[2]Denver Air'!$IT$28+'[2]Denver Air'!$IT$38</f>
        <v>39</v>
      </c>
      <c r="F11" s="128">
        <f>[2]WestJet!$IT$28+[2]WestJet!$IT$38</f>
        <v>1</v>
      </c>
      <c r="G11" s="128">
        <f>[2]Icelandair!$IT$38</f>
        <v>12</v>
      </c>
      <c r="H11" s="128">
        <f>[2]Southwest!$IT$28</f>
        <v>1903</v>
      </c>
      <c r="I11" s="128">
        <f>'[2]Sun Country'!$IT$28+'[2]Sun Country'!$IT$38</f>
        <v>2402</v>
      </c>
      <c r="J11" s="128">
        <f>[2]Alaska!$IT$28</f>
        <v>291</v>
      </c>
      <c r="K11" s="118">
        <f>SUM(B11:J11)</f>
        <v>4771</v>
      </c>
    </row>
    <row r="12" spans="1:14" ht="15.75" thickBot="1" x14ac:dyDescent="0.3">
      <c r="A12" s="46" t="s">
        <v>34</v>
      </c>
      <c r="B12" s="121">
        <f>SUM(B10:B11)</f>
        <v>247</v>
      </c>
      <c r="C12" s="121">
        <f t="shared" ref="C12:F12" si="2">SUM(C10:C11)</f>
        <v>0</v>
      </c>
      <c r="D12" s="121">
        <f>SUM(D10:D11)</f>
        <v>0</v>
      </c>
      <c r="E12" s="121">
        <f>SUM(E10:E11)</f>
        <v>77</v>
      </c>
      <c r="F12" s="121">
        <f t="shared" si="2"/>
        <v>1</v>
      </c>
      <c r="G12" s="121">
        <f t="shared" ref="G12:J12" si="3">SUM(G10:G11)</f>
        <v>26</v>
      </c>
      <c r="H12" s="121">
        <f t="shared" si="3"/>
        <v>3418</v>
      </c>
      <c r="I12" s="121">
        <f>SUM(I10:I11)</f>
        <v>4675</v>
      </c>
      <c r="J12" s="121">
        <f t="shared" si="3"/>
        <v>538</v>
      </c>
      <c r="K12" s="129">
        <f>SUM(B12:J12)</f>
        <v>8982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[2]Frontier!$IT$4+[2]Frontier!$IT$15</f>
        <v>136</v>
      </c>
      <c r="C16" s="85">
        <f>'[2]Allegiant '!$IT$4</f>
        <v>34</v>
      </c>
      <c r="D16" s="95">
        <f>'[2]Aer Lingus'!$IT$4+'[2]Aer Lingus'!$IT$15</f>
        <v>0</v>
      </c>
      <c r="E16" s="95">
        <f>'[2]Denver Air'!$IT$4+'[2]Denver Air'!$IT$15</f>
        <v>90</v>
      </c>
      <c r="F16" s="85">
        <f>[2]WestJet!$IT$4+[2]WestJet!$IT$15</f>
        <v>36</v>
      </c>
      <c r="G16" s="95">
        <f>[2]Icelandair!$IT$15</f>
        <v>5</v>
      </c>
      <c r="H16" s="85">
        <f>[2]Southwest!$IT$4</f>
        <v>569</v>
      </c>
      <c r="I16" s="95">
        <f>'[2]Sun Country'!$IT$4+'[2]Sun Country'!$IT$15</f>
        <v>877</v>
      </c>
      <c r="J16" s="95">
        <f>[2]Alaska!$IT$4</f>
        <v>51</v>
      </c>
      <c r="K16" s="118">
        <f>SUM(B16:J16)</f>
        <v>1798</v>
      </c>
    </row>
    <row r="17" spans="1:258" x14ac:dyDescent="0.2">
      <c r="A17" s="45" t="s">
        <v>23</v>
      </c>
      <c r="B17" s="95">
        <f>[2]Frontier!$IT$5+[2]Frontier!$IT$16</f>
        <v>136</v>
      </c>
      <c r="C17" s="85">
        <f>'[2]Allegiant '!$IT$5</f>
        <v>34</v>
      </c>
      <c r="D17" s="95">
        <f>'[2]Aer Lingus'!$IT$5+'[2]Aer Lingus'!$IT$16</f>
        <v>0</v>
      </c>
      <c r="E17" s="95">
        <f>'[2]Denver Air'!$IT$5+'[2]Denver Air'!$IT$16</f>
        <v>90</v>
      </c>
      <c r="F17" s="85">
        <f>[2]WestJet!$IT$5+[2]WestJet!$IT$16</f>
        <v>36</v>
      </c>
      <c r="G17" s="95">
        <f>[2]Icelandair!$IT$16</f>
        <v>5</v>
      </c>
      <c r="H17" s="85">
        <f>[2]Southwest!$IT$5</f>
        <v>569</v>
      </c>
      <c r="I17" s="95">
        <f>'[2]Sun Country'!$IT$5+'[2]Sun Country'!$IT$16</f>
        <v>883</v>
      </c>
      <c r="J17" s="95">
        <f>[2]Alaska!$IT$5</f>
        <v>50</v>
      </c>
      <c r="K17" s="118">
        <f>SUM(B17:J17)</f>
        <v>1803</v>
      </c>
    </row>
    <row r="18" spans="1:258" x14ac:dyDescent="0.2">
      <c r="A18" s="49" t="s">
        <v>24</v>
      </c>
      <c r="B18" s="119">
        <f t="shared" ref="B18" si="4">SUM(B16:B17)</f>
        <v>272</v>
      </c>
      <c r="C18" s="119">
        <f t="shared" ref="C18:F18" si="5">SUM(C16:C17)</f>
        <v>68</v>
      </c>
      <c r="D18" s="119">
        <f t="shared" si="5"/>
        <v>0</v>
      </c>
      <c r="E18" s="119">
        <f t="shared" si="5"/>
        <v>180</v>
      </c>
      <c r="F18" s="119">
        <f t="shared" si="5"/>
        <v>72</v>
      </c>
      <c r="G18" s="119">
        <f t="shared" ref="G18:J18" si="6">SUM(G16:G17)</f>
        <v>10</v>
      </c>
      <c r="H18" s="119">
        <f t="shared" si="6"/>
        <v>1138</v>
      </c>
      <c r="I18" s="119">
        <f t="shared" si="6"/>
        <v>1760</v>
      </c>
      <c r="J18" s="119">
        <f t="shared" si="6"/>
        <v>101</v>
      </c>
      <c r="K18" s="120">
        <f>SUM(B18:J18)</f>
        <v>3601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[2]Frontier!$IT$8</f>
        <v>0</v>
      </c>
      <c r="C20" s="95">
        <f>'[2]Allegiant '!$IT$8</f>
        <v>0</v>
      </c>
      <c r="D20" s="95">
        <f>'[2]Aer Lingus'!$IT$8</f>
        <v>0</v>
      </c>
      <c r="E20" s="95">
        <f>'[2]Denver Air'!$IT$8</f>
        <v>0</v>
      </c>
      <c r="F20" s="95">
        <f>[2]WestJet!$IT$8</f>
        <v>0</v>
      </c>
      <c r="G20" s="95">
        <f>[2]Icelandair!$IT$8</f>
        <v>0</v>
      </c>
      <c r="H20" s="95">
        <f>[2]Southwest!$IT$8</f>
        <v>0</v>
      </c>
      <c r="I20" s="95">
        <f>'[2]Sun Country'!$IT$8</f>
        <v>62</v>
      </c>
      <c r="J20" s="95">
        <f>[2]Alaska!$IT$8</f>
        <v>1</v>
      </c>
      <c r="K20" s="118">
        <f>SUM(B20:J20)</f>
        <v>63</v>
      </c>
    </row>
    <row r="21" spans="1:258" x14ac:dyDescent="0.2">
      <c r="A21" s="45" t="s">
        <v>26</v>
      </c>
      <c r="B21" s="95">
        <f>[2]Frontier!$IT$9</f>
        <v>0</v>
      </c>
      <c r="C21" s="95">
        <f>'[2]Allegiant '!$IT$9</f>
        <v>0</v>
      </c>
      <c r="D21" s="95">
        <f>'[2]Aer Lingus'!$IT$9</f>
        <v>0</v>
      </c>
      <c r="E21" s="95">
        <f>'[2]Denver Air'!$IT$9</f>
        <v>0</v>
      </c>
      <c r="F21" s="95">
        <f>[2]WestJet!$IT$9</f>
        <v>0</v>
      </c>
      <c r="G21" s="95">
        <f>[2]Icelandair!$IT$9</f>
        <v>0</v>
      </c>
      <c r="H21" s="95">
        <f>[2]Southwest!$IT$9</f>
        <v>0</v>
      </c>
      <c r="I21" s="95">
        <f>'[2]Sun Country'!$IT$9</f>
        <v>65</v>
      </c>
      <c r="J21" s="95">
        <f>[2]Alaska!$IT$9</f>
        <v>1</v>
      </c>
      <c r="K21" s="118">
        <f>SUM(B21:J21)</f>
        <v>66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0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127</v>
      </c>
      <c r="J22" s="119">
        <f t="shared" si="9"/>
        <v>2</v>
      </c>
      <c r="K22" s="120">
        <f>SUM(B22:J22)</f>
        <v>129</v>
      </c>
    </row>
    <row r="23" spans="1:258" ht="15.75" thickBot="1" x14ac:dyDescent="0.3">
      <c r="A23" s="46" t="s">
        <v>28</v>
      </c>
      <c r="B23" s="121">
        <f t="shared" ref="B23" si="10">B22+B18</f>
        <v>272</v>
      </c>
      <c r="C23" s="121">
        <f t="shared" ref="C23:F23" si="11">C22+C18</f>
        <v>68</v>
      </c>
      <c r="D23" s="121">
        <f t="shared" si="11"/>
        <v>0</v>
      </c>
      <c r="E23" s="121">
        <f t="shared" si="11"/>
        <v>180</v>
      </c>
      <c r="F23" s="121">
        <f t="shared" si="11"/>
        <v>72</v>
      </c>
      <c r="G23" s="121">
        <f t="shared" ref="G23:J23" si="12">G22+G18</f>
        <v>10</v>
      </c>
      <c r="H23" s="121">
        <f t="shared" si="12"/>
        <v>1138</v>
      </c>
      <c r="I23" s="121">
        <f>I22+I18</f>
        <v>1887</v>
      </c>
      <c r="J23" s="121">
        <f t="shared" si="12"/>
        <v>103</v>
      </c>
      <c r="K23" s="122">
        <f>SUM(B23:J23)</f>
        <v>3730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[2]Frontier!$IT$47</f>
        <v>0</v>
      </c>
      <c r="C28" s="95">
        <f>'[2]Allegiant '!$IT$47</f>
        <v>0</v>
      </c>
      <c r="D28" s="95">
        <f>'[2]Aer Lingus'!$IT$47</f>
        <v>0</v>
      </c>
      <c r="E28" s="95">
        <f>'[2]Denver Air'!$IT$47</f>
        <v>0</v>
      </c>
      <c r="F28" s="95">
        <f>[2]WestJet!$IT$47</f>
        <v>0</v>
      </c>
      <c r="G28" s="95">
        <f>[2]Icelandair!$IT$47</f>
        <v>46</v>
      </c>
      <c r="H28" s="95">
        <f>[2]Southwest!$IT$47</f>
        <v>154643</v>
      </c>
      <c r="I28" s="95">
        <f>'[2]Sun Country'!$IT$47</f>
        <v>0</v>
      </c>
      <c r="J28" s="95">
        <f>[2]Alaska!$IT$47</f>
        <v>3228</v>
      </c>
      <c r="K28" s="118">
        <f>SUM(B28:J28)</f>
        <v>157917</v>
      </c>
    </row>
    <row r="29" spans="1:258" x14ac:dyDescent="0.2">
      <c r="A29" s="45" t="s">
        <v>38</v>
      </c>
      <c r="B29" s="95">
        <f>[2]Frontier!$IT$48</f>
        <v>0</v>
      </c>
      <c r="C29" s="95">
        <f>'[2]Allegiant '!$IT$48</f>
        <v>0</v>
      </c>
      <c r="D29" s="95">
        <f>'[2]Aer Lingus'!$IT$48</f>
        <v>0</v>
      </c>
      <c r="E29" s="95">
        <f>'[2]Denver Air'!$IT$48</f>
        <v>0</v>
      </c>
      <c r="F29" s="95">
        <f>[2]WestJet!$IT$48</f>
        <v>0</v>
      </c>
      <c r="G29" s="95">
        <f>[2]Icelandair!$IT$48</f>
        <v>0</v>
      </c>
      <c r="H29" s="95">
        <f>[2]Southwest!$IT$48</f>
        <v>0</v>
      </c>
      <c r="I29" s="95">
        <f>'[2]Sun Country'!$IT$48</f>
        <v>0</v>
      </c>
      <c r="J29" s="95">
        <f>[2]Alaska!$IT$48</f>
        <v>0</v>
      </c>
      <c r="K29" s="118">
        <f>SUM(B29:J29)</f>
        <v>0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46</v>
      </c>
      <c r="H30" s="133">
        <f t="shared" si="15"/>
        <v>154643</v>
      </c>
      <c r="I30" s="133">
        <f t="shared" si="15"/>
        <v>0</v>
      </c>
      <c r="J30" s="133">
        <f t="shared" si="15"/>
        <v>3228</v>
      </c>
      <c r="K30" s="135">
        <f>SUM(B30:J30)</f>
        <v>157917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[2]Frontier!$IT$52</f>
        <v>0</v>
      </c>
      <c r="C33" s="95">
        <f>'[2]Allegiant '!$IT$52</f>
        <v>0</v>
      </c>
      <c r="D33" s="95">
        <f>'[2]Aer Lingus'!$IT$52</f>
        <v>0</v>
      </c>
      <c r="E33" s="95">
        <f>'[2]Denver Air'!$IT$52</f>
        <v>0</v>
      </c>
      <c r="F33" s="95">
        <f>[2]WestJet!$IT$52</f>
        <v>0</v>
      </c>
      <c r="G33" s="95">
        <f>[2]Icelandair!$IT$52</f>
        <v>0</v>
      </c>
      <c r="H33" s="95">
        <f>[2]Southwest!$IT$52</f>
        <v>36930</v>
      </c>
      <c r="I33" s="95">
        <f>'[2]Sun Country'!$IT$52</f>
        <v>0</v>
      </c>
      <c r="J33" s="95">
        <f>[2]Alaska!$IT$52</f>
        <v>8523</v>
      </c>
      <c r="K33" s="118">
        <f>SUM(B33:J33)</f>
        <v>45453</v>
      </c>
    </row>
    <row r="34" spans="1:11" x14ac:dyDescent="0.2">
      <c r="A34" s="45" t="s">
        <v>38</v>
      </c>
      <c r="B34" s="95">
        <f>[2]Frontier!$IT$53</f>
        <v>0</v>
      </c>
      <c r="C34" s="95">
        <f>'[2]Allegiant '!$IT$53</f>
        <v>0</v>
      </c>
      <c r="D34" s="95">
        <f>'[2]Aer Lingus'!$IT$53</f>
        <v>0</v>
      </c>
      <c r="E34" s="95">
        <f>'[2]Denver Air'!$IT$53</f>
        <v>0</v>
      </c>
      <c r="F34" s="95">
        <f>[2]WestJet!$IT$53</f>
        <v>0</v>
      </c>
      <c r="G34" s="95">
        <f>[2]Icelandair!$IT$53</f>
        <v>0</v>
      </c>
      <c r="H34" s="95">
        <f>[2]Southwest!$IT$53</f>
        <v>0</v>
      </c>
      <c r="I34" s="95">
        <f>'[2]Sun Country'!$IT$53</f>
        <v>0</v>
      </c>
      <c r="J34" s="95">
        <f>[2]Alaska!$IT$53</f>
        <v>0</v>
      </c>
      <c r="K34" s="134">
        <f>SUM(B34:J34)</f>
        <v>0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36930</v>
      </c>
      <c r="I35" s="119">
        <f t="shared" si="18"/>
        <v>0</v>
      </c>
      <c r="J35" s="119">
        <f t="shared" si="18"/>
        <v>8523</v>
      </c>
      <c r="K35" s="135">
        <f>SUM(B35:J35)</f>
        <v>45453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[2]Frontier!$IT$57</f>
        <v>0</v>
      </c>
      <c r="C38" s="125">
        <f>'[2]Allegiant '!$IT$57</f>
        <v>0</v>
      </c>
      <c r="D38" s="359">
        <f>'[2]Aer Lingus'!$IT$57</f>
        <v>0</v>
      </c>
      <c r="E38" s="125">
        <f>'[2]Denver Air'!$IT$57</f>
        <v>0</v>
      </c>
      <c r="F38" s="125">
        <f>[2]WestJet!$IT$57</f>
        <v>0</v>
      </c>
      <c r="G38" s="125">
        <f>[2]Icelandair!$IT$57</f>
        <v>0</v>
      </c>
      <c r="H38" s="125">
        <f>[2]Southwest!$IT$57</f>
        <v>0</v>
      </c>
      <c r="I38" s="125">
        <f>'[2]Sun Country'!$IT$57</f>
        <v>0</v>
      </c>
      <c r="J38" s="125">
        <f>[2]Alaska!$IT$57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[2]Frontier!$IT$58</f>
        <v>0</v>
      </c>
      <c r="C39" s="128">
        <f>'[2]Allegiant '!$IT$58</f>
        <v>0</v>
      </c>
      <c r="D39" s="128">
        <f>'[2]Aer Lingus'!$IT$58</f>
        <v>0</v>
      </c>
      <c r="E39" s="128">
        <f>'[2]Denver Air'!$IT$58</f>
        <v>0</v>
      </c>
      <c r="F39" s="128">
        <f>[2]WestJet!$IT$58</f>
        <v>0</v>
      </c>
      <c r="G39" s="128">
        <f>[2]Icelandair!$IT$58</f>
        <v>0</v>
      </c>
      <c r="H39" s="128">
        <f>[2]Southwest!$IT$58</f>
        <v>0</v>
      </c>
      <c r="I39" s="128">
        <f>'[2]Sun Country'!$IT$58</f>
        <v>0</v>
      </c>
      <c r="J39" s="128">
        <f>[2]Alaska!$IT$58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46</v>
      </c>
      <c r="H43" s="125">
        <f t="shared" si="24"/>
        <v>191573</v>
      </c>
      <c r="I43" s="125">
        <f t="shared" si="24"/>
        <v>0</v>
      </c>
      <c r="J43" s="125">
        <f t="shared" si="24"/>
        <v>11751</v>
      </c>
      <c r="K43" s="118">
        <f>SUM(B43:J43)</f>
        <v>203370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0</v>
      </c>
      <c r="J44" s="128">
        <f t="shared" si="27"/>
        <v>0</v>
      </c>
      <c r="K44" s="118">
        <f>SUM(B44:J44)</f>
        <v>0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46</v>
      </c>
      <c r="H45" s="137">
        <f t="shared" si="30"/>
        <v>191573</v>
      </c>
      <c r="I45" s="137">
        <f t="shared" si="30"/>
        <v>0</v>
      </c>
      <c r="J45" s="137">
        <f t="shared" si="30"/>
        <v>11751</v>
      </c>
      <c r="K45" s="138">
        <f>SUM(B45:J45)</f>
        <v>203370</v>
      </c>
    </row>
    <row r="48" spans="1:11" x14ac:dyDescent="0.2">
      <c r="A48" s="276" t="s">
        <v>120</v>
      </c>
      <c r="B48" s="287"/>
      <c r="C48" s="287"/>
      <c r="D48" s="287"/>
      <c r="E48" s="287"/>
      <c r="F48" s="287"/>
      <c r="H48" s="242">
        <f>[2]Southwest!$IT$70+[2]Southwest!$IT$73</f>
        <v>58827</v>
      </c>
      <c r="I48" s="242">
        <f>'[2]Sun Country'!$IT$70+'[2]Sun Country'!$IT$73</f>
        <v>138294</v>
      </c>
      <c r="J48" s="287"/>
      <c r="K48" s="231">
        <f>SUM(B48:J48)</f>
        <v>197121</v>
      </c>
    </row>
    <row r="49" spans="1:11" x14ac:dyDescent="0.2">
      <c r="A49" s="289" t="s">
        <v>121</v>
      </c>
      <c r="B49" s="287"/>
      <c r="C49" s="287"/>
      <c r="D49" s="287"/>
      <c r="E49" s="287"/>
      <c r="F49" s="287"/>
      <c r="H49" s="242">
        <f>[2]Southwest!$IT$71+[2]Southwest!$IT$74</f>
        <v>517</v>
      </c>
      <c r="I49" s="242">
        <f>'[2]Sun Country'!$IT$71+'[2]Sun Country'!$IT$74</f>
        <v>0</v>
      </c>
      <c r="J49" s="287"/>
      <c r="K49" s="231">
        <f>SUM(B49:J49)</f>
        <v>517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January 2024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M18" sqref="M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8" width="10.140625" bestFit="1" customWidth="1"/>
    <col min="9" max="9" width="9.5703125" bestFit="1" customWidth="1"/>
    <col min="10" max="10" width="10.7109375" customWidth="1"/>
    <col min="11" max="11" width="9.7109375" bestFit="1" customWidth="1"/>
    <col min="12" max="12" width="9.42578125" bestFit="1" customWidth="1"/>
    <col min="13" max="13" width="10.5703125" bestFit="1" customWidth="1"/>
  </cols>
  <sheetData>
    <row r="1" spans="1:16" x14ac:dyDescent="0.2">
      <c r="A1" s="285"/>
    </row>
    <row r="2" spans="1:16" ht="51.75" thickBot="1" x14ac:dyDescent="0.25">
      <c r="A2" s="396">
        <v>45292</v>
      </c>
      <c r="B2" s="404" t="s">
        <v>155</v>
      </c>
      <c r="C2" s="404" t="s">
        <v>158</v>
      </c>
      <c r="D2" s="404" t="s">
        <v>166</v>
      </c>
      <c r="E2" s="404" t="s">
        <v>165</v>
      </c>
      <c r="F2" s="404" t="s">
        <v>167</v>
      </c>
      <c r="G2" s="404" t="s">
        <v>189</v>
      </c>
      <c r="H2" s="404" t="s">
        <v>171</v>
      </c>
      <c r="I2" s="404" t="s">
        <v>175</v>
      </c>
      <c r="J2" s="404" t="s">
        <v>187</v>
      </c>
      <c r="K2" s="404" t="s">
        <v>170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[2]Pinnacle!$IT$22+[2]Pinnacle!$IT$32</f>
        <v>42331</v>
      </c>
      <c r="C5" s="87">
        <f>[2]MESA_UA!$IT$22</f>
        <v>3734</v>
      </c>
      <c r="D5" s="95">
        <f>'[2]Sky West'!$IT$22+'[2]Sky West'!$IT$32</f>
        <v>110164</v>
      </c>
      <c r="E5" s="95">
        <f>'[2]Sky West_UA'!$IT$22</f>
        <v>3023</v>
      </c>
      <c r="F5" s="95">
        <f>'[2]Sky West_AS'!$IT$22</f>
        <v>0</v>
      </c>
      <c r="G5" s="95">
        <f>'[2]Sky West_AA'!$IT$22</f>
        <v>0</v>
      </c>
      <c r="H5" s="95">
        <f>[2]Republic!$IT$22</f>
        <v>2036</v>
      </c>
      <c r="I5" s="95">
        <f>[2]Republic_UA!$IT$22</f>
        <v>1989</v>
      </c>
      <c r="J5" s="95">
        <f>'[2]Sky Regional'!$IT$32</f>
        <v>0</v>
      </c>
      <c r="K5" s="95">
        <f>'[2]American Eagle'!$IT$22</f>
        <v>920</v>
      </c>
      <c r="L5" s="95">
        <f>'Other Regional'!L5</f>
        <v>10074</v>
      </c>
      <c r="M5" s="88">
        <f>SUM(B5:L5)</f>
        <v>174271</v>
      </c>
    </row>
    <row r="6" spans="1:16" s="6" customFormat="1" x14ac:dyDescent="0.2">
      <c r="A6" s="45" t="s">
        <v>31</v>
      </c>
      <c r="B6" s="87">
        <f>[2]Pinnacle!$IT$23+[2]Pinnacle!$IT$33</f>
        <v>40768</v>
      </c>
      <c r="C6" s="87">
        <f>[2]MESA_UA!$IT$23</f>
        <v>3537</v>
      </c>
      <c r="D6" s="95">
        <f>'[2]Sky West'!$IT$23+'[2]Sky West'!$IT$33</f>
        <v>111936</v>
      </c>
      <c r="E6" s="95">
        <f>'[2]Sky West_UA'!$IT$23</f>
        <v>2879</v>
      </c>
      <c r="F6" s="95">
        <f>'[2]Sky West_AS'!$IT$23</f>
        <v>0</v>
      </c>
      <c r="G6" s="95">
        <f>'[2]Sky West_AA'!$IT$23</f>
        <v>0</v>
      </c>
      <c r="H6" s="95">
        <f>[2]Republic!$IT$23</f>
        <v>2466</v>
      </c>
      <c r="I6" s="95">
        <f>[2]Republic_UA!$IT$23</f>
        <v>2020</v>
      </c>
      <c r="J6" s="95">
        <f>'[2]Sky Regional'!$IT$33</f>
        <v>0</v>
      </c>
      <c r="K6" s="95">
        <f>'[2]American Eagle'!$IT$23</f>
        <v>776</v>
      </c>
      <c r="L6" s="95">
        <f>'Other Regional'!L6</f>
        <v>9420</v>
      </c>
      <c r="M6" s="92">
        <f>SUM(B6:L6)</f>
        <v>173802</v>
      </c>
    </row>
    <row r="7" spans="1:16" ht="15" thickBot="1" x14ac:dyDescent="0.25">
      <c r="A7" s="54" t="s">
        <v>7</v>
      </c>
      <c r="B7" s="105">
        <f>SUM(B5:B6)</f>
        <v>83099</v>
      </c>
      <c r="C7" s="105">
        <f t="shared" ref="C7:L7" si="0">SUM(C5:C6)</f>
        <v>7271</v>
      </c>
      <c r="D7" s="105">
        <f t="shared" si="0"/>
        <v>222100</v>
      </c>
      <c r="E7" s="105">
        <f t="shared" si="0"/>
        <v>5902</v>
      </c>
      <c r="F7" s="105">
        <f t="shared" ref="F7:G7" si="1">SUM(F5:F6)</f>
        <v>0</v>
      </c>
      <c r="G7" s="105">
        <f t="shared" si="1"/>
        <v>0</v>
      </c>
      <c r="H7" s="105">
        <f t="shared" si="0"/>
        <v>4502</v>
      </c>
      <c r="I7" s="105">
        <f t="shared" si="0"/>
        <v>4009</v>
      </c>
      <c r="J7" s="105">
        <f t="shared" si="0"/>
        <v>0</v>
      </c>
      <c r="K7" s="105">
        <f t="shared" si="0"/>
        <v>1696</v>
      </c>
      <c r="L7" s="105">
        <f t="shared" si="0"/>
        <v>19494</v>
      </c>
      <c r="M7" s="106">
        <f>SUM(B7:L7)</f>
        <v>348073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[2]Pinnacle!$IT$27+[2]Pinnacle!$IT$37</f>
        <v>1611</v>
      </c>
      <c r="C10" s="87">
        <f>[2]MESA_UA!$IT$27</f>
        <v>102</v>
      </c>
      <c r="D10" s="95">
        <f>'[2]Sky West'!$IT$27+'[2]Sky West'!$IT$37</f>
        <v>3657</v>
      </c>
      <c r="E10" s="95">
        <f>'[2]Sky West_UA'!$IT$27</f>
        <v>128</v>
      </c>
      <c r="F10" s="95">
        <f>'[2]Sky West_AS'!$IT$27</f>
        <v>0</v>
      </c>
      <c r="G10" s="95">
        <f>'[2]Sky West_AA'!$IT$27</f>
        <v>0</v>
      </c>
      <c r="H10" s="95">
        <f>[2]Republic!$IT$27</f>
        <v>159</v>
      </c>
      <c r="I10" s="95">
        <f>[2]Republic_UA!$IT$27</f>
        <v>70</v>
      </c>
      <c r="J10" s="95">
        <f>'[2]Sky Regional'!$IT$37</f>
        <v>0</v>
      </c>
      <c r="K10" s="95">
        <f>'[2]American Eagle'!$IT$27</f>
        <v>41</v>
      </c>
      <c r="L10" s="95">
        <f>'Other Regional'!L10</f>
        <v>216</v>
      </c>
      <c r="M10" s="88">
        <f>SUM(B10:L10)</f>
        <v>5984</v>
      </c>
    </row>
    <row r="11" spans="1:16" x14ac:dyDescent="0.2">
      <c r="A11" s="45" t="s">
        <v>33</v>
      </c>
      <c r="B11" s="87">
        <f>[2]Pinnacle!$IT$28+[2]Pinnacle!$IT$38</f>
        <v>1557</v>
      </c>
      <c r="C11" s="87">
        <f>[2]MESA_UA!$IT$28</f>
        <v>115</v>
      </c>
      <c r="D11" s="95">
        <f>'[2]Sky West'!$IT$28+'[2]Sky West'!$IT$38</f>
        <v>3711</v>
      </c>
      <c r="E11" s="95">
        <f>'[2]Sky West_UA'!$IT$28</f>
        <v>128</v>
      </c>
      <c r="F11" s="95">
        <f>'[2]Sky West_AS'!$IT$28</f>
        <v>0</v>
      </c>
      <c r="G11" s="95">
        <f>'[2]Sky West_AA'!$IT$28</f>
        <v>0</v>
      </c>
      <c r="H11" s="95">
        <f>[2]Republic!$IT$28</f>
        <v>160</v>
      </c>
      <c r="I11" s="95">
        <f>[2]Republic_UA!$IT$28</f>
        <v>61</v>
      </c>
      <c r="J11" s="95">
        <f>'[2]Sky Regional'!$IT$38</f>
        <v>0</v>
      </c>
      <c r="K11" s="95">
        <f>'[2]American Eagle'!$IT$28</f>
        <v>41</v>
      </c>
      <c r="L11" s="95">
        <f>'Other Regional'!L11</f>
        <v>230</v>
      </c>
      <c r="M11" s="92">
        <f>SUM(B11:L11)</f>
        <v>6003</v>
      </c>
    </row>
    <row r="12" spans="1:16" ht="15" thickBot="1" x14ac:dyDescent="0.25">
      <c r="A12" s="55" t="s">
        <v>34</v>
      </c>
      <c r="B12" s="108">
        <f t="shared" ref="B12:L12" si="2">SUM(B10:B11)</f>
        <v>3168</v>
      </c>
      <c r="C12" s="108">
        <f t="shared" si="2"/>
        <v>217</v>
      </c>
      <c r="D12" s="108">
        <f t="shared" si="2"/>
        <v>7368</v>
      </c>
      <c r="E12" s="108">
        <f t="shared" si="2"/>
        <v>256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319</v>
      </c>
      <c r="I12" s="108">
        <f t="shared" si="2"/>
        <v>131</v>
      </c>
      <c r="J12" s="108">
        <f t="shared" si="2"/>
        <v>0</v>
      </c>
      <c r="K12" s="108">
        <f t="shared" si="2"/>
        <v>82</v>
      </c>
      <c r="L12" s="108">
        <f t="shared" si="2"/>
        <v>446</v>
      </c>
      <c r="M12" s="109">
        <f>SUM(B12:L12)</f>
        <v>11987</v>
      </c>
    </row>
    <row r="13" spans="1:16" ht="13.5" thickBot="1" x14ac:dyDescent="0.25">
      <c r="B13" s="95"/>
    </row>
    <row r="14" spans="1:16" ht="15.75" thickTop="1" x14ac:dyDescent="0.25">
      <c r="A14" s="44" t="s">
        <v>9</v>
      </c>
      <c r="B14" s="437" t="s">
        <v>234</v>
      </c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[2]Pinnacle!$IT$4+[2]Pinnacle!$IT$15</f>
        <v>714</v>
      </c>
      <c r="C15" s="86">
        <f>[2]MESA_UA!$IT$4</f>
        <v>58</v>
      </c>
      <c r="D15" s="85">
        <f>'[2]Sky West'!$IT$4+'[2]Sky West'!$IT$15</f>
        <v>2176</v>
      </c>
      <c r="E15" s="85">
        <f>'[2]Sky West_UA'!$IT$4</f>
        <v>46</v>
      </c>
      <c r="F15" s="85">
        <f>'[2]Sky West_AS'!$IT$4</f>
        <v>0</v>
      </c>
      <c r="G15" s="85">
        <f>'[2]Sky West_AA'!$IT$4</f>
        <v>0</v>
      </c>
      <c r="H15" s="87">
        <f>[2]Republic!$IT$4</f>
        <v>54</v>
      </c>
      <c r="I15" s="333">
        <f>[2]Republic_UA!$IT$4</f>
        <v>31</v>
      </c>
      <c r="J15" s="333">
        <f>'[2]Sky Regional'!$IT$15</f>
        <v>0</v>
      </c>
      <c r="K15" s="87">
        <f>'[2]American Eagle'!$IT$4</f>
        <v>17</v>
      </c>
      <c r="L15" s="86">
        <f>'Other Regional'!L15</f>
        <v>206</v>
      </c>
      <c r="M15" s="88">
        <f t="shared" ref="M15:M20" si="5">SUM(B15:L15)</f>
        <v>3302</v>
      </c>
    </row>
    <row r="16" spans="1:16" x14ac:dyDescent="0.2">
      <c r="A16" s="45" t="s">
        <v>54</v>
      </c>
      <c r="B16" s="7">
        <f>[2]Pinnacle!$IT$5+[2]Pinnacle!$IT$16</f>
        <v>717</v>
      </c>
      <c r="C16" s="90">
        <f>[2]MESA_UA!$IT$5</f>
        <v>58</v>
      </c>
      <c r="D16" s="89">
        <f>'[2]Sky West'!$IT$5+'[2]Sky West'!$IT$16</f>
        <v>2183</v>
      </c>
      <c r="E16" s="89">
        <f>'[2]Sky West_UA'!$IT$5</f>
        <v>46</v>
      </c>
      <c r="F16" s="89">
        <f>'[2]Sky West_AS'!$IT$5</f>
        <v>0</v>
      </c>
      <c r="G16" s="89">
        <f>'[2]Sky West_AA'!$IT$5</f>
        <v>0</v>
      </c>
      <c r="H16" s="91">
        <f>[2]Republic!$IT$5</f>
        <v>54</v>
      </c>
      <c r="I16" s="218">
        <f>[2]Republic_UA!$IT$5</f>
        <v>32</v>
      </c>
      <c r="J16" s="218">
        <f>'[2]Sky Regional'!$IT$16</f>
        <v>0</v>
      </c>
      <c r="K16" s="91">
        <f>'[2]American Eagle'!$IT$5</f>
        <v>17</v>
      </c>
      <c r="L16" s="90">
        <f>'Other Regional'!L16</f>
        <v>206</v>
      </c>
      <c r="M16" s="92">
        <f t="shared" si="5"/>
        <v>3313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1431</v>
      </c>
      <c r="C17" s="93">
        <f t="shared" si="6"/>
        <v>116</v>
      </c>
      <c r="D17" s="93">
        <f t="shared" si="6"/>
        <v>4359</v>
      </c>
      <c r="E17" s="93">
        <f t="shared" si="6"/>
        <v>92</v>
      </c>
      <c r="F17" s="93">
        <f t="shared" ref="F17:G17" si="7">SUM(F15:F16)</f>
        <v>0</v>
      </c>
      <c r="G17" s="93">
        <f t="shared" si="7"/>
        <v>0</v>
      </c>
      <c r="H17" s="93">
        <f>SUM(H15:H16)</f>
        <v>108</v>
      </c>
      <c r="I17" s="93">
        <f t="shared" ref="I17:J17" si="8">SUM(I15:I16)</f>
        <v>63</v>
      </c>
      <c r="J17" s="93">
        <f t="shared" si="8"/>
        <v>0</v>
      </c>
      <c r="K17" s="93">
        <f>SUM(K15:K16)</f>
        <v>34</v>
      </c>
      <c r="L17" s="93">
        <f>SUM(L15:L16)</f>
        <v>412</v>
      </c>
      <c r="M17" s="94">
        <f t="shared" si="5"/>
        <v>6615</v>
      </c>
    </row>
    <row r="18" spans="1:13" x14ac:dyDescent="0.2">
      <c r="A18" s="45" t="s">
        <v>56</v>
      </c>
      <c r="B18" s="95">
        <f>[2]Pinnacle!$IT$8</f>
        <v>1</v>
      </c>
      <c r="C18" s="87">
        <f>[2]MESA_UA!$IT$8</f>
        <v>0</v>
      </c>
      <c r="D18" s="95">
        <f>'[2]Sky West'!$IT$8</f>
        <v>1</v>
      </c>
      <c r="E18" s="95">
        <f>'[2]Sky West_UA'!$IT$8</f>
        <v>0</v>
      </c>
      <c r="F18" s="95">
        <f>'[2]Sky West_AS'!$IT$8</f>
        <v>0</v>
      </c>
      <c r="G18" s="95">
        <f>'[2]Sky West_AA'!$IT$8</f>
        <v>0</v>
      </c>
      <c r="H18" s="95">
        <f>[2]Republic!$IT$8</f>
        <v>0</v>
      </c>
      <c r="I18" s="95">
        <f>[2]Republic_UA!$IT$8</f>
        <v>1</v>
      </c>
      <c r="J18" s="95">
        <f>'[2]Sky Regional'!$IT$8</f>
        <v>0</v>
      </c>
      <c r="K18" s="95">
        <f>'[2]American Eagle'!$IT$8</f>
        <v>0</v>
      </c>
      <c r="L18" s="95">
        <f>'Other Regional'!L18</f>
        <v>0</v>
      </c>
      <c r="M18" s="88">
        <f t="shared" si="5"/>
        <v>3</v>
      </c>
    </row>
    <row r="19" spans="1:13" x14ac:dyDescent="0.2">
      <c r="A19" s="45" t="s">
        <v>57</v>
      </c>
      <c r="B19" s="96">
        <f>[2]Pinnacle!$IT$9</f>
        <v>0</v>
      </c>
      <c r="C19" s="91">
        <f>[2]MESA_UA!$IT$9</f>
        <v>0</v>
      </c>
      <c r="D19" s="96">
        <f>'[2]Sky West'!$IT$9</f>
        <v>3</v>
      </c>
      <c r="E19" s="96">
        <f>'[2]Sky West_UA'!$IT$9</f>
        <v>0</v>
      </c>
      <c r="F19" s="96">
        <f>'[2]Sky West_AS'!$IT$9</f>
        <v>0</v>
      </c>
      <c r="G19" s="96">
        <f>'[2]Sky West_AA'!$IT$9</f>
        <v>0</v>
      </c>
      <c r="H19" s="96">
        <f>[2]Republic!$IT$9</f>
        <v>0</v>
      </c>
      <c r="I19" s="96">
        <f>[2]Republic_UA!$IT$9</f>
        <v>0</v>
      </c>
      <c r="J19" s="96">
        <f>'[2]Sky Regional'!$IT$9</f>
        <v>0</v>
      </c>
      <c r="K19" s="96">
        <f>'[2]American Eagle'!$IT$9</f>
        <v>0</v>
      </c>
      <c r="L19" s="96">
        <f>'Other Regional'!L19</f>
        <v>0</v>
      </c>
      <c r="M19" s="92">
        <f t="shared" si="5"/>
        <v>3</v>
      </c>
    </row>
    <row r="20" spans="1:13" x14ac:dyDescent="0.2">
      <c r="A20" s="49" t="s">
        <v>58</v>
      </c>
      <c r="B20" s="93">
        <f t="shared" ref="B20:L20" si="9">SUM(B18:B19)</f>
        <v>1</v>
      </c>
      <c r="C20" s="93">
        <f t="shared" si="9"/>
        <v>0</v>
      </c>
      <c r="D20" s="93">
        <f t="shared" si="9"/>
        <v>4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1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6</v>
      </c>
    </row>
    <row r="21" spans="1:13" ht="15.75" thickBot="1" x14ac:dyDescent="0.3">
      <c r="A21" s="53" t="s">
        <v>28</v>
      </c>
      <c r="B21" s="97">
        <f>SUM(B20,B17)</f>
        <v>1432</v>
      </c>
      <c r="C21" s="97">
        <f t="shared" ref="C21:K21" si="11">SUM(C20,C17)</f>
        <v>116</v>
      </c>
      <c r="D21" s="97">
        <f t="shared" si="11"/>
        <v>4363</v>
      </c>
      <c r="E21" s="97">
        <f t="shared" si="11"/>
        <v>92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108</v>
      </c>
      <c r="I21" s="97">
        <f t="shared" si="11"/>
        <v>64</v>
      </c>
      <c r="J21" s="97">
        <f t="shared" si="11"/>
        <v>0</v>
      </c>
      <c r="K21" s="97">
        <f t="shared" si="11"/>
        <v>34</v>
      </c>
      <c r="L21" s="97">
        <f>SUM(L20,L17)</f>
        <v>412</v>
      </c>
      <c r="M21" s="98">
        <f>SUM(B21:L21)</f>
        <v>6621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[2]Pinnacle!$IT$47</f>
        <v>0</v>
      </c>
      <c r="C25" s="87">
        <f>[2]MESA_UA!$IT$47</f>
        <v>0</v>
      </c>
      <c r="D25" s="95">
        <f>'[2]Sky West'!$IT$47</f>
        <v>0</v>
      </c>
      <c r="E25" s="95">
        <f>'[2]Sky West_UA'!$IT$47</f>
        <v>0</v>
      </c>
      <c r="F25" s="95">
        <f>'[2]Sky West_AS'!$IT$47</f>
        <v>0</v>
      </c>
      <c r="G25" s="95">
        <f>'[2]Sky West_AA'!$IT$47</f>
        <v>0</v>
      </c>
      <c r="H25" s="95">
        <f>[2]Republic!$IT$47</f>
        <v>1196</v>
      </c>
      <c r="I25" s="95">
        <f>[2]Republic_UA!$IT$47</f>
        <v>0</v>
      </c>
      <c r="J25" s="95">
        <f>'[2]Sky Regional'!$IT$47</f>
        <v>0</v>
      </c>
      <c r="K25" s="95">
        <f>'[2]American Eagle'!$IT$47</f>
        <v>0</v>
      </c>
      <c r="L25" s="95">
        <f>'Other Regional'!L25</f>
        <v>7251.8</v>
      </c>
      <c r="M25" s="88">
        <f>SUM(B25:L25)</f>
        <v>8447.7999999999993</v>
      </c>
    </row>
    <row r="26" spans="1:13" x14ac:dyDescent="0.2">
      <c r="A26" s="45" t="s">
        <v>38</v>
      </c>
      <c r="B26" s="95">
        <f>[2]Pinnacle!$IT$48</f>
        <v>0</v>
      </c>
      <c r="C26" s="87">
        <f>[2]MESA_UA!$IT$48</f>
        <v>0</v>
      </c>
      <c r="D26" s="95">
        <f>'[2]Sky West'!$IT$48</f>
        <v>0</v>
      </c>
      <c r="E26" s="95">
        <f>'[2]Sky West_UA'!$IT$48</f>
        <v>0</v>
      </c>
      <c r="F26" s="95">
        <f>'[2]Sky West_AS'!$IT$48</f>
        <v>0</v>
      </c>
      <c r="G26" s="95">
        <f>'[2]Sky West_AA'!$IT$48</f>
        <v>0</v>
      </c>
      <c r="H26" s="95">
        <f>[2]Republic!$IT$48</f>
        <v>0</v>
      </c>
      <c r="I26" s="95">
        <f>[2]Republic_UA!$IT$48</f>
        <v>0</v>
      </c>
      <c r="J26" s="95">
        <f>'[2]Sky Regional'!$IT$48</f>
        <v>0</v>
      </c>
      <c r="K26" s="95">
        <f>'[2]American Eagle'!$IT$48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1196</v>
      </c>
      <c r="I27" s="105">
        <f t="shared" si="13"/>
        <v>0</v>
      </c>
      <c r="J27" s="105">
        <f t="shared" si="13"/>
        <v>0</v>
      </c>
      <c r="K27" s="105">
        <f t="shared" si="13"/>
        <v>0</v>
      </c>
      <c r="L27" s="105">
        <f t="shared" si="13"/>
        <v>7251.8</v>
      </c>
      <c r="M27" s="106">
        <f>SUM(B27:L27)</f>
        <v>8447.7999999999993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[2]Pinnacle!$IT$52</f>
        <v>0</v>
      </c>
      <c r="C30" s="87">
        <f>[2]MESA_UA!$IT$52</f>
        <v>0</v>
      </c>
      <c r="D30" s="95">
        <f>'[2]Sky West'!$IT$52</f>
        <v>0</v>
      </c>
      <c r="E30" s="95">
        <f>'[2]Sky West_UA'!$IT$52</f>
        <v>0</v>
      </c>
      <c r="F30" s="95">
        <f>'[2]Sky West_AS'!$IT$52</f>
        <v>0</v>
      </c>
      <c r="G30" s="95">
        <f>'[2]Sky West_AA'!$IT$52</f>
        <v>0</v>
      </c>
      <c r="H30" s="95">
        <f>[2]Republic!$IT$52</f>
        <v>0</v>
      </c>
      <c r="I30" s="95">
        <f>[2]Republic_UA!$IT$52</f>
        <v>0</v>
      </c>
      <c r="J30" s="95">
        <f>'[2]Sky Regional'!$IT$52</f>
        <v>0</v>
      </c>
      <c r="K30" s="95">
        <f>'[2]American Eagle'!$IT$52</f>
        <v>0</v>
      </c>
      <c r="L30" s="95">
        <f>'Other Regional'!L30</f>
        <v>5114.7</v>
      </c>
      <c r="M30" s="88">
        <f t="shared" ref="M30:M37" si="15">SUM(B30:L30)</f>
        <v>5114.7</v>
      </c>
    </row>
    <row r="31" spans="1:13" x14ac:dyDescent="0.2">
      <c r="A31" s="45" t="s">
        <v>60</v>
      </c>
      <c r="B31" s="95">
        <f>[2]Pinnacle!$IT$53</f>
        <v>0</v>
      </c>
      <c r="C31" s="87">
        <f>[2]MESA_UA!$IT$53</f>
        <v>0</v>
      </c>
      <c r="D31" s="95">
        <f>'[2]Sky West'!$IT$53</f>
        <v>0</v>
      </c>
      <c r="E31" s="95">
        <f>'[2]Sky West_UA'!$IT$53</f>
        <v>0</v>
      </c>
      <c r="F31" s="95">
        <f>'[2]Sky West_AS'!$IT$53</f>
        <v>0</v>
      </c>
      <c r="G31" s="95">
        <f>'[2]Sky West_AA'!$IT$53</f>
        <v>0</v>
      </c>
      <c r="H31" s="95">
        <f>[2]Republic!$IT$53</f>
        <v>0</v>
      </c>
      <c r="I31" s="95">
        <f>[2]Republic_UA!$IT$53</f>
        <v>0</v>
      </c>
      <c r="J31" s="95">
        <f>'[2]Sky Regional'!$IT$53</f>
        <v>0</v>
      </c>
      <c r="K31" s="95">
        <f>'[2]American Eagle'!$IT$53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0</v>
      </c>
      <c r="L32" s="105">
        <f>SUM(L30:L31)</f>
        <v>5114.7</v>
      </c>
      <c r="M32" s="106">
        <f t="shared" si="15"/>
        <v>5114.7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[2]Pinnacle!$IT$57</f>
        <v>0</v>
      </c>
      <c r="C35" s="87">
        <f>[2]MESA_UA!$IT$57</f>
        <v>0</v>
      </c>
      <c r="D35" s="95">
        <f>'[2]Sky West'!$IT$57</f>
        <v>0</v>
      </c>
      <c r="E35" s="95">
        <f>'[2]Sky West_UA'!$IT$57</f>
        <v>0</v>
      </c>
      <c r="F35" s="95">
        <f>'[2]Sky West_AS'!$IT$57</f>
        <v>0</v>
      </c>
      <c r="G35" s="95">
        <f>'[2]Sky West_AA'!$IT$57</f>
        <v>0</v>
      </c>
      <c r="H35" s="95">
        <f>[2]Republic!$IT$57</f>
        <v>0</v>
      </c>
      <c r="I35" s="95">
        <f>[2]Republic!$IT$57</f>
        <v>0</v>
      </c>
      <c r="J35" s="95">
        <f>[2]Republic!$IT$57</f>
        <v>0</v>
      </c>
      <c r="K35" s="95">
        <f>'[2]American Eagle'!$IT$57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[2]Pinnacle!$IT$58</f>
        <v>0</v>
      </c>
      <c r="C36" s="87">
        <f>[2]MESA_UA!$IT$58</f>
        <v>0</v>
      </c>
      <c r="D36" s="95">
        <f>'[2]Sky West'!$IT$58</f>
        <v>0</v>
      </c>
      <c r="E36" s="95">
        <f>'[2]Sky West_UA'!$IT$58</f>
        <v>0</v>
      </c>
      <c r="F36" s="95">
        <f>'[2]Sky West_AS'!$IT$58</f>
        <v>0</v>
      </c>
      <c r="G36" s="95">
        <f>'[2]Sky West_AA'!$IT$58</f>
        <v>0</v>
      </c>
      <c r="H36" s="95">
        <f>[2]Republic!$IT$58</f>
        <v>0</v>
      </c>
      <c r="I36" s="95">
        <f>[2]Republic!$IT$58</f>
        <v>0</v>
      </c>
      <c r="J36" s="95">
        <f>[2]Republic!$IT$58</f>
        <v>0</v>
      </c>
      <c r="K36" s="95">
        <f>'[2]American Eagle'!$IT$58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1196</v>
      </c>
      <c r="I40" s="95">
        <f t="shared" si="20"/>
        <v>0</v>
      </c>
      <c r="J40" s="95">
        <f t="shared" si="20"/>
        <v>0</v>
      </c>
      <c r="K40" s="95">
        <f>SUM(K35,K30,K25)</f>
        <v>0</v>
      </c>
      <c r="L40" s="95">
        <f>L35+L30+L25</f>
        <v>12366.5</v>
      </c>
      <c r="M40" s="88">
        <f>SUM(B40:L40)</f>
        <v>13562.5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1196</v>
      </c>
      <c r="I42" s="108">
        <f t="shared" si="20"/>
        <v>0</v>
      </c>
      <c r="J42" s="108">
        <f t="shared" si="20"/>
        <v>0</v>
      </c>
      <c r="K42" s="108">
        <f>SUM(K37,K32,K27)</f>
        <v>0</v>
      </c>
      <c r="L42" s="108">
        <f>SUM(L37,L32,L27)</f>
        <v>12366.5</v>
      </c>
      <c r="M42" s="109">
        <f>SUM(B42:L42)</f>
        <v>13562.5</v>
      </c>
    </row>
    <row r="44" spans="1:13" x14ac:dyDescent="0.2">
      <c r="A44" s="276" t="s">
        <v>120</v>
      </c>
      <c r="B44" s="241">
        <f>[2]Pinnacle!$IT$70+[2]Pinnacle!$IT$73</f>
        <v>13194</v>
      </c>
      <c r="D44" s="242">
        <f>'[2]Sky West'!$IT$70+'[2]Sky West'!$IT$73</f>
        <v>37147</v>
      </c>
      <c r="E44" s="2"/>
      <c r="F44" s="2"/>
      <c r="G44" s="2"/>
      <c r="L44" s="242">
        <f>+'Other Regional'!L46</f>
        <v>0</v>
      </c>
      <c r="M44" s="231">
        <f>SUM(B44:L44)</f>
        <v>50341</v>
      </c>
    </row>
    <row r="45" spans="1:13" x14ac:dyDescent="0.2">
      <c r="A45" s="289" t="s">
        <v>121</v>
      </c>
      <c r="B45" s="241">
        <f>[2]Pinnacle!$IT$71+[2]Pinnacle!$IT$74</f>
        <v>27574</v>
      </c>
      <c r="D45" s="242">
        <f>'[2]Sky West'!$IT$71+'[2]Sky West'!$IT$74</f>
        <v>74789</v>
      </c>
      <c r="E45" s="2"/>
      <c r="F45" s="2"/>
      <c r="G45" s="2"/>
      <c r="L45" s="242">
        <f>+'Other Regional'!L47</f>
        <v>0</v>
      </c>
      <c r="M45" s="231">
        <f>SUM(B45:L45)</f>
        <v>102363</v>
      </c>
    </row>
    <row r="46" spans="1:13" x14ac:dyDescent="0.2">
      <c r="A46" s="232" t="s">
        <v>122</v>
      </c>
      <c r="B46" s="233">
        <f>SUM(B44:B45)</f>
        <v>40768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January 2024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G16" sqref="G1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45292</v>
      </c>
      <c r="B2" s="405" t="s">
        <v>169</v>
      </c>
      <c r="C2" s="405" t="s">
        <v>168</v>
      </c>
      <c r="D2" s="405" t="s">
        <v>188</v>
      </c>
      <c r="E2" s="405" t="s">
        <v>235</v>
      </c>
      <c r="F2" s="405" t="s">
        <v>215</v>
      </c>
      <c r="G2" s="405" t="s">
        <v>176</v>
      </c>
      <c r="H2" s="405" t="s">
        <v>173</v>
      </c>
      <c r="I2" s="405" t="s">
        <v>172</v>
      </c>
      <c r="J2" s="405" t="s">
        <v>157</v>
      </c>
      <c r="K2" s="405" t="s">
        <v>160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'[2]Shuttle America'!$IT$22</f>
        <v>0</v>
      </c>
      <c r="C5" s="87">
        <f>'[2]Shuttle America_Delta'!$IT$22</f>
        <v>0</v>
      </c>
      <c r="D5" s="333">
        <f>[2]Horizon_AS!$IT$22+[2]Horizon_AS!$IT$32</f>
        <v>0</v>
      </c>
      <c r="E5" s="333">
        <f>'[2]Air Wisconsin'!$IT$22</f>
        <v>2169</v>
      </c>
      <c r="F5" s="333">
        <f>[2]Jazz_AC!$IT$22+[2]Jazz_AC!$IT$32</f>
        <v>3974</v>
      </c>
      <c r="G5" s="333">
        <f>[2]PSA!$IT$22</f>
        <v>3931</v>
      </c>
      <c r="H5" s="87">
        <f>'[2]Atlantic Southeast'!$IT$22+'[2]Atlantic Southeast'!$IT$32</f>
        <v>0</v>
      </c>
      <c r="I5" s="87">
        <f>'[2]Continental Express'!$IT$22</f>
        <v>0</v>
      </c>
      <c r="J5" s="95">
        <f>'[2]Go Jet_UA'!$IT$22</f>
        <v>0</v>
      </c>
      <c r="K5" s="12">
        <f>'[2]Go Jet'!$IT$22+'[2]Go Jet'!$IT$32</f>
        <v>0</v>
      </c>
      <c r="L5" s="88">
        <f>SUM(B5:K5)</f>
        <v>10074</v>
      </c>
    </row>
    <row r="6" spans="1:12" s="6" customFormat="1" x14ac:dyDescent="0.2">
      <c r="A6" s="45" t="s">
        <v>31</v>
      </c>
      <c r="B6" s="87">
        <f>'[2]Shuttle America'!$IT$23</f>
        <v>0</v>
      </c>
      <c r="C6" s="87">
        <f>'[2]Shuttle America_Delta'!$IT$23</f>
        <v>0</v>
      </c>
      <c r="D6" s="333">
        <f>[2]Horizon_AS!$IT$23+[2]Horizon_AS!$IT$33</f>
        <v>0</v>
      </c>
      <c r="E6" s="333">
        <f>'[2]Air Wisconsin'!$IT$23</f>
        <v>2162</v>
      </c>
      <c r="F6" s="333">
        <f>[2]Jazz_AC!$IT$23+[2]Jazz_AC!$IT$33</f>
        <v>3553</v>
      </c>
      <c r="G6" s="333">
        <f>[2]PSA!$IT$23</f>
        <v>3705</v>
      </c>
      <c r="H6" s="87">
        <f>'[2]Atlantic Southeast'!$IT$23+'[2]Atlantic Southeast'!$IT$33</f>
        <v>0</v>
      </c>
      <c r="I6" s="87">
        <f>'[2]Continental Express'!$IT$23</f>
        <v>0</v>
      </c>
      <c r="J6" s="95">
        <f>'[2]Go Jet_UA'!$IT$23</f>
        <v>0</v>
      </c>
      <c r="K6" s="7">
        <f>'[2]Go Jet'!$IT$23+'[2]Go Jet'!$IT$33</f>
        <v>0</v>
      </c>
      <c r="L6" s="92">
        <f>SUM(B6:K6)</f>
        <v>9420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4331</v>
      </c>
      <c r="F7" s="105">
        <f t="shared" si="1"/>
        <v>7527</v>
      </c>
      <c r="G7" s="105">
        <f t="shared" si="0"/>
        <v>7636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19494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'[2]Shuttle America'!$IT$27</f>
        <v>0</v>
      </c>
      <c r="C10" s="87">
        <f>'[2]Shuttle America_Delta'!$IT$27</f>
        <v>0</v>
      </c>
      <c r="D10" s="333">
        <f>[2]Horizon_AS!$IT$27+[2]Horizon_AS!$IT$37</f>
        <v>0</v>
      </c>
      <c r="E10" s="333">
        <f>'[2]Air Wisconsin'!$IT$27</f>
        <v>73</v>
      </c>
      <c r="F10" s="333">
        <f>[2]Jazz_AC!$IT$27+[2]Jazz_AC!$IT$37</f>
        <v>46</v>
      </c>
      <c r="G10" s="333">
        <f>[2]PSA!$IT$27</f>
        <v>97</v>
      </c>
      <c r="H10" s="12">
        <f>'[2]Atlantic Southeast'!$IT$27+'[2]Atlantic Southeast'!$IT$37</f>
        <v>0</v>
      </c>
      <c r="I10" s="87">
        <f>'[2]Continental Express'!$IT$27</f>
        <v>0</v>
      </c>
      <c r="J10" s="95">
        <f>'[2]Go Jet_UA'!$IT$27</f>
        <v>0</v>
      </c>
      <c r="K10" s="12">
        <f>'[2]Go Jet'!$IT$27+'[2]Go Jet'!$IT$37</f>
        <v>0</v>
      </c>
      <c r="L10" s="88">
        <f>SUM(B10:K10)</f>
        <v>216</v>
      </c>
    </row>
    <row r="11" spans="1:12" x14ac:dyDescent="0.2">
      <c r="A11" s="45" t="s">
        <v>33</v>
      </c>
      <c r="B11" s="87">
        <f>'[2]Shuttle America'!$IT$28</f>
        <v>0</v>
      </c>
      <c r="C11" s="87">
        <f>'[2]Shuttle America_Delta'!$IT$28</f>
        <v>0</v>
      </c>
      <c r="D11" s="333">
        <f>[2]Horizon_AS!$IT$28+[2]Horizon_AS!$IT$38</f>
        <v>0</v>
      </c>
      <c r="E11" s="333">
        <f>'[2]Air Wisconsin'!$IT$28</f>
        <v>61</v>
      </c>
      <c r="F11" s="333">
        <f>[2]Jazz_AC!$IT$28+[2]Jazz_AC!$IT$38</f>
        <v>46</v>
      </c>
      <c r="G11" s="333">
        <f>[2]PSA!$IT$28</f>
        <v>123</v>
      </c>
      <c r="H11" s="7">
        <f>'[2]Atlantic Southeast'!$IT$28+'[2]Atlantic Southeast'!$IT$38</f>
        <v>0</v>
      </c>
      <c r="I11" s="87">
        <f>'[2]Continental Express'!$IT$28</f>
        <v>0</v>
      </c>
      <c r="J11" s="95">
        <f>'[2]Go Jet_UA'!$IT$28</f>
        <v>0</v>
      </c>
      <c r="K11" s="7">
        <f>'[2]Go Jet'!$IT$28+'[2]Go Jet'!$IT$38</f>
        <v>0</v>
      </c>
      <c r="L11" s="92">
        <f>SUM(B11:K11)</f>
        <v>230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134</v>
      </c>
      <c r="F12" s="108">
        <f t="shared" si="3"/>
        <v>92</v>
      </c>
      <c r="G12" s="108">
        <f t="shared" si="2"/>
        <v>220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446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'[2]Shuttle America'!$IT$4</f>
        <v>0</v>
      </c>
      <c r="C15" s="85">
        <f>'[2]Shuttle America_Delta'!$IT$4</f>
        <v>0</v>
      </c>
      <c r="D15" s="334">
        <f>[2]Horizon_AS!$IT$4</f>
        <v>0</v>
      </c>
      <c r="E15" s="334">
        <f>'[2]Air Wisconsin'!$IT$4</f>
        <v>50</v>
      </c>
      <c r="F15" s="334">
        <f>[2]Jazz_AC!$IT$4+[2]Jazz_AC!$IT$15</f>
        <v>93</v>
      </c>
      <c r="G15" s="334">
        <f>[2]PSA!$IT$4</f>
        <v>63</v>
      </c>
      <c r="H15" s="86">
        <f>'[2]Atlantic Southeast'!$IT$4+'[2]Atlantic Southeast'!$IT$15</f>
        <v>0</v>
      </c>
      <c r="I15" s="86">
        <f>'[2]Continental Express'!$IT$4</f>
        <v>0</v>
      </c>
      <c r="J15" s="85">
        <f>'[2]Go Jet_UA'!$IT$4</f>
        <v>0</v>
      </c>
      <c r="K15" s="12">
        <f>'[2]Go Jet'!$IT$4+'[2]Go Jet'!$IT$15</f>
        <v>0</v>
      </c>
      <c r="L15" s="88">
        <f t="shared" ref="L15:L20" si="6">SUM(B15:K15)</f>
        <v>206</v>
      </c>
    </row>
    <row r="16" spans="1:12" x14ac:dyDescent="0.2">
      <c r="A16" s="45" t="s">
        <v>54</v>
      </c>
      <c r="B16" s="89">
        <f>'[2]Shuttle America'!$IT$5</f>
        <v>0</v>
      </c>
      <c r="C16" s="89">
        <f>'[2]Shuttle America_Delta'!$IT$5</f>
        <v>0</v>
      </c>
      <c r="D16" s="335">
        <f>[2]Horizon_AS!$IT$5</f>
        <v>0</v>
      </c>
      <c r="E16" s="335">
        <f>'[2]Air Wisconsin'!$IT$5</f>
        <v>50</v>
      </c>
      <c r="F16" s="335">
        <f>[2]Jazz_AC!$IT$5+[2]Jazz_AC!$IT$16</f>
        <v>93</v>
      </c>
      <c r="G16" s="335">
        <f>[2]PSA!$IT$5</f>
        <v>63</v>
      </c>
      <c r="H16" s="90">
        <f>'[2]Atlantic Southeast'!$IT$5+'[2]Atlantic Southeast'!$IT$16</f>
        <v>0</v>
      </c>
      <c r="I16" s="90">
        <f>'[2]Continental Express'!$IT$5</f>
        <v>0</v>
      </c>
      <c r="J16" s="89">
        <f>'[2]Go Jet_UA'!$IT$5</f>
        <v>0</v>
      </c>
      <c r="K16" s="7">
        <f>'[2]Go Jet'!$IT$5+'[2]Go Jet'!$IT$16</f>
        <v>0</v>
      </c>
      <c r="L16" s="92">
        <f t="shared" si="6"/>
        <v>206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100</v>
      </c>
      <c r="F17" s="93">
        <f t="shared" si="8"/>
        <v>186</v>
      </c>
      <c r="G17" s="93">
        <f t="shared" si="7"/>
        <v>126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412</v>
      </c>
    </row>
    <row r="18" spans="1:15" x14ac:dyDescent="0.2">
      <c r="A18" s="45" t="s">
        <v>56</v>
      </c>
      <c r="B18" s="95">
        <f>'[2]Shuttle America'!$IT$8</f>
        <v>0</v>
      </c>
      <c r="C18" s="95">
        <f>'[2]Shuttle America_Delta'!$IT$8</f>
        <v>0</v>
      </c>
      <c r="D18" s="95">
        <f>[2]Horizon_AS!$IT$8</f>
        <v>0</v>
      </c>
      <c r="E18" s="95">
        <f>'[2]Air Wisconsin'!$IT$8</f>
        <v>0</v>
      </c>
      <c r="F18" s="95">
        <f>[2]Jazz_AC!$IT$8</f>
        <v>0</v>
      </c>
      <c r="G18" s="95">
        <f>[2]PSA!$IT$8</f>
        <v>0</v>
      </c>
      <c r="H18" s="87">
        <f>'[2]Atlantic Southeast'!$IT$8</f>
        <v>0</v>
      </c>
      <c r="I18" s="87">
        <f>'[2]Continental Express'!$IT$8</f>
        <v>0</v>
      </c>
      <c r="J18" s="95">
        <f>'[2]Go Jet_UA'!$IT$8</f>
        <v>0</v>
      </c>
      <c r="K18" s="12">
        <f>'[2]Go Jet'!$IT$8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'[2]Shuttle America'!$IT$9</f>
        <v>0</v>
      </c>
      <c r="C19" s="96">
        <f>'[2]Shuttle America_Delta'!$IT$9</f>
        <v>0</v>
      </c>
      <c r="D19" s="96">
        <f>[2]Horizon_AS!$IT$9</f>
        <v>0</v>
      </c>
      <c r="E19" s="96">
        <f>'[2]Air Wisconsin'!$IT$9</f>
        <v>0</v>
      </c>
      <c r="F19" s="96">
        <f>[2]Jazz_AC!$IT$9</f>
        <v>0</v>
      </c>
      <c r="G19" s="96">
        <f>[2]PSA!$IT$9</f>
        <v>0</v>
      </c>
      <c r="H19" s="91">
        <f>'[2]Atlantic Southeast'!$IT$9</f>
        <v>0</v>
      </c>
      <c r="I19" s="91">
        <f>'[2]Continental Express'!$IT$9</f>
        <v>0</v>
      </c>
      <c r="J19" s="96">
        <f>'[2]Go Jet_UA'!$IT$9</f>
        <v>0</v>
      </c>
      <c r="K19" s="7">
        <f>'[2]Go Jet'!$IT$9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100</v>
      </c>
      <c r="F21" s="97">
        <f t="shared" si="14"/>
        <v>186</v>
      </c>
      <c r="G21" s="97">
        <f t="shared" si="13"/>
        <v>126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>SUM(B21:K21)</f>
        <v>412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'[2]Shuttle America'!$IT$47</f>
        <v>0</v>
      </c>
      <c r="C25" s="95">
        <f>'[2]Shuttle America_Delta'!$IT$47</f>
        <v>0</v>
      </c>
      <c r="D25" s="95">
        <f>[2]Horizon_AS!$IT$47</f>
        <v>0</v>
      </c>
      <c r="E25" s="95">
        <f>'[2]Air Wisconsin'!$IT$47</f>
        <v>1107</v>
      </c>
      <c r="F25" s="95">
        <f>[2]Jazz_AC!$IT$47</f>
        <v>5883.8</v>
      </c>
      <c r="G25" s="95">
        <f>[2]PSA!$IT$47</f>
        <v>261</v>
      </c>
      <c r="H25" s="87">
        <f>'[2]Atlantic Southeast'!$IT$47</f>
        <v>0</v>
      </c>
      <c r="I25" s="87">
        <f>'[2]Continental Express'!$IT$47</f>
        <v>0</v>
      </c>
      <c r="J25" s="95">
        <f>'[2]Go Jet_UA'!$IT$47</f>
        <v>0</v>
      </c>
      <c r="K25" s="95">
        <f>'[2]Go Jet'!$IT$47</f>
        <v>0</v>
      </c>
      <c r="L25" s="88">
        <f>SUM(B25:K25)</f>
        <v>7251.8</v>
      </c>
    </row>
    <row r="26" spans="1:15" x14ac:dyDescent="0.2">
      <c r="A26" s="45" t="s">
        <v>38</v>
      </c>
      <c r="B26" s="95">
        <f>'[2]Shuttle America'!$IT$48</f>
        <v>0</v>
      </c>
      <c r="C26" s="95">
        <f>'[2]Shuttle America_Delta'!$IT$48</f>
        <v>0</v>
      </c>
      <c r="D26" s="95">
        <f>[2]Horizon_AS!$IT$48</f>
        <v>0</v>
      </c>
      <c r="E26" s="95">
        <f>'[2]Air Wisconsin'!$IT$48</f>
        <v>0</v>
      </c>
      <c r="F26" s="95">
        <f>[2]Jazz_AC!$IT$48</f>
        <v>0</v>
      </c>
      <c r="G26" s="95">
        <f>[2]PSA!$IT$48</f>
        <v>0</v>
      </c>
      <c r="H26" s="87">
        <f>'[2]Atlantic Southeast'!$IT$48</f>
        <v>0</v>
      </c>
      <c r="I26" s="87">
        <f>'[2]Continental Express'!$IT$48</f>
        <v>0</v>
      </c>
      <c r="J26" s="95">
        <f>'[2]Go Jet_UA'!$IT$48</f>
        <v>0</v>
      </c>
      <c r="K26" s="95">
        <f>'[2]Go Jet'!$IT$48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1107</v>
      </c>
      <c r="F27" s="105">
        <f t="shared" si="18"/>
        <v>5883.8</v>
      </c>
      <c r="G27" s="105">
        <f t="shared" si="17"/>
        <v>261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7251.8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'[2]Shuttle America'!$IT$52</f>
        <v>0</v>
      </c>
      <c r="C30" s="95">
        <f>'[2]Shuttle America_Delta'!$IT$52</f>
        <v>0</v>
      </c>
      <c r="D30" s="95">
        <f>[2]Horizon_AS!$IT$52</f>
        <v>0</v>
      </c>
      <c r="E30" s="95">
        <f>'[2]Air Wisconsin'!$IT$52</f>
        <v>0</v>
      </c>
      <c r="F30" s="95">
        <f>[2]Jazz_AC!$IT$52</f>
        <v>5074.7</v>
      </c>
      <c r="G30" s="95">
        <f>[2]PSA!$IT$52</f>
        <v>40</v>
      </c>
      <c r="H30" s="87">
        <f>'[2]Atlantic Southeast'!$IT$52</f>
        <v>0</v>
      </c>
      <c r="I30" s="87">
        <f>'[2]Continental Express'!$IT$52</f>
        <v>0</v>
      </c>
      <c r="J30" s="95">
        <f>'[2]Go Jet_UA'!$IT$52</f>
        <v>0</v>
      </c>
      <c r="K30" s="95">
        <f>'[2]Go Jet'!$IT$52</f>
        <v>0</v>
      </c>
      <c r="L30" s="88">
        <f>SUM(B30:K30)</f>
        <v>5114.7</v>
      </c>
    </row>
    <row r="31" spans="1:15" x14ac:dyDescent="0.2">
      <c r="A31" s="45" t="s">
        <v>60</v>
      </c>
      <c r="B31" s="95">
        <f>'[2]Shuttle America'!$IT$53</f>
        <v>0</v>
      </c>
      <c r="C31" s="95">
        <f>'[2]Shuttle America_Delta'!$IT$53</f>
        <v>0</v>
      </c>
      <c r="D31" s="95">
        <f>[2]Horizon_AS!$IT$53</f>
        <v>0</v>
      </c>
      <c r="E31" s="95">
        <f>'[2]Air Wisconsin'!$IT$53</f>
        <v>0</v>
      </c>
      <c r="F31" s="95">
        <f>[2]Jazz_AC!$IT$53</f>
        <v>0</v>
      </c>
      <c r="G31" s="95">
        <f>[2]PSA!$IT$53</f>
        <v>0</v>
      </c>
      <c r="H31" s="87">
        <f>'[2]Atlantic Southeast'!$IT$53</f>
        <v>0</v>
      </c>
      <c r="I31" s="87">
        <f>'[2]Continental Express'!$IT$53</f>
        <v>0</v>
      </c>
      <c r="J31" s="95">
        <f>'[2]Go Jet_UA'!$IT$53</f>
        <v>0</v>
      </c>
      <c r="K31" s="95">
        <f>'[2]Go Jet'!$IT$53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0</v>
      </c>
      <c r="F32" s="105">
        <f t="shared" si="21"/>
        <v>5074.7</v>
      </c>
      <c r="G32" s="105">
        <f t="shared" si="20"/>
        <v>40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5114.7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'[2]Shuttle America'!$IT$57</f>
        <v>0</v>
      </c>
      <c r="C35" s="95">
        <f>'[2]Shuttle America_Delta'!$IT$57</f>
        <v>0</v>
      </c>
      <c r="D35" s="95">
        <f>[2]Horizon_AS!$IT$57</f>
        <v>0</v>
      </c>
      <c r="E35" s="95">
        <f>'[2]Air Wisconsin'!$IT$57</f>
        <v>0</v>
      </c>
      <c r="F35" s="95">
        <f>[2]Jazz_AC!$IT$57</f>
        <v>0</v>
      </c>
      <c r="G35" s="95">
        <f>[2]PSA!$IT$57</f>
        <v>0</v>
      </c>
      <c r="H35" s="87">
        <f>'[2]Atlantic Southeast'!$IT$57</f>
        <v>0</v>
      </c>
      <c r="I35" s="87">
        <f>'[2]Continental Express'!$IT$57</f>
        <v>0</v>
      </c>
      <c r="J35" s="95">
        <f>'[2]Go Jet_UA'!$AJ$57</f>
        <v>0</v>
      </c>
      <c r="K35" s="95">
        <f>'[2]Go Jet'!$IT$57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'[2]Shuttle America'!BG$58</f>
        <v>0</v>
      </c>
      <c r="C36" s="95">
        <f>'[2]Shuttle America_Delta'!BH$58</f>
        <v>0</v>
      </c>
      <c r="D36" s="95">
        <f>[2]Horizon_AS!BF$58</f>
        <v>0</v>
      </c>
      <c r="E36" s="95">
        <f>'[2]Air Wisconsin'!BG$58</f>
        <v>0</v>
      </c>
      <c r="F36" s="95">
        <f>[2]Jazz_AC!BF$58</f>
        <v>0</v>
      </c>
      <c r="G36" s="95">
        <f>[2]PSA!BG$58</f>
        <v>0</v>
      </c>
      <c r="H36" s="87">
        <f>'[2]Atlantic Southeast'!BG$58</f>
        <v>0</v>
      </c>
      <c r="I36" s="87">
        <f>'[2]Continental Express'!BG$58</f>
        <v>0</v>
      </c>
      <c r="J36" s="95">
        <f>'[2]Go Jet_UA'!$AJ$58</f>
        <v>0</v>
      </c>
      <c r="K36" s="95">
        <f>'[2]Go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1107</v>
      </c>
      <c r="F40" s="95">
        <f t="shared" si="28"/>
        <v>10958.5</v>
      </c>
      <c r="G40" s="95">
        <f t="shared" si="27"/>
        <v>301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12366.5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1107</v>
      </c>
      <c r="F42" s="108">
        <f t="shared" si="34"/>
        <v>10958.5</v>
      </c>
      <c r="G42" s="108">
        <f t="shared" si="33"/>
        <v>301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12366.5</v>
      </c>
    </row>
    <row r="43" spans="1:12" ht="4.5" customHeight="1" x14ac:dyDescent="0.2"/>
    <row r="44" spans="1:12" hidden="1" x14ac:dyDescent="0.2">
      <c r="A44" s="243" t="s">
        <v>123</v>
      </c>
      <c r="H44" s="229"/>
      <c r="K44" s="242">
        <f>'[2]Go Jet'!BK$70+'[2]Go Jet'!BK$73</f>
        <v>0</v>
      </c>
      <c r="L44" s="231" t="e">
        <f>SUM(#REF!)</f>
        <v>#REF!</v>
      </c>
    </row>
    <row r="45" spans="1:12" hidden="1" x14ac:dyDescent="0.2">
      <c r="A45" s="243" t="s">
        <v>124</v>
      </c>
      <c r="H45" s="246"/>
      <c r="K45" s="242">
        <f>'[2]Go Jet'!BK$71+'[2]Go Jet'!BK$74</f>
        <v>0</v>
      </c>
      <c r="L45" s="231" t="e">
        <f>SUM(#REF!)</f>
        <v>#REF!</v>
      </c>
    </row>
    <row r="46" spans="1:12" x14ac:dyDescent="0.2">
      <c r="A46" s="276" t="s">
        <v>120</v>
      </c>
      <c r="C46" s="242">
        <f>'[2]Shuttle America_Delta'!$IT$70+'[2]Shuttle America_Delta'!$IT$73</f>
        <v>0</v>
      </c>
      <c r="D46" s="2"/>
      <c r="E46" s="2"/>
      <c r="H46" s="242">
        <f>'[2]Atlantic Southeast'!$IT$70+'[2]Atlantic Southeast'!$IT$73</f>
        <v>0</v>
      </c>
      <c r="K46" s="242">
        <f>'[2]Go Jet'!$IT$70+'[2]Go Jet'!$IT$73</f>
        <v>0</v>
      </c>
      <c r="L46" s="288">
        <f>SUM(B46:K46)</f>
        <v>0</v>
      </c>
    </row>
    <row r="47" spans="1:12" x14ac:dyDescent="0.2">
      <c r="A47" s="289" t="s">
        <v>121</v>
      </c>
      <c r="C47" s="242">
        <f>'[2]Shuttle America_Delta'!$IT$71+'[2]Shuttle America_Delta'!$IT$74</f>
        <v>0</v>
      </c>
      <c r="D47" s="2"/>
      <c r="E47" s="2"/>
      <c r="H47" s="242">
        <f>'[2]Atlantic Southeast'!$IT$71+'[2]Atlantic Southeast'!$IT$74</f>
        <v>0</v>
      </c>
      <c r="K47" s="242">
        <f>'[2]Go Jet'!$IT$71+'[2]Go Jet'!$IT$74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January 2024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37"/>
  <sheetViews>
    <sheetView zoomScale="115" zoomScaleNormal="115" workbookViewId="0">
      <selection activeCell="N9" sqref="N9"/>
    </sheetView>
  </sheetViews>
  <sheetFormatPr defaultColWidth="9.7109375" defaultRowHeight="12.75" x14ac:dyDescent="0.2"/>
  <cols>
    <col min="1" max="1" width="21.140625" bestFit="1" customWidth="1"/>
    <col min="2" max="2" width="10.5703125" bestFit="1" customWidth="1"/>
    <col min="3" max="3" width="10.140625" bestFit="1" customWidth="1"/>
    <col min="4" max="4" width="10.28515625" bestFit="1" customWidth="1"/>
    <col min="5" max="5" width="11.5703125" customWidth="1"/>
    <col min="6" max="6" width="11.28515625" customWidth="1"/>
    <col min="7" max="8" width="11.140625" bestFit="1" customWidth="1"/>
    <col min="9" max="9" width="12" customWidth="1"/>
    <col min="10" max="10" width="11.140625" bestFit="1" customWidth="1"/>
    <col min="11" max="11" width="9.7109375" customWidth="1"/>
    <col min="12" max="13" width="11.140625" bestFit="1" customWidth="1"/>
    <col min="14" max="14" width="11.42578125" bestFit="1" customWidth="1"/>
    <col min="15" max="15" width="12.28515625" bestFit="1" customWidth="1"/>
    <col min="16" max="16" width="8.85546875" bestFit="1" customWidth="1"/>
    <col min="19" max="19" width="16" bestFit="1" customWidth="1"/>
  </cols>
  <sheetData>
    <row r="2" spans="1:18" ht="26.25" thickBot="1" x14ac:dyDescent="0.25">
      <c r="A2" s="396">
        <v>45292</v>
      </c>
      <c r="B2" s="147" t="s">
        <v>116</v>
      </c>
      <c r="C2" s="147" t="s">
        <v>150</v>
      </c>
      <c r="D2" s="81" t="s">
        <v>77</v>
      </c>
      <c r="E2" s="81" t="s">
        <v>151</v>
      </c>
      <c r="F2" s="81" t="s">
        <v>233</v>
      </c>
      <c r="G2" s="147" t="s">
        <v>129</v>
      </c>
      <c r="H2" s="144" t="s">
        <v>78</v>
      </c>
    </row>
    <row r="3" spans="1:18" x14ac:dyDescent="0.2">
      <c r="A3" s="202" t="s">
        <v>3</v>
      </c>
      <c r="B3" s="153"/>
      <c r="C3" s="152"/>
      <c r="D3" s="152"/>
      <c r="E3" s="152"/>
      <c r="F3" s="152"/>
      <c r="G3" s="152"/>
      <c r="H3" s="194"/>
    </row>
    <row r="4" spans="1:18" x14ac:dyDescent="0.2">
      <c r="A4" s="45" t="s">
        <v>29</v>
      </c>
      <c r="B4" s="313"/>
      <c r="C4" s="151"/>
      <c r="D4" s="151"/>
      <c r="E4" s="151"/>
      <c r="F4" s="151"/>
      <c r="G4" s="151"/>
      <c r="H4" s="184"/>
    </row>
    <row r="5" spans="1:18" x14ac:dyDescent="0.2">
      <c r="A5" s="45" t="s">
        <v>30</v>
      </c>
      <c r="B5" s="313">
        <f>'[2]Charter Misc'!$IT$22</f>
        <v>0</v>
      </c>
      <c r="C5" s="151">
        <f>[2]Ryan!$IT$22</f>
        <v>0</v>
      </c>
      <c r="D5" s="151">
        <f>'[2]Charter Misc'!$IT$32</f>
        <v>0</v>
      </c>
      <c r="E5" s="151">
        <f>[2]Omni!$IT$32+[2]Omni!$IT$22</f>
        <v>0</v>
      </c>
      <c r="F5" s="151">
        <f>'[2]Red Way'!$IT$32+'[2]Red Way'!$IT$22</f>
        <v>0</v>
      </c>
      <c r="G5" s="151">
        <f>[2]Xtra!$IT$32+[2]Xtra!$IT$22</f>
        <v>0</v>
      </c>
      <c r="H5" s="249">
        <f>SUM(B5:G5)</f>
        <v>0</v>
      </c>
    </row>
    <row r="6" spans="1:18" x14ac:dyDescent="0.2">
      <c r="A6" s="45" t="s">
        <v>31</v>
      </c>
      <c r="B6" s="314">
        <f>'[2]Charter Misc'!$IT$23</f>
        <v>0</v>
      </c>
      <c r="C6" s="154">
        <f>[2]Ryan!$IT$23</f>
        <v>0</v>
      </c>
      <c r="D6" s="154">
        <f>'[2]Charter Misc'!$IT$33</f>
        <v>0</v>
      </c>
      <c r="E6" s="154">
        <f>[2]Omni!$IT$33+[2]Omni!$IT$23</f>
        <v>0</v>
      </c>
      <c r="F6" s="154">
        <f>'[2]Red Way'!$IT$33+'[2]Red Way'!$IT$23</f>
        <v>0</v>
      </c>
      <c r="G6" s="154">
        <f>[2]Xtra!$IT$33+[2]Xtra!$IT$23</f>
        <v>0</v>
      </c>
      <c r="H6" s="249">
        <f>SUM(B6:G6)</f>
        <v>0</v>
      </c>
    </row>
    <row r="7" spans="1:18" ht="15.75" thickBot="1" x14ac:dyDescent="0.3">
      <c r="A7" s="150" t="s">
        <v>7</v>
      </c>
      <c r="B7" s="315">
        <f t="shared" ref="B7:G7" si="0">SUM(B5:B6)</f>
        <v>0</v>
      </c>
      <c r="C7" s="219">
        <f t="shared" si="0"/>
        <v>0</v>
      </c>
      <c r="D7" s="219">
        <f t="shared" si="0"/>
        <v>0</v>
      </c>
      <c r="E7" s="219">
        <f t="shared" si="0"/>
        <v>0</v>
      </c>
      <c r="F7" s="219">
        <f t="shared" si="0"/>
        <v>0</v>
      </c>
      <c r="G7" s="219">
        <f t="shared" si="0"/>
        <v>0</v>
      </c>
      <c r="H7" s="220">
        <f>SUM(B7:G7)</f>
        <v>0</v>
      </c>
    </row>
    <row r="8" spans="1:18" ht="13.5" thickBot="1" x14ac:dyDescent="0.25"/>
    <row r="9" spans="1:18" x14ac:dyDescent="0.2">
      <c r="A9" s="148" t="s">
        <v>9</v>
      </c>
      <c r="B9" s="316"/>
      <c r="C9" s="29"/>
      <c r="D9" s="29"/>
      <c r="E9" s="29"/>
      <c r="F9" s="29"/>
      <c r="G9" s="29"/>
      <c r="H9" s="40"/>
    </row>
    <row r="10" spans="1:18" x14ac:dyDescent="0.2">
      <c r="A10" s="149" t="s">
        <v>79</v>
      </c>
      <c r="B10" s="313">
        <f>'[2]Charter Misc'!$IT$4</f>
        <v>0</v>
      </c>
      <c r="C10" s="151">
        <f>[2]Ryan!$IT$4</f>
        <v>0</v>
      </c>
      <c r="D10" s="151">
        <f>'[2]Charter Misc'!$IT$15</f>
        <v>0</v>
      </c>
      <c r="E10" s="151">
        <f>[2]Omni!$IT$15+[2]Omni!$IT$4</f>
        <v>0</v>
      </c>
      <c r="F10" s="151">
        <f>'[2]Red Way'!$IT$15+'[2]Red Way'!$IT$4</f>
        <v>0</v>
      </c>
      <c r="G10" s="151">
        <f>[2]Xtra!$IT$15+[2]Xtra!$IT$4</f>
        <v>0</v>
      </c>
      <c r="H10" s="248">
        <f>SUM(B10:G10)</f>
        <v>0</v>
      </c>
    </row>
    <row r="11" spans="1:18" x14ac:dyDescent="0.2">
      <c r="A11" s="149" t="s">
        <v>80</v>
      </c>
      <c r="B11" s="313">
        <f>'[2]Charter Misc'!$IT$5</f>
        <v>0</v>
      </c>
      <c r="C11" s="151">
        <f>[2]Ryan!$IT$5</f>
        <v>0</v>
      </c>
      <c r="D11" s="151">
        <f>'[2]Charter Misc'!$IT$16</f>
        <v>0</v>
      </c>
      <c r="E11" s="151">
        <f>[2]Omni!$IT$16+[2]Omni!$IT$5</f>
        <v>0</v>
      </c>
      <c r="F11" s="151">
        <f>'[2]Red Way'!$IT$16+'[2]Red Way'!$IT$5</f>
        <v>0</v>
      </c>
      <c r="G11" s="151">
        <f>[2]Xtra!$IT$16+[2]Xtra!$IT$5</f>
        <v>0</v>
      </c>
      <c r="H11" s="248">
        <f>SUM(B11:G11)</f>
        <v>0</v>
      </c>
    </row>
    <row r="12" spans="1:18" ht="15.75" thickBot="1" x14ac:dyDescent="0.3">
      <c r="A12" s="201" t="s">
        <v>28</v>
      </c>
      <c r="B12" s="317">
        <f t="shared" ref="B12:G12" si="1">SUM(B10:B11)</f>
        <v>0</v>
      </c>
      <c r="C12" s="221">
        <f t="shared" si="1"/>
        <v>0</v>
      </c>
      <c r="D12" s="221">
        <f t="shared" si="1"/>
        <v>0</v>
      </c>
      <c r="E12" s="221">
        <f t="shared" si="1"/>
        <v>0</v>
      </c>
      <c r="F12" s="221">
        <f t="shared" si="1"/>
        <v>0</v>
      </c>
      <c r="G12" s="221">
        <f t="shared" si="1"/>
        <v>0</v>
      </c>
      <c r="H12" s="222">
        <f>SUM(B12:G12)</f>
        <v>0</v>
      </c>
      <c r="R12" s="95"/>
    </row>
    <row r="17" spans="1:19" x14ac:dyDescent="0.2">
      <c r="B17" s="452" t="s">
        <v>148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4"/>
    </row>
    <row r="18" spans="1:19" ht="13.5" thickBot="1" x14ac:dyDescent="0.25">
      <c r="A18" s="237"/>
      <c r="E18" s="169"/>
      <c r="G18" s="169"/>
      <c r="H18" s="169"/>
      <c r="L18" s="173"/>
      <c r="N18" s="4"/>
    </row>
    <row r="19" spans="1:19" ht="13.5" customHeight="1" thickBot="1" x14ac:dyDescent="0.25">
      <c r="A19" s="303"/>
      <c r="B19" s="455" t="s">
        <v>117</v>
      </c>
      <c r="C19" s="456"/>
      <c r="D19" s="456"/>
      <c r="E19" s="457"/>
      <c r="G19" s="455" t="s">
        <v>118</v>
      </c>
      <c r="H19" s="458"/>
      <c r="I19" s="458"/>
      <c r="J19" s="459"/>
      <c r="L19" s="460" t="s">
        <v>119</v>
      </c>
      <c r="M19" s="461"/>
      <c r="N19" s="461"/>
      <c r="O19" s="462"/>
      <c r="S19" s="391"/>
    </row>
    <row r="20" spans="1:19" ht="13.5" thickBot="1" x14ac:dyDescent="0.25">
      <c r="A20" s="175" t="s">
        <v>99</v>
      </c>
      <c r="B20" s="434" t="s">
        <v>100</v>
      </c>
      <c r="C20" s="434" t="s">
        <v>101</v>
      </c>
      <c r="D20" s="434" t="s">
        <v>241</v>
      </c>
      <c r="E20" s="434" t="s">
        <v>224</v>
      </c>
      <c r="F20" s="434" t="s">
        <v>96</v>
      </c>
      <c r="G20" s="434" t="s">
        <v>100</v>
      </c>
      <c r="H20" s="434" t="s">
        <v>101</v>
      </c>
      <c r="I20" s="434" t="s">
        <v>241</v>
      </c>
      <c r="J20" s="434" t="s">
        <v>224</v>
      </c>
      <c r="K20" s="434" t="s">
        <v>96</v>
      </c>
      <c r="L20" s="434" t="s">
        <v>100</v>
      </c>
      <c r="M20" s="434" t="s">
        <v>101</v>
      </c>
      <c r="N20" s="434" t="s">
        <v>241</v>
      </c>
      <c r="O20" s="434" t="s">
        <v>224</v>
      </c>
      <c r="P20" s="434" t="s">
        <v>96</v>
      </c>
      <c r="S20" s="391"/>
    </row>
    <row r="21" spans="1:19" ht="14.1" customHeight="1" x14ac:dyDescent="0.2">
      <c r="A21" s="180" t="s">
        <v>102</v>
      </c>
      <c r="B21" s="423">
        <f>+'Intl Detail'!$Q$4+'Intl Detail'!$Q$9</f>
        <v>152125</v>
      </c>
      <c r="C21" s="423">
        <f>+'Intl Detail'!$Q$5+'Intl Detail'!$Q$10</f>
        <v>149353</v>
      </c>
      <c r="D21" s="423">
        <f t="shared" ref="D21" si="2">SUM(B21:C21)</f>
        <v>301478</v>
      </c>
      <c r="E21" s="433">
        <f>[1]Charter!$D$21</f>
        <v>255954</v>
      </c>
      <c r="F21" s="424">
        <f t="shared" ref="F21:F32" si="3">(D21-E21)/E21</f>
        <v>0.17786008423388577</v>
      </c>
      <c r="G21" s="423">
        <f t="shared" ref="G21" si="4">L21-B21</f>
        <v>1103358</v>
      </c>
      <c r="H21" s="423">
        <f t="shared" ref="H21" si="5">M21-C21</f>
        <v>1138892</v>
      </c>
      <c r="I21" s="423">
        <f t="shared" ref="I21" si="6">SUM(G21:H21)</f>
        <v>2242250</v>
      </c>
      <c r="J21" s="433">
        <f>[1]Charter!I21</f>
        <v>2136976</v>
      </c>
      <c r="K21" s="430">
        <f t="shared" ref="K21:K32" si="7">(I21-J21)/J21</f>
        <v>4.9263070806597732E-2</v>
      </c>
      <c r="L21" s="423">
        <f>+'Monthly Summary'!$B$11</f>
        <v>1255483</v>
      </c>
      <c r="M21" s="423">
        <f>+'Monthly Summary'!$C$11</f>
        <v>1288245</v>
      </c>
      <c r="N21" s="433">
        <f t="shared" ref="N21" si="8">SUM(L21:M21)</f>
        <v>2543728</v>
      </c>
      <c r="O21" s="433">
        <f>[1]Charter!N21</f>
        <v>2392930</v>
      </c>
      <c r="P21" s="429">
        <f>(N21-O21)/O21</f>
        <v>6.3018140940186304E-2</v>
      </c>
      <c r="S21" s="391"/>
    </row>
    <row r="22" spans="1:19" ht="14.1" customHeight="1" x14ac:dyDescent="0.2">
      <c r="A22" s="181" t="s">
        <v>103</v>
      </c>
      <c r="B22" s="433"/>
      <c r="C22" s="433"/>
      <c r="D22" s="433"/>
      <c r="E22" s="423">
        <f>[3]Charter!D22</f>
        <v>251121</v>
      </c>
      <c r="F22" s="425">
        <f t="shared" si="3"/>
        <v>-1</v>
      </c>
      <c r="G22" s="423"/>
      <c r="H22" s="423"/>
      <c r="I22" s="423"/>
      <c r="J22" s="423">
        <f>[3]Charter!I22</f>
        <v>2010512</v>
      </c>
      <c r="K22" s="431">
        <f t="shared" si="7"/>
        <v>-1</v>
      </c>
      <c r="L22" s="433"/>
      <c r="M22" s="433"/>
      <c r="N22" s="433"/>
      <c r="O22" s="423">
        <f>[3]Charter!N22</f>
        <v>2261633</v>
      </c>
      <c r="P22" s="420">
        <f t="shared" ref="P22:P32" si="9">(N22-O22)/O22</f>
        <v>-1</v>
      </c>
      <c r="S22" s="391"/>
    </row>
    <row r="23" spans="1:19" ht="14.1" customHeight="1" x14ac:dyDescent="0.2">
      <c r="A23" s="181" t="s">
        <v>104</v>
      </c>
      <c r="B23" s="433"/>
      <c r="C23" s="433"/>
      <c r="D23" s="423"/>
      <c r="E23" s="423">
        <f>[4]Charter!D23</f>
        <v>341563</v>
      </c>
      <c r="F23" s="426">
        <f t="shared" si="3"/>
        <v>-1</v>
      </c>
      <c r="G23" s="423"/>
      <c r="H23" s="423"/>
      <c r="I23" s="423"/>
      <c r="J23" s="423">
        <f>[4]Charter!I23</f>
        <v>2692997</v>
      </c>
      <c r="K23" s="431">
        <f t="shared" si="7"/>
        <v>-1</v>
      </c>
      <c r="L23" s="433"/>
      <c r="M23" s="433"/>
      <c r="N23" s="433"/>
      <c r="O23" s="423">
        <f>[4]Charter!N23</f>
        <v>3034560</v>
      </c>
      <c r="P23" s="420">
        <f t="shared" si="9"/>
        <v>-1</v>
      </c>
      <c r="S23" s="391"/>
    </row>
    <row r="24" spans="1:19" ht="14.1" customHeight="1" x14ac:dyDescent="0.2">
      <c r="A24" s="181" t="s">
        <v>105</v>
      </c>
      <c r="B24" s="433"/>
      <c r="C24" s="433"/>
      <c r="D24" s="423"/>
      <c r="E24" s="423">
        <f>[5]Charter!D24</f>
        <v>249458</v>
      </c>
      <c r="F24" s="426">
        <f t="shared" si="3"/>
        <v>-1</v>
      </c>
      <c r="G24" s="423"/>
      <c r="H24" s="423"/>
      <c r="I24" s="423"/>
      <c r="J24" s="423">
        <f>[5]Charter!I24</f>
        <v>2532647</v>
      </c>
      <c r="K24" s="431">
        <f t="shared" si="7"/>
        <v>-1</v>
      </c>
      <c r="L24" s="433"/>
      <c r="M24" s="433"/>
      <c r="N24" s="433"/>
      <c r="O24" s="423">
        <f>[5]Charter!N24</f>
        <v>2782105</v>
      </c>
      <c r="P24" s="420">
        <f t="shared" si="9"/>
        <v>-1</v>
      </c>
    </row>
    <row r="25" spans="1:19" ht="14.1" customHeight="1" x14ac:dyDescent="0.2">
      <c r="A25" s="174" t="s">
        <v>75</v>
      </c>
      <c r="B25" s="433"/>
      <c r="C25" s="433"/>
      <c r="D25" s="423"/>
      <c r="E25" s="423">
        <f>[6]Charter!D25</f>
        <v>214242</v>
      </c>
      <c r="F25" s="427">
        <f t="shared" si="3"/>
        <v>-1</v>
      </c>
      <c r="G25" s="423"/>
      <c r="H25" s="423"/>
      <c r="I25" s="423"/>
      <c r="J25" s="423">
        <f>[6]Charter!I25</f>
        <v>2648712</v>
      </c>
      <c r="K25" s="432">
        <f t="shared" si="7"/>
        <v>-1</v>
      </c>
      <c r="L25" s="433"/>
      <c r="M25" s="433"/>
      <c r="N25" s="433"/>
      <c r="O25" s="423">
        <f>[6]Charter!N25</f>
        <v>2862954</v>
      </c>
      <c r="P25" s="421">
        <f t="shared" si="9"/>
        <v>-1</v>
      </c>
    </row>
    <row r="26" spans="1:19" ht="14.1" customHeight="1" x14ac:dyDescent="0.2">
      <c r="A26" s="181" t="s">
        <v>106</v>
      </c>
      <c r="B26" s="433"/>
      <c r="C26" s="433"/>
      <c r="D26" s="423"/>
      <c r="E26" s="423">
        <f>[7]Charter!D26</f>
        <v>250278</v>
      </c>
      <c r="F26" s="426">
        <f t="shared" si="3"/>
        <v>-1</v>
      </c>
      <c r="G26" s="423"/>
      <c r="H26" s="423"/>
      <c r="I26" s="423"/>
      <c r="J26" s="423">
        <f>[7]Charter!I26</f>
        <v>3007302</v>
      </c>
      <c r="K26" s="431">
        <f t="shared" si="7"/>
        <v>-1</v>
      </c>
      <c r="L26" s="433"/>
      <c r="M26" s="433"/>
      <c r="N26" s="433"/>
      <c r="O26" s="423">
        <f>[7]Charter!N26</f>
        <v>3257580</v>
      </c>
      <c r="P26" s="420">
        <f t="shared" si="9"/>
        <v>-1</v>
      </c>
    </row>
    <row r="27" spans="1:19" ht="14.1" customHeight="1" x14ac:dyDescent="0.2">
      <c r="A27" s="174" t="s">
        <v>107</v>
      </c>
      <c r="B27" s="433"/>
      <c r="C27" s="433"/>
      <c r="D27" s="423"/>
      <c r="E27" s="423">
        <f>[8]Charter!D27</f>
        <v>265615</v>
      </c>
      <c r="F27" s="427">
        <f t="shared" si="3"/>
        <v>-1</v>
      </c>
      <c r="G27" s="423"/>
      <c r="H27" s="423"/>
      <c r="I27" s="423"/>
      <c r="J27" s="423">
        <f>[8]Charter!I27</f>
        <v>3154132</v>
      </c>
      <c r="K27" s="432">
        <f t="shared" si="7"/>
        <v>-1</v>
      </c>
      <c r="L27" s="433"/>
      <c r="M27" s="433"/>
      <c r="N27" s="433"/>
      <c r="O27" s="423">
        <f>[8]Charter!N27</f>
        <v>3419747</v>
      </c>
      <c r="P27" s="421">
        <f t="shared" si="9"/>
        <v>-1</v>
      </c>
    </row>
    <row r="28" spans="1:19" ht="14.1" customHeight="1" x14ac:dyDescent="0.2">
      <c r="A28" s="181" t="s">
        <v>108</v>
      </c>
      <c r="B28" s="433"/>
      <c r="C28" s="433"/>
      <c r="D28" s="423"/>
      <c r="E28" s="423">
        <f>[9]Charter!D28</f>
        <v>261890</v>
      </c>
      <c r="F28" s="426">
        <f t="shared" si="3"/>
        <v>-1</v>
      </c>
      <c r="G28" s="423"/>
      <c r="H28" s="423"/>
      <c r="I28" s="423"/>
      <c r="J28" s="423">
        <f>[9]Charter!I28</f>
        <v>3081501</v>
      </c>
      <c r="K28" s="431">
        <f t="shared" si="7"/>
        <v>-1</v>
      </c>
      <c r="L28" s="433"/>
      <c r="M28" s="433"/>
      <c r="N28" s="433"/>
      <c r="O28" s="423">
        <f>[9]Charter!N28</f>
        <v>3343391</v>
      </c>
      <c r="P28" s="420">
        <f t="shared" si="9"/>
        <v>-1</v>
      </c>
    </row>
    <row r="29" spans="1:19" ht="14.1" customHeight="1" x14ac:dyDescent="0.2">
      <c r="A29" s="174" t="s">
        <v>109</v>
      </c>
      <c r="B29" s="433"/>
      <c r="C29" s="433"/>
      <c r="D29" s="423"/>
      <c r="E29" s="423">
        <f>[10]Charter!D29</f>
        <v>227071</v>
      </c>
      <c r="F29" s="427">
        <f t="shared" si="3"/>
        <v>-1</v>
      </c>
      <c r="G29" s="423"/>
      <c r="H29" s="423"/>
      <c r="I29" s="423"/>
      <c r="J29" s="423">
        <f>[10]Charter!I29</f>
        <v>2630017</v>
      </c>
      <c r="K29" s="432">
        <f t="shared" si="7"/>
        <v>-1</v>
      </c>
      <c r="L29" s="433"/>
      <c r="M29" s="433"/>
      <c r="N29" s="433"/>
      <c r="O29" s="423">
        <f>[10]Charter!N29</f>
        <v>2857088</v>
      </c>
      <c r="P29" s="421">
        <f t="shared" si="9"/>
        <v>-1</v>
      </c>
    </row>
    <row r="30" spans="1:19" ht="14.1" customHeight="1" x14ac:dyDescent="0.2">
      <c r="A30" s="181" t="s">
        <v>110</v>
      </c>
      <c r="B30" s="433"/>
      <c r="C30" s="433"/>
      <c r="D30" s="423"/>
      <c r="E30" s="423">
        <f>[11]Charter!D30</f>
        <v>218319</v>
      </c>
      <c r="F30" s="426">
        <f t="shared" si="3"/>
        <v>-1</v>
      </c>
      <c r="G30" s="423"/>
      <c r="H30" s="423"/>
      <c r="I30" s="423"/>
      <c r="J30" s="423">
        <f>[11]Charter!I30</f>
        <v>2784869</v>
      </c>
      <c r="K30" s="431">
        <f t="shared" si="7"/>
        <v>-1</v>
      </c>
      <c r="L30" s="433"/>
      <c r="M30" s="433"/>
      <c r="N30" s="433"/>
      <c r="O30" s="423">
        <f>[11]Charter!N30</f>
        <v>3003188</v>
      </c>
      <c r="P30" s="420">
        <f t="shared" si="9"/>
        <v>-1</v>
      </c>
    </row>
    <row r="31" spans="1:19" ht="14.1" customHeight="1" x14ac:dyDescent="0.2">
      <c r="A31" s="174" t="s">
        <v>111</v>
      </c>
      <c r="B31" s="433"/>
      <c r="C31" s="433"/>
      <c r="D31" s="423"/>
      <c r="E31" s="423">
        <f>[12]Charter!D31</f>
        <v>188740</v>
      </c>
      <c r="F31" s="427">
        <f t="shared" si="3"/>
        <v>-1</v>
      </c>
      <c r="G31" s="423"/>
      <c r="H31" s="423"/>
      <c r="I31" s="423"/>
      <c r="J31" s="423">
        <f>[12]Charter!I31</f>
        <v>2577874</v>
      </c>
      <c r="K31" s="432">
        <f t="shared" si="7"/>
        <v>-1</v>
      </c>
      <c r="L31" s="433"/>
      <c r="M31" s="433"/>
      <c r="N31" s="433"/>
      <c r="O31" s="423">
        <f>[12]Charter!N31</f>
        <v>2766614</v>
      </c>
      <c r="P31" s="421">
        <f t="shared" si="9"/>
        <v>-1</v>
      </c>
    </row>
    <row r="32" spans="1:19" ht="14.1" customHeight="1" x14ac:dyDescent="0.2">
      <c r="A32" s="182" t="s">
        <v>112</v>
      </c>
      <c r="B32" s="423"/>
      <c r="C32" s="423"/>
      <c r="D32" s="423"/>
      <c r="E32" s="423">
        <f>[13]Charter!D32</f>
        <v>259918</v>
      </c>
      <c r="F32" s="428">
        <f t="shared" si="3"/>
        <v>-1</v>
      </c>
      <c r="G32" s="423"/>
      <c r="H32" s="423"/>
      <c r="I32" s="423"/>
      <c r="J32" s="423">
        <f>[13]Charter!I32</f>
        <v>2529092</v>
      </c>
      <c r="K32" s="428">
        <f t="shared" si="7"/>
        <v>-1</v>
      </c>
      <c r="L32" s="423"/>
      <c r="M32" s="423"/>
      <c r="N32" s="433"/>
      <c r="O32" s="423">
        <f>[13]Charter!N32</f>
        <v>2789010</v>
      </c>
      <c r="P32" s="422">
        <f t="shared" si="9"/>
        <v>-1</v>
      </c>
    </row>
    <row r="33" spans="1:16" ht="13.5" thickBot="1" x14ac:dyDescent="0.25">
      <c r="A33" s="179" t="s">
        <v>76</v>
      </c>
      <c r="B33" s="185">
        <f>SUM(B21:B32)</f>
        <v>152125</v>
      </c>
      <c r="C33" s="186">
        <f>SUM(C21:C32)</f>
        <v>149353</v>
      </c>
      <c r="D33" s="186">
        <f>SUM(D21:D32)</f>
        <v>301478</v>
      </c>
      <c r="E33" s="187">
        <f>SUM(E21:E32)</f>
        <v>2984169</v>
      </c>
      <c r="F33" s="177">
        <f>(D33-E33)/E33</f>
        <v>-0.89897422029382379</v>
      </c>
      <c r="G33" s="188">
        <f>SUM(G21:G32)</f>
        <v>1103358</v>
      </c>
      <c r="H33" s="186">
        <f>SUM(H21:H32)</f>
        <v>1138892</v>
      </c>
      <c r="I33" s="186">
        <f>SUM(I21:I32)</f>
        <v>2242250</v>
      </c>
      <c r="J33" s="189">
        <f>SUM(J21:J32)</f>
        <v>31786631</v>
      </c>
      <c r="K33" s="178">
        <f>(I33-J33)/J33</f>
        <v>-0.92945933779518819</v>
      </c>
      <c r="L33" s="188">
        <f>SUM(L21:L32)</f>
        <v>1255483</v>
      </c>
      <c r="M33" s="186">
        <f>SUM(M21:M32)</f>
        <v>1288245</v>
      </c>
      <c r="N33" s="186">
        <f>SUM(N21:N32)</f>
        <v>2543728</v>
      </c>
      <c r="O33" s="187">
        <f>SUM(O21:O32)</f>
        <v>34770800</v>
      </c>
      <c r="P33" s="176">
        <f>(N33-O33)/O33</f>
        <v>-0.9268429831927939</v>
      </c>
    </row>
    <row r="35" spans="1:16" x14ac:dyDescent="0.2">
      <c r="N35" s="95"/>
      <c r="O35" s="95"/>
    </row>
    <row r="36" spans="1:16" x14ac:dyDescent="0.2">
      <c r="D36" s="95"/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 xml:space="preserve">&amp;L
Schedule 6
&amp;CMinneapolis-St. Paul International Airport
&amp;"Arial,Bold"Charters and Passenger Summary
January 2024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T5" sqref="T5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63" t="s">
        <v>195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5"/>
    </row>
    <row r="2" spans="1:23" s="27" customFormat="1" ht="43.5" customHeight="1" thickBot="1" x14ac:dyDescent="0.25">
      <c r="A2" s="396">
        <v>45292</v>
      </c>
      <c r="B2" s="325" t="s">
        <v>191</v>
      </c>
      <c r="C2" s="325" t="s">
        <v>231</v>
      </c>
      <c r="D2" s="325" t="s">
        <v>212</v>
      </c>
      <c r="E2" s="358" t="s">
        <v>214</v>
      </c>
      <c r="F2" s="358" t="s">
        <v>213</v>
      </c>
      <c r="G2" s="325" t="s">
        <v>196</v>
      </c>
      <c r="H2" s="358" t="s">
        <v>228</v>
      </c>
      <c r="I2" s="358" t="s">
        <v>193</v>
      </c>
      <c r="J2" s="326" t="s">
        <v>81</v>
      </c>
      <c r="K2" s="358" t="s">
        <v>174</v>
      </c>
      <c r="L2" s="325" t="s">
        <v>197</v>
      </c>
      <c r="M2" s="358" t="s">
        <v>85</v>
      </c>
      <c r="N2" s="325" t="s">
        <v>226</v>
      </c>
      <c r="O2" s="325" t="s">
        <v>198</v>
      </c>
      <c r="P2" s="325" t="s">
        <v>199</v>
      </c>
      <c r="Q2" s="326" t="s">
        <v>82</v>
      </c>
      <c r="R2" s="358" t="s">
        <v>126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'[2]Atlas Air'!$IT$4</f>
        <v>0</v>
      </c>
      <c r="C4" s="132">
        <f>[2]DHL!$IT$8+[2]DHL!$IT$4</f>
        <v>0</v>
      </c>
      <c r="D4" s="132">
        <f>[2]Airborne!$IT$4+[2]Airborne!$IT$15</f>
        <v>10</v>
      </c>
      <c r="E4" s="95">
        <f>[2]DHL_Bemidji!$IT$4</f>
        <v>35</v>
      </c>
      <c r="F4" s="95">
        <f>[2]Bemidji!$IT$4</f>
        <v>177</v>
      </c>
      <c r="G4" s="132">
        <f>[2]DHL_Encore!$IT$4+[2]DHL_Encore!$IT$15</f>
        <v>0</v>
      </c>
      <c r="H4" s="132">
        <f>[2]DHL_Mesa!$IT$4+[2]DHL_Mesa!$IT$15</f>
        <v>1</v>
      </c>
      <c r="I4" s="132">
        <f>[2]Encore!$IT$4+[2]Encore!$IT$15</f>
        <v>0</v>
      </c>
      <c r="J4" s="132">
        <f>[2]FedEx!$IT$4+[2]FedEx!$IT$15</f>
        <v>93</v>
      </c>
      <c r="K4" s="132">
        <f>[2]IFL!$IT$4+[2]IFL!$IT$15</f>
        <v>15</v>
      </c>
      <c r="L4" s="132">
        <f>[2]DHL_Kalitta!$IT$4+[2]DHL_Kalitta!$IT$15</f>
        <v>12</v>
      </c>
      <c r="M4" s="95">
        <f>'[2]Mountain Cargo'!$IT$4</f>
        <v>21</v>
      </c>
      <c r="N4" s="132">
        <f>[2]DHL_Amerijet!$IT$4+[2]DHL_Amerijet!$IT$15</f>
        <v>0</v>
      </c>
      <c r="O4" s="132">
        <f>[2]DHL_Swift!$IT$4+[2]DHL_Swift!$IT$15</f>
        <v>1</v>
      </c>
      <c r="P4" s="132">
        <f>+'[2]Sun Country Cargo'!$IT$4+'[2]Sun Country Cargo'!$IT$8+'[2]Sun Country Cargo'!$IT$15</f>
        <v>115</v>
      </c>
      <c r="Q4" s="132">
        <f>[2]UPS!$IT$4+[2]UPS!$IT$15</f>
        <v>86</v>
      </c>
      <c r="R4" s="95">
        <f>'[2]Misc Cargo'!$IT$4</f>
        <v>0</v>
      </c>
      <c r="S4" s="368">
        <f>SUM(B4:R4)</f>
        <v>566</v>
      </c>
      <c r="U4" s="340"/>
      <c r="V4" s="340"/>
      <c r="W4" s="217"/>
    </row>
    <row r="5" spans="1:23" x14ac:dyDescent="0.2">
      <c r="A5" s="37" t="s">
        <v>54</v>
      </c>
      <c r="B5" s="369">
        <f>'[2]Atlas Air'!$IT$5</f>
        <v>0</v>
      </c>
      <c r="C5" s="156">
        <f>[2]DHL!$IT$9+[2]DHL!$IT$5</f>
        <v>0</v>
      </c>
      <c r="D5" s="156">
        <f>[2]Airborne!$IT$5</f>
        <v>10</v>
      </c>
      <c r="E5" s="96">
        <f>[2]DHL_Bemidji!$IT$5</f>
        <v>35</v>
      </c>
      <c r="F5" s="96">
        <f>[2]Bemidji!$IT$5</f>
        <v>177</v>
      </c>
      <c r="G5" s="156">
        <f>[2]DHL_Encore!$IT$5</f>
        <v>0</v>
      </c>
      <c r="H5" s="156">
        <f>[2]DHL_Mesa!$IT$5</f>
        <v>1</v>
      </c>
      <c r="I5" s="156">
        <f>[2]Encore!$IT$5</f>
        <v>0</v>
      </c>
      <c r="J5" s="156">
        <f>[2]FedEx!$IT$5</f>
        <v>93</v>
      </c>
      <c r="K5" s="156">
        <f>[2]IFL!$IT$5</f>
        <v>15</v>
      </c>
      <c r="L5" s="156">
        <f>[2]DHL_Kalitta!$IT$5</f>
        <v>12</v>
      </c>
      <c r="M5" s="96">
        <f>'[2]Mountain Cargo'!$IT$5</f>
        <v>21</v>
      </c>
      <c r="N5" s="156">
        <f>[2]DHL_Amerijet!$IT$5</f>
        <v>0</v>
      </c>
      <c r="O5" s="156">
        <f>[2]DHL_Swift!$IT$5</f>
        <v>1</v>
      </c>
      <c r="P5" s="156">
        <f>+'[2]Sun Country Cargo'!$IT$5+'[2]Sun Country Cargo'!$IT$9+'[2]Sun Country Cargo'!$IT$16</f>
        <v>115</v>
      </c>
      <c r="Q5" s="156">
        <f>[2]UPS!$IT$5+[2]UPS!$IT$16</f>
        <v>86</v>
      </c>
      <c r="R5" s="96">
        <f>'[2]Misc Cargo'!$IT$5</f>
        <v>0</v>
      </c>
      <c r="S5" s="368">
        <f>SUM(B5:R5)</f>
        <v>566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0</v>
      </c>
      <c r="C6" s="371">
        <f t="shared" si="0"/>
        <v>0</v>
      </c>
      <c r="D6" s="371">
        <f t="shared" ref="D6:E6" si="1">SUM(D4:D5)</f>
        <v>20</v>
      </c>
      <c r="E6" s="93">
        <f t="shared" si="1"/>
        <v>70</v>
      </c>
      <c r="F6" s="93">
        <f t="shared" si="0"/>
        <v>354</v>
      </c>
      <c r="G6" s="371">
        <f t="shared" si="0"/>
        <v>0</v>
      </c>
      <c r="H6" s="371">
        <f t="shared" ref="H6" si="2">SUM(H4:H5)</f>
        <v>2</v>
      </c>
      <c r="I6" s="371">
        <f t="shared" si="0"/>
        <v>0</v>
      </c>
      <c r="J6" s="371">
        <f t="shared" si="0"/>
        <v>186</v>
      </c>
      <c r="K6" s="371">
        <f t="shared" si="0"/>
        <v>30</v>
      </c>
      <c r="L6" s="371">
        <f t="shared" si="0"/>
        <v>24</v>
      </c>
      <c r="M6" s="93">
        <f t="shared" si="0"/>
        <v>42</v>
      </c>
      <c r="N6" s="371">
        <f t="shared" si="0"/>
        <v>0</v>
      </c>
      <c r="O6" s="371">
        <f t="shared" si="0"/>
        <v>2</v>
      </c>
      <c r="P6" s="371">
        <f t="shared" si="0"/>
        <v>230</v>
      </c>
      <c r="Q6" s="371">
        <f t="shared" si="0"/>
        <v>172</v>
      </c>
      <c r="R6" s="93">
        <f t="shared" si="0"/>
        <v>0</v>
      </c>
      <c r="S6" s="368">
        <f t="shared" ref="S6:S10" si="3">SUM(B6:R6)</f>
        <v>1132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'[2]Misc Cargo'!$IT$8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'[2]Misc Cargo'!$IT$9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0</v>
      </c>
      <c r="C12" s="161">
        <f t="shared" si="7"/>
        <v>0</v>
      </c>
      <c r="D12" s="161">
        <f t="shared" ref="D12:E12" si="8">D6+D10</f>
        <v>20</v>
      </c>
      <c r="E12" s="162">
        <f t="shared" si="8"/>
        <v>70</v>
      </c>
      <c r="F12" s="162">
        <f t="shared" si="7"/>
        <v>354</v>
      </c>
      <c r="G12" s="161">
        <f t="shared" si="7"/>
        <v>0</v>
      </c>
      <c r="H12" s="161">
        <f t="shared" ref="H12" si="9">H6+H10</f>
        <v>2</v>
      </c>
      <c r="I12" s="161">
        <f t="shared" si="7"/>
        <v>0</v>
      </c>
      <c r="J12" s="161">
        <f t="shared" si="7"/>
        <v>186</v>
      </c>
      <c r="K12" s="161">
        <f t="shared" si="7"/>
        <v>30</v>
      </c>
      <c r="L12" s="161">
        <f t="shared" si="7"/>
        <v>24</v>
      </c>
      <c r="M12" s="162">
        <f t="shared" si="7"/>
        <v>42</v>
      </c>
      <c r="N12" s="161">
        <f t="shared" si="7"/>
        <v>0</v>
      </c>
      <c r="O12" s="161">
        <f t="shared" si="7"/>
        <v>2</v>
      </c>
      <c r="P12" s="161">
        <f t="shared" si="7"/>
        <v>230</v>
      </c>
      <c r="Q12" s="161">
        <f t="shared" si="7"/>
        <v>172</v>
      </c>
      <c r="R12" s="162">
        <f t="shared" si="7"/>
        <v>0</v>
      </c>
      <c r="S12" s="374">
        <f>SUM(B12:R12)</f>
        <v>1132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'[2]Atlas Air'!$IT$47</f>
        <v>0</v>
      </c>
      <c r="C16" s="132">
        <f>[2]DHL!$IT$47</f>
        <v>0</v>
      </c>
      <c r="D16" s="132">
        <f>[2]Airborne!$IT$47</f>
        <v>388224</v>
      </c>
      <c r="E16" s="132">
        <f>[2]DHL_Bemidji!$IT$47</f>
        <v>43923</v>
      </c>
      <c r="F16" s="466" t="s">
        <v>86</v>
      </c>
      <c r="G16" s="132">
        <f>[2]DHL_Encore!$IT$47</f>
        <v>0</v>
      </c>
      <c r="H16" s="132">
        <f>[2]DHL_Mesa!$IT$47</f>
        <v>22802</v>
      </c>
      <c r="I16" s="132">
        <f>[2]Encore!$IT$47</f>
        <v>0</v>
      </c>
      <c r="J16" s="132">
        <f>[2]FedEx!$IT$47</f>
        <v>6314474</v>
      </c>
      <c r="K16" s="132">
        <f>[2]IFL!$IT$47</f>
        <v>54567</v>
      </c>
      <c r="L16" s="132">
        <f>[2]DHL_Kalitta!$IT$47</f>
        <v>318340</v>
      </c>
      <c r="M16" s="95">
        <f>'[2]Mountain Cargo'!$IT$47</f>
        <v>0</v>
      </c>
      <c r="N16" s="132">
        <f>[2]DHL_Amerijet!$IT$47</f>
        <v>0</v>
      </c>
      <c r="O16" s="132">
        <f>[2]DHL_Swift!$IT$47</f>
        <v>23997</v>
      </c>
      <c r="P16" s="132">
        <f>+'[2]Sun Country Cargo'!$IT$47</f>
        <v>2487231</v>
      </c>
      <c r="Q16" s="132">
        <f>[2]UPS!$IT$47</f>
        <v>4890616</v>
      </c>
      <c r="R16" s="95">
        <f>'[2]Misc Cargo'!$IT$47</f>
        <v>0</v>
      </c>
      <c r="S16" s="368">
        <f>SUM(B16:E16)+SUM(G16:R16)</f>
        <v>14544174</v>
      </c>
      <c r="U16" s="340"/>
      <c r="V16" s="340"/>
      <c r="W16" s="217"/>
    </row>
    <row r="17" spans="1:23" x14ac:dyDescent="0.2">
      <c r="A17" s="37" t="s">
        <v>38</v>
      </c>
      <c r="B17" s="183">
        <f>'[2]Atlas Air'!$IT$48</f>
        <v>0</v>
      </c>
      <c r="C17" s="132">
        <f>[2]DHL!$IT$48</f>
        <v>0</v>
      </c>
      <c r="D17" s="132">
        <f>[2]Airborne!$IT$48</f>
        <v>0</v>
      </c>
      <c r="E17" s="132">
        <f>[2]DHL_Bemidji!$IT$48</f>
        <v>0</v>
      </c>
      <c r="F17" s="467"/>
      <c r="G17" s="132">
        <f>[2]DHL_Encore!$IT$48</f>
        <v>0</v>
      </c>
      <c r="H17" s="132">
        <f>[2]DHL_Mesa!$IT$48</f>
        <v>0</v>
      </c>
      <c r="I17" s="132">
        <f>[2]Encore!$IT$48</f>
        <v>0</v>
      </c>
      <c r="J17" s="132">
        <f>[2]FedEx!$IT$48</f>
        <v>0</v>
      </c>
      <c r="K17" s="132">
        <f>[2]IFL!$IT$48</f>
        <v>0</v>
      </c>
      <c r="L17" s="132">
        <f>[2]DHL_Kalitta!$IT$48</f>
        <v>0</v>
      </c>
      <c r="M17" s="95">
        <f>'[2]Mountain Cargo'!$IT$48</f>
        <v>42587</v>
      </c>
      <c r="N17" s="132">
        <f>[2]DHL_Amerijet!$IT$48</f>
        <v>0</v>
      </c>
      <c r="O17" s="132">
        <f>[2]DHL_Swift!$IT$48</f>
        <v>0</v>
      </c>
      <c r="P17" s="132">
        <f>+'[2]Sun Country Cargo'!$IT$48</f>
        <v>0</v>
      </c>
      <c r="Q17" s="132">
        <f>[2]UPS!$IT$48</f>
        <v>28879</v>
      </c>
      <c r="R17" s="95">
        <f>'[2]Misc Cargo'!$IT$48</f>
        <v>0</v>
      </c>
      <c r="S17" s="368">
        <f>SUM(B17:E17)+SUM(G17:R17)</f>
        <v>71466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0</v>
      </c>
      <c r="C18" s="223">
        <f>SUM(C16:C17)</f>
        <v>0</v>
      </c>
      <c r="D18" s="223">
        <f>SUM(D16:D17)</f>
        <v>388224</v>
      </c>
      <c r="E18" s="223">
        <f>SUM(E16:E17)</f>
        <v>43923</v>
      </c>
      <c r="F18" s="467"/>
      <c r="G18" s="223">
        <f>SUM(G16:G17)</f>
        <v>0</v>
      </c>
      <c r="H18" s="223">
        <f>SUM(H16:H17)</f>
        <v>22802</v>
      </c>
      <c r="I18" s="223">
        <f>SUM(I16:I17)</f>
        <v>0</v>
      </c>
      <c r="J18" s="223">
        <f>SUM(J16:J17)</f>
        <v>6314474</v>
      </c>
      <c r="K18" s="223">
        <f>SUM(K16:K17)</f>
        <v>54567</v>
      </c>
      <c r="L18" s="223">
        <f t="shared" ref="L18:R18" si="10">SUM(L16:L17)</f>
        <v>318340</v>
      </c>
      <c r="M18" s="224">
        <f t="shared" si="10"/>
        <v>42587</v>
      </c>
      <c r="N18" s="223">
        <f t="shared" si="10"/>
        <v>0</v>
      </c>
      <c r="O18" s="223">
        <f t="shared" si="10"/>
        <v>23997</v>
      </c>
      <c r="P18" s="223">
        <f t="shared" si="10"/>
        <v>2487231</v>
      </c>
      <c r="Q18" s="223">
        <f t="shared" si="10"/>
        <v>4919495</v>
      </c>
      <c r="R18" s="224">
        <f t="shared" si="10"/>
        <v>0</v>
      </c>
      <c r="S18" s="380">
        <f>SUM(B18:D18)+SUM(G18:R18)</f>
        <v>14571717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67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67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'[2]Atlas Air'!$IT$52</f>
        <v>0</v>
      </c>
      <c r="C21" s="132">
        <f>[2]DHL!$IT$52</f>
        <v>0</v>
      </c>
      <c r="D21" s="132">
        <f>[2]Airborne!$IT$52</f>
        <v>378219</v>
      </c>
      <c r="E21" s="132">
        <f>[2]DHL_Bemidji!$IT$52</f>
        <v>42317</v>
      </c>
      <c r="F21" s="467"/>
      <c r="G21" s="132">
        <f>[2]DHL_Encore!$IT$52</f>
        <v>0</v>
      </c>
      <c r="H21" s="132">
        <f>[2]DHL_Mesa!$IT$52</f>
        <v>0</v>
      </c>
      <c r="I21" s="132">
        <f>[2]Encore!$IT$52</f>
        <v>0</v>
      </c>
      <c r="J21" s="132">
        <f>[2]FedEx!$IT$52</f>
        <v>5516531</v>
      </c>
      <c r="K21" s="132">
        <f>[2]IFL!$IT$52</f>
        <v>0</v>
      </c>
      <c r="L21" s="132">
        <f>[2]DHL_Kalitta!$IT$52</f>
        <v>278725</v>
      </c>
      <c r="M21" s="95">
        <f>'[2]Mountain Cargo'!$IT$52</f>
        <v>50866</v>
      </c>
      <c r="N21" s="132">
        <f>[2]DHL_Amerijet!$IT$52</f>
        <v>0</v>
      </c>
      <c r="O21" s="132">
        <f>[2]DHL_Swift!$IT$52</f>
        <v>29348</v>
      </c>
      <c r="P21" s="132">
        <f>+'[2]Sun Country Cargo'!$IT$52</f>
        <v>2762649</v>
      </c>
      <c r="Q21" s="132">
        <f>[2]UPS!$IT$52</f>
        <v>3723973</v>
      </c>
      <c r="R21" s="95">
        <f>'[2]Misc Cargo'!$IT$52</f>
        <v>0</v>
      </c>
      <c r="S21" s="368">
        <f>SUM(B21:E21)+SUM(G21:R21)</f>
        <v>12782628</v>
      </c>
      <c r="U21" s="340"/>
      <c r="V21" s="340"/>
      <c r="W21" s="217"/>
    </row>
    <row r="22" spans="1:23" x14ac:dyDescent="0.2">
      <c r="A22" s="37" t="s">
        <v>60</v>
      </c>
      <c r="B22" s="183">
        <f>'[2]Atlas Air'!$IT$53</f>
        <v>0</v>
      </c>
      <c r="C22" s="132">
        <f>[2]DHL!$IT$53</f>
        <v>0</v>
      </c>
      <c r="D22" s="132">
        <f>[2]Airborne!$IT$53</f>
        <v>0</v>
      </c>
      <c r="E22" s="132">
        <f>[2]DHL_Bemidji!$IT$53</f>
        <v>0</v>
      </c>
      <c r="F22" s="467"/>
      <c r="G22" s="132">
        <f>[2]DHL_Encore!$IT$53</f>
        <v>0</v>
      </c>
      <c r="H22" s="132">
        <f>[2]DHL_Mesa!$IT$53</f>
        <v>0</v>
      </c>
      <c r="I22" s="132">
        <f>[2]Encore!$IT$53</f>
        <v>0</v>
      </c>
      <c r="J22" s="132">
        <f>[2]FedEx!$IT$53</f>
        <v>0</v>
      </c>
      <c r="K22" s="132">
        <f>[2]IFL!$IT$53</f>
        <v>0</v>
      </c>
      <c r="L22" s="132">
        <f>[2]DHL_Kalitta!$IT$53</f>
        <v>0</v>
      </c>
      <c r="M22" s="95">
        <f>'[2]Mountain Cargo'!$IT$53</f>
        <v>0</v>
      </c>
      <c r="N22" s="132">
        <f>[2]DHL_Amerijet!$IT$53</f>
        <v>0</v>
      </c>
      <c r="O22" s="132">
        <f>[2]DHL_Swift!$IT$53</f>
        <v>0</v>
      </c>
      <c r="P22" s="132">
        <f>+'[2]Sun Country Cargo'!$IT$53</f>
        <v>0</v>
      </c>
      <c r="Q22" s="132">
        <f>[2]UPS!$IT$53</f>
        <v>75387</v>
      </c>
      <c r="R22" s="95">
        <f>'[2]Misc Cargo'!$IT$53</f>
        <v>0</v>
      </c>
      <c r="S22" s="368">
        <f>SUM(B22:E22)+SUM(G22:R22)</f>
        <v>75387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0</v>
      </c>
      <c r="C23" s="223">
        <f>SUM(C21:C22)</f>
        <v>0</v>
      </c>
      <c r="D23" s="223">
        <f t="shared" ref="D23:E23" si="11">SUM(D21:D22)</f>
        <v>378219</v>
      </c>
      <c r="E23" s="223">
        <f t="shared" si="11"/>
        <v>42317</v>
      </c>
      <c r="F23" s="467"/>
      <c r="G23" s="223">
        <f t="shared" ref="G23:R23" si="12">SUM(G21:G22)</f>
        <v>0</v>
      </c>
      <c r="H23" s="223">
        <f t="shared" ref="H23" si="13">SUM(H21:H22)</f>
        <v>0</v>
      </c>
      <c r="I23" s="223">
        <f t="shared" si="12"/>
        <v>0</v>
      </c>
      <c r="J23" s="223">
        <f t="shared" si="12"/>
        <v>5516531</v>
      </c>
      <c r="K23" s="223">
        <f t="shared" si="12"/>
        <v>0</v>
      </c>
      <c r="L23" s="223">
        <f t="shared" si="12"/>
        <v>278725</v>
      </c>
      <c r="M23" s="224">
        <f t="shared" si="12"/>
        <v>50866</v>
      </c>
      <c r="N23" s="223">
        <f t="shared" si="12"/>
        <v>0</v>
      </c>
      <c r="O23" s="223">
        <f t="shared" si="12"/>
        <v>29348</v>
      </c>
      <c r="P23" s="223">
        <f t="shared" si="12"/>
        <v>2762649</v>
      </c>
      <c r="Q23" s="223">
        <f t="shared" si="12"/>
        <v>3799360</v>
      </c>
      <c r="R23" s="224">
        <f t="shared" si="12"/>
        <v>0</v>
      </c>
      <c r="S23" s="380">
        <f>SUM(B23:D23)+SUM(G23:R23)</f>
        <v>12815698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67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67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'[2]Atlas Air'!$IT$57</f>
        <v>0</v>
      </c>
      <c r="C26" s="132">
        <f>[2]DHL!$IT$57</f>
        <v>0</v>
      </c>
      <c r="D26" s="132">
        <f>[2]Airborne!$IT$57</f>
        <v>0</v>
      </c>
      <c r="E26" s="132">
        <f>[2]DHL_Bemidji!$IT$57</f>
        <v>0</v>
      </c>
      <c r="F26" s="467"/>
      <c r="G26" s="132">
        <f>[2]DHL_Encore!$IT$57</f>
        <v>0</v>
      </c>
      <c r="H26" s="132">
        <f>[2]DHL_Mesa!$IT$57</f>
        <v>0</v>
      </c>
      <c r="I26" s="132">
        <f>[2]Encore!$IT$57</f>
        <v>0</v>
      </c>
      <c r="J26" s="132">
        <f>[2]FedEx!$IT$57</f>
        <v>0</v>
      </c>
      <c r="K26" s="132">
        <f>[2]IFL!$IT$57</f>
        <v>0</v>
      </c>
      <c r="L26" s="132">
        <f>[2]DHL_Kalitta!$IT$57</f>
        <v>0</v>
      </c>
      <c r="M26" s="95">
        <f>'[2]Mountain Cargo'!$IT$57</f>
        <v>0</v>
      </c>
      <c r="N26" s="132">
        <f>[2]DHL_Amerijet!$IT$57</f>
        <v>0</v>
      </c>
      <c r="O26" s="132">
        <f>[2]DHL_Swift!$IT$57</f>
        <v>0</v>
      </c>
      <c r="P26" s="132">
        <f>+'[2]Sun Country Cargo'!$IT$57</f>
        <v>0</v>
      </c>
      <c r="Q26" s="132">
        <f>[2]UPS!$IT$57</f>
        <v>0</v>
      </c>
      <c r="R26" s="95">
        <f>'[2]Misc Cargo'!$IT$57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'[2]Atlas Air'!$IT$58</f>
        <v>0</v>
      </c>
      <c r="C27" s="132">
        <f>[2]DHL!$IT$58</f>
        <v>0</v>
      </c>
      <c r="D27" s="132">
        <f>[2]Airborne!$IT$58</f>
        <v>0</v>
      </c>
      <c r="E27" s="132">
        <f>[2]DHL_Bemidji!$IT$58</f>
        <v>0</v>
      </c>
      <c r="F27" s="467"/>
      <c r="G27" s="132">
        <f>[2]DHL_Encore!$IT$58</f>
        <v>0</v>
      </c>
      <c r="H27" s="132">
        <f>[2]DHL_Mesa!$IT$58</f>
        <v>0</v>
      </c>
      <c r="I27" s="132">
        <f>[2]Encore!$IT$58</f>
        <v>0</v>
      </c>
      <c r="J27" s="132">
        <f>[2]FedEx!$IT$58</f>
        <v>0</v>
      </c>
      <c r="K27" s="132">
        <f>[2]IFL!$IT$58</f>
        <v>0</v>
      </c>
      <c r="L27" s="132">
        <f>[2]DHL_Kalitta!$IT$58</f>
        <v>0</v>
      </c>
      <c r="M27" s="95">
        <f>'[2]Mountain Cargo'!$IT$58</f>
        <v>0</v>
      </c>
      <c r="N27" s="132">
        <f>[2]DHL_Amerijet!$IT$58</f>
        <v>0</v>
      </c>
      <c r="O27" s="132">
        <f>[2]DHL_Swift!$IT$58</f>
        <v>0</v>
      </c>
      <c r="P27" s="132">
        <f>+'[2]Sun Country Cargo'!$IT$58</f>
        <v>0</v>
      </c>
      <c r="Q27" s="132">
        <f>[2]UPS!$IT$58</f>
        <v>0</v>
      </c>
      <c r="R27" s="95">
        <f>'[2]Misc Cargo'!$IT$58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67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67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67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0</v>
      </c>
      <c r="C31" s="132">
        <f t="shared" ref="C31:R33" si="17">C26+C21+C16</f>
        <v>0</v>
      </c>
      <c r="D31" s="132">
        <f t="shared" si="17"/>
        <v>766443</v>
      </c>
      <c r="E31" s="132">
        <f t="shared" si="17"/>
        <v>86240</v>
      </c>
      <c r="F31" s="467"/>
      <c r="G31" s="132">
        <f t="shared" ref="G31:P33" si="18">G26+G21+G16</f>
        <v>0</v>
      </c>
      <c r="H31" s="132">
        <f t="shared" ref="H31" si="19">H26+H21+H16</f>
        <v>22802</v>
      </c>
      <c r="I31" s="132">
        <f t="shared" si="18"/>
        <v>0</v>
      </c>
      <c r="J31" s="132">
        <f t="shared" si="18"/>
        <v>11831005</v>
      </c>
      <c r="K31" s="132">
        <f t="shared" si="18"/>
        <v>54567</v>
      </c>
      <c r="L31" s="132">
        <f t="shared" si="18"/>
        <v>597065</v>
      </c>
      <c r="M31" s="95">
        <f>M26+M21+M16</f>
        <v>50866</v>
      </c>
      <c r="N31" s="132">
        <f t="shared" si="18"/>
        <v>0</v>
      </c>
      <c r="O31" s="132">
        <f t="shared" si="18"/>
        <v>53345</v>
      </c>
      <c r="P31" s="132">
        <f t="shared" si="18"/>
        <v>5249880</v>
      </c>
      <c r="Q31" s="132">
        <f t="shared" si="17"/>
        <v>8614589</v>
      </c>
      <c r="R31" s="95">
        <f>R26+R21+R16</f>
        <v>0</v>
      </c>
      <c r="S31" s="368">
        <f>SUM(B31:E31)+SUM(G31:R31)</f>
        <v>27326802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68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42587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104266</v>
      </c>
      <c r="R32" s="95">
        <f>R27+R22+R17</f>
        <v>0</v>
      </c>
      <c r="S32" s="368">
        <f>SUM(B32:E32)+SUM(G32:R32)</f>
        <v>146853</v>
      </c>
    </row>
    <row r="33" spans="1:19" ht="18" customHeight="1" thickBot="1" x14ac:dyDescent="0.25">
      <c r="A33" s="160" t="s">
        <v>46</v>
      </c>
      <c r="B33" s="373">
        <f>B28+B23+B18</f>
        <v>0</v>
      </c>
      <c r="C33" s="161">
        <f t="shared" ref="C33:I33" si="21">C28+C23+C18</f>
        <v>0</v>
      </c>
      <c r="D33" s="161">
        <f t="shared" si="21"/>
        <v>766443</v>
      </c>
      <c r="E33" s="161">
        <f t="shared" si="21"/>
        <v>86240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22802</v>
      </c>
      <c r="I33" s="161">
        <f t="shared" si="21"/>
        <v>0</v>
      </c>
      <c r="J33" s="161">
        <f t="shared" si="18"/>
        <v>11831005</v>
      </c>
      <c r="K33" s="161">
        <f t="shared" si="18"/>
        <v>54567</v>
      </c>
      <c r="L33" s="161">
        <f t="shared" si="18"/>
        <v>597065</v>
      </c>
      <c r="M33" s="162">
        <f>M28+M23+M18</f>
        <v>93453</v>
      </c>
      <c r="N33" s="161">
        <f t="shared" si="18"/>
        <v>0</v>
      </c>
      <c r="O33" s="161">
        <f t="shared" si="18"/>
        <v>53345</v>
      </c>
      <c r="P33" s="161">
        <f t="shared" si="17"/>
        <v>5249880</v>
      </c>
      <c r="Q33" s="161">
        <f t="shared" si="17"/>
        <v>8718855</v>
      </c>
      <c r="R33" s="162">
        <f t="shared" si="17"/>
        <v>0</v>
      </c>
      <c r="S33" s="374">
        <f>SUM(B33:E33)+SUM(G33:R33)</f>
        <v>27473655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January 2024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L7" sqref="L7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45292</v>
      </c>
      <c r="B2" s="57" t="s">
        <v>211</v>
      </c>
      <c r="C2" s="57" t="s">
        <v>63</v>
      </c>
      <c r="D2" s="57" t="s">
        <v>64</v>
      </c>
      <c r="E2" s="236" t="s">
        <v>74</v>
      </c>
      <c r="F2" s="58" t="s">
        <v>242</v>
      </c>
      <c r="G2" s="58" t="s">
        <v>225</v>
      </c>
      <c r="H2" s="59" t="s">
        <v>65</v>
      </c>
      <c r="I2" s="60" t="s">
        <v>238</v>
      </c>
      <c r="J2" s="60" t="s">
        <v>219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3516424</v>
      </c>
      <c r="C5" s="95">
        <f>'Regional Major'!M25</f>
        <v>8447.7999999999993</v>
      </c>
      <c r="D5" s="95">
        <f>Cargo!S16</f>
        <v>14544174</v>
      </c>
      <c r="E5" s="95">
        <f>SUM(B5:D5)</f>
        <v>18069045.800000001</v>
      </c>
      <c r="F5" s="95">
        <f>E5*0.00045359237</f>
        <v>8195.9813080605454</v>
      </c>
      <c r="G5" s="95">
        <f>'[1]Cargo Summary'!F5</f>
        <v>8083.0269196168801</v>
      </c>
      <c r="H5" s="77">
        <f>(F5-G5)/G5</f>
        <v>1.3974268497056928E-2</v>
      </c>
      <c r="I5" s="95">
        <f>+F5</f>
        <v>8195.9813080605454</v>
      </c>
      <c r="J5" s="95">
        <f>+'[1]Cargo Summary'!I5</f>
        <v>8083.0269196168801</v>
      </c>
      <c r="K5" s="65">
        <f>(I5-J5)/J5</f>
        <v>1.3974268497056928E-2</v>
      </c>
      <c r="M5" s="13"/>
      <c r="O5" s="400"/>
    </row>
    <row r="6" spans="1:18" x14ac:dyDescent="0.2">
      <c r="A6" s="45" t="s">
        <v>16</v>
      </c>
      <c r="B6" s="139">
        <f>'Major Airline Stats'!K29</f>
        <v>360067</v>
      </c>
      <c r="C6" s="95">
        <f>'Regional Major'!M26</f>
        <v>0</v>
      </c>
      <c r="D6" s="95">
        <f>Cargo!S17</f>
        <v>71466</v>
      </c>
      <c r="E6" s="95">
        <f>SUM(B6:D6)</f>
        <v>431533</v>
      </c>
      <c r="F6" s="95">
        <f>E6*0.00045359237</f>
        <v>195.74007620321001</v>
      </c>
      <c r="G6" s="95">
        <f>'[1]Cargo Summary'!F6</f>
        <v>797.43670530139002</v>
      </c>
      <c r="H6" s="3">
        <f>(F6-G6)/G6</f>
        <v>-0.75453841677725331</v>
      </c>
      <c r="I6" s="95">
        <f>+F6</f>
        <v>195.74007620321001</v>
      </c>
      <c r="J6" s="95">
        <f>+'[1]Cargo Summary'!I6</f>
        <v>797.43670530139002</v>
      </c>
      <c r="K6" s="65">
        <f>(I6-J6)/J6</f>
        <v>-0.75453841677725331</v>
      </c>
      <c r="M6" s="13"/>
    </row>
    <row r="7" spans="1:18" ht="18" customHeight="1" thickBot="1" x14ac:dyDescent="0.25">
      <c r="A7" s="54" t="s">
        <v>71</v>
      </c>
      <c r="B7" s="141">
        <f>SUM(B5:B6)</f>
        <v>3876491</v>
      </c>
      <c r="C7" s="105">
        <f t="shared" ref="C7:J7" si="0">SUM(C5:C6)</f>
        <v>8447.7999999999993</v>
      </c>
      <c r="D7" s="105">
        <f t="shared" si="0"/>
        <v>14615640</v>
      </c>
      <c r="E7" s="105">
        <f t="shared" si="0"/>
        <v>18500578.800000001</v>
      </c>
      <c r="F7" s="105">
        <f t="shared" si="0"/>
        <v>8391.7213842637557</v>
      </c>
      <c r="G7" s="105">
        <f t="shared" si="0"/>
        <v>8880.4636249182695</v>
      </c>
      <c r="H7" s="28">
        <f>(F7-G7)/G7</f>
        <v>-5.503566720132947E-2</v>
      </c>
      <c r="I7" s="105">
        <f t="shared" si="0"/>
        <v>8391.7213842637557</v>
      </c>
      <c r="J7" s="105">
        <f t="shared" si="0"/>
        <v>8880.4636249182695</v>
      </c>
      <c r="K7" s="238">
        <f>(I7-J7)/J7</f>
        <v>-5.503566720132947E-2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2080293</v>
      </c>
      <c r="C10" s="95">
        <f>'Regional Major'!M30</f>
        <v>5114.7</v>
      </c>
      <c r="D10" s="95">
        <f>Cargo!S21</f>
        <v>12782628</v>
      </c>
      <c r="E10" s="95">
        <f>SUM(B10:D10)</f>
        <v>14868035.699999999</v>
      </c>
      <c r="F10" s="95">
        <f>E10*0.00045359237</f>
        <v>6744.0275504076089</v>
      </c>
      <c r="G10" s="95">
        <f>'[1]Cargo Summary'!F10</f>
        <v>7071.8402530614294</v>
      </c>
      <c r="H10" s="3">
        <f>(F10-G10)/G10</f>
        <v>-4.6354653233563775E-2</v>
      </c>
      <c r="I10" s="95">
        <f>+F10</f>
        <v>6744.0275504076089</v>
      </c>
      <c r="J10" s="95">
        <f>+'[1]Cargo Summary'!I10</f>
        <v>7071.8402530614294</v>
      </c>
      <c r="K10" s="65">
        <f>(I10-J10)/J10</f>
        <v>-4.6354653233563775E-2</v>
      </c>
      <c r="M10" s="13"/>
      <c r="O10" s="400"/>
    </row>
    <row r="11" spans="1:18" x14ac:dyDescent="0.2">
      <c r="A11" s="45" t="s">
        <v>16</v>
      </c>
      <c r="B11" s="139">
        <f>'Major Airline Stats'!K34</f>
        <v>303833</v>
      </c>
      <c r="C11" s="95">
        <f>'Regional Major'!M31</f>
        <v>0</v>
      </c>
      <c r="D11" s="95">
        <f>Cargo!S22</f>
        <v>75387</v>
      </c>
      <c r="E11" s="95">
        <f>SUM(B11:D11)</f>
        <v>379220</v>
      </c>
      <c r="F11" s="95">
        <f>E11*0.00045359237</f>
        <v>172.01129855139999</v>
      </c>
      <c r="G11" s="95">
        <f>'[1]Cargo Summary'!F11</f>
        <v>647.34571162261</v>
      </c>
      <c r="H11" s="25">
        <f>(F11-G11)/G11</f>
        <v>-0.73428216876536712</v>
      </c>
      <c r="I11" s="95">
        <f>+F11</f>
        <v>172.01129855139999</v>
      </c>
      <c r="J11" s="95">
        <f>+'[1]Cargo Summary'!I11</f>
        <v>647.34571162261</v>
      </c>
      <c r="K11" s="65">
        <f>(I11-J11)/J11</f>
        <v>-0.73428216876536712</v>
      </c>
      <c r="M11" s="13"/>
    </row>
    <row r="12" spans="1:18" ht="18" customHeight="1" thickBot="1" x14ac:dyDescent="0.25">
      <c r="A12" s="54" t="s">
        <v>72</v>
      </c>
      <c r="B12" s="141">
        <f>SUM(B10:B11)</f>
        <v>2384126</v>
      </c>
      <c r="C12" s="105">
        <f t="shared" ref="C12:J12" si="1">SUM(C10:C11)</f>
        <v>5114.7</v>
      </c>
      <c r="D12" s="105">
        <f t="shared" si="1"/>
        <v>12858015</v>
      </c>
      <c r="E12" s="105">
        <f t="shared" si="1"/>
        <v>15247255.699999999</v>
      </c>
      <c r="F12" s="105">
        <f t="shared" si="1"/>
        <v>6916.0388489590086</v>
      </c>
      <c r="G12" s="105">
        <f t="shared" si="1"/>
        <v>7719.1859646840394</v>
      </c>
      <c r="H12" s="28">
        <f>(F12-G12)/G12</f>
        <v>-0.10404557156667815</v>
      </c>
      <c r="I12" s="105">
        <f>SUM(I10:I11)</f>
        <v>6916.0388489590086</v>
      </c>
      <c r="J12" s="105">
        <f t="shared" si="1"/>
        <v>7719.1859646840394</v>
      </c>
      <c r="K12" s="238">
        <f>(I12-J12)/J12</f>
        <v>-0.10404557156667815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5596717</v>
      </c>
      <c r="C20" s="95">
        <f t="shared" si="3"/>
        <v>13562.5</v>
      </c>
      <c r="D20" s="95">
        <f t="shared" si="3"/>
        <v>27326802</v>
      </c>
      <c r="E20" s="95">
        <f>SUM(B20:D20)</f>
        <v>32937081.5</v>
      </c>
      <c r="F20" s="95">
        <f>E20*0.00045359237</f>
        <v>14940.008858468154</v>
      </c>
      <c r="G20" s="95">
        <f>'[1]Cargo Summary'!F20</f>
        <v>15154.86717267831</v>
      </c>
      <c r="H20" s="3">
        <f>(F20-G20)/G20</f>
        <v>-1.417751219868886E-2</v>
      </c>
      <c r="I20" s="95">
        <f>+F20</f>
        <v>14940.008858468154</v>
      </c>
      <c r="J20" s="95">
        <f>+'[1]Cargo Summary'!I20</f>
        <v>15154.86717267831</v>
      </c>
      <c r="K20" s="65">
        <f>(I20-J20)/J20</f>
        <v>-1.417751219868886E-2</v>
      </c>
      <c r="M20" s="13"/>
    </row>
    <row r="21" spans="1:13" x14ac:dyDescent="0.2">
      <c r="A21" s="45" t="s">
        <v>16</v>
      </c>
      <c r="B21" s="139">
        <f t="shared" si="3"/>
        <v>663900</v>
      </c>
      <c r="C21" s="96">
        <f t="shared" si="3"/>
        <v>0</v>
      </c>
      <c r="D21" s="96">
        <f t="shared" si="3"/>
        <v>146853</v>
      </c>
      <c r="E21" s="95">
        <f>SUM(B21:D21)</f>
        <v>810753</v>
      </c>
      <c r="F21" s="95">
        <f>E21*0.00045359237</f>
        <v>367.75137475460997</v>
      </c>
      <c r="G21" s="95">
        <f>'[1]Cargo Summary'!F21</f>
        <v>1444.782416924</v>
      </c>
      <c r="H21" s="3">
        <f>(F21-G21)/G21</f>
        <v>-0.74546245133743572</v>
      </c>
      <c r="I21" s="95">
        <f>+F21</f>
        <v>367.75137475460997</v>
      </c>
      <c r="J21" s="95">
        <f>+'[1]Cargo Summary'!I21</f>
        <v>1444.782416924</v>
      </c>
      <c r="K21" s="65">
        <f>(I21-J21)/J21</f>
        <v>-0.74546245133743572</v>
      </c>
      <c r="M21" s="13"/>
    </row>
    <row r="22" spans="1:13" ht="18" customHeight="1" thickBot="1" x14ac:dyDescent="0.25">
      <c r="A22" s="67" t="s">
        <v>62</v>
      </c>
      <c r="B22" s="142">
        <f>SUM(B20:B21)</f>
        <v>6260617</v>
      </c>
      <c r="C22" s="143">
        <f t="shared" ref="C22:J22" si="4">SUM(C20:C21)</f>
        <v>13562.5</v>
      </c>
      <c r="D22" s="143">
        <f t="shared" si="4"/>
        <v>27473655</v>
      </c>
      <c r="E22" s="143">
        <f t="shared" si="4"/>
        <v>33747834.5</v>
      </c>
      <c r="F22" s="143">
        <f t="shared" si="4"/>
        <v>15307.760233222765</v>
      </c>
      <c r="G22" s="143">
        <f t="shared" si="4"/>
        <v>16599.649589602312</v>
      </c>
      <c r="H22" s="244">
        <f>(F22-G22)/G22</f>
        <v>-7.7826302862968863E-2</v>
      </c>
      <c r="I22" s="143">
        <f>SUM(I20:I21)</f>
        <v>15307.760233222765</v>
      </c>
      <c r="J22" s="143">
        <f t="shared" si="4"/>
        <v>16599.649589602312</v>
      </c>
      <c r="K22" s="245">
        <f>(I22-J22)/J22</f>
        <v>-7.7826302862968863E-2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January 2024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A4" sqref="A4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9.2851562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75" t="s">
        <v>182</v>
      </c>
      <c r="B2" s="476"/>
      <c r="C2" s="336" t="s">
        <v>243</v>
      </c>
      <c r="D2" s="337" t="s">
        <v>220</v>
      </c>
      <c r="E2" s="394" t="s">
        <v>95</v>
      </c>
      <c r="F2" s="339" t="s">
        <v>244</v>
      </c>
      <c r="G2" s="337" t="s">
        <v>221</v>
      </c>
      <c r="H2" s="395" t="s">
        <v>96</v>
      </c>
      <c r="I2" s="338" t="s">
        <v>135</v>
      </c>
      <c r="J2" s="475" t="s">
        <v>178</v>
      </c>
      <c r="K2" s="476"/>
      <c r="L2" s="336" t="s">
        <v>245</v>
      </c>
      <c r="M2" s="337" t="s">
        <v>229</v>
      </c>
      <c r="N2" s="394" t="s">
        <v>95</v>
      </c>
      <c r="O2" s="339" t="s">
        <v>246</v>
      </c>
      <c r="P2" s="337" t="s">
        <v>230</v>
      </c>
      <c r="Q2" s="395" t="s">
        <v>96</v>
      </c>
      <c r="R2" s="338" t="s">
        <v>135</v>
      </c>
      <c r="T2" s="392"/>
    </row>
    <row r="3" spans="1:20" s="9" customFormat="1" ht="13.5" customHeight="1" thickBot="1" x14ac:dyDescent="0.25">
      <c r="A3" s="477">
        <v>45292</v>
      </c>
      <c r="B3" s="478"/>
      <c r="C3" s="479" t="s">
        <v>9</v>
      </c>
      <c r="D3" s="480"/>
      <c r="E3" s="480"/>
      <c r="F3" s="480"/>
      <c r="G3" s="480"/>
      <c r="H3" s="481"/>
      <c r="I3" s="365"/>
      <c r="J3" s="477">
        <f>+A3</f>
        <v>45292</v>
      </c>
      <c r="K3" s="478"/>
      <c r="L3" s="472" t="s">
        <v>179</v>
      </c>
      <c r="M3" s="473"/>
      <c r="N3" s="473"/>
      <c r="O3" s="473"/>
      <c r="P3" s="473"/>
      <c r="Q3" s="473"/>
      <c r="R3" s="474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200</v>
      </c>
      <c r="B5" s="39"/>
      <c r="C5" s="382">
        <f>SUM(C6:C7)</f>
        <v>230</v>
      </c>
      <c r="D5" s="382">
        <f>SUM(D6:D7)</f>
        <v>181</v>
      </c>
      <c r="E5" s="383">
        <f>(C5-D5)/D5</f>
        <v>0.27071823204419887</v>
      </c>
      <c r="F5" s="382">
        <f>SUM(F6:F7)</f>
        <v>230</v>
      </c>
      <c r="G5" s="382">
        <f>SUM(G6:G7)</f>
        <v>181</v>
      </c>
      <c r="H5" s="384">
        <f>(F5-G5)/G5</f>
        <v>0.27071823204419887</v>
      </c>
      <c r="I5" s="383">
        <f>+F5/$F$34</f>
        <v>0.20318021201413428</v>
      </c>
      <c r="J5" s="258" t="s">
        <v>200</v>
      </c>
      <c r="K5" s="39"/>
      <c r="L5" s="382">
        <f>SUM(L6:L7)</f>
        <v>5249880</v>
      </c>
      <c r="M5" s="382">
        <f>SUM(M6:M7)</f>
        <v>5569824</v>
      </c>
      <c r="N5" s="383">
        <f>(L5-M5)/M5</f>
        <v>-5.7442389562040022E-2</v>
      </c>
      <c r="O5" s="382">
        <f>SUM(O6:O7)</f>
        <v>5249880</v>
      </c>
      <c r="P5" s="382">
        <f>SUM(P6:P7)</f>
        <v>5569824</v>
      </c>
      <c r="Q5" s="384">
        <f>(O5-P5)/P5</f>
        <v>-5.7442389562040022E-2</v>
      </c>
      <c r="R5" s="383">
        <f>O5/$O$34</f>
        <v>0.19108778937494847</v>
      </c>
      <c r="T5" s="391"/>
    </row>
    <row r="6" spans="1:20" ht="14.1" customHeight="1" x14ac:dyDescent="0.2">
      <c r="A6" s="37"/>
      <c r="B6" s="318" t="s">
        <v>201</v>
      </c>
      <c r="C6" s="322">
        <f>+'[2]Atlas Air'!$IT$19</f>
        <v>0</v>
      </c>
      <c r="D6" s="217">
        <f>+'[2]Atlas Air'!$IF$19</f>
        <v>64</v>
      </c>
      <c r="E6" s="324">
        <f>(C6-D6)/D6</f>
        <v>-1</v>
      </c>
      <c r="F6" s="322">
        <f>+SUM('[2]Atlas Air'!$IT$19:$IT$19)</f>
        <v>0</v>
      </c>
      <c r="G6" s="217">
        <f>+SUM('[2]Atlas Air'!$IF$19:$IF$19)</f>
        <v>64</v>
      </c>
      <c r="H6" s="323">
        <f>(F6-G6)/G6</f>
        <v>-1</v>
      </c>
      <c r="I6" s="324">
        <f>+F6/$F$34</f>
        <v>0</v>
      </c>
      <c r="J6" s="37"/>
      <c r="K6" s="318" t="s">
        <v>201</v>
      </c>
      <c r="L6" s="322">
        <f>+'[2]Atlas Air'!$IT$64</f>
        <v>0</v>
      </c>
      <c r="M6" s="217">
        <f>+'[2]Atlas Air'!$IF$64</f>
        <v>2943114</v>
      </c>
      <c r="N6" s="324">
        <f>(L6-M6)/M6</f>
        <v>-1</v>
      </c>
      <c r="O6" s="217">
        <f>+SUM('[2]Atlas Air'!$IT$64:$IT$64)</f>
        <v>0</v>
      </c>
      <c r="P6" s="217">
        <f>+SUM('[2]Atlas Air'!$IF$64:$IF$64)</f>
        <v>2943114</v>
      </c>
      <c r="Q6" s="323">
        <f>(O6-P6)/P6</f>
        <v>-1</v>
      </c>
      <c r="R6" s="324">
        <f>O6/$O$34</f>
        <v>0</v>
      </c>
      <c r="T6" s="391"/>
    </row>
    <row r="7" spans="1:20" ht="14.1" customHeight="1" x14ac:dyDescent="0.2">
      <c r="A7" s="37"/>
      <c r="B7" s="318" t="s">
        <v>49</v>
      </c>
      <c r="C7" s="322">
        <f>+'[2]Sun Country Cargo'!$IT$19</f>
        <v>230</v>
      </c>
      <c r="D7" s="217">
        <f>+'[2]Sun Country Cargo'!$IF$19</f>
        <v>117</v>
      </c>
      <c r="E7" s="324">
        <f>(C7-D7)/D7</f>
        <v>0.96581196581196582</v>
      </c>
      <c r="F7" s="322">
        <f>+SUM('[2]Sun Country Cargo'!$IT$19:$IT$19)</f>
        <v>230</v>
      </c>
      <c r="G7" s="217">
        <f>+SUM('[2]Sun Country Cargo'!$IF$19:$IF$19)</f>
        <v>117</v>
      </c>
      <c r="H7" s="323">
        <f>(F7-G7)/G7</f>
        <v>0.96581196581196582</v>
      </c>
      <c r="I7" s="324">
        <f>+F7/$F$34</f>
        <v>0.20318021201413428</v>
      </c>
      <c r="J7" s="37"/>
      <c r="K7" s="318" t="s">
        <v>49</v>
      </c>
      <c r="L7" s="322">
        <f>+'[2]Sun Country Cargo'!$IT$64</f>
        <v>5249880</v>
      </c>
      <c r="M7" s="217">
        <f>+'[2]Sun Country Cargo'!$IF$64</f>
        <v>2626710</v>
      </c>
      <c r="N7" s="324">
        <f>(L7-M7)/M7</f>
        <v>0.9986523064974816</v>
      </c>
      <c r="O7" s="217">
        <f>+SUM('[2]Sun Country Cargo'!$IT$64:$IT$64)</f>
        <v>5249880</v>
      </c>
      <c r="P7" s="217">
        <f>+SUM('[2]Sun Country Cargo'!$IF$64:$IF$64)</f>
        <v>2626710</v>
      </c>
      <c r="Q7" s="323">
        <f>(O7-P7)/P7</f>
        <v>0.9986523064974816</v>
      </c>
      <c r="R7" s="324">
        <f>O7/$O$34</f>
        <v>0.19108778937494847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202</v>
      </c>
      <c r="B9" s="39"/>
      <c r="C9" s="382">
        <f>SUM(C10:C18)</f>
        <v>118</v>
      </c>
      <c r="D9" s="382">
        <f>SUM(D10:D18)</f>
        <v>116</v>
      </c>
      <c r="E9" s="383">
        <f>(C9-D9)/D9</f>
        <v>1.7241379310344827E-2</v>
      </c>
      <c r="F9" s="382">
        <f>SUM(F10:F18)</f>
        <v>118</v>
      </c>
      <c r="G9" s="382">
        <f>SUM(G10:G18)</f>
        <v>116</v>
      </c>
      <c r="H9" s="384">
        <f>(F9-G9)/G9</f>
        <v>1.7241379310344827E-2</v>
      </c>
      <c r="I9" s="383">
        <f t="shared" ref="I9:I18" si="0">+F9/$F$34</f>
        <v>0.10424028268551237</v>
      </c>
      <c r="J9" s="258" t="s">
        <v>202</v>
      </c>
      <c r="K9" s="39"/>
      <c r="L9" s="382">
        <f>SUM(L10:L18)</f>
        <v>1525895</v>
      </c>
      <c r="M9" s="382">
        <f>SUM(M10:M18)</f>
        <v>1340242</v>
      </c>
      <c r="N9" s="383">
        <f t="shared" ref="N9:N18" si="1">(L9-M9)/M9</f>
        <v>0.1385219982659848</v>
      </c>
      <c r="O9" s="382">
        <f>SUM(O10:O18)</f>
        <v>1525895</v>
      </c>
      <c r="P9" s="382">
        <f>SUM(P10:P18)</f>
        <v>1340242</v>
      </c>
      <c r="Q9" s="384">
        <f t="shared" ref="Q9:Q18" si="2">(O9-P9)/P9</f>
        <v>0.1385219982659848</v>
      </c>
      <c r="R9" s="383">
        <f t="shared" ref="R9:R18" si="3">O9/$O$34</f>
        <v>5.5540298515068344E-2</v>
      </c>
      <c r="T9" s="391"/>
    </row>
    <row r="10" spans="1:20" ht="14.1" customHeight="1" x14ac:dyDescent="0.2">
      <c r="A10" s="258"/>
      <c r="B10" s="318" t="s">
        <v>203</v>
      </c>
      <c r="C10" s="322">
        <f>+[2]Airborne!$IT$19</f>
        <v>20</v>
      </c>
      <c r="D10" s="217">
        <f>+[2]Airborne!$IF$19</f>
        <v>2</v>
      </c>
      <c r="E10" s="324">
        <f>(C10-D10)/D10</f>
        <v>9</v>
      </c>
      <c r="F10" s="322">
        <f>+SUM([2]Airborne!$IT$19:$IT$19)</f>
        <v>20</v>
      </c>
      <c r="G10" s="217">
        <f>+SUM([2]Airborne!$IF$19:$IF$19)</f>
        <v>2</v>
      </c>
      <c r="H10" s="323">
        <f>(F10-G10)/G10</f>
        <v>9</v>
      </c>
      <c r="I10" s="324">
        <f t="shared" si="0"/>
        <v>1.7667844522968199E-2</v>
      </c>
      <c r="J10" s="258"/>
      <c r="K10" s="318" t="s">
        <v>203</v>
      </c>
      <c r="L10" s="322">
        <f>+[2]Airborne!$IT$64</f>
        <v>766443</v>
      </c>
      <c r="M10" s="217">
        <f>+[2]Airborne!$IF$64</f>
        <v>35948</v>
      </c>
      <c r="N10" s="324">
        <f t="shared" si="1"/>
        <v>20.320880160231447</v>
      </c>
      <c r="O10" s="322">
        <f>+SUM([2]Airborne!$IT$64:$IT$64)</f>
        <v>766443</v>
      </c>
      <c r="P10" s="217">
        <f>+SUM([2]Airborne!$IF$64:$IF$64)</f>
        <v>35948</v>
      </c>
      <c r="Q10" s="323">
        <f t="shared" si="2"/>
        <v>20.320880160231447</v>
      </c>
      <c r="R10" s="324">
        <f t="shared" si="3"/>
        <v>2.7897380235720366E-2</v>
      </c>
      <c r="T10" s="391"/>
    </row>
    <row r="11" spans="1:20" ht="14.1" customHeight="1" x14ac:dyDescent="0.2">
      <c r="A11" s="258"/>
      <c r="B11" s="39" t="s">
        <v>201</v>
      </c>
      <c r="C11" s="322">
        <f>+[2]DHL_Atlas!$IT$19</f>
        <v>0</v>
      </c>
      <c r="D11" s="217">
        <f>+[2]DHL_Atlas!$IF$19</f>
        <v>0</v>
      </c>
      <c r="E11" s="324" t="e">
        <f t="shared" ref="E11:E18" si="4">(C11-D11)/D11</f>
        <v>#DIV/0!</v>
      </c>
      <c r="F11" s="322">
        <f>+SUM([2]DHL_Atlas!$IT$19:$IT$19)</f>
        <v>0</v>
      </c>
      <c r="G11" s="217">
        <f>+SUM([2]DHL_Atlas!$IF$19:$IF$19)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201</v>
      </c>
      <c r="L11" s="322">
        <f>+[2]DHL_Atlas!$IT$64</f>
        <v>0</v>
      </c>
      <c r="M11" s="217">
        <f>+[2]DHL_Atlas!$IF$64</f>
        <v>0</v>
      </c>
      <c r="N11" s="324" t="e">
        <f t="shared" si="1"/>
        <v>#DIV/0!</v>
      </c>
      <c r="O11" s="322">
        <f>+SUM([2]DHL_Atlas!$IT$64:$IT$64)</f>
        <v>0</v>
      </c>
      <c r="P11" s="217">
        <f>+SUM([2]DHL_Atlas!$IF$64:$IF$64)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204</v>
      </c>
      <c r="C12" s="322">
        <f>+[2]DHL!$IT$19</f>
        <v>0</v>
      </c>
      <c r="D12" s="217">
        <f>+[2]DHL!$IF$19</f>
        <v>0</v>
      </c>
      <c r="E12" s="324" t="e">
        <f t="shared" si="4"/>
        <v>#DIV/0!</v>
      </c>
      <c r="F12" s="322">
        <f>+SUM([2]DHL!$IT$19:$IT$19)</f>
        <v>0</v>
      </c>
      <c r="G12" s="217">
        <f>+SUM([2]DHL!$IF$19:$IF$19)</f>
        <v>0</v>
      </c>
      <c r="H12" s="323" t="e">
        <f t="shared" si="5"/>
        <v>#DIV/0!</v>
      </c>
      <c r="I12" s="324">
        <f t="shared" si="0"/>
        <v>0</v>
      </c>
      <c r="J12" s="258"/>
      <c r="K12" s="39" t="s">
        <v>204</v>
      </c>
      <c r="L12" s="322">
        <f>+[2]DHL!$IT$64</f>
        <v>0</v>
      </c>
      <c r="M12" s="217">
        <f>+[2]DHL!$IF$64</f>
        <v>0</v>
      </c>
      <c r="N12" s="324" t="e">
        <f t="shared" si="1"/>
        <v>#DIV/0!</v>
      </c>
      <c r="O12" s="322">
        <f>+SUM([2]DHL!$IT$64:$IT$64)</f>
        <v>0</v>
      </c>
      <c r="P12" s="217">
        <f>+SUM([2]DHL!$IF$64:$IF$64)</f>
        <v>0</v>
      </c>
      <c r="Q12" s="323" t="e">
        <f t="shared" si="2"/>
        <v>#DIV/0!</v>
      </c>
      <c r="R12" s="324">
        <f t="shared" si="3"/>
        <v>0</v>
      </c>
      <c r="T12" s="391"/>
    </row>
    <row r="13" spans="1:20" ht="14.1" customHeight="1" x14ac:dyDescent="0.2">
      <c r="A13" s="258"/>
      <c r="B13" s="318" t="s">
        <v>83</v>
      </c>
      <c r="C13" s="322">
        <f>+[2]DHL_Bemidji!$IT$19</f>
        <v>70</v>
      </c>
      <c r="D13" s="217">
        <f>+[2]DHL_Bemidji!$IF$19</f>
        <v>56</v>
      </c>
      <c r="E13" s="324">
        <f>(C13-D13)/D13</f>
        <v>0.25</v>
      </c>
      <c r="F13" s="322">
        <f>+SUM([2]DHL_Bemidji!$IT$19:$IT$19)</f>
        <v>70</v>
      </c>
      <c r="G13" s="217">
        <f>+SUM([2]DHL_Bemidji!$IF$19:$IF$19)</f>
        <v>56</v>
      </c>
      <c r="H13" s="323">
        <f t="shared" si="5"/>
        <v>0.25</v>
      </c>
      <c r="I13" s="324">
        <f t="shared" si="0"/>
        <v>6.1837455830388695E-2</v>
      </c>
      <c r="J13" s="258"/>
      <c r="K13" s="318" t="s">
        <v>83</v>
      </c>
      <c r="L13" s="322">
        <f>+[2]DHL_Bemidji!$IT$64</f>
        <v>86240</v>
      </c>
      <c r="M13" s="217">
        <f>+[2]DHL_Bemidji!$IF$64</f>
        <v>74018</v>
      </c>
      <c r="N13" s="324">
        <f t="shared" ref="N13" si="6">(L13-M13)/M13</f>
        <v>0.16512199735199545</v>
      </c>
      <c r="O13" s="322">
        <f>+SUM([2]DHL_Bemidji!$IT$64:$IT$64)</f>
        <v>86240</v>
      </c>
      <c r="P13" s="217">
        <f>+SUM([2]DHL_Bemidji!$IF$64:$IF$64)</f>
        <v>74018</v>
      </c>
      <c r="Q13" s="323">
        <f t="shared" ref="Q13" si="7">(O13-P13)/P13</f>
        <v>0.16512199735199545</v>
      </c>
      <c r="R13" s="324">
        <f t="shared" si="3"/>
        <v>3.1390071688677753E-3</v>
      </c>
      <c r="T13" s="391"/>
    </row>
    <row r="14" spans="1:20" ht="14.1" customHeight="1" x14ac:dyDescent="0.2">
      <c r="A14" s="258"/>
      <c r="B14" s="39" t="s">
        <v>192</v>
      </c>
      <c r="C14" s="322">
        <f>+[2]Encore!$IT$19+[2]DHL_Encore!$IT$12</f>
        <v>0</v>
      </c>
      <c r="D14" s="217">
        <f>+[2]Encore!$IF$19+[2]DHL_Encore!$IF$19</f>
        <v>0</v>
      </c>
      <c r="E14" s="324" t="e">
        <f t="shared" si="4"/>
        <v>#DIV/0!</v>
      </c>
      <c r="F14" s="322">
        <f>+SUM([2]Encore!$IT$19:$IT$19)+SUM([2]DHL_Encore!$IT$19:$IT$19)</f>
        <v>0</v>
      </c>
      <c r="G14" s="217">
        <f>+SUM([2]Encore!$IF$19:$IF$19)+SUM([2]DHL_Encore!$IF$19:$IF$19)</f>
        <v>0</v>
      </c>
      <c r="H14" s="323" t="e">
        <f t="shared" si="5"/>
        <v>#DIV/0!</v>
      </c>
      <c r="I14" s="324">
        <f t="shared" si="0"/>
        <v>0</v>
      </c>
      <c r="J14" s="258"/>
      <c r="K14" s="39" t="s">
        <v>192</v>
      </c>
      <c r="L14" s="322">
        <f>+[2]Encore!$IT$64+[2]DHL_Encore!$IT$64</f>
        <v>0</v>
      </c>
      <c r="M14" s="217">
        <f>+[2]Encore!$IF$64+[2]DHL_Encore!$IF$64</f>
        <v>0</v>
      </c>
      <c r="N14" s="324" t="e">
        <f t="shared" si="1"/>
        <v>#DIV/0!</v>
      </c>
      <c r="O14" s="322">
        <f>+SUM([2]Encore!$IT$64:$IT$64)+SUM([2]DHL_Encore!$IT$64:$IT$64)</f>
        <v>0</v>
      </c>
      <c r="P14" s="217">
        <f>+SUM([2]Encore!$IF$64:$IF$64)+SUM([2]DHL_Encore!$IF$64:$IF$64)</f>
        <v>0</v>
      </c>
      <c r="Q14" s="323" t="e">
        <f t="shared" si="2"/>
        <v>#DIV/0!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205</v>
      </c>
      <c r="C15" s="322">
        <f>+[2]DHL_Kalitta!$IT$19</f>
        <v>24</v>
      </c>
      <c r="D15" s="217">
        <f>+[2]DHL_Kalitta!$IF$19</f>
        <v>0</v>
      </c>
      <c r="E15" s="324" t="e">
        <f t="shared" si="4"/>
        <v>#DIV/0!</v>
      </c>
      <c r="F15" s="322">
        <f>+SUM([2]DHL_Kalitta!$IT$19:$IT$19)</f>
        <v>24</v>
      </c>
      <c r="G15" s="217">
        <f>+SUM([2]DHL_Kalitta!$IF$19:$IF$19)</f>
        <v>0</v>
      </c>
      <c r="H15" s="323" t="e">
        <f t="shared" si="5"/>
        <v>#DIV/0!</v>
      </c>
      <c r="I15" s="324">
        <f t="shared" si="0"/>
        <v>2.1201413427561839E-2</v>
      </c>
      <c r="J15" s="258"/>
      <c r="K15" s="39" t="s">
        <v>205</v>
      </c>
      <c r="L15" s="322">
        <f>+[2]DHL_Kalitta!$IT$64</f>
        <v>597065</v>
      </c>
      <c r="M15" s="217">
        <f>+[2]DHL_Kalitta!$IF$64</f>
        <v>0</v>
      </c>
      <c r="N15" s="324" t="e">
        <f t="shared" si="1"/>
        <v>#DIV/0!</v>
      </c>
      <c r="O15" s="322">
        <f>+SUM([2]DHL_Kalitta!$IT$64:$IT$64)</f>
        <v>597065</v>
      </c>
      <c r="P15" s="217">
        <f>+SUM([2]DHL_Kalitta!$IF$64:$IF$64)</f>
        <v>0</v>
      </c>
      <c r="Q15" s="323" t="e">
        <f t="shared" si="2"/>
        <v>#DIV/0!</v>
      </c>
      <c r="R15" s="324">
        <f t="shared" si="3"/>
        <v>2.1732274064007864E-2</v>
      </c>
      <c r="T15" s="391"/>
    </row>
    <row r="16" spans="1:20" ht="14.1" customHeight="1" x14ac:dyDescent="0.2">
      <c r="A16" s="258"/>
      <c r="B16" s="39" t="s">
        <v>51</v>
      </c>
      <c r="C16" s="322">
        <f>+[2]DHL_Mesa!$IT$19</f>
        <v>2</v>
      </c>
      <c r="D16" s="217">
        <f>+[2]DHL_Mesa!$IF$19</f>
        <v>12</v>
      </c>
      <c r="E16" s="324">
        <f t="shared" ref="E16" si="8">(C16-D16)/D16</f>
        <v>-0.83333333333333337</v>
      </c>
      <c r="F16" s="322">
        <f>+SUM([2]DHL_Mesa!$IT$19:$IT$19)</f>
        <v>2</v>
      </c>
      <c r="G16" s="217">
        <f>+SUM([2]DHL_Mesa!$IF$19:$IF$19)</f>
        <v>12</v>
      </c>
      <c r="H16" s="323">
        <f t="shared" ref="H16" si="9">(F16-G16)/G16</f>
        <v>-0.83333333333333337</v>
      </c>
      <c r="I16" s="324">
        <f t="shared" ref="I16" si="10">+F16/$F$34</f>
        <v>1.7667844522968198E-3</v>
      </c>
      <c r="J16" s="258"/>
      <c r="K16" s="39" t="s">
        <v>51</v>
      </c>
      <c r="L16" s="322">
        <f>+[2]DHL_Mesa!$IT$64</f>
        <v>22802</v>
      </c>
      <c r="M16" s="217">
        <f>+[2]DHL_Mesa!$IF$64</f>
        <v>221384</v>
      </c>
      <c r="N16" s="324">
        <f t="shared" ref="N16" si="11">(L16-M16)/M16</f>
        <v>-0.89700249340512417</v>
      </c>
      <c r="O16" s="322">
        <f>+SUM([2]DHL_Mesa!$IT$64:$IT$64)</f>
        <v>22802</v>
      </c>
      <c r="P16" s="217">
        <f>+SUM([2]DHL_Mesa!$IF$64:$IF$64)</f>
        <v>221384</v>
      </c>
      <c r="Q16" s="323">
        <f t="shared" ref="Q16" si="12">(O16-P16)/P16</f>
        <v>-0.89700249340512417</v>
      </c>
      <c r="R16" s="324">
        <f t="shared" ref="R16" si="13">O16/$O$34</f>
        <v>8.2995873683352291E-4</v>
      </c>
      <c r="T16" s="391"/>
    </row>
    <row r="17" spans="1:20" x14ac:dyDescent="0.2">
      <c r="A17" s="258"/>
      <c r="B17" s="39" t="s">
        <v>227</v>
      </c>
      <c r="C17" s="322">
        <f>+[2]DHL_Amerijet!$IT$19</f>
        <v>0</v>
      </c>
      <c r="D17" s="217">
        <f>+[2]DHL_Amerijet!$IF$19</f>
        <v>32</v>
      </c>
      <c r="E17" s="324">
        <f t="shared" si="4"/>
        <v>-1</v>
      </c>
      <c r="F17" s="322">
        <f>+SUM([2]DHL_Amerijet!$IT$19:$IT$19)</f>
        <v>0</v>
      </c>
      <c r="G17" s="217">
        <f>+SUM([2]DHL_Amerijet!$IF$19:$IF$19)</f>
        <v>32</v>
      </c>
      <c r="H17" s="323">
        <f t="shared" si="5"/>
        <v>-1</v>
      </c>
      <c r="I17" s="324">
        <f t="shared" si="0"/>
        <v>0</v>
      </c>
      <c r="J17" s="258"/>
      <c r="K17" s="39" t="s">
        <v>227</v>
      </c>
      <c r="L17" s="322">
        <f>+[2]DHL_Amerijet!$IT$64</f>
        <v>0</v>
      </c>
      <c r="M17" s="217">
        <f>+[2]DHL_Amerijet!$IF$64</f>
        <v>843641</v>
      </c>
      <c r="N17" s="324">
        <f t="shared" si="1"/>
        <v>-1</v>
      </c>
      <c r="O17" s="322">
        <f>+SUM([2]DHL_Amerijet!$IT$64:$IT$64)</f>
        <v>0</v>
      </c>
      <c r="P17" s="217">
        <f>+SUM([2]DHL_Amerijet!$IF$64:$IF$64)</f>
        <v>843641</v>
      </c>
      <c r="Q17" s="323">
        <f t="shared" si="2"/>
        <v>-1</v>
      </c>
      <c r="R17" s="324">
        <f t="shared" si="3"/>
        <v>0</v>
      </c>
      <c r="T17" s="391"/>
    </row>
    <row r="18" spans="1:20" ht="14.1" customHeight="1" x14ac:dyDescent="0.2">
      <c r="A18" s="258"/>
      <c r="B18" s="39" t="s">
        <v>206</v>
      </c>
      <c r="C18" s="322">
        <f>+[2]DHL_Swift!$IT$19</f>
        <v>2</v>
      </c>
      <c r="D18" s="217">
        <f>+[2]DHL_Swift!$IF$19</f>
        <v>14</v>
      </c>
      <c r="E18" s="324">
        <f t="shared" si="4"/>
        <v>-0.8571428571428571</v>
      </c>
      <c r="F18" s="322">
        <f>+SUM([2]DHL_Swift!$IT$19:$IT$19)</f>
        <v>2</v>
      </c>
      <c r="G18" s="217">
        <f>+SUM([2]DHL_Swift!$IF$19:$IF$19)</f>
        <v>14</v>
      </c>
      <c r="H18" s="323">
        <f t="shared" si="5"/>
        <v>-0.8571428571428571</v>
      </c>
      <c r="I18" s="324">
        <f t="shared" si="0"/>
        <v>1.7667844522968198E-3</v>
      </c>
      <c r="J18" s="258"/>
      <c r="K18" s="39" t="s">
        <v>206</v>
      </c>
      <c r="L18" s="322">
        <f>+[2]DHL_Swift!$IT$64</f>
        <v>53345</v>
      </c>
      <c r="M18" s="217">
        <f>+[2]DHL_Swift!$IF$64</f>
        <v>165251</v>
      </c>
      <c r="N18" s="324">
        <f t="shared" si="1"/>
        <v>-0.67718803517074022</v>
      </c>
      <c r="O18" s="322">
        <f>+SUM([2]DHL_Swift!$IT$64:$IT$64)</f>
        <v>53345</v>
      </c>
      <c r="P18" s="217">
        <f>+SUM([2]DHL_Swift!$IF$64:$IF$64)</f>
        <v>165251</v>
      </c>
      <c r="Q18" s="323">
        <f t="shared" si="2"/>
        <v>-0.67718803517074022</v>
      </c>
      <c r="R18" s="324">
        <f t="shared" si="3"/>
        <v>1.9416783096388157E-3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180</v>
      </c>
      <c r="B20" s="39"/>
      <c r="C20" s="386">
        <f>SUM(C21:C24)</f>
        <v>258</v>
      </c>
      <c r="D20" s="382">
        <f>SUM(D21:D24)</f>
        <v>238</v>
      </c>
      <c r="E20" s="383">
        <f>(C20-D20)/D20</f>
        <v>8.4033613445378158E-2</v>
      </c>
      <c r="F20" s="386">
        <f>SUM(F21:F24)</f>
        <v>258</v>
      </c>
      <c r="G20" s="382">
        <f>SUM(G21:G24)</f>
        <v>238</v>
      </c>
      <c r="H20" s="384">
        <f t="shared" ref="H20:H21" si="14">(F20-G20)/G20</f>
        <v>8.4033613445378158E-2</v>
      </c>
      <c r="I20" s="383">
        <f>+F20/$F$34</f>
        <v>0.22791519434628976</v>
      </c>
      <c r="J20" s="258" t="s">
        <v>180</v>
      </c>
      <c r="K20" s="39"/>
      <c r="L20" s="386">
        <f>SUM(L21:L24)</f>
        <v>11979025</v>
      </c>
      <c r="M20" s="382">
        <f>SUM(M21:M24)</f>
        <v>12456126</v>
      </c>
      <c r="N20" s="383">
        <f>(L20-M20)/M20</f>
        <v>-3.8302518776704729E-2</v>
      </c>
      <c r="O20" s="386">
        <f>SUM(O21:O24)</f>
        <v>11979025</v>
      </c>
      <c r="P20" s="382">
        <f>SUM(P21:P24)</f>
        <v>12456126</v>
      </c>
      <c r="Q20" s="384">
        <f t="shared" ref="Q20:Q22" si="15">(O20-P20)/P20</f>
        <v>-3.8302518776704729E-2</v>
      </c>
      <c r="R20" s="383">
        <f>O20/$O$34</f>
        <v>0.43601861492400629</v>
      </c>
      <c r="T20" s="391"/>
    </row>
    <row r="21" spans="1:20" ht="14.1" customHeight="1" x14ac:dyDescent="0.2">
      <c r="A21" s="37"/>
      <c r="B21" s="318" t="s">
        <v>180</v>
      </c>
      <c r="C21" s="322">
        <f>+[2]FedEx!$IT$19</f>
        <v>186</v>
      </c>
      <c r="D21" s="217">
        <f>+[2]FedEx!$IF$19</f>
        <v>180</v>
      </c>
      <c r="E21" s="324">
        <f>(C21-D21)/D21</f>
        <v>3.3333333333333333E-2</v>
      </c>
      <c r="F21" s="322">
        <f>+SUM([2]FedEx!$IT$19:$IT$19)</f>
        <v>186</v>
      </c>
      <c r="G21" s="217">
        <f>+SUM([2]FedEx!$IF$19:$IF$19)</f>
        <v>180</v>
      </c>
      <c r="H21" s="323">
        <f t="shared" si="14"/>
        <v>3.3333333333333333E-2</v>
      </c>
      <c r="I21" s="324">
        <f>+F21/$F$34</f>
        <v>0.16431095406360424</v>
      </c>
      <c r="J21" s="258"/>
      <c r="K21" s="318" t="s">
        <v>180</v>
      </c>
      <c r="L21" s="322">
        <f>+[2]FedEx!$IT$64</f>
        <v>11831005</v>
      </c>
      <c r="M21" s="217">
        <f>+[2]FedEx!$IF$64</f>
        <v>12282155</v>
      </c>
      <c r="N21" s="324">
        <f>(L21-M21)/M21</f>
        <v>-3.6732153274405023E-2</v>
      </c>
      <c r="O21" s="322">
        <f>+SUM([2]FedEx!$IT$64:$IT$64)</f>
        <v>11831005</v>
      </c>
      <c r="P21" s="217">
        <f>+SUM([2]FedEx!$IF$64:$IF$64)</f>
        <v>12282155</v>
      </c>
      <c r="Q21" s="323">
        <f t="shared" si="15"/>
        <v>-3.6732153274405023E-2</v>
      </c>
      <c r="R21" s="324">
        <f>O21/$O$34</f>
        <v>0.43063090804627197</v>
      </c>
      <c r="T21" s="391"/>
    </row>
    <row r="22" spans="1:20" ht="14.1" customHeight="1" x14ac:dyDescent="0.2">
      <c r="A22" s="37"/>
      <c r="B22" s="318" t="s">
        <v>207</v>
      </c>
      <c r="C22" s="322">
        <f>+'[2]Mountain Cargo'!$IT$19</f>
        <v>42</v>
      </c>
      <c r="D22" s="217">
        <f>+'[2]Mountain Cargo'!$IF$19</f>
        <v>36</v>
      </c>
      <c r="E22" s="324">
        <f>(C22-D22)/D22</f>
        <v>0.16666666666666666</v>
      </c>
      <c r="F22" s="322">
        <f>+SUM('[2]Mountain Cargo'!$IT$19:$IT$19)</f>
        <v>42</v>
      </c>
      <c r="G22" s="217">
        <f>+SUM('[2]Mountain Cargo'!$IF$19:$IF$19)</f>
        <v>36</v>
      </c>
      <c r="H22" s="323">
        <f>(F22-G22)/G22</f>
        <v>0.16666666666666666</v>
      </c>
      <c r="I22" s="324">
        <f>+F22/$F$34</f>
        <v>3.7102473498233215E-2</v>
      </c>
      <c r="J22" s="363"/>
      <c r="K22" s="318" t="s">
        <v>207</v>
      </c>
      <c r="L22" s="322">
        <f>+'[2]Mountain Cargo'!$IT$64</f>
        <v>93453</v>
      </c>
      <c r="M22" s="217">
        <f>+'[2]Mountain Cargo'!$IF$64</f>
        <v>106638</v>
      </c>
      <c r="N22" s="324">
        <f>(L22-M22)/M22</f>
        <v>-0.12364260394981151</v>
      </c>
      <c r="O22" s="322">
        <f>+SUM('[2]Mountain Cargo'!$IT$64:$IT$64)</f>
        <v>93453</v>
      </c>
      <c r="P22" s="217">
        <f>+SUM('[2]Mountain Cargo'!$IF$64:$IF$64)</f>
        <v>106638</v>
      </c>
      <c r="Q22" s="323">
        <f t="shared" si="15"/>
        <v>-0.12364260394981151</v>
      </c>
      <c r="R22" s="324">
        <f>O22/$O$34</f>
        <v>3.4015495936015796E-3</v>
      </c>
      <c r="T22" s="391"/>
    </row>
    <row r="23" spans="1:20" ht="14.1" customHeight="1" x14ac:dyDescent="0.2">
      <c r="A23" s="37"/>
      <c r="B23" s="318" t="s">
        <v>174</v>
      </c>
      <c r="C23" s="322">
        <f>+[2]IFL!$IT$19</f>
        <v>30</v>
      </c>
      <c r="D23" s="217">
        <f>+[2]IFL!$IF$19</f>
        <v>22</v>
      </c>
      <c r="E23" s="324">
        <f>(C23-D23)/D23</f>
        <v>0.36363636363636365</v>
      </c>
      <c r="F23" s="322">
        <f>+SUM([2]IFL!$IT$19:$IT$19)</f>
        <v>30</v>
      </c>
      <c r="G23" s="217">
        <f>+SUM([2]IFL!$IF$19:$IF$19)</f>
        <v>22</v>
      </c>
      <c r="H23" s="323">
        <f>(F23-G23)/G23</f>
        <v>0.36363636363636365</v>
      </c>
      <c r="I23" s="324">
        <f>+F23/$F$34</f>
        <v>2.6501766784452298E-2</v>
      </c>
      <c r="J23" s="363"/>
      <c r="K23" s="318" t="s">
        <v>174</v>
      </c>
      <c r="L23" s="322">
        <f>+[2]IFL!$IT$64</f>
        <v>54567</v>
      </c>
      <c r="M23" s="217">
        <f>+[2]IFL!$IF$64</f>
        <v>67333</v>
      </c>
      <c r="N23" s="324">
        <f>(L23-M23)/M23</f>
        <v>-0.18959499799503957</v>
      </c>
      <c r="O23" s="322">
        <f>+SUM([2]IFL!$IT$64:$IT$64)</f>
        <v>54567</v>
      </c>
      <c r="P23" s="217">
        <f>+SUM([2]IFL!$IF$64:$IF$64)</f>
        <v>67333</v>
      </c>
      <c r="Q23" s="323">
        <f>(O23-P23)/P23</f>
        <v>-0.18959499799503957</v>
      </c>
      <c r="R23" s="324">
        <f>O23/$O$34</f>
        <v>1.9861572841327448E-3</v>
      </c>
      <c r="T23" s="391"/>
    </row>
    <row r="24" spans="1:20" ht="14.1" customHeight="1" x14ac:dyDescent="0.2">
      <c r="A24" s="258"/>
      <c r="B24" s="318" t="s">
        <v>84</v>
      </c>
      <c r="C24" s="322">
        <f>+'[2]CSA Air'!$IT$19</f>
        <v>0</v>
      </c>
      <c r="D24" s="217">
        <f>+'[2]CSA Air'!$IF$19</f>
        <v>0</v>
      </c>
      <c r="E24" s="324" t="e">
        <f>(C24-D24)/D24</f>
        <v>#DIV/0!</v>
      </c>
      <c r="F24" s="322">
        <f>+SUM('[2]CSA Air'!$IT$19:$IT$19)</f>
        <v>0</v>
      </c>
      <c r="G24" s="217">
        <f>+SUM('[2]CSA Air'!$IF$19:$IF$19)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+'[2]CSA Air'!$IT$64</f>
        <v>0</v>
      </c>
      <c r="M24" s="217">
        <f>+'[2]CSA Air'!$IF$64</f>
        <v>0</v>
      </c>
      <c r="N24" s="324" t="e">
        <f>(L24-M24)/M24</f>
        <v>#DIV/0!</v>
      </c>
      <c r="O24" s="322">
        <f>+SUM('[2]CSA Air'!$IT$64:$IT$64)</f>
        <v>0</v>
      </c>
      <c r="P24" s="217">
        <f>+SUM('[2]CSA Air'!$IF$64:$IF$64)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526</v>
      </c>
      <c r="D26" s="382">
        <f>SUM(D27:D28)</f>
        <v>592</v>
      </c>
      <c r="E26" s="383">
        <f>(C26-D26)/D26</f>
        <v>-0.11148648648648649</v>
      </c>
      <c r="F26" s="382">
        <f>SUM(F27:F28)</f>
        <v>526</v>
      </c>
      <c r="G26" s="382">
        <f>SUM(G27:G28)</f>
        <v>592</v>
      </c>
      <c r="H26" s="384">
        <f>(F26-G26)/G26</f>
        <v>-0.11148648648648649</v>
      </c>
      <c r="I26" s="383">
        <f>+F26/$F$34</f>
        <v>0.46466431095406363</v>
      </c>
      <c r="J26" s="258" t="s">
        <v>82</v>
      </c>
      <c r="K26" s="39"/>
      <c r="L26" s="382">
        <f>SUM(L27:L28)</f>
        <v>8718855</v>
      </c>
      <c r="M26" s="382">
        <f>SUM(M27:M28)</f>
        <v>10210625</v>
      </c>
      <c r="N26" s="383">
        <f>(L26-M26)/M26</f>
        <v>-0.14609977352023015</v>
      </c>
      <c r="O26" s="382">
        <f>SUM(O27:O28)</f>
        <v>8718855</v>
      </c>
      <c r="P26" s="382">
        <f>SUM(P27:P28)</f>
        <v>10210625</v>
      </c>
      <c r="Q26" s="384">
        <f>(O26-P26)/P26</f>
        <v>-0.14609977352023015</v>
      </c>
      <c r="R26" s="383">
        <f>O26/$O$34</f>
        <v>0.31735329718597688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+[2]UPS!$IT$19</f>
        <v>172</v>
      </c>
      <c r="D27" s="217">
        <f>+[2]UPS!$IF$19</f>
        <v>238</v>
      </c>
      <c r="E27" s="324">
        <f>(C27-D27)/D27</f>
        <v>-0.27731092436974791</v>
      </c>
      <c r="F27" s="322">
        <f>+SUM([2]UPS!$IT$19:$IT$19)</f>
        <v>172</v>
      </c>
      <c r="G27" s="217">
        <f>+SUM([2]UPS!$IF$19:$IF$19)</f>
        <v>238</v>
      </c>
      <c r="H27" s="323">
        <f>(F27-G27)/G27</f>
        <v>-0.27731092436974791</v>
      </c>
      <c r="I27" s="324">
        <f>+F27/$F$34</f>
        <v>0.1519434628975265</v>
      </c>
      <c r="J27" s="258"/>
      <c r="K27" s="318" t="s">
        <v>82</v>
      </c>
      <c r="L27" s="322">
        <f>+[2]UPS!$IT$64</f>
        <v>8718855</v>
      </c>
      <c r="M27" s="217">
        <f>+[2]UPS!$IF$64</f>
        <v>10210625</v>
      </c>
      <c r="N27" s="324">
        <f>(L27-M27)/M27</f>
        <v>-0.14609977352023015</v>
      </c>
      <c r="O27" s="322">
        <f>+SUM([2]UPS!$IT$64:$IT$64)</f>
        <v>8718855</v>
      </c>
      <c r="P27" s="217">
        <f>+SUM([2]UPS!$IF$64:$IF$64)</f>
        <v>10210625</v>
      </c>
      <c r="Q27" s="323">
        <f>(O27-P27)/P27</f>
        <v>-0.14609977352023015</v>
      </c>
      <c r="R27" s="324">
        <f>O27/$O$34</f>
        <v>0.31735329718597688</v>
      </c>
      <c r="S27" s="340"/>
      <c r="T27" s="393"/>
    </row>
    <row r="28" spans="1:20" x14ac:dyDescent="0.2">
      <c r="A28" s="258"/>
      <c r="B28" s="318" t="s">
        <v>83</v>
      </c>
      <c r="C28" s="322">
        <f>+[2]Bemidji!$IT$19</f>
        <v>354</v>
      </c>
      <c r="D28" s="217">
        <f>+[2]Bemidji!$IF$19</f>
        <v>354</v>
      </c>
      <c r="E28" s="324">
        <f>(C28-D28)/D28</f>
        <v>0</v>
      </c>
      <c r="F28" s="322">
        <f>+SUM([2]Bemidji!$IT$19:$IT$19)</f>
        <v>354</v>
      </c>
      <c r="G28" s="217">
        <f>+SUM([2]Bemidji!$IF$19:$IF$19)</f>
        <v>354</v>
      </c>
      <c r="H28" s="323">
        <f t="shared" ref="H28" si="18">(F28-G28)/G28</f>
        <v>0</v>
      </c>
      <c r="I28" s="324">
        <f>+F28/$F$34</f>
        <v>0.3127208480565371</v>
      </c>
      <c r="J28" s="258"/>
      <c r="K28" s="318" t="s">
        <v>83</v>
      </c>
      <c r="L28" s="469" t="s">
        <v>183</v>
      </c>
      <c r="M28" s="470"/>
      <c r="N28" s="470"/>
      <c r="O28" s="470"/>
      <c r="P28" s="470"/>
      <c r="Q28" s="470"/>
      <c r="R28" s="471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126</v>
      </c>
      <c r="B30" s="39"/>
      <c r="C30" s="386">
        <f>+'[2]Misc Cargo'!$IT$19</f>
        <v>0</v>
      </c>
      <c r="D30" s="382">
        <f>+'[2]Misc Cargo'!$IF$19</f>
        <v>0</v>
      </c>
      <c r="E30" s="383" t="e">
        <f>(C30-D30)/D30</f>
        <v>#DIV/0!</v>
      </c>
      <c r="F30" s="386">
        <f>+SUM('[2]Misc Cargo'!$IT$19:$IT$19)</f>
        <v>0</v>
      </c>
      <c r="G30" s="382">
        <f>+SUM('[2]Misc Cargo'!$IF$19:$IF$19)</f>
        <v>0</v>
      </c>
      <c r="H30" s="384" t="e">
        <f>(F30-G30)/G30</f>
        <v>#DIV/0!</v>
      </c>
      <c r="I30" s="383">
        <f>+F30/$F$34</f>
        <v>0</v>
      </c>
      <c r="J30" s="258" t="s">
        <v>126</v>
      </c>
      <c r="K30" s="39"/>
      <c r="L30" s="386">
        <f>+'[2]Misc Cargo'!$IT$64</f>
        <v>0</v>
      </c>
      <c r="M30" s="382">
        <f>+'[2]Misc Cargo'!$IT$64</f>
        <v>0</v>
      </c>
      <c r="N30" s="383" t="e">
        <f>(L30-M30)/M30</f>
        <v>#DIV/0!</v>
      </c>
      <c r="O30" s="386">
        <f>+SUM('[2]Misc Cargo'!$IT$64:$IT$64)</f>
        <v>0</v>
      </c>
      <c r="P30" s="382">
        <f>+SUM('[2]Misc Cargo'!$IF$64:$IF$64)</f>
        <v>0</v>
      </c>
      <c r="Q30" s="384" t="e">
        <f>(O30-P30)/P30</f>
        <v>#DIV/0!</v>
      </c>
      <c r="R30" s="383">
        <f>O30/$O$34</f>
        <v>0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181</v>
      </c>
      <c r="C34" s="344">
        <f>+C30+C26+C20+C9+C5</f>
        <v>1132</v>
      </c>
      <c r="D34" s="344">
        <f>+D30+D26+D20+D9+D5</f>
        <v>1127</v>
      </c>
      <c r="E34" s="345">
        <f>(C34-D34)/D34</f>
        <v>4.4365572315882874E-3</v>
      </c>
      <c r="F34" s="344">
        <f>+F30+F26+F20+F9+F5</f>
        <v>1132</v>
      </c>
      <c r="G34" s="344">
        <f>+G30+G26+G20+G9+G5</f>
        <v>1127</v>
      </c>
      <c r="H34" s="346">
        <f>(F34-G34)/G34</f>
        <v>4.4365572315882874E-3</v>
      </c>
      <c r="I34" s="352"/>
      <c r="K34" s="343" t="s">
        <v>181</v>
      </c>
      <c r="L34" s="344">
        <f>+L30+L26+L20+L9+L5</f>
        <v>27473655</v>
      </c>
      <c r="M34" s="344">
        <f>+M30+M26+M20+M9+M5</f>
        <v>29576817</v>
      </c>
      <c r="N34" s="347">
        <f>(L34-M34)/M34</f>
        <v>-7.1108463091210924E-2</v>
      </c>
      <c r="O34" s="344">
        <f>+O30+O26+O20+O9+O5</f>
        <v>27473655</v>
      </c>
      <c r="P34" s="344">
        <f>+P30+P26+P20+P9+P5</f>
        <v>29576817</v>
      </c>
      <c r="Q34" s="346">
        <f t="shared" ref="Q34" si="19">(O34-P34)/P34</f>
        <v>-7.1108463091210924E-2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January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2024-03-04T15:22:32Z</dcterms:modified>
</cp:coreProperties>
</file>