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B8B6415E-B307-48A2-9369-598ABC770848}" xr6:coauthVersionLast="46" xr6:coauthVersionMax="46" xr10:uidLastSave="{00000000-0000-0000-0000-000000000000}"/>
  <bookViews>
    <workbookView xWindow="-253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Activity'!$A$1:$R$69</definedName>
    <definedName name="_xlnm.Print_Area" localSheetId="2">'Other Major Airline Stats'!$A$2:$J$50</definedName>
    <definedName name="_xlnm.Print_Area" localSheetId="4">'Other Regional'!$A$1:$K$47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7" l="1"/>
  <c r="O9" i="17"/>
  <c r="Q9" i="17" s="1"/>
  <c r="M9" i="17"/>
  <c r="L9" i="17"/>
  <c r="N9" i="17" s="1"/>
  <c r="G9" i="17"/>
  <c r="F9" i="17"/>
  <c r="D9" i="17"/>
  <c r="C9" i="17"/>
  <c r="P7" i="17"/>
  <c r="O7" i="17"/>
  <c r="Q7" i="17" s="1"/>
  <c r="M7" i="17"/>
  <c r="L7" i="17"/>
  <c r="N7" i="17" s="1"/>
  <c r="G7" i="17"/>
  <c r="F7" i="17"/>
  <c r="D7" i="17"/>
  <c r="C7" i="17"/>
  <c r="E7" i="17" s="1"/>
  <c r="H27" i="8"/>
  <c r="H26" i="8"/>
  <c r="H22" i="8"/>
  <c r="H21" i="8"/>
  <c r="H17" i="8"/>
  <c r="H16" i="8"/>
  <c r="H5" i="8"/>
  <c r="H4" i="8"/>
  <c r="C27" i="8"/>
  <c r="C26" i="8"/>
  <c r="C22" i="8"/>
  <c r="C21" i="8"/>
  <c r="C31" i="8" s="1"/>
  <c r="C17" i="8"/>
  <c r="C16" i="8"/>
  <c r="C5" i="8"/>
  <c r="C4" i="8"/>
  <c r="C6" i="8" s="1"/>
  <c r="C12" i="8" s="1"/>
  <c r="B27" i="8"/>
  <c r="B26" i="8"/>
  <c r="B22" i="8"/>
  <c r="B21" i="8"/>
  <c r="B17" i="8"/>
  <c r="B16" i="8"/>
  <c r="B5" i="8"/>
  <c r="B4" i="8"/>
  <c r="C10" i="8"/>
  <c r="C35" i="16"/>
  <c r="C34" i="16"/>
  <c r="C28" i="16"/>
  <c r="C27" i="16"/>
  <c r="C22" i="16"/>
  <c r="C21" i="16"/>
  <c r="C17" i="16"/>
  <c r="C16" i="16"/>
  <c r="C10" i="16"/>
  <c r="C9" i="16"/>
  <c r="C5" i="16"/>
  <c r="C4" i="16"/>
  <c r="E9" i="17" l="1"/>
  <c r="H7" i="17"/>
  <c r="H9" i="17"/>
  <c r="C23" i="8"/>
  <c r="C28" i="8"/>
  <c r="C32" i="8"/>
  <c r="C18" i="8"/>
  <c r="P13" i="17"/>
  <c r="O13" i="17"/>
  <c r="M13" i="17"/>
  <c r="L13" i="17"/>
  <c r="G13" i="17"/>
  <c r="F13" i="17"/>
  <c r="D13" i="17"/>
  <c r="C13" i="17"/>
  <c r="I27" i="8"/>
  <c r="I26" i="8"/>
  <c r="I22" i="8"/>
  <c r="I21" i="8"/>
  <c r="I17" i="8"/>
  <c r="I16" i="8"/>
  <c r="I5" i="8"/>
  <c r="I4" i="8"/>
  <c r="I10" i="8"/>
  <c r="I23" i="8" l="1"/>
  <c r="C33" i="8"/>
  <c r="N13" i="17"/>
  <c r="I18" i="8"/>
  <c r="I6" i="8"/>
  <c r="I12" i="8" s="1"/>
  <c r="I32" i="8"/>
  <c r="E13" i="17"/>
  <c r="I31" i="8"/>
  <c r="Q13" i="17"/>
  <c r="H13" i="17"/>
  <c r="I28" i="8"/>
  <c r="I33" i="8" s="1"/>
  <c r="G36" i="15"/>
  <c r="G35" i="15"/>
  <c r="G31" i="15"/>
  <c r="G30" i="15"/>
  <c r="G26" i="15"/>
  <c r="G25" i="15"/>
  <c r="G27" i="15" s="1"/>
  <c r="G19" i="15"/>
  <c r="G18" i="15"/>
  <c r="G16" i="15"/>
  <c r="G15" i="15"/>
  <c r="G11" i="15"/>
  <c r="G10" i="15"/>
  <c r="G6" i="15"/>
  <c r="G5" i="15"/>
  <c r="G7" i="15" l="1"/>
  <c r="G17" i="15"/>
  <c r="G12" i="15"/>
  <c r="G32" i="15"/>
  <c r="G20" i="15"/>
  <c r="G40" i="15"/>
  <c r="G41" i="15"/>
  <c r="G37" i="15"/>
  <c r="P4" i="9"/>
  <c r="O4" i="9"/>
  <c r="M4" i="9"/>
  <c r="L4" i="9"/>
  <c r="G4" i="9"/>
  <c r="F4" i="9"/>
  <c r="D4" i="9"/>
  <c r="C4" i="9"/>
  <c r="E4" i="9" l="1"/>
  <c r="G21" i="15"/>
  <c r="N4" i="9"/>
  <c r="G42" i="15"/>
  <c r="Q4" i="9"/>
  <c r="H4" i="9"/>
  <c r="D39" i="3"/>
  <c r="D38" i="3"/>
  <c r="D34" i="3"/>
  <c r="D33" i="3"/>
  <c r="D29" i="3"/>
  <c r="D28" i="3"/>
  <c r="D21" i="3"/>
  <c r="D20" i="3"/>
  <c r="D17" i="3"/>
  <c r="D16" i="3"/>
  <c r="D18" i="3" s="1"/>
  <c r="D11" i="3"/>
  <c r="D10" i="3"/>
  <c r="D6" i="3"/>
  <c r="D5" i="3"/>
  <c r="D7" i="3" l="1"/>
  <c r="D30" i="3"/>
  <c r="D44" i="3"/>
  <c r="D40" i="3"/>
  <c r="D12" i="3"/>
  <c r="D22" i="3"/>
  <c r="D23" i="3" s="1"/>
  <c r="D35" i="3"/>
  <c r="D43" i="3"/>
  <c r="P64" i="9"/>
  <c r="M64" i="9"/>
  <c r="G64" i="9"/>
  <c r="D64" i="9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5" i="9"/>
  <c r="M55" i="9"/>
  <c r="G55" i="9"/>
  <c r="D55" i="9"/>
  <c r="P53" i="9"/>
  <c r="M53" i="9"/>
  <c r="G53" i="9"/>
  <c r="D53" i="9"/>
  <c r="P51" i="9"/>
  <c r="M51" i="9"/>
  <c r="G51" i="9"/>
  <c r="D51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P29" i="17"/>
  <c r="M29" i="17"/>
  <c r="G29" i="17"/>
  <c r="D29" i="17"/>
  <c r="P27" i="17"/>
  <c r="M27" i="17"/>
  <c r="G27" i="17"/>
  <c r="D27" i="17"/>
  <c r="P25" i="17"/>
  <c r="M25" i="17"/>
  <c r="G25" i="17"/>
  <c r="D25" i="17"/>
  <c r="G23" i="17"/>
  <c r="D23" i="17"/>
  <c r="P21" i="17"/>
  <c r="M21" i="17"/>
  <c r="G21" i="17"/>
  <c r="D21" i="17"/>
  <c r="P19" i="17"/>
  <c r="M19" i="17"/>
  <c r="G19" i="17"/>
  <c r="D19" i="17"/>
  <c r="P17" i="17"/>
  <c r="M17" i="17"/>
  <c r="G17" i="17"/>
  <c r="D17" i="17"/>
  <c r="P15" i="17"/>
  <c r="M15" i="17"/>
  <c r="G15" i="17"/>
  <c r="D15" i="17"/>
  <c r="P11" i="17"/>
  <c r="M11" i="17"/>
  <c r="G11" i="17"/>
  <c r="D11" i="17"/>
  <c r="P5" i="17"/>
  <c r="M5" i="17"/>
  <c r="G5" i="17"/>
  <c r="D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7"/>
  <c r="J27" i="7"/>
  <c r="E27" i="7"/>
  <c r="O64" i="9"/>
  <c r="L64" i="9"/>
  <c r="F64" i="9"/>
  <c r="C64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5" i="9"/>
  <c r="L55" i="9"/>
  <c r="F55" i="9"/>
  <c r="C55" i="9"/>
  <c r="O53" i="9"/>
  <c r="L53" i="9"/>
  <c r="F53" i="9"/>
  <c r="C53" i="9"/>
  <c r="O51" i="9"/>
  <c r="L51" i="9"/>
  <c r="F51" i="9"/>
  <c r="C51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N35" i="16"/>
  <c r="M35" i="16"/>
  <c r="L35" i="16"/>
  <c r="K35" i="16"/>
  <c r="J35" i="16"/>
  <c r="I35" i="16"/>
  <c r="H35" i="16"/>
  <c r="G35" i="16"/>
  <c r="F35" i="16"/>
  <c r="E35" i="16"/>
  <c r="D35" i="16"/>
  <c r="B35" i="16"/>
  <c r="N34" i="16"/>
  <c r="M34" i="16"/>
  <c r="L34" i="16"/>
  <c r="K34" i="16"/>
  <c r="J34" i="16"/>
  <c r="I34" i="16"/>
  <c r="H34" i="16"/>
  <c r="G34" i="16"/>
  <c r="F34" i="16"/>
  <c r="E34" i="16"/>
  <c r="D34" i="16"/>
  <c r="B34" i="16"/>
  <c r="N28" i="16"/>
  <c r="M28" i="16"/>
  <c r="L28" i="16"/>
  <c r="K28" i="16"/>
  <c r="J28" i="16"/>
  <c r="I28" i="16"/>
  <c r="H28" i="16"/>
  <c r="G28" i="16"/>
  <c r="F28" i="16"/>
  <c r="E28" i="16"/>
  <c r="D28" i="16"/>
  <c r="B28" i="16"/>
  <c r="N27" i="16"/>
  <c r="M27" i="16"/>
  <c r="L27" i="16"/>
  <c r="K27" i="16"/>
  <c r="J27" i="16"/>
  <c r="I27" i="16"/>
  <c r="H27" i="16"/>
  <c r="G27" i="16"/>
  <c r="F27" i="16"/>
  <c r="E27" i="16"/>
  <c r="D27" i="16"/>
  <c r="B27" i="16"/>
  <c r="N22" i="16"/>
  <c r="M22" i="16"/>
  <c r="L22" i="16"/>
  <c r="K22" i="16"/>
  <c r="J22" i="16"/>
  <c r="I22" i="16"/>
  <c r="H22" i="16"/>
  <c r="G22" i="16"/>
  <c r="F22" i="16"/>
  <c r="E22" i="16"/>
  <c r="D22" i="16"/>
  <c r="B22" i="16"/>
  <c r="N21" i="16"/>
  <c r="M21" i="16"/>
  <c r="L21" i="16"/>
  <c r="K21" i="16"/>
  <c r="J21" i="16"/>
  <c r="I21" i="16"/>
  <c r="H21" i="16"/>
  <c r="G21" i="16"/>
  <c r="F21" i="16"/>
  <c r="E21" i="16"/>
  <c r="D21" i="16"/>
  <c r="B21" i="16"/>
  <c r="N17" i="16"/>
  <c r="M17" i="16"/>
  <c r="L17" i="16"/>
  <c r="K17" i="16"/>
  <c r="J17" i="16"/>
  <c r="I17" i="16"/>
  <c r="H17" i="16"/>
  <c r="G17" i="16"/>
  <c r="F17" i="16"/>
  <c r="E17" i="16"/>
  <c r="D17" i="16"/>
  <c r="B17" i="16"/>
  <c r="N16" i="16"/>
  <c r="M16" i="16"/>
  <c r="L16" i="16"/>
  <c r="K16" i="16"/>
  <c r="J16" i="16"/>
  <c r="I16" i="16"/>
  <c r="H16" i="16"/>
  <c r="G16" i="16"/>
  <c r="F16" i="16"/>
  <c r="E16" i="16"/>
  <c r="D16" i="16"/>
  <c r="B16" i="16"/>
  <c r="N10" i="16"/>
  <c r="M10" i="16"/>
  <c r="L10" i="16"/>
  <c r="K10" i="16"/>
  <c r="J10" i="16"/>
  <c r="I10" i="16"/>
  <c r="H10" i="16"/>
  <c r="G10" i="16"/>
  <c r="F10" i="16"/>
  <c r="E10" i="16"/>
  <c r="D10" i="16"/>
  <c r="B10" i="16"/>
  <c r="N9" i="16"/>
  <c r="M9" i="16"/>
  <c r="L9" i="16"/>
  <c r="K9" i="16"/>
  <c r="J9" i="16"/>
  <c r="I9" i="16"/>
  <c r="H9" i="16"/>
  <c r="G9" i="16"/>
  <c r="F9" i="16"/>
  <c r="E9" i="16"/>
  <c r="D9" i="16"/>
  <c r="B9" i="16"/>
  <c r="N5" i="16"/>
  <c r="M5" i="16"/>
  <c r="L5" i="16"/>
  <c r="K5" i="16"/>
  <c r="J5" i="16"/>
  <c r="I5" i="16"/>
  <c r="H5" i="16"/>
  <c r="G5" i="16"/>
  <c r="F5" i="16"/>
  <c r="E5" i="16"/>
  <c r="D5" i="16"/>
  <c r="B5" i="16"/>
  <c r="N4" i="16"/>
  <c r="M4" i="16"/>
  <c r="L4" i="16"/>
  <c r="K4" i="16"/>
  <c r="J4" i="16"/>
  <c r="I4" i="16"/>
  <c r="H4" i="16"/>
  <c r="G4" i="16"/>
  <c r="F4" i="16"/>
  <c r="E4" i="16"/>
  <c r="D4" i="16"/>
  <c r="B4" i="16"/>
  <c r="O29" i="17"/>
  <c r="L29" i="17"/>
  <c r="F29" i="17"/>
  <c r="C29" i="17"/>
  <c r="O27" i="17"/>
  <c r="L27" i="17"/>
  <c r="F27" i="17"/>
  <c r="C27" i="17"/>
  <c r="O25" i="17"/>
  <c r="L25" i="17"/>
  <c r="F25" i="17"/>
  <c r="C25" i="17"/>
  <c r="F23" i="17"/>
  <c r="C23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O15" i="17"/>
  <c r="L15" i="17"/>
  <c r="F15" i="17"/>
  <c r="C15" i="17"/>
  <c r="O11" i="17"/>
  <c r="L11" i="17"/>
  <c r="F11" i="17"/>
  <c r="C11" i="17"/>
  <c r="O5" i="17"/>
  <c r="L5" i="17"/>
  <c r="F5" i="17"/>
  <c r="C5" i="17"/>
  <c r="O27" i="8"/>
  <c r="N27" i="8"/>
  <c r="M27" i="8"/>
  <c r="K27" i="8"/>
  <c r="J27" i="8"/>
  <c r="F27" i="8"/>
  <c r="E27" i="8"/>
  <c r="D27" i="8"/>
  <c r="O26" i="8"/>
  <c r="N26" i="8"/>
  <c r="M26" i="8"/>
  <c r="K26" i="8"/>
  <c r="J26" i="8"/>
  <c r="F26" i="8"/>
  <c r="E26" i="8"/>
  <c r="D26" i="8"/>
  <c r="O22" i="8"/>
  <c r="N22" i="8"/>
  <c r="M22" i="8"/>
  <c r="K22" i="8"/>
  <c r="J22" i="8"/>
  <c r="F22" i="8"/>
  <c r="E22" i="8"/>
  <c r="D22" i="8"/>
  <c r="O21" i="8"/>
  <c r="N21" i="8"/>
  <c r="M21" i="8"/>
  <c r="K21" i="8"/>
  <c r="J21" i="8"/>
  <c r="F21" i="8"/>
  <c r="E21" i="8"/>
  <c r="D21" i="8"/>
  <c r="O17" i="8"/>
  <c r="N17" i="8"/>
  <c r="M17" i="8"/>
  <c r="K17" i="8"/>
  <c r="J17" i="8"/>
  <c r="F17" i="8"/>
  <c r="E17" i="8"/>
  <c r="D17" i="8"/>
  <c r="O16" i="8"/>
  <c r="N16" i="8"/>
  <c r="M16" i="8"/>
  <c r="K16" i="8"/>
  <c r="J16" i="8"/>
  <c r="F16" i="8"/>
  <c r="E16" i="8"/>
  <c r="D16" i="8"/>
  <c r="O9" i="8"/>
  <c r="O8" i="8"/>
  <c r="O5" i="8"/>
  <c r="N5" i="8"/>
  <c r="M5" i="8"/>
  <c r="L5" i="8"/>
  <c r="K5" i="8"/>
  <c r="J5" i="8"/>
  <c r="F5" i="8"/>
  <c r="E5" i="8"/>
  <c r="D5" i="8"/>
  <c r="O4" i="8"/>
  <c r="N4" i="8"/>
  <c r="M4" i="8"/>
  <c r="L4" i="8"/>
  <c r="K4" i="8"/>
  <c r="J4" i="8"/>
  <c r="F4" i="8"/>
  <c r="E4" i="8"/>
  <c r="D4" i="8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F47" i="15"/>
  <c r="C47" i="15"/>
  <c r="J46" i="15"/>
  <c r="F46" i="15"/>
  <c r="C46" i="15"/>
  <c r="J35" i="15"/>
  <c r="H35" i="15"/>
  <c r="F35" i="15"/>
  <c r="E35" i="15"/>
  <c r="D35" i="15"/>
  <c r="C35" i="15"/>
  <c r="B35" i="15"/>
  <c r="J31" i="15"/>
  <c r="I31" i="15"/>
  <c r="H31" i="15"/>
  <c r="F31" i="15"/>
  <c r="E31" i="15"/>
  <c r="D31" i="15"/>
  <c r="C31" i="15"/>
  <c r="B31" i="15"/>
  <c r="J30" i="15"/>
  <c r="I30" i="15"/>
  <c r="H30" i="15"/>
  <c r="F30" i="15"/>
  <c r="E30" i="15"/>
  <c r="D30" i="15"/>
  <c r="C30" i="15"/>
  <c r="B30" i="15"/>
  <c r="J26" i="15"/>
  <c r="I26" i="15"/>
  <c r="H26" i="15"/>
  <c r="F26" i="15"/>
  <c r="E26" i="15"/>
  <c r="D26" i="15"/>
  <c r="C26" i="15"/>
  <c r="B26" i="15"/>
  <c r="J25" i="15"/>
  <c r="I25" i="15"/>
  <c r="H25" i="15"/>
  <c r="F25" i="15"/>
  <c r="E25" i="15"/>
  <c r="D25" i="15"/>
  <c r="C25" i="15"/>
  <c r="B25" i="15"/>
  <c r="J19" i="15"/>
  <c r="I19" i="15"/>
  <c r="H19" i="15"/>
  <c r="F19" i="15"/>
  <c r="E19" i="15"/>
  <c r="D19" i="15"/>
  <c r="C19" i="15"/>
  <c r="B19" i="15"/>
  <c r="J18" i="15"/>
  <c r="I18" i="15"/>
  <c r="H18" i="15"/>
  <c r="F18" i="15"/>
  <c r="E18" i="15"/>
  <c r="D18" i="15"/>
  <c r="C18" i="15"/>
  <c r="B18" i="15"/>
  <c r="J16" i="15"/>
  <c r="I16" i="15"/>
  <c r="H16" i="15"/>
  <c r="F16" i="15"/>
  <c r="E16" i="15"/>
  <c r="D16" i="15"/>
  <c r="C16" i="15"/>
  <c r="B16" i="15"/>
  <c r="J15" i="15"/>
  <c r="I15" i="15"/>
  <c r="H15" i="15"/>
  <c r="F15" i="15"/>
  <c r="E15" i="15"/>
  <c r="D15" i="15"/>
  <c r="C15" i="15"/>
  <c r="B15" i="15"/>
  <c r="J11" i="15"/>
  <c r="I11" i="15"/>
  <c r="H11" i="15"/>
  <c r="F11" i="15"/>
  <c r="E11" i="15"/>
  <c r="D11" i="15"/>
  <c r="C11" i="15"/>
  <c r="B11" i="15"/>
  <c r="J10" i="15"/>
  <c r="I10" i="15"/>
  <c r="H10" i="15"/>
  <c r="F10" i="15"/>
  <c r="E10" i="15"/>
  <c r="D10" i="15"/>
  <c r="C10" i="15"/>
  <c r="B10" i="15"/>
  <c r="J6" i="15"/>
  <c r="I6" i="15"/>
  <c r="H6" i="15"/>
  <c r="F6" i="15"/>
  <c r="E6" i="15"/>
  <c r="D6" i="15"/>
  <c r="C6" i="15"/>
  <c r="B6" i="15"/>
  <c r="J5" i="15"/>
  <c r="I5" i="15"/>
  <c r="H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C39" i="3"/>
  <c r="B39" i="3"/>
  <c r="I38" i="3"/>
  <c r="H38" i="3"/>
  <c r="G38" i="3"/>
  <c r="F38" i="3"/>
  <c r="E38" i="3"/>
  <c r="C38" i="3"/>
  <c r="B38" i="3"/>
  <c r="I34" i="3"/>
  <c r="H34" i="3"/>
  <c r="G34" i="3"/>
  <c r="F34" i="3"/>
  <c r="E34" i="3"/>
  <c r="C34" i="3"/>
  <c r="B34" i="3"/>
  <c r="I33" i="3"/>
  <c r="H33" i="3"/>
  <c r="G33" i="3"/>
  <c r="F33" i="3"/>
  <c r="E33" i="3"/>
  <c r="C33" i="3"/>
  <c r="B33" i="3"/>
  <c r="I29" i="3"/>
  <c r="H29" i="3"/>
  <c r="G29" i="3"/>
  <c r="F29" i="3"/>
  <c r="E29" i="3"/>
  <c r="C29" i="3"/>
  <c r="B29" i="3"/>
  <c r="I28" i="3"/>
  <c r="H28" i="3"/>
  <c r="G28" i="3"/>
  <c r="F28" i="3"/>
  <c r="E28" i="3"/>
  <c r="C28" i="3"/>
  <c r="B28" i="3"/>
  <c r="I21" i="3"/>
  <c r="H21" i="3"/>
  <c r="G21" i="3"/>
  <c r="F21" i="3"/>
  <c r="E21" i="3"/>
  <c r="C21" i="3"/>
  <c r="B21" i="3"/>
  <c r="I20" i="3"/>
  <c r="H20" i="3"/>
  <c r="G20" i="3"/>
  <c r="F20" i="3"/>
  <c r="E20" i="3"/>
  <c r="C20" i="3"/>
  <c r="B20" i="3"/>
  <c r="I17" i="3"/>
  <c r="H17" i="3"/>
  <c r="G17" i="3"/>
  <c r="F17" i="3"/>
  <c r="E17" i="3"/>
  <c r="C17" i="3"/>
  <c r="B17" i="3"/>
  <c r="I16" i="3"/>
  <c r="H16" i="3"/>
  <c r="G16" i="3"/>
  <c r="F16" i="3"/>
  <c r="E16" i="3"/>
  <c r="C16" i="3"/>
  <c r="B16" i="3"/>
  <c r="I11" i="3"/>
  <c r="H11" i="3"/>
  <c r="G11" i="3"/>
  <c r="F11" i="3"/>
  <c r="E11" i="3"/>
  <c r="C11" i="3"/>
  <c r="B11" i="3"/>
  <c r="I10" i="3"/>
  <c r="H10" i="3"/>
  <c r="G10" i="3"/>
  <c r="F10" i="3"/>
  <c r="E10" i="3"/>
  <c r="C10" i="3"/>
  <c r="B10" i="3"/>
  <c r="I6" i="3"/>
  <c r="H6" i="3"/>
  <c r="G6" i="3"/>
  <c r="F6" i="3"/>
  <c r="E6" i="3"/>
  <c r="C6" i="3"/>
  <c r="B6" i="3"/>
  <c r="I5" i="3"/>
  <c r="H5" i="3"/>
  <c r="G5" i="3"/>
  <c r="F5" i="3"/>
  <c r="E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B36" i="1"/>
  <c r="B37" i="1"/>
  <c r="D37" i="1"/>
  <c r="D36" i="1"/>
  <c r="C21" i="1"/>
  <c r="B21" i="1"/>
  <c r="C20" i="1"/>
  <c r="B20" i="1"/>
  <c r="D45" i="3" l="1"/>
  <c r="F50" i="9"/>
  <c r="O26" i="7"/>
  <c r="J26" i="7"/>
  <c r="E26" i="7"/>
  <c r="O25" i="7" l="1"/>
  <c r="J25" i="7"/>
  <c r="E25" i="7"/>
  <c r="F68" i="9" l="1"/>
  <c r="F40" i="2"/>
  <c r="F35" i="2"/>
  <c r="F30" i="2"/>
  <c r="F21" i="2"/>
  <c r="F17" i="2"/>
  <c r="F11" i="2"/>
  <c r="F6" i="2"/>
  <c r="F44" i="2"/>
  <c r="G40" i="2"/>
  <c r="G30" i="2"/>
  <c r="G17" i="2"/>
  <c r="G6" i="2"/>
  <c r="G35" i="2" l="1"/>
  <c r="G11" i="2"/>
  <c r="G21" i="2"/>
  <c r="G23" i="2" s="1"/>
  <c r="G44" i="2"/>
  <c r="F23" i="2"/>
  <c r="F43" i="2"/>
  <c r="F45" i="2" s="1"/>
  <c r="G43" i="2"/>
  <c r="G45" i="2" l="1"/>
  <c r="O24" i="7"/>
  <c r="J24" i="7"/>
  <c r="E24" i="7"/>
  <c r="O23" i="7" l="1"/>
  <c r="J23" i="7"/>
  <c r="E23" i="7"/>
  <c r="O22" i="7" l="1"/>
  <c r="E22" i="7"/>
  <c r="J22" i="7"/>
  <c r="Q64" i="9" l="1"/>
  <c r="E64" i="9"/>
  <c r="N64" i="9"/>
  <c r="E46" i="9" l="1"/>
  <c r="G68" i="9"/>
  <c r="N46" i="9"/>
  <c r="L68" i="9"/>
  <c r="M68" i="9"/>
  <c r="P68" i="9"/>
  <c r="D68" i="9"/>
  <c r="O68" i="9"/>
  <c r="C68" i="9"/>
  <c r="Q46" i="9"/>
  <c r="H46" i="9"/>
  <c r="H64" i="9"/>
  <c r="E11" i="17" l="1"/>
  <c r="D10" i="8"/>
  <c r="O21" i="7"/>
  <c r="J21" i="7"/>
  <c r="E21" i="7"/>
  <c r="D6" i="8" l="1"/>
  <c r="D12" i="8" s="1"/>
  <c r="D23" i="8"/>
  <c r="D32" i="8"/>
  <c r="D28" i="8"/>
  <c r="D18" i="8"/>
  <c r="N11" i="17"/>
  <c r="Q11" i="17"/>
  <c r="H11" i="17"/>
  <c r="D31" i="8"/>
  <c r="H11" i="2" l="1"/>
  <c r="H21" i="2"/>
  <c r="H35" i="2"/>
  <c r="H6" i="2"/>
  <c r="D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50" i="9"/>
  <c r="I45" i="2" l="1"/>
  <c r="G17" i="4"/>
  <c r="G27" i="4"/>
  <c r="C15" i="9"/>
  <c r="G12" i="4"/>
  <c r="G20" i="4"/>
  <c r="G32" i="4"/>
  <c r="C20" i="9"/>
  <c r="C33" i="9"/>
  <c r="C6" i="9"/>
  <c r="C57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69" i="9" l="1"/>
  <c r="C67" i="9" s="1"/>
  <c r="G21" i="4"/>
  <c r="D21" i="15"/>
  <c r="G42" i="4"/>
  <c r="D42" i="15"/>
  <c r="O57" i="9"/>
  <c r="N63" i="9"/>
  <c r="H63" i="9"/>
  <c r="E63" i="9"/>
  <c r="Q62" i="9"/>
  <c r="N61" i="9"/>
  <c r="H61" i="9"/>
  <c r="E61" i="9"/>
  <c r="Q60" i="9"/>
  <c r="N59" i="9"/>
  <c r="H59" i="9"/>
  <c r="E59" i="9"/>
  <c r="P57" i="9"/>
  <c r="Q58" i="9"/>
  <c r="M57" i="9"/>
  <c r="D57" i="9"/>
  <c r="Q55" i="9"/>
  <c r="N55" i="9"/>
  <c r="E55" i="9"/>
  <c r="N53" i="9"/>
  <c r="E53" i="9"/>
  <c r="Q51" i="9"/>
  <c r="M50" i="9"/>
  <c r="N51" i="9"/>
  <c r="H51" i="9"/>
  <c r="G50" i="9"/>
  <c r="D50" i="9"/>
  <c r="P50" i="9"/>
  <c r="L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69" i="9" l="1"/>
  <c r="M67" i="9" s="1"/>
  <c r="N9" i="9"/>
  <c r="L33" i="9"/>
  <c r="N33" i="9" s="1"/>
  <c r="D33" i="9"/>
  <c r="E33" i="9" s="1"/>
  <c r="N50" i="9"/>
  <c r="G6" i="9"/>
  <c r="P6" i="9"/>
  <c r="Q6" i="9" s="1"/>
  <c r="N11" i="9"/>
  <c r="E13" i="9"/>
  <c r="L15" i="9"/>
  <c r="N15" i="9" s="1"/>
  <c r="Q16" i="9"/>
  <c r="E38" i="9"/>
  <c r="P33" i="9"/>
  <c r="O50" i="9"/>
  <c r="Q50" i="9" s="1"/>
  <c r="E8" i="9"/>
  <c r="N8" i="9"/>
  <c r="F20" i="9"/>
  <c r="H20" i="9" s="1"/>
  <c r="O33" i="9"/>
  <c r="N35" i="9"/>
  <c r="Q36" i="9"/>
  <c r="E39" i="9"/>
  <c r="N39" i="9"/>
  <c r="Q40" i="9"/>
  <c r="E60" i="9"/>
  <c r="N60" i="9"/>
  <c r="E62" i="9"/>
  <c r="N62" i="9"/>
  <c r="H37" i="9"/>
  <c r="H53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H50" i="9"/>
  <c r="E51" i="9"/>
  <c r="H15" i="9"/>
  <c r="H22" i="9"/>
  <c r="E6" i="9"/>
  <c r="E9" i="9"/>
  <c r="L20" i="9"/>
  <c r="N20" i="9" s="1"/>
  <c r="D20" i="9"/>
  <c r="E23" i="9"/>
  <c r="H26" i="9"/>
  <c r="H42" i="9"/>
  <c r="Q57" i="9"/>
  <c r="G57" i="9"/>
  <c r="Q59" i="9"/>
  <c r="H17" i="9"/>
  <c r="E25" i="9"/>
  <c r="H29" i="9"/>
  <c r="E34" i="9"/>
  <c r="E36" i="9"/>
  <c r="H39" i="9"/>
  <c r="H44" i="9"/>
  <c r="E58" i="9"/>
  <c r="N58" i="9"/>
  <c r="Q61" i="9"/>
  <c r="Q63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E50" i="9"/>
  <c r="Q53" i="9"/>
  <c r="H55" i="9"/>
  <c r="F57" i="9"/>
  <c r="L57" i="9"/>
  <c r="H58" i="9"/>
  <c r="H60" i="9"/>
  <c r="H62" i="9"/>
  <c r="L69" i="9" l="1"/>
  <c r="N69" i="9" s="1"/>
  <c r="F69" i="9"/>
  <c r="I4" i="9" s="1"/>
  <c r="P69" i="9"/>
  <c r="P67" i="9" s="1"/>
  <c r="G69" i="9"/>
  <c r="G67" i="9" s="1"/>
  <c r="D69" i="9"/>
  <c r="D67" i="9" s="1"/>
  <c r="O69" i="9"/>
  <c r="Q33" i="9"/>
  <c r="E20" i="9"/>
  <c r="E68" i="9"/>
  <c r="N68" i="9"/>
  <c r="H57" i="9"/>
  <c r="H33" i="9"/>
  <c r="H6" i="9"/>
  <c r="Q68" i="9"/>
  <c r="N57" i="9"/>
  <c r="E15" i="9"/>
  <c r="H68" i="9"/>
  <c r="E57" i="9"/>
  <c r="L67" i="9" l="1"/>
  <c r="Q69" i="9"/>
  <c r="R69" i="9" s="1"/>
  <c r="R4" i="9"/>
  <c r="R46" i="9"/>
  <c r="O67" i="9"/>
  <c r="F67" i="9"/>
  <c r="I46" i="9"/>
  <c r="I6" i="9"/>
  <c r="I64" i="9"/>
  <c r="R60" i="9"/>
  <c r="R64" i="9"/>
  <c r="R58" i="9"/>
  <c r="R37" i="9"/>
  <c r="R24" i="9"/>
  <c r="R48" i="9"/>
  <c r="R33" i="9"/>
  <c r="R68" i="9"/>
  <c r="R25" i="9"/>
  <c r="R35" i="9"/>
  <c r="R26" i="9"/>
  <c r="R21" i="9"/>
  <c r="R44" i="9"/>
  <c r="R16" i="9"/>
  <c r="R57" i="9"/>
  <c r="R22" i="9"/>
  <c r="R63" i="9"/>
  <c r="R15" i="9"/>
  <c r="R59" i="9"/>
  <c r="R11" i="9"/>
  <c r="R53" i="9"/>
  <c r="R29" i="9"/>
  <c r="R62" i="9"/>
  <c r="R9" i="9"/>
  <c r="R8" i="9"/>
  <c r="R50" i="9"/>
  <c r="R34" i="9"/>
  <c r="R55" i="9"/>
  <c r="R42" i="9"/>
  <c r="R61" i="9"/>
  <c r="R7" i="9"/>
  <c r="R36" i="9"/>
  <c r="R18" i="9"/>
  <c r="R27" i="9"/>
  <c r="R20" i="9"/>
  <c r="R31" i="9"/>
  <c r="R54" i="9"/>
  <c r="R17" i="9"/>
  <c r="R6" i="9"/>
  <c r="R39" i="9"/>
  <c r="R38" i="9"/>
  <c r="R23" i="9"/>
  <c r="R51" i="9"/>
  <c r="R13" i="9"/>
  <c r="R40" i="9"/>
  <c r="I68" i="9"/>
  <c r="I33" i="9"/>
  <c r="I57" i="9"/>
  <c r="H69" i="9"/>
  <c r="I69" i="9" s="1"/>
  <c r="I63" i="9"/>
  <c r="I61" i="9"/>
  <c r="I11" i="9"/>
  <c r="I59" i="9"/>
  <c r="I7" i="9"/>
  <c r="I38" i="9"/>
  <c r="I55" i="9"/>
  <c r="I50" i="9"/>
  <c r="I15" i="9"/>
  <c r="I16" i="9"/>
  <c r="I26" i="9"/>
  <c r="I42" i="9"/>
  <c r="I21" i="9"/>
  <c r="I39" i="9"/>
  <c r="I44" i="9"/>
  <c r="I62" i="9"/>
  <c r="I8" i="9"/>
  <c r="I53" i="9"/>
  <c r="I25" i="9"/>
  <c r="I34" i="9"/>
  <c r="I36" i="9"/>
  <c r="I23" i="9"/>
  <c r="I31" i="9"/>
  <c r="I51" i="9"/>
  <c r="I37" i="9"/>
  <c r="I24" i="9"/>
  <c r="I35" i="9"/>
  <c r="I22" i="9"/>
  <c r="I13" i="9"/>
  <c r="I60" i="9"/>
  <c r="I18" i="9"/>
  <c r="I29" i="9"/>
  <c r="I20" i="9"/>
  <c r="I58" i="9"/>
  <c r="I9" i="9"/>
  <c r="I27" i="9"/>
  <c r="I17" i="9"/>
  <c r="I40" i="9"/>
  <c r="I48" i="9"/>
  <c r="E69" i="9"/>
  <c r="R67" i="9" l="1"/>
  <c r="Q67" i="9"/>
  <c r="N67" i="9"/>
  <c r="E67" i="9"/>
  <c r="H67" i="9"/>
  <c r="I67" i="9"/>
  <c r="J2" i="9" l="1"/>
  <c r="M32" i="17" l="1"/>
  <c r="P32" i="17" l="1"/>
  <c r="D32" i="17"/>
  <c r="G32" i="17"/>
  <c r="H21" i="17"/>
  <c r="Q21" i="17"/>
  <c r="H29" i="17"/>
  <c r="Q29" i="17"/>
  <c r="E5" i="17"/>
  <c r="E19" i="17"/>
  <c r="E21" i="17"/>
  <c r="H19" i="17"/>
  <c r="Q19" i="17"/>
  <c r="H27" i="17"/>
  <c r="Q27" i="17"/>
  <c r="F32" i="17"/>
  <c r="Q5" i="17"/>
  <c r="Q15" i="17"/>
  <c r="H17" i="17"/>
  <c r="Q17" i="17"/>
  <c r="E23" i="17"/>
  <c r="E25" i="17"/>
  <c r="E29" i="17"/>
  <c r="H25" i="17"/>
  <c r="E15" i="17"/>
  <c r="N15" i="17"/>
  <c r="H15" i="17"/>
  <c r="E17" i="17"/>
  <c r="N19" i="17"/>
  <c r="H23" i="17"/>
  <c r="E27" i="17"/>
  <c r="N27" i="17"/>
  <c r="C32" i="17"/>
  <c r="L32" i="17"/>
  <c r="Q25" i="17"/>
  <c r="O32" i="17"/>
  <c r="R9" i="17" s="1"/>
  <c r="H5" i="17"/>
  <c r="N5" i="17"/>
  <c r="N17" i="17"/>
  <c r="N21" i="17"/>
  <c r="N25" i="17"/>
  <c r="N29" i="17"/>
  <c r="R13" i="17" l="1"/>
  <c r="R7" i="17"/>
  <c r="I7" i="17"/>
  <c r="I9" i="17"/>
  <c r="I11" i="17"/>
  <c r="I13" i="17"/>
  <c r="R11" i="17"/>
  <c r="R5" i="17"/>
  <c r="Q32" i="17"/>
  <c r="H32" i="17"/>
  <c r="R29" i="17"/>
  <c r="R21" i="17"/>
  <c r="R27" i="17"/>
  <c r="R19" i="17"/>
  <c r="R17" i="17"/>
  <c r="R25" i="17"/>
  <c r="R15" i="17"/>
  <c r="I29" i="17"/>
  <c r="I23" i="17"/>
  <c r="I19" i="17"/>
  <c r="I17" i="17"/>
  <c r="I27" i="17"/>
  <c r="I21" i="17"/>
  <c r="I15" i="17"/>
  <c r="I25" i="17"/>
  <c r="I5" i="17"/>
  <c r="N32" i="17"/>
  <c r="E32" i="17"/>
  <c r="J45" i="15" l="1"/>
  <c r="J44" i="15"/>
  <c r="J36" i="15"/>
  <c r="J37" i="15" l="1"/>
  <c r="F11" i="16"/>
  <c r="F37" i="16"/>
  <c r="J12" i="15"/>
  <c r="J20" i="15"/>
  <c r="J32" i="15"/>
  <c r="F30" i="16"/>
  <c r="J7" i="15"/>
  <c r="J27" i="15"/>
  <c r="F23" i="16"/>
  <c r="J17" i="15"/>
  <c r="J41" i="15"/>
  <c r="F6" i="16"/>
  <c r="F18" i="16"/>
  <c r="J40" i="15"/>
  <c r="J21" i="15" l="1"/>
  <c r="J42" i="15"/>
  <c r="E36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17" i="4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K10" i="15" l="1"/>
  <c r="K18" i="15"/>
  <c r="O4" i="16"/>
  <c r="K5" i="15"/>
  <c r="K15" i="15"/>
  <c r="K6" i="15"/>
  <c r="K16" i="15"/>
  <c r="K11" i="15"/>
  <c r="K19" i="15"/>
  <c r="J32" i="8" l="1"/>
  <c r="J18" i="8"/>
  <c r="J6" i="8"/>
  <c r="J31" i="8"/>
  <c r="J10" i="8"/>
  <c r="J12" i="8" l="1"/>
  <c r="J23" i="8"/>
  <c r="J28" i="8"/>
  <c r="J33" i="8" l="1"/>
  <c r="F41" i="4" l="1"/>
  <c r="F20" i="4"/>
  <c r="F17" i="4"/>
  <c r="F40" i="4"/>
  <c r="F7" i="4"/>
  <c r="F27" i="4"/>
  <c r="F12" i="4"/>
  <c r="F32" i="4"/>
  <c r="F37" i="4"/>
  <c r="F21" i="4" l="1"/>
  <c r="F42" i="4"/>
  <c r="I36" i="15"/>
  <c r="H36" i="15"/>
  <c r="F36" i="15"/>
  <c r="C36" i="15"/>
  <c r="B36" i="15"/>
  <c r="I35" i="15"/>
  <c r="L23" i="16" l="1"/>
  <c r="L30" i="16"/>
  <c r="L6" i="16"/>
  <c r="L37" i="16"/>
  <c r="L18" i="16"/>
  <c r="L11" i="16"/>
  <c r="K10" i="8" l="1"/>
  <c r="K18" i="8" l="1"/>
  <c r="K28" i="8"/>
  <c r="K31" i="8"/>
  <c r="K23" i="8"/>
  <c r="K6" i="8"/>
  <c r="K12" i="8" s="1"/>
  <c r="K32" i="8"/>
  <c r="N18" i="8"/>
  <c r="D30" i="2"/>
  <c r="B30" i="3"/>
  <c r="C27" i="4"/>
  <c r="K27" i="4"/>
  <c r="E23" i="8"/>
  <c r="D35" i="2"/>
  <c r="B35" i="3"/>
  <c r="F35" i="3"/>
  <c r="H35" i="3"/>
  <c r="E32" i="4"/>
  <c r="B32" i="15"/>
  <c r="I32" i="15"/>
  <c r="M31" i="8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28" i="7"/>
  <c r="P28" i="7" s="1"/>
  <c r="D28" i="7"/>
  <c r="F28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I28" i="7"/>
  <c r="K28" i="7" s="1"/>
  <c r="K45" i="15"/>
  <c r="K44" i="15"/>
  <c r="O20" i="16"/>
  <c r="O8" i="16"/>
  <c r="K42" i="2"/>
  <c r="K37" i="2"/>
  <c r="K36" i="2"/>
  <c r="K32" i="2"/>
  <c r="K8" i="2"/>
  <c r="M34" i="4"/>
  <c r="M33" i="4"/>
  <c r="M14" i="4"/>
  <c r="B10" i="8"/>
  <c r="E10" i="8"/>
  <c r="F10" i="8"/>
  <c r="H10" i="8"/>
  <c r="L10" i="8"/>
  <c r="M10" i="8"/>
  <c r="N10" i="8"/>
  <c r="L33" i="8"/>
  <c r="N32" i="8" l="1"/>
  <c r="N37" i="16"/>
  <c r="H18" i="3"/>
  <c r="H23" i="3" s="1"/>
  <c r="C17" i="4"/>
  <c r="K37" i="4"/>
  <c r="J37" i="16"/>
  <c r="F32" i="8"/>
  <c r="H37" i="16"/>
  <c r="B18" i="3"/>
  <c r="B37" i="16"/>
  <c r="E37" i="16"/>
  <c r="H44" i="3"/>
  <c r="J48" i="3"/>
  <c r="J50" i="2" s="1"/>
  <c r="K50" i="2" s="1"/>
  <c r="D30" i="16"/>
  <c r="H30" i="16"/>
  <c r="N11" i="16"/>
  <c r="K41" i="4"/>
  <c r="C23" i="16"/>
  <c r="N28" i="8"/>
  <c r="B22" i="3"/>
  <c r="K20" i="4"/>
  <c r="K17" i="4"/>
  <c r="B46" i="4"/>
  <c r="B47" i="4" s="1"/>
  <c r="B44" i="3"/>
  <c r="D44" i="2"/>
  <c r="B18" i="8"/>
  <c r="M18" i="16"/>
  <c r="D6" i="16"/>
  <c r="C7" i="7"/>
  <c r="G18" i="3"/>
  <c r="I20" i="15"/>
  <c r="H17" i="4"/>
  <c r="M28" i="8"/>
  <c r="B28" i="8"/>
  <c r="I37" i="15"/>
  <c r="E40" i="2"/>
  <c r="B40" i="2"/>
  <c r="H40" i="15"/>
  <c r="N18" i="16"/>
  <c r="B27" i="15"/>
  <c r="B30" i="16"/>
  <c r="E30" i="16"/>
  <c r="M30" i="16"/>
  <c r="J18" i="16"/>
  <c r="E6" i="2"/>
  <c r="F12" i="15"/>
  <c r="I22" i="3"/>
  <c r="I23" i="3" s="1"/>
  <c r="B17" i="15"/>
  <c r="F12" i="7"/>
  <c r="B12" i="7"/>
  <c r="M6" i="8"/>
  <c r="M12" i="8" s="1"/>
  <c r="D20" i="1"/>
  <c r="O32" i="8"/>
  <c r="F41" i="15"/>
  <c r="B41" i="15"/>
  <c r="D41" i="4"/>
  <c r="E28" i="8"/>
  <c r="K40" i="4"/>
  <c r="H18" i="16"/>
  <c r="E43" i="2"/>
  <c r="B43" i="2"/>
  <c r="H32" i="15"/>
  <c r="C32" i="15"/>
  <c r="G44" i="3"/>
  <c r="B23" i="16"/>
  <c r="G11" i="16"/>
  <c r="E6" i="16"/>
  <c r="B6" i="16"/>
  <c r="J11" i="16"/>
  <c r="H6" i="16"/>
  <c r="I12" i="15"/>
  <c r="H12" i="4"/>
  <c r="G12" i="3"/>
  <c r="C21" i="2"/>
  <c r="C23" i="2" s="1"/>
  <c r="H20" i="4"/>
  <c r="I17" i="15"/>
  <c r="D32" i="4"/>
  <c r="I35" i="3"/>
  <c r="O23" i="8"/>
  <c r="F23" i="8"/>
  <c r="F27" i="15"/>
  <c r="J28" i="3"/>
  <c r="J28" i="2" s="1"/>
  <c r="K28" i="2" s="1"/>
  <c r="B5" i="5" s="1"/>
  <c r="M23" i="8"/>
  <c r="K33" i="8"/>
  <c r="C30" i="16"/>
  <c r="G30" i="16"/>
  <c r="G7" i="3"/>
  <c r="E7" i="7"/>
  <c r="C12" i="7"/>
  <c r="N6" i="8"/>
  <c r="N12" i="8" s="1"/>
  <c r="K32" i="4"/>
  <c r="D27" i="4"/>
  <c r="O18" i="8"/>
  <c r="F18" i="8"/>
  <c r="H31" i="8"/>
  <c r="H23" i="16"/>
  <c r="G6" i="16"/>
  <c r="C6" i="16"/>
  <c r="F7" i="3"/>
  <c r="I7" i="3"/>
  <c r="B6" i="8"/>
  <c r="B12" i="8" s="1"/>
  <c r="B40" i="4"/>
  <c r="J23" i="16"/>
  <c r="K7" i="4"/>
  <c r="C7" i="4"/>
  <c r="J10" i="3"/>
  <c r="J9" i="2" s="1"/>
  <c r="B17" i="2"/>
  <c r="D21" i="1"/>
  <c r="H41" i="15"/>
  <c r="K36" i="15"/>
  <c r="L36" i="4" s="1"/>
  <c r="M36" i="4" s="1"/>
  <c r="C16" i="5" s="1"/>
  <c r="B37" i="4"/>
  <c r="O31" i="8"/>
  <c r="F28" i="8"/>
  <c r="D40" i="4"/>
  <c r="H40" i="3"/>
  <c r="B40" i="3"/>
  <c r="D40" i="2"/>
  <c r="F44" i="3"/>
  <c r="B32" i="8"/>
  <c r="O10" i="8"/>
  <c r="I7" i="15"/>
  <c r="D12" i="4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O5" i="16"/>
  <c r="K26" i="15"/>
  <c r="L26" i="4" s="1"/>
  <c r="M26" i="4" s="1"/>
  <c r="C6" i="5" s="1"/>
  <c r="B23" i="8"/>
  <c r="M23" i="16"/>
  <c r="D37" i="4"/>
  <c r="B40" i="15"/>
  <c r="J20" i="3"/>
  <c r="J19" i="2" s="1"/>
  <c r="K19" i="2" s="1"/>
  <c r="P8" i="8"/>
  <c r="G43" i="3"/>
  <c r="B27" i="4"/>
  <c r="L19" i="4"/>
  <c r="M19" i="4" s="1"/>
  <c r="F31" i="8"/>
  <c r="D7" i="4"/>
  <c r="J39" i="3"/>
  <c r="J39" i="2" s="1"/>
  <c r="K39" i="2" s="1"/>
  <c r="B16" i="5" s="1"/>
  <c r="B32" i="4"/>
  <c r="E35" i="2"/>
  <c r="B35" i="2"/>
  <c r="H23" i="8"/>
  <c r="D43" i="2"/>
  <c r="E23" i="16"/>
  <c r="M11" i="16"/>
  <c r="C40" i="4"/>
  <c r="E31" i="8"/>
  <c r="F43" i="3"/>
  <c r="B41" i="4"/>
  <c r="C32" i="4"/>
  <c r="B18" i="16"/>
  <c r="E18" i="16"/>
  <c r="O21" i="16"/>
  <c r="H7" i="3"/>
  <c r="C6" i="2"/>
  <c r="H7" i="15"/>
  <c r="E7" i="4"/>
  <c r="J16" i="3"/>
  <c r="J15" i="2" s="1"/>
  <c r="K15" i="2" s="1"/>
  <c r="I40" i="15"/>
  <c r="F6" i="8"/>
  <c r="F12" i="8" s="1"/>
  <c r="P5" i="8"/>
  <c r="C19" i="1" s="1"/>
  <c r="P27" i="8"/>
  <c r="D16" i="5" s="1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B11" i="5" s="1"/>
  <c r="J29" i="3"/>
  <c r="J29" i="2" s="1"/>
  <c r="F12" i="3"/>
  <c r="G35" i="3"/>
  <c r="K31" i="15"/>
  <c r="L31" i="4" s="1"/>
  <c r="H18" i="8"/>
  <c r="C30" i="2"/>
  <c r="I40" i="3"/>
  <c r="I44" i="3"/>
  <c r="P9" i="8"/>
  <c r="J30" i="16"/>
  <c r="O28" i="16"/>
  <c r="O17" i="16"/>
  <c r="G18" i="16"/>
  <c r="D23" i="16"/>
  <c r="H40" i="4"/>
  <c r="H37" i="4"/>
  <c r="J38" i="3"/>
  <c r="J38" i="2" s="1"/>
  <c r="F40" i="3"/>
  <c r="H28" i="8"/>
  <c r="H32" i="8"/>
  <c r="P16" i="8"/>
  <c r="D5" i="5" s="1"/>
  <c r="H37" i="15"/>
  <c r="L18" i="4"/>
  <c r="M18" i="4" s="1"/>
  <c r="M32" i="8"/>
  <c r="O10" i="16"/>
  <c r="B11" i="16"/>
  <c r="K51" i="2"/>
  <c r="J21" i="3"/>
  <c r="J20" i="2" s="1"/>
  <c r="K20" i="2" s="1"/>
  <c r="G22" i="3"/>
  <c r="H41" i="4"/>
  <c r="P26" i="8"/>
  <c r="D15" i="5" s="1"/>
  <c r="C37" i="15"/>
  <c r="G30" i="3"/>
  <c r="K46" i="15"/>
  <c r="L44" i="4" s="1"/>
  <c r="M44" i="4" s="1"/>
  <c r="M37" i="16"/>
  <c r="E11" i="16"/>
  <c r="K47" i="15"/>
  <c r="L45" i="4" s="1"/>
  <c r="M45" i="4" s="1"/>
  <c r="F22" i="3"/>
  <c r="F23" i="3" s="1"/>
  <c r="B21" i="2"/>
  <c r="E37" i="4"/>
  <c r="K30" i="15"/>
  <c r="L30" i="4" s="1"/>
  <c r="M30" i="4" s="1"/>
  <c r="C10" i="5" s="1"/>
  <c r="I27" i="15"/>
  <c r="P22" i="8"/>
  <c r="D11" i="5" s="1"/>
  <c r="H27" i="15"/>
  <c r="C41" i="15"/>
  <c r="E41" i="4"/>
  <c r="F30" i="3"/>
  <c r="P17" i="8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P21" i="8"/>
  <c r="H27" i="4"/>
  <c r="N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E17" i="4"/>
  <c r="D12" i="7"/>
  <c r="E12" i="7"/>
  <c r="O6" i="8"/>
  <c r="I41" i="15"/>
  <c r="B31" i="8"/>
  <c r="M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L6" i="8"/>
  <c r="L12" i="8" s="1"/>
  <c r="O28" i="8"/>
  <c r="H6" i="8"/>
  <c r="H12" i="8" s="1"/>
  <c r="B6" i="2"/>
  <c r="J17" i="3"/>
  <c r="J16" i="2" s="1"/>
  <c r="C41" i="4"/>
  <c r="C40" i="15"/>
  <c r="K25" i="15"/>
  <c r="L25" i="4" s="1"/>
  <c r="C27" i="15"/>
  <c r="E40" i="4"/>
  <c r="E27" i="4"/>
  <c r="N30" i="16"/>
  <c r="O27" i="16"/>
  <c r="O16" i="16"/>
  <c r="D18" i="16"/>
  <c r="N23" i="16"/>
  <c r="O22" i="16"/>
  <c r="O34" i="16"/>
  <c r="J12" i="5"/>
  <c r="J21" i="5"/>
  <c r="P4" i="8"/>
  <c r="B19" i="1" s="1"/>
  <c r="E6" i="8"/>
  <c r="N31" i="8"/>
  <c r="N23" i="8"/>
  <c r="E32" i="8"/>
  <c r="B43" i="3"/>
  <c r="C11" i="16"/>
  <c r="O9" i="16"/>
  <c r="B27" i="7" s="1"/>
  <c r="B12" i="15"/>
  <c r="L10" i="4"/>
  <c r="M10" i="4" s="1"/>
  <c r="F40" i="15"/>
  <c r="K35" i="15"/>
  <c r="L35" i="4" s="1"/>
  <c r="F37" i="15"/>
  <c r="E44" i="2"/>
  <c r="E30" i="2"/>
  <c r="B44" i="2"/>
  <c r="B30" i="2"/>
  <c r="J33" i="3"/>
  <c r="J33" i="2" s="1"/>
  <c r="E18" i="8"/>
  <c r="D37" i="16"/>
  <c r="C37" i="16"/>
  <c r="O35" i="16"/>
  <c r="L11" i="4"/>
  <c r="M11" i="4" s="1"/>
  <c r="L15" i="4"/>
  <c r="M15" i="4" s="1"/>
  <c r="M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C27" i="7" l="1"/>
  <c r="F21" i="1"/>
  <c r="F20" i="1"/>
  <c r="K20" i="15"/>
  <c r="K7" i="15"/>
  <c r="B21" i="15"/>
  <c r="K17" i="15"/>
  <c r="K12" i="15"/>
  <c r="C6" i="1"/>
  <c r="B6" i="1"/>
  <c r="H21" i="4"/>
  <c r="H21" i="15"/>
  <c r="B23" i="3"/>
  <c r="B42" i="15"/>
  <c r="K42" i="4"/>
  <c r="L7" i="4"/>
  <c r="M7" i="4" s="1"/>
  <c r="K21" i="4"/>
  <c r="I45" i="3"/>
  <c r="C21" i="4"/>
  <c r="B23" i="2"/>
  <c r="B33" i="1"/>
  <c r="P10" i="8"/>
  <c r="H45" i="3"/>
  <c r="M33" i="8"/>
  <c r="G45" i="3"/>
  <c r="D45" i="2"/>
  <c r="O12" i="8"/>
  <c r="G23" i="3"/>
  <c r="B33" i="8"/>
  <c r="H42" i="15"/>
  <c r="I21" i="15"/>
  <c r="B42" i="4"/>
  <c r="D7" i="1"/>
  <c r="J17" i="2"/>
  <c r="K17" i="2" s="1"/>
  <c r="J12" i="3"/>
  <c r="J44" i="3"/>
  <c r="E45" i="2"/>
  <c r="O33" i="8"/>
  <c r="E21" i="4"/>
  <c r="D17" i="5"/>
  <c r="F45" i="3"/>
  <c r="F42" i="15"/>
  <c r="D18" i="1"/>
  <c r="C10" i="1"/>
  <c r="L27" i="4"/>
  <c r="M27" i="4" s="1"/>
  <c r="C21" i="15"/>
  <c r="D42" i="4"/>
  <c r="F33" i="8"/>
  <c r="J11" i="2"/>
  <c r="K11" i="2" s="1"/>
  <c r="K9" i="2"/>
  <c r="H33" i="8"/>
  <c r="J35" i="3"/>
  <c r="J40" i="3"/>
  <c r="J44" i="2"/>
  <c r="K44" i="2" s="1"/>
  <c r="K32" i="15"/>
  <c r="M25" i="4"/>
  <c r="C5" i="5" s="1"/>
  <c r="J30" i="3"/>
  <c r="O6" i="16"/>
  <c r="J7" i="3"/>
  <c r="P23" i="8"/>
  <c r="B21" i="4"/>
  <c r="P18" i="8"/>
  <c r="P31" i="8"/>
  <c r="G12" i="7"/>
  <c r="O11" i="16"/>
  <c r="J22" i="5"/>
  <c r="K29" i="2"/>
  <c r="B6" i="5" s="1"/>
  <c r="B7" i="5" s="1"/>
  <c r="J21" i="2"/>
  <c r="K21" i="2" s="1"/>
  <c r="H42" i="4"/>
  <c r="O23" i="16"/>
  <c r="L32" i="4"/>
  <c r="M32" i="4" s="1"/>
  <c r="C37" i="1"/>
  <c r="I42" i="15"/>
  <c r="J22" i="3"/>
  <c r="E23" i="2"/>
  <c r="K27" i="15"/>
  <c r="B16" i="1"/>
  <c r="C17" i="1"/>
  <c r="O37" i="16"/>
  <c r="L41" i="4"/>
  <c r="M41" i="4" s="1"/>
  <c r="O18" i="16"/>
  <c r="D19" i="1"/>
  <c r="J6" i="2"/>
  <c r="K6" i="2" s="1"/>
  <c r="D5" i="1" s="1"/>
  <c r="L20" i="4"/>
  <c r="M20" i="4" s="1"/>
  <c r="P32" i="8"/>
  <c r="G7" i="7"/>
  <c r="O30" i="16"/>
  <c r="P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N33" i="8"/>
  <c r="K37" i="15"/>
  <c r="J18" i="3"/>
  <c r="L17" i="4"/>
  <c r="M17" i="4" s="1"/>
  <c r="D10" i="5"/>
  <c r="E12" i="8"/>
  <c r="P6" i="8"/>
  <c r="E42" i="4"/>
  <c r="C42" i="15"/>
  <c r="K40" i="15"/>
  <c r="K41" i="15"/>
  <c r="E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D27" i="7" l="1"/>
  <c r="F27" i="7" s="1"/>
  <c r="B8" i="1"/>
  <c r="F18" i="1"/>
  <c r="K21" i="15"/>
  <c r="D6" i="1"/>
  <c r="C8" i="1"/>
  <c r="C33" i="1" s="1"/>
  <c r="P12" i="8"/>
  <c r="B10" i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K42" i="15"/>
  <c r="J23" i="3"/>
  <c r="B17" i="1"/>
  <c r="D17" i="1" s="1"/>
  <c r="K43" i="2"/>
  <c r="C11" i="5"/>
  <c r="C28" i="1"/>
  <c r="C27" i="1"/>
  <c r="P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22" i="1" l="1"/>
  <c r="F22" i="1" s="1"/>
  <c r="D10" i="1"/>
  <c r="D8" i="1"/>
  <c r="F8" i="1" s="1"/>
  <c r="F6" i="1"/>
  <c r="C11" i="1"/>
  <c r="B32" i="1"/>
  <c r="B11" i="1"/>
  <c r="L27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/>
  <c r="G27" i="7" l="1"/>
  <c r="M27" i="7"/>
  <c r="F10" i="1"/>
  <c r="C32" i="1"/>
  <c r="F28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H27" i="7" l="1"/>
  <c r="I27" i="7" s="1"/>
  <c r="K27" i="7" s="1"/>
  <c r="N27" i="7"/>
  <c r="P27" i="7" s="1"/>
  <c r="F22" i="5"/>
  <c r="H22" i="5" s="1"/>
  <c r="H20" i="5"/>
  <c r="B26" i="7" l="1"/>
  <c r="C26" i="7" l="1"/>
  <c r="D26" i="7" s="1"/>
  <c r="F26" i="7" s="1"/>
  <c r="L26" i="7" l="1"/>
  <c r="G26" i="7" s="1"/>
  <c r="M26" i="7"/>
  <c r="H26" i="7" s="1"/>
  <c r="I26" i="7" l="1"/>
  <c r="K26" i="7" s="1"/>
  <c r="N26" i="7"/>
  <c r="P26" i="7" s="1"/>
  <c r="B25" i="7" l="1"/>
  <c r="C25" i="7" l="1"/>
  <c r="D25" i="7" s="1"/>
  <c r="F25" i="7" s="1"/>
  <c r="L25" i="7" l="1"/>
  <c r="M25" i="7" l="1"/>
  <c r="H25" i="7" s="1"/>
  <c r="G25" i="7"/>
  <c r="I25" i="7" l="1"/>
  <c r="K25" i="7" s="1"/>
  <c r="N25" i="7"/>
  <c r="P25" i="7" s="1"/>
  <c r="B24" i="7" l="1"/>
  <c r="C24" i="7" l="1"/>
  <c r="D24" i="7" s="1"/>
  <c r="F24" i="7" s="1"/>
  <c r="L24" i="7" l="1"/>
  <c r="G24" i="7" s="1"/>
  <c r="M24" i="7"/>
  <c r="H24" i="7" s="1"/>
  <c r="N24" i="7" l="1"/>
  <c r="P24" i="7" s="1"/>
  <c r="I24" i="7"/>
  <c r="K24" i="7" s="1"/>
  <c r="B23" i="7" l="1"/>
  <c r="C23" i="7" l="1"/>
  <c r="D23" i="7" s="1"/>
  <c r="F23" i="7" s="1"/>
  <c r="L23" i="7" l="1"/>
  <c r="M23" i="7" l="1"/>
  <c r="H23" i="7" s="1"/>
  <c r="G23" i="7"/>
  <c r="I23" i="7" l="1"/>
  <c r="K23" i="7" s="1"/>
  <c r="N23" i="7"/>
  <c r="P23" i="7" s="1"/>
  <c r="B22" i="7" l="1"/>
  <c r="C22" i="7" l="1"/>
  <c r="D22" i="7" s="1"/>
  <c r="F22" i="7" s="1"/>
  <c r="L22" i="7" l="1"/>
  <c r="G22" i="7" s="1"/>
  <c r="M22" i="7"/>
  <c r="H22" i="7" s="1"/>
  <c r="I22" i="7" l="1"/>
  <c r="K22" i="7" s="1"/>
  <c r="N22" i="7"/>
  <c r="P22" i="7" s="1"/>
  <c r="C21" i="7" l="1"/>
  <c r="C33" i="7" s="1"/>
  <c r="B21" i="7"/>
  <c r="B33" i="7" l="1"/>
  <c r="D21" i="7"/>
  <c r="M21" i="7" l="1"/>
  <c r="L21" i="7"/>
  <c r="F21" i="7"/>
  <c r="D33" i="7"/>
  <c r="F33" i="7" s="1"/>
  <c r="G21" i="7" l="1"/>
  <c r="N21" i="7"/>
  <c r="L33" i="7"/>
  <c r="H21" i="7"/>
  <c r="H33" i="7" s="1"/>
  <c r="M33" i="7"/>
  <c r="P21" i="7" l="1"/>
  <c r="N33" i="7"/>
  <c r="P33" i="7" s="1"/>
  <c r="I21" i="7"/>
  <c r="G33" i="7"/>
  <c r="I33" i="7" l="1"/>
  <c r="K33" i="7" s="1"/>
  <c r="K21" i="7"/>
  <c r="D33" i="1" l="1"/>
  <c r="I16" i="5"/>
  <c r="G5" i="1"/>
  <c r="I5" i="1" l="1"/>
  <c r="G16" i="1"/>
  <c r="I6" i="5"/>
  <c r="I16" i="1" l="1"/>
  <c r="K6" i="5"/>
  <c r="G6" i="1"/>
  <c r="D32" i="1"/>
  <c r="G27" i="1"/>
  <c r="I5" i="5"/>
  <c r="I15" i="5"/>
  <c r="I10" i="5"/>
  <c r="K10" i="5" l="1"/>
  <c r="G21" i="1"/>
  <c r="K5" i="5"/>
  <c r="I20" i="5"/>
  <c r="I7" i="5"/>
  <c r="K7" i="5" s="1"/>
  <c r="D34" i="1"/>
  <c r="E33" i="1" s="1"/>
  <c r="E32" i="1"/>
  <c r="G20" i="1"/>
  <c r="G19" i="1"/>
  <c r="I6" i="1"/>
  <c r="I17" i="5"/>
  <c r="K17" i="5" s="1"/>
  <c r="K15" i="5"/>
  <c r="I27" i="1"/>
  <c r="G7" i="1"/>
  <c r="G8" i="1" s="1"/>
  <c r="G17" i="1"/>
  <c r="I21" i="1" l="1"/>
  <c r="I19" i="1"/>
  <c r="I20" i="1"/>
  <c r="I7" i="1"/>
  <c r="G18" i="1"/>
  <c r="I8" i="1"/>
  <c r="I17" i="1"/>
  <c r="K20" i="5"/>
  <c r="I11" i="5"/>
  <c r="G28" i="1"/>
  <c r="I18" i="1" l="1"/>
  <c r="G22" i="1"/>
  <c r="I22" i="1" s="1"/>
  <c r="K11" i="5"/>
  <c r="I21" i="5"/>
  <c r="I12" i="5"/>
  <c r="K12" i="5" s="1"/>
  <c r="I28" i="1"/>
  <c r="G29" i="1"/>
  <c r="I29" i="1" s="1"/>
  <c r="G10" i="1"/>
  <c r="I10" i="1" l="1"/>
  <c r="G11" i="1"/>
  <c r="I11" i="1" s="1"/>
  <c r="K21" i="5"/>
  <c r="I22" i="5"/>
  <c r="K22" i="5" s="1"/>
</calcChain>
</file>

<file path=xl/sharedStrings.xml><?xml version="1.0" encoding="utf-8"?>
<sst xmlns="http://schemas.openxmlformats.org/spreadsheetml/2006/main" count="606" uniqueCount="234">
  <si>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</si>
  <si>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</si>
  <si>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</si>
  <si>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</si>
  <si>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</si>
  <si>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</si>
  <si>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</si>
  <si>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</si>
  <si>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</si>
  <si>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</si>
  <si>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</si>
  <si>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</si>
  <si>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</si>
  <si>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</si>
  <si>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</si>
  <si>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</si>
  <si>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</si>
  <si>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</si>
  <si>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</si>
  <si>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</si>
  <si>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</si>
  <si>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</si>
  <si>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</si>
  <si>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</si>
  <si>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</si>
  <si>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</si>
  <si>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</si>
  <si>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</si>
  <si>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</si>
  <si>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</si>
  <si>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</si>
  <si>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</si>
  <si>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</si>
  <si>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</si>
  <si>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</si>
  <si>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</si>
  <si>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</si>
  <si>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</si>
  <si>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</si>
  <si>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</si>
  <si>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</si>
  <si>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</si>
  <si>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</si>
  <si>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</si>
  <si>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</si>
  <si>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</si>
  <si>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</si>
  <si>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</si>
  <si>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</si>
  <si>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</si>
  <si>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</si>
  <si>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</si>
  <si>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</si>
  <si>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</si>
  <si>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</si>
  <si>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</si>
  <si>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</si>
  <si>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</si>
  <si>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</si>
  <si>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</si>
  <si>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</si>
  <si>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</si>
  <si>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</si>
  <si>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</si>
  <si>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</si>
  <si>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</si>
  <si>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</si>
  <si>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</si>
  <si>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</si>
  <si>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</si>
  <si>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</si>
  <si>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</si>
  <si>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</si>
  <si>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</si>
  <si>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</si>
  <si>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</si>
  <si>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</si>
  <si>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</si>
  <si>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</si>
  <si>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</si>
  <si>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</si>
  <si>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</si>
  <si>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</si>
  <si>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</si>
  <si>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</si>
  <si>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</si>
  <si>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</si>
  <si>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</si>
  <si>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</si>
  <si>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</si>
  <si>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</si>
  <si>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</si>
  <si>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</si>
  <si>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</si>
  <si>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</si>
  <si>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</si>
  <si>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</si>
  <si>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</si>
  <si>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</si>
  <si>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</si>
  <si>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</si>
  <si>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</si>
  <si>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</si>
  <si>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</si>
  <si>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</si>
  <si>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</si>
  <si>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</si>
  <si>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</si>
  <si>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</si>
  <si>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</si>
  <si>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</si>
  <si>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</si>
  <si>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</si>
  <si>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</si>
  <si>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</si>
  <si>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</si>
  <si>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</si>
  <si>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</si>
  <si>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</si>
  <si>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</si>
  <si>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</si>
  <si>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</si>
  <si>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</si>
  <si>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</si>
  <si>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</si>
  <si>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</si>
  <si>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</si>
  <si>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</si>
  <si>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</si>
  <si>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</si>
  <si>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</si>
  <si>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</si>
  <si>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</si>
  <si>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</si>
  <si>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</si>
  <si>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</si>
  <si>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</si>
  <si>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</si>
  <si>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</si>
  <si>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</si>
  <si>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</si>
  <si>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</si>
  <si>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</si>
  <si>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</si>
  <si>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</si>
  <si>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</si>
  <si>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</si>
  <si>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</si>
  <si>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</si>
  <si>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</si>
  <si>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</si>
  <si>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</si>
  <si>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</si>
  <si>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</si>
  <si>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</si>
  <si>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</si>
  <si>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</si>
  <si>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</si>
  <si>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</si>
  <si>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</si>
  <si>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</si>
  <si>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</si>
  <si>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</si>
  <si>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</si>
  <si>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</si>
  <si>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</si>
  <si>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</si>
  <si>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</si>
  <si>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</si>
  <si>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</si>
  <si>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</si>
  <si>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</si>
  <si>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</si>
  <si>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</si>
  <si>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</si>
  <si>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</si>
  <si>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</si>
  <si>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</si>
  <si>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</si>
  <si>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</si>
  <si>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</si>
  <si>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</si>
  <si>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</si>
  <si>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</si>
  <si>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</si>
  <si>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</si>
  <si>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</si>
  <si>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</si>
  <si>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</si>
  <si>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</si>
  <si>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</si>
  <si>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</si>
  <si>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</si>
  <si>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</si>
  <si>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</si>
  <si>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</si>
  <si>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</si>
  <si>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</si>
  <si>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</si>
  <si>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</si>
  <si>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</si>
  <si>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</si>
  <si>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</si>
  <si>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</si>
  <si>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</si>
  <si>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</si>
  <si>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</si>
  <si>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</si>
  <si>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</si>
  <si>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</si>
  <si>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</si>
  <si>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</si>
  <si>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</si>
  <si>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</si>
  <si>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</si>
  <si>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</si>
  <si>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</si>
  <si>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</si>
  <si>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</si>
  <si>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</si>
  <si>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</si>
  <si>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</si>
  <si>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</si>
  <si>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</si>
  <si>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July 2018</t>
  </si>
  <si>
    <t>Aer Lingus</t>
  </si>
  <si>
    <t>Air Wisconsin - American</t>
  </si>
  <si>
    <t>Encore Air Cargo</t>
  </si>
  <si>
    <t>Encore</t>
  </si>
  <si>
    <t>Kalittia - DHL</t>
  </si>
  <si>
    <t>DHL</t>
  </si>
  <si>
    <t>Kalitta - DHL</t>
  </si>
  <si>
    <t>Atlas - DHL</t>
  </si>
  <si>
    <t>ABX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</si>
</sst>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0" fontId="7" fillId="0" borderId="36" xfId="0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13" xfId="0" applyNumberFormat="1" applyBorder="1"/>
    <xf numFmtId="0" fontId="0" fillId="0" borderId="0" xfId="0" applyBorder="1"/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ly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pril%20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y%20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ne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2850605</v>
          </cell>
          <cell r="G5">
            <v>16895175</v>
          </cell>
        </row>
        <row r="6">
          <cell r="D6">
            <v>693224</v>
          </cell>
          <cell r="G6">
            <v>4572378</v>
          </cell>
        </row>
        <row r="7">
          <cell r="D7">
            <v>244</v>
          </cell>
          <cell r="G7">
            <v>3087</v>
          </cell>
        </row>
        <row r="10">
          <cell r="D10">
            <v>120935</v>
          </cell>
          <cell r="G10">
            <v>737835</v>
          </cell>
        </row>
        <row r="16">
          <cell r="D16">
            <v>21118</v>
          </cell>
          <cell r="G16">
            <v>128377</v>
          </cell>
        </row>
        <row r="17">
          <cell r="D17">
            <v>13005</v>
          </cell>
          <cell r="G17">
            <v>88154</v>
          </cell>
        </row>
        <row r="18">
          <cell r="D18">
            <v>4</v>
          </cell>
          <cell r="G18">
            <v>26</v>
          </cell>
        </row>
        <row r="19">
          <cell r="D19">
            <v>1261</v>
          </cell>
          <cell r="G19">
            <v>8625</v>
          </cell>
        </row>
        <row r="20">
          <cell r="D20">
            <v>1653</v>
          </cell>
          <cell r="G20">
            <v>11786</v>
          </cell>
        </row>
        <row r="21">
          <cell r="D21">
            <v>90</v>
          </cell>
          <cell r="G21">
            <v>700</v>
          </cell>
        </row>
        <row r="27">
          <cell r="D27">
            <v>18184.056356267341</v>
          </cell>
          <cell r="G27">
            <v>119706.34583196367</v>
          </cell>
        </row>
        <row r="28">
          <cell r="D28">
            <v>2110.26002994499</v>
          </cell>
          <cell r="G28">
            <v>14836.946094914789</v>
          </cell>
        </row>
        <row r="32">
          <cell r="B32">
            <v>1045862</v>
          </cell>
          <cell r="D32">
            <v>6764324</v>
          </cell>
        </row>
        <row r="33">
          <cell r="B33">
            <v>724685</v>
          </cell>
          <cell r="D33">
            <v>3942156</v>
          </cell>
        </row>
      </sheetData>
      <sheetData sheetId="1"/>
      <sheetData sheetId="2"/>
      <sheetData sheetId="3"/>
      <sheetData sheetId="4"/>
      <sheetData sheetId="5">
        <row r="27">
          <cell r="D27">
            <v>266074</v>
          </cell>
          <cell r="I27">
            <v>3398934</v>
          </cell>
          <cell r="N27">
            <v>3665008</v>
          </cell>
        </row>
      </sheetData>
      <sheetData sheetId="6"/>
      <sheetData sheetId="7">
        <row r="5">
          <cell r="F5">
            <v>10390.0820816177</v>
          </cell>
          <cell r="I5">
            <v>67049.234882676203</v>
          </cell>
        </row>
        <row r="6">
          <cell r="F6">
            <v>886.01195535314002</v>
          </cell>
          <cell r="I6">
            <v>5971.5036349214406</v>
          </cell>
        </row>
        <row r="10">
          <cell r="F10">
            <v>7793.9742746496395</v>
          </cell>
          <cell r="I10">
            <v>52657.11094928746</v>
          </cell>
        </row>
        <row r="11">
          <cell r="F11">
            <v>1224.2480745918499</v>
          </cell>
          <cell r="I11">
            <v>8865.44245999335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18184.056356267338</v>
          </cell>
        </row>
        <row r="21">
          <cell r="F21">
            <v>2110.26002994499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134432</v>
          </cell>
          <cell r="C24">
            <v>115520</v>
          </cell>
          <cell r="L24">
            <v>1618032</v>
          </cell>
          <cell r="M24">
            <v>1517998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242418</v>
          </cell>
          <cell r="I24">
            <v>2750844</v>
          </cell>
          <cell r="N24">
            <v>2993262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120364</v>
          </cell>
          <cell r="C25">
            <v>132909</v>
          </cell>
          <cell r="L25">
            <v>1678373</v>
          </cell>
          <cell r="M25">
            <v>1662439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246334</v>
          </cell>
          <cell r="I25">
            <v>2981156</v>
          </cell>
          <cell r="N25">
            <v>3227490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260189</v>
          </cell>
          <cell r="I26">
            <v>3255476</v>
          </cell>
          <cell r="N26">
            <v>3515665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14712510</v>
          </cell>
        </row>
        <row r="6">
          <cell r="G6">
            <v>3727353</v>
          </cell>
        </row>
        <row r="7">
          <cell r="G7">
            <v>3008</v>
          </cell>
        </row>
        <row r="10">
          <cell r="G10">
            <v>600572</v>
          </cell>
        </row>
        <row r="16">
          <cell r="G16">
            <v>110334</v>
          </cell>
        </row>
        <row r="17">
          <cell r="G17">
            <v>70486</v>
          </cell>
        </row>
        <row r="18">
          <cell r="G18">
            <v>45</v>
          </cell>
        </row>
        <row r="19">
          <cell r="G19">
            <v>7002</v>
          </cell>
        </row>
        <row r="20">
          <cell r="G20">
            <v>9667</v>
          </cell>
        </row>
        <row r="21">
          <cell r="G21">
            <v>551</v>
          </cell>
        </row>
        <row r="27">
          <cell r="G27">
            <v>99667.453205999132</v>
          </cell>
        </row>
        <row r="28">
          <cell r="G28">
            <v>12612.669726069489</v>
          </cell>
        </row>
        <row r="32">
          <cell r="D32">
            <v>5918996</v>
          </cell>
        </row>
        <row r="33">
          <cell r="D33">
            <v>3275858</v>
          </cell>
        </row>
      </sheetData>
      <sheetData sheetId="1"/>
      <sheetData sheetId="2"/>
      <sheetData sheetId="3"/>
      <sheetData sheetId="4"/>
      <sheetData sheetId="5">
        <row r="26">
          <cell r="B26">
            <v>140743</v>
          </cell>
          <cell r="C26">
            <v>147358</v>
          </cell>
          <cell r="L26">
            <v>1839721</v>
          </cell>
          <cell r="M26">
            <v>1827624</v>
          </cell>
        </row>
      </sheetData>
      <sheetData sheetId="6"/>
      <sheetData sheetId="7">
        <row r="5">
          <cell r="I5">
            <v>53678.85225670044</v>
          </cell>
        </row>
        <row r="6">
          <cell r="I6">
            <v>5102.4505910978605</v>
          </cell>
        </row>
        <row r="10">
          <cell r="I10">
            <v>45988.600949298692</v>
          </cell>
        </row>
        <row r="11">
          <cell r="I11">
            <v>7510.2191349716295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H4">
            <v>105</v>
          </cell>
        </row>
        <row r="5">
          <cell r="GH5">
            <v>105</v>
          </cell>
        </row>
        <row r="8">
          <cell r="GH8"/>
        </row>
        <row r="9">
          <cell r="GH9"/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</row>
        <row r="22">
          <cell r="GH22">
            <v>584</v>
          </cell>
        </row>
        <row r="23">
          <cell r="GH23">
            <v>499</v>
          </cell>
        </row>
        <row r="27">
          <cell r="GH27"/>
        </row>
        <row r="28">
          <cell r="GH28"/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3"/>
      <sheetData sheetId="4">
        <row r="4">
          <cell r="GH4"/>
        </row>
        <row r="5">
          <cell r="GH5"/>
        </row>
        <row r="8">
          <cell r="GH8"/>
        </row>
        <row r="9">
          <cell r="GH9"/>
        </row>
        <row r="15">
          <cell r="GB15"/>
          <cell r="GC15"/>
          <cell r="GD15"/>
          <cell r="GE15">
            <v>1</v>
          </cell>
          <cell r="GF15">
            <v>26</v>
          </cell>
          <cell r="GG15">
            <v>30</v>
          </cell>
          <cell r="GH15">
            <v>31</v>
          </cell>
        </row>
        <row r="16">
          <cell r="GB16"/>
          <cell r="GC16"/>
          <cell r="GD16"/>
          <cell r="GE16">
            <v>1</v>
          </cell>
          <cell r="GF16">
            <v>26</v>
          </cell>
          <cell r="GG16">
            <v>30</v>
          </cell>
          <cell r="GH16">
            <v>31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32">
          <cell r="GB32"/>
          <cell r="GC32"/>
          <cell r="GD32"/>
          <cell r="GE32">
            <v>262</v>
          </cell>
          <cell r="GF32">
            <v>5627</v>
          </cell>
          <cell r="GG32">
            <v>7783</v>
          </cell>
          <cell r="GH32">
            <v>9152</v>
          </cell>
        </row>
        <row r="33">
          <cell r="GB33"/>
          <cell r="GC33"/>
          <cell r="GD33"/>
          <cell r="GE33">
            <v>232</v>
          </cell>
          <cell r="GF33">
            <v>6374</v>
          </cell>
          <cell r="GG33">
            <v>7822</v>
          </cell>
          <cell r="GH33">
            <v>7138</v>
          </cell>
        </row>
        <row r="37">
          <cell r="GB37"/>
          <cell r="GC37"/>
          <cell r="GD37"/>
          <cell r="GE37"/>
          <cell r="GF37"/>
          <cell r="GG37">
            <v>4</v>
          </cell>
          <cell r="GH37">
            <v>7</v>
          </cell>
        </row>
        <row r="38">
          <cell r="GB38"/>
          <cell r="GC38"/>
          <cell r="GD38"/>
          <cell r="GE38"/>
          <cell r="GF38"/>
          <cell r="GG38">
            <v>6</v>
          </cell>
          <cell r="GH38">
            <v>2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</row>
        <row r="47">
          <cell r="GH47">
            <v>251424</v>
          </cell>
        </row>
        <row r="48">
          <cell r="GH48"/>
        </row>
        <row r="52">
          <cell r="GH52">
            <v>49436</v>
          </cell>
        </row>
        <row r="53">
          <cell r="GH53"/>
        </row>
        <row r="57">
          <cell r="GH57"/>
        </row>
        <row r="58">
          <cell r="GH58"/>
        </row>
      </sheetData>
      <sheetData sheetId="5">
        <row r="4">
          <cell r="GH4"/>
        </row>
        <row r="5">
          <cell r="GH5"/>
        </row>
        <row r="8">
          <cell r="GH8"/>
        </row>
        <row r="9">
          <cell r="GH9"/>
        </row>
        <row r="15">
          <cell r="GB15"/>
          <cell r="GC15"/>
          <cell r="GD15"/>
          <cell r="GE15"/>
          <cell r="GF15"/>
          <cell r="GH15">
            <v>23</v>
          </cell>
        </row>
        <row r="16">
          <cell r="GB16"/>
          <cell r="GC16"/>
          <cell r="GD16"/>
          <cell r="GE16"/>
          <cell r="GF16"/>
          <cell r="GH16">
            <v>23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32">
          <cell r="GB32"/>
          <cell r="GC32"/>
          <cell r="GD32"/>
          <cell r="GE32"/>
          <cell r="GF32"/>
          <cell r="GG32"/>
          <cell r="GH32">
            <v>3556</v>
          </cell>
        </row>
        <row r="33">
          <cell r="GB33"/>
          <cell r="GC33"/>
          <cell r="GD33"/>
          <cell r="GE33"/>
          <cell r="GF33"/>
          <cell r="GG33"/>
          <cell r="GH33">
            <v>3362</v>
          </cell>
        </row>
        <row r="37">
          <cell r="GB37"/>
          <cell r="GC37"/>
          <cell r="GD37"/>
          <cell r="GE37"/>
          <cell r="GF37"/>
          <cell r="GG37"/>
          <cell r="GH37">
            <v>30</v>
          </cell>
        </row>
        <row r="38">
          <cell r="GB38"/>
          <cell r="GC38"/>
          <cell r="GD38"/>
          <cell r="GE38"/>
          <cell r="GF38"/>
          <cell r="GG38"/>
          <cell r="GH38">
            <v>23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</row>
        <row r="47">
          <cell r="GH47">
            <v>3664</v>
          </cell>
        </row>
        <row r="48">
          <cell r="GH48"/>
        </row>
        <row r="52">
          <cell r="GH52">
            <v>3148</v>
          </cell>
        </row>
        <row r="53">
          <cell r="GH53"/>
        </row>
        <row r="57">
          <cell r="GH57"/>
        </row>
        <row r="58">
          <cell r="GH58"/>
        </row>
      </sheetData>
      <sheetData sheetId="6">
        <row r="4">
          <cell r="GH4">
            <v>124</v>
          </cell>
        </row>
        <row r="5">
          <cell r="GH5">
            <v>124</v>
          </cell>
        </row>
        <row r="8">
          <cell r="GH8">
            <v>2</v>
          </cell>
        </row>
        <row r="9">
          <cell r="GH9">
            <v>2</v>
          </cell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</row>
        <row r="22">
          <cell r="GH22">
            <v>15110</v>
          </cell>
        </row>
        <row r="23">
          <cell r="GH23">
            <v>15345</v>
          </cell>
        </row>
        <row r="27">
          <cell r="GH27">
            <v>605</v>
          </cell>
        </row>
        <row r="28">
          <cell r="GH28">
            <v>589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</row>
        <row r="47">
          <cell r="GH47">
            <v>36063</v>
          </cell>
        </row>
        <row r="48">
          <cell r="GH48">
            <v>78</v>
          </cell>
        </row>
        <row r="52">
          <cell r="GH52">
            <v>8718</v>
          </cell>
        </row>
        <row r="53">
          <cell r="GH53">
            <v>622</v>
          </cell>
        </row>
        <row r="57">
          <cell r="GH57"/>
        </row>
        <row r="58">
          <cell r="GH58"/>
        </row>
      </sheetData>
      <sheetData sheetId="7"/>
      <sheetData sheetId="8">
        <row r="4">
          <cell r="GH4">
            <v>598</v>
          </cell>
        </row>
        <row r="5">
          <cell r="GH5">
            <v>596</v>
          </cell>
        </row>
        <row r="8">
          <cell r="GH8"/>
        </row>
        <row r="9">
          <cell r="GH9"/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</row>
        <row r="22">
          <cell r="GH22">
            <v>75796</v>
          </cell>
        </row>
        <row r="23">
          <cell r="GH23">
            <v>75669</v>
          </cell>
        </row>
        <row r="27">
          <cell r="GH27">
            <v>3403</v>
          </cell>
        </row>
        <row r="28">
          <cell r="GH28">
            <v>3489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</row>
        <row r="47">
          <cell r="GH47">
            <v>39405</v>
          </cell>
        </row>
        <row r="48">
          <cell r="GH48">
            <v>22035</v>
          </cell>
        </row>
        <row r="52">
          <cell r="GH52">
            <v>7826</v>
          </cell>
        </row>
        <row r="53">
          <cell r="GH53">
            <v>22946</v>
          </cell>
        </row>
        <row r="57">
          <cell r="GH57"/>
        </row>
        <row r="58">
          <cell r="GH58"/>
        </row>
      </sheetData>
      <sheetData sheetId="9"/>
      <sheetData sheetId="10">
        <row r="4">
          <cell r="GH4">
            <v>858</v>
          </cell>
        </row>
        <row r="5">
          <cell r="GH5">
            <v>859</v>
          </cell>
        </row>
        <row r="8">
          <cell r="GH8">
            <v>88</v>
          </cell>
        </row>
        <row r="9">
          <cell r="GH9">
            <v>89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  <cell r="GF15">
            <v>18</v>
          </cell>
          <cell r="GG15">
            <v>15</v>
          </cell>
          <cell r="GH15">
            <v>5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  <cell r="GF16">
            <v>19</v>
          </cell>
          <cell r="GG16">
            <v>14</v>
          </cell>
          <cell r="GH16">
            <v>5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</row>
        <row r="22">
          <cell r="GH22">
            <v>126776</v>
          </cell>
        </row>
        <row r="23">
          <cell r="GH23">
            <v>128513</v>
          </cell>
        </row>
        <row r="27">
          <cell r="GH27">
            <v>1681</v>
          </cell>
        </row>
        <row r="28">
          <cell r="GH28">
            <v>1707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  <cell r="GF32">
            <v>2433</v>
          </cell>
          <cell r="GG32">
            <v>1643</v>
          </cell>
          <cell r="GH32">
            <v>592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  <cell r="GG33">
            <v>1873</v>
          </cell>
          <cell r="GH33">
            <v>607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  <cell r="GF37">
            <v>23</v>
          </cell>
          <cell r="GG37">
            <v>8</v>
          </cell>
          <cell r="GH37">
            <v>14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  <cell r="GG38">
            <v>11</v>
          </cell>
          <cell r="GH38">
            <v>11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</row>
        <row r="47">
          <cell r="GH47">
            <v>77053</v>
          </cell>
        </row>
        <row r="48">
          <cell r="GH48">
            <v>399238</v>
          </cell>
        </row>
        <row r="52">
          <cell r="GH52">
            <v>2396</v>
          </cell>
        </row>
        <row r="53">
          <cell r="GH53">
            <v>315999</v>
          </cell>
        </row>
        <row r="57">
          <cell r="GH57"/>
        </row>
        <row r="58">
          <cell r="GH58"/>
        </row>
        <row r="70">
          <cell r="GH70">
            <v>128513</v>
          </cell>
        </row>
        <row r="71">
          <cell r="GH71">
            <v>0</v>
          </cell>
        </row>
        <row r="73">
          <cell r="GH73">
            <v>607</v>
          </cell>
        </row>
        <row r="74">
          <cell r="GH74">
            <v>0</v>
          </cell>
        </row>
      </sheetData>
      <sheetData sheetId="11">
        <row r="4">
          <cell r="GH4">
            <v>80</v>
          </cell>
        </row>
        <row r="5">
          <cell r="GH5">
            <v>79</v>
          </cell>
        </row>
        <row r="8">
          <cell r="GH8"/>
        </row>
        <row r="9">
          <cell r="GH9"/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</row>
        <row r="22">
          <cell r="GH22">
            <v>435</v>
          </cell>
        </row>
        <row r="23">
          <cell r="GH23">
            <v>441</v>
          </cell>
        </row>
        <row r="27">
          <cell r="GH27"/>
        </row>
        <row r="28">
          <cell r="GH28"/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12">
        <row r="4">
          <cell r="GH4"/>
        </row>
        <row r="5">
          <cell r="GH5"/>
        </row>
        <row r="8">
          <cell r="GH8"/>
        </row>
        <row r="9">
          <cell r="GH9"/>
        </row>
        <row r="15">
          <cell r="GB15"/>
          <cell r="GC15"/>
          <cell r="GD15"/>
          <cell r="GE15"/>
          <cell r="GF15">
            <v>1</v>
          </cell>
          <cell r="GG15">
            <v>10</v>
          </cell>
          <cell r="GH15">
            <v>17</v>
          </cell>
        </row>
        <row r="16">
          <cell r="GB16"/>
          <cell r="GC16"/>
          <cell r="GD16"/>
          <cell r="GE16"/>
          <cell r="GF16">
            <v>1</v>
          </cell>
          <cell r="GG16">
            <v>10</v>
          </cell>
          <cell r="GH16">
            <v>17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32">
          <cell r="GB32"/>
          <cell r="GC32"/>
          <cell r="GD32"/>
          <cell r="GE32"/>
          <cell r="GF32">
            <v>236</v>
          </cell>
          <cell r="GG32">
            <v>2273</v>
          </cell>
          <cell r="GH32">
            <v>4241</v>
          </cell>
        </row>
        <row r="33">
          <cell r="GB33"/>
          <cell r="GC33"/>
          <cell r="GD33"/>
          <cell r="GE33"/>
          <cell r="GF33">
            <v>250</v>
          </cell>
          <cell r="GG33">
            <v>2511</v>
          </cell>
          <cell r="GH33">
            <v>4049</v>
          </cell>
        </row>
        <row r="37">
          <cell r="GB37"/>
          <cell r="GC37"/>
          <cell r="GD37"/>
          <cell r="GE37"/>
          <cell r="GF37">
            <v>1</v>
          </cell>
          <cell r="GG37"/>
          <cell r="GH37">
            <v>11</v>
          </cell>
        </row>
        <row r="38">
          <cell r="GB38"/>
          <cell r="GC38"/>
          <cell r="GD38"/>
          <cell r="GE38"/>
          <cell r="GF38"/>
          <cell r="GG38"/>
          <cell r="GH38">
            <v>9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</row>
        <row r="47">
          <cell r="GH47">
            <v>36107</v>
          </cell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13">
        <row r="4">
          <cell r="GH4">
            <v>6630</v>
          </cell>
        </row>
        <row r="5">
          <cell r="GH5">
            <v>6604</v>
          </cell>
        </row>
        <row r="8">
          <cell r="GH8">
            <v>3</v>
          </cell>
        </row>
        <row r="9">
          <cell r="GH9">
            <v>24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  <cell r="GF15">
            <v>505</v>
          </cell>
          <cell r="GG15">
            <v>494</v>
          </cell>
          <cell r="GH15">
            <v>495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  <cell r="GF16">
            <v>506</v>
          </cell>
          <cell r="GG16">
            <v>494</v>
          </cell>
          <cell r="GH16">
            <v>499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</row>
        <row r="22">
          <cell r="GH22">
            <v>945134</v>
          </cell>
        </row>
        <row r="23">
          <cell r="GH23">
            <v>951391</v>
          </cell>
        </row>
        <row r="27">
          <cell r="GH27">
            <v>30575</v>
          </cell>
        </row>
        <row r="28">
          <cell r="GH28">
            <v>30416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  <cell r="GF32">
            <v>80449</v>
          </cell>
          <cell r="GG32">
            <v>88997</v>
          </cell>
          <cell r="GH32">
            <v>95813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  <cell r="GF33">
            <v>89159</v>
          </cell>
          <cell r="GG33">
            <v>93359</v>
          </cell>
          <cell r="GH33">
            <v>87029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  <cell r="GF37">
            <v>2291</v>
          </cell>
          <cell r="GG37">
            <v>2140</v>
          </cell>
          <cell r="GH37">
            <v>2515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  <cell r="GF38">
            <v>2300</v>
          </cell>
          <cell r="GG38">
            <v>2285</v>
          </cell>
          <cell r="GH38">
            <v>2322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</row>
        <row r="47">
          <cell r="GH47">
            <v>1987813</v>
          </cell>
        </row>
        <row r="48">
          <cell r="GH48">
            <v>1167676</v>
          </cell>
        </row>
        <row r="52">
          <cell r="GH52">
            <v>1309234</v>
          </cell>
        </row>
        <row r="53">
          <cell r="GH53">
            <v>1021979</v>
          </cell>
        </row>
        <row r="57">
          <cell r="GH57"/>
        </row>
        <row r="58">
          <cell r="GH58"/>
        </row>
        <row r="70">
          <cell r="GH70">
            <v>459924</v>
          </cell>
        </row>
        <row r="71">
          <cell r="GH71">
            <v>491467</v>
          </cell>
        </row>
        <row r="73">
          <cell r="GH73">
            <v>42072</v>
          </cell>
        </row>
        <row r="74">
          <cell r="GH74">
            <v>44957</v>
          </cell>
        </row>
      </sheetData>
      <sheetData sheetId="14"/>
      <sheetData sheetId="15">
        <row r="4">
          <cell r="GH4">
            <v>173</v>
          </cell>
        </row>
        <row r="5">
          <cell r="GH5">
            <v>173</v>
          </cell>
        </row>
        <row r="8">
          <cell r="GH8"/>
        </row>
        <row r="9">
          <cell r="GH9"/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</row>
        <row r="22">
          <cell r="GH22">
            <v>26983</v>
          </cell>
        </row>
        <row r="23">
          <cell r="GH23">
            <v>27954</v>
          </cell>
        </row>
        <row r="27">
          <cell r="GH27">
            <v>217</v>
          </cell>
        </row>
        <row r="28">
          <cell r="GH28">
            <v>207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16"/>
      <sheetData sheetId="17">
        <row r="8">
          <cell r="GH8"/>
        </row>
        <row r="9">
          <cell r="GH9"/>
        </row>
        <row r="15">
          <cell r="GB15">
            <v>4</v>
          </cell>
          <cell r="GC15"/>
          <cell r="GD15">
            <v>15</v>
          </cell>
          <cell r="GE15">
            <v>24</v>
          </cell>
          <cell r="GF15">
            <v>31</v>
          </cell>
          <cell r="GG15">
            <v>30</v>
          </cell>
          <cell r="GH15">
            <v>31</v>
          </cell>
        </row>
        <row r="16">
          <cell r="GB16">
            <v>4</v>
          </cell>
          <cell r="GC16"/>
          <cell r="GD16">
            <v>15</v>
          </cell>
          <cell r="GE16">
            <v>24</v>
          </cell>
          <cell r="GF16">
            <v>31</v>
          </cell>
          <cell r="GG16">
            <v>30</v>
          </cell>
          <cell r="GH16">
            <v>31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</row>
        <row r="32">
          <cell r="GB32">
            <v>585</v>
          </cell>
          <cell r="GC32"/>
          <cell r="GD32">
            <v>1635</v>
          </cell>
          <cell r="GE32">
            <v>3226</v>
          </cell>
          <cell r="GF32">
            <v>4855</v>
          </cell>
          <cell r="GG32">
            <v>6780</v>
          </cell>
          <cell r="GH32">
            <v>6512</v>
          </cell>
        </row>
        <row r="33">
          <cell r="GB33">
            <v>515</v>
          </cell>
          <cell r="GC33"/>
          <cell r="GD33">
            <v>2134</v>
          </cell>
          <cell r="GE33">
            <v>3423</v>
          </cell>
          <cell r="GF33">
            <v>5973</v>
          </cell>
          <cell r="GG33">
            <v>6716</v>
          </cell>
          <cell r="GH33">
            <v>4733</v>
          </cell>
        </row>
        <row r="37">
          <cell r="GB37">
            <v>10</v>
          </cell>
          <cell r="GC37"/>
          <cell r="GD37">
            <v>29</v>
          </cell>
          <cell r="GE37">
            <v>35</v>
          </cell>
          <cell r="GF37">
            <v>30</v>
          </cell>
          <cell r="GG37">
            <v>37</v>
          </cell>
          <cell r="GH37">
            <v>73</v>
          </cell>
        </row>
        <row r="38">
          <cell r="GB38">
            <v>5</v>
          </cell>
          <cell r="GC38"/>
          <cell r="GD38">
            <v>22</v>
          </cell>
          <cell r="GE38">
            <v>43</v>
          </cell>
          <cell r="GF38">
            <v>32</v>
          </cell>
          <cell r="GG38">
            <v>49</v>
          </cell>
          <cell r="GH38">
            <v>65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</row>
        <row r="47">
          <cell r="GH47">
            <v>61824</v>
          </cell>
        </row>
        <row r="48">
          <cell r="GH48"/>
        </row>
        <row r="52">
          <cell r="GH52">
            <v>15910</v>
          </cell>
        </row>
        <row r="53">
          <cell r="GH53"/>
        </row>
        <row r="57">
          <cell r="GH57"/>
        </row>
        <row r="58">
          <cell r="GH58"/>
        </row>
      </sheetData>
      <sheetData sheetId="18">
        <row r="4">
          <cell r="GH4">
            <v>89</v>
          </cell>
        </row>
        <row r="5">
          <cell r="GH5">
            <v>89</v>
          </cell>
        </row>
        <row r="8">
          <cell r="GH8"/>
        </row>
        <row r="9">
          <cell r="GH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</row>
        <row r="22">
          <cell r="GH22">
            <v>11722</v>
          </cell>
        </row>
        <row r="23">
          <cell r="GH23">
            <v>11919</v>
          </cell>
        </row>
        <row r="27">
          <cell r="GH27">
            <v>326</v>
          </cell>
        </row>
        <row r="28">
          <cell r="GH28">
            <v>314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19">
        <row r="4">
          <cell r="GH4">
            <v>347</v>
          </cell>
        </row>
        <row r="5">
          <cell r="GH5">
            <v>347</v>
          </cell>
        </row>
        <row r="8">
          <cell r="GH8"/>
        </row>
        <row r="9">
          <cell r="GH9"/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</row>
        <row r="22">
          <cell r="GH22">
            <v>49238</v>
          </cell>
        </row>
        <row r="23">
          <cell r="GH23">
            <v>49093</v>
          </cell>
        </row>
        <row r="27">
          <cell r="GH27">
            <v>1382</v>
          </cell>
        </row>
        <row r="28">
          <cell r="GH28">
            <v>1521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</row>
        <row r="47">
          <cell r="GH47">
            <v>26958</v>
          </cell>
        </row>
        <row r="48">
          <cell r="GH48">
            <v>41870</v>
          </cell>
        </row>
        <row r="52">
          <cell r="GH52">
            <v>7042</v>
          </cell>
        </row>
        <row r="53">
          <cell r="GH53">
            <v>25279</v>
          </cell>
        </row>
        <row r="57">
          <cell r="GH57"/>
        </row>
        <row r="58">
          <cell r="GH58"/>
        </row>
      </sheetData>
      <sheetData sheetId="20">
        <row r="4">
          <cell r="GH4"/>
        </row>
        <row r="5">
          <cell r="GH5"/>
        </row>
        <row r="8">
          <cell r="GH8"/>
        </row>
        <row r="9">
          <cell r="GH9"/>
        </row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  <cell r="GF15">
            <v>19</v>
          </cell>
          <cell r="GG15">
            <v>17</v>
          </cell>
          <cell r="GH15">
            <v>16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  <cell r="GF16">
            <v>19</v>
          </cell>
          <cell r="GG16">
            <v>17</v>
          </cell>
          <cell r="GH16">
            <v>16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  <cell r="GF32">
            <v>3686</v>
          </cell>
          <cell r="GG32">
            <v>4320</v>
          </cell>
          <cell r="GH32">
            <v>4349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  <cell r="GF33">
            <v>4314</v>
          </cell>
          <cell r="GG33">
            <v>4438</v>
          </cell>
          <cell r="GH33">
            <v>3436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  <cell r="GF37">
            <v>6</v>
          </cell>
          <cell r="GG37">
            <v>7</v>
          </cell>
          <cell r="GH37">
            <v>8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  <cell r="GF38">
            <v>9</v>
          </cell>
          <cell r="GG38">
            <v>5</v>
          </cell>
          <cell r="GH38">
            <v>10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</row>
        <row r="47">
          <cell r="GH47">
            <v>308240</v>
          </cell>
        </row>
        <row r="48">
          <cell r="GH48"/>
        </row>
        <row r="52">
          <cell r="GH52">
            <v>79884</v>
          </cell>
        </row>
        <row r="53">
          <cell r="GH53"/>
        </row>
        <row r="57">
          <cell r="GH57"/>
        </row>
        <row r="58">
          <cell r="GH58"/>
        </row>
      </sheetData>
      <sheetData sheetId="21"/>
      <sheetData sheetId="22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</sheetData>
      <sheetData sheetId="23">
        <row r="4">
          <cell r="GH4">
            <v>736</v>
          </cell>
        </row>
        <row r="5">
          <cell r="GH5">
            <v>734</v>
          </cell>
        </row>
        <row r="8">
          <cell r="GH8"/>
        </row>
        <row r="9">
          <cell r="GH9"/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</row>
        <row r="22">
          <cell r="GH22">
            <v>84901</v>
          </cell>
        </row>
        <row r="23">
          <cell r="GH23">
            <v>83803</v>
          </cell>
        </row>
        <row r="27">
          <cell r="GH27">
            <v>2240</v>
          </cell>
        </row>
        <row r="28">
          <cell r="GH28">
            <v>2495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</row>
        <row r="47">
          <cell r="GH47">
            <v>248274</v>
          </cell>
        </row>
        <row r="48">
          <cell r="GH48"/>
        </row>
        <row r="52">
          <cell r="GH52">
            <v>76818</v>
          </cell>
        </row>
        <row r="53">
          <cell r="GH53"/>
        </row>
        <row r="57">
          <cell r="GH57"/>
        </row>
        <row r="58">
          <cell r="GH58"/>
        </row>
        <row r="70">
          <cell r="GH70">
            <v>83078</v>
          </cell>
        </row>
        <row r="71">
          <cell r="GH71">
            <v>725</v>
          </cell>
        </row>
        <row r="73">
          <cell r="GH73"/>
        </row>
        <row r="74">
          <cell r="GH74"/>
        </row>
      </sheetData>
      <sheetData sheetId="24">
        <row r="4">
          <cell r="GH4">
            <v>305</v>
          </cell>
        </row>
        <row r="5">
          <cell r="GH5">
            <v>305</v>
          </cell>
        </row>
        <row r="8">
          <cell r="GH8"/>
        </row>
        <row r="9">
          <cell r="GH9"/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</row>
        <row r="22">
          <cell r="GH22">
            <v>48783</v>
          </cell>
        </row>
        <row r="23">
          <cell r="GH23">
            <v>49575</v>
          </cell>
        </row>
        <row r="27">
          <cell r="GH27">
            <v>269</v>
          </cell>
        </row>
        <row r="28">
          <cell r="GH28">
            <v>320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  <row r="70">
          <cell r="GH70"/>
        </row>
        <row r="71">
          <cell r="GH71"/>
        </row>
        <row r="73">
          <cell r="GH73"/>
        </row>
        <row r="74">
          <cell r="GH74"/>
        </row>
      </sheetData>
      <sheetData sheetId="25"/>
      <sheetData sheetId="26"/>
      <sheetData sheetId="27">
        <row r="15">
          <cell r="GB15"/>
          <cell r="GC15"/>
          <cell r="GD15"/>
          <cell r="GE15"/>
          <cell r="GF15"/>
          <cell r="GH15"/>
        </row>
        <row r="16">
          <cell r="GB16"/>
          <cell r="GC16"/>
          <cell r="GD16"/>
          <cell r="GE16"/>
          <cell r="GF16"/>
          <cell r="GH16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32">
          <cell r="GB32"/>
          <cell r="GC32"/>
          <cell r="GD32"/>
          <cell r="GE32"/>
          <cell r="GF32"/>
          <cell r="GG32"/>
          <cell r="GH32"/>
        </row>
        <row r="33">
          <cell r="GB33"/>
          <cell r="GC33"/>
          <cell r="GD33"/>
          <cell r="GE33"/>
          <cell r="GF33"/>
          <cell r="GG33"/>
          <cell r="GH33"/>
        </row>
        <row r="37">
          <cell r="GB37"/>
          <cell r="GC37"/>
          <cell r="GD37"/>
          <cell r="GE37"/>
          <cell r="GF37"/>
          <cell r="GG37"/>
          <cell r="GH37"/>
        </row>
        <row r="38">
          <cell r="GB38"/>
          <cell r="GC38"/>
          <cell r="GD38"/>
          <cell r="GE38"/>
          <cell r="GF38"/>
          <cell r="GG38"/>
          <cell r="GH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</sheetData>
      <sheetData sheetId="28">
        <row r="4">
          <cell r="GH4">
            <v>1</v>
          </cell>
        </row>
        <row r="5">
          <cell r="GH5">
            <v>1</v>
          </cell>
        </row>
        <row r="8">
          <cell r="GH8"/>
        </row>
        <row r="9">
          <cell r="GH9"/>
        </row>
        <row r="15">
          <cell r="GH15"/>
        </row>
        <row r="16">
          <cell r="GH16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</row>
        <row r="22">
          <cell r="GH22">
            <v>42</v>
          </cell>
        </row>
        <row r="23">
          <cell r="GH23"/>
        </row>
        <row r="27">
          <cell r="GH27"/>
        </row>
        <row r="28">
          <cell r="GH28"/>
        </row>
        <row r="32">
          <cell r="GH32"/>
        </row>
        <row r="33">
          <cell r="GH33"/>
        </row>
        <row r="37">
          <cell r="GH37"/>
        </row>
        <row r="38">
          <cell r="GH3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BH58"/>
        </row>
      </sheetData>
      <sheetData sheetId="29">
        <row r="4">
          <cell r="GH4">
            <v>82</v>
          </cell>
        </row>
        <row r="5">
          <cell r="GH5">
            <v>81</v>
          </cell>
        </row>
        <row r="8">
          <cell r="GH8"/>
        </row>
        <row r="9">
          <cell r="GH9"/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</row>
        <row r="22">
          <cell r="GH22">
            <v>5119</v>
          </cell>
        </row>
        <row r="23">
          <cell r="GH23">
            <v>4783</v>
          </cell>
        </row>
        <row r="27">
          <cell r="GH27">
            <v>336</v>
          </cell>
        </row>
        <row r="28">
          <cell r="GH28">
            <v>437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</row>
        <row r="47">
          <cell r="GH47">
            <v>577</v>
          </cell>
        </row>
        <row r="48">
          <cell r="GH48"/>
        </row>
        <row r="52">
          <cell r="GH52">
            <v>378</v>
          </cell>
        </row>
        <row r="53">
          <cell r="GH53"/>
        </row>
        <row r="57">
          <cell r="GH57"/>
        </row>
        <row r="58">
          <cell r="GH58"/>
        </row>
      </sheetData>
      <sheetData sheetId="30">
        <row r="4">
          <cell r="GH4"/>
        </row>
        <row r="5">
          <cell r="GH5"/>
        </row>
        <row r="8">
          <cell r="GH8"/>
        </row>
        <row r="9">
          <cell r="GH9"/>
        </row>
        <row r="15">
          <cell r="GH15"/>
        </row>
        <row r="16">
          <cell r="GH16"/>
        </row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32">
          <cell r="GH32"/>
        </row>
        <row r="33">
          <cell r="GH33"/>
        </row>
        <row r="37">
          <cell r="GH37"/>
        </row>
        <row r="38">
          <cell r="GH38"/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BG58"/>
        </row>
        <row r="70">
          <cell r="GH70"/>
        </row>
        <row r="71">
          <cell r="GH71"/>
        </row>
        <row r="73">
          <cell r="GH73"/>
        </row>
        <row r="74">
          <cell r="GH74"/>
        </row>
      </sheetData>
      <sheetData sheetId="31"/>
      <sheetData sheetId="32"/>
      <sheetData sheetId="33"/>
      <sheetData sheetId="34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</sheetData>
      <sheetData sheetId="35"/>
      <sheetData sheetId="36">
        <row r="4">
          <cell r="GH4">
            <v>48</v>
          </cell>
        </row>
        <row r="5">
          <cell r="GH5">
            <v>48</v>
          </cell>
        </row>
        <row r="8">
          <cell r="GH8"/>
        </row>
        <row r="9">
          <cell r="GH9"/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</row>
        <row r="22">
          <cell r="GH22">
            <v>2950</v>
          </cell>
        </row>
        <row r="23">
          <cell r="GH23">
            <v>2829</v>
          </cell>
        </row>
        <row r="27">
          <cell r="GH27">
            <v>138</v>
          </cell>
        </row>
        <row r="28">
          <cell r="GH28">
            <v>114</v>
          </cell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BG58"/>
        </row>
      </sheetData>
      <sheetData sheetId="37"/>
      <sheetData sheetId="38">
        <row r="4">
          <cell r="GH4">
            <v>45</v>
          </cell>
        </row>
        <row r="5">
          <cell r="GH5">
            <v>45</v>
          </cell>
        </row>
        <row r="8">
          <cell r="GH8"/>
        </row>
        <row r="9">
          <cell r="GH9"/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  <cell r="GF15"/>
          <cell r="GH15"/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  <cell r="GF16"/>
          <cell r="GH16"/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</row>
        <row r="22">
          <cell r="GH22">
            <v>2859</v>
          </cell>
        </row>
        <row r="23">
          <cell r="GH23">
            <v>2896</v>
          </cell>
        </row>
        <row r="27">
          <cell r="GH27">
            <v>69</v>
          </cell>
        </row>
        <row r="28">
          <cell r="GH28">
            <v>63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  <cell r="GF32"/>
          <cell r="GG32"/>
          <cell r="GH32"/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  <cell r="GF33"/>
          <cell r="GG33"/>
          <cell r="GH33"/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  <cell r="GF37"/>
          <cell r="GG37"/>
          <cell r="GH37"/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  <cell r="GF38"/>
          <cell r="GG38"/>
          <cell r="GH38"/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</row>
        <row r="47">
          <cell r="GH47">
            <v>26</v>
          </cell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BK58"/>
        </row>
        <row r="70">
          <cell r="GH70">
            <v>845</v>
          </cell>
        </row>
        <row r="71">
          <cell r="GH71">
            <v>2051</v>
          </cell>
        </row>
        <row r="73">
          <cell r="GH73"/>
        </row>
        <row r="74">
          <cell r="GH74"/>
        </row>
      </sheetData>
      <sheetData sheetId="39">
        <row r="4">
          <cell r="GH4"/>
        </row>
        <row r="5">
          <cell r="GH5"/>
        </row>
        <row r="8">
          <cell r="GH8"/>
        </row>
        <row r="9">
          <cell r="GH9"/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AJ57"/>
        </row>
        <row r="58">
          <cell r="AJ58"/>
        </row>
      </sheetData>
      <sheetData sheetId="40">
        <row r="4">
          <cell r="GH4"/>
        </row>
        <row r="5">
          <cell r="GH5"/>
        </row>
        <row r="8">
          <cell r="GH8"/>
        </row>
        <row r="9">
          <cell r="GH9"/>
        </row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BF58"/>
        </row>
      </sheetData>
      <sheetData sheetId="41">
        <row r="4">
          <cell r="GH4">
            <v>88</v>
          </cell>
        </row>
        <row r="5">
          <cell r="GH5">
            <v>88</v>
          </cell>
        </row>
        <row r="8">
          <cell r="GH8"/>
        </row>
        <row r="9">
          <cell r="GH9"/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</row>
        <row r="22">
          <cell r="GH22">
            <v>6091</v>
          </cell>
        </row>
        <row r="23">
          <cell r="GH23">
            <v>5897</v>
          </cell>
        </row>
        <row r="27">
          <cell r="GH27">
            <v>187</v>
          </cell>
        </row>
        <row r="28">
          <cell r="GH28">
            <v>202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42"/>
      <sheetData sheetId="43"/>
      <sheetData sheetId="44">
        <row r="4">
          <cell r="GH4">
            <v>943</v>
          </cell>
        </row>
        <row r="5">
          <cell r="GH5">
            <v>941</v>
          </cell>
        </row>
        <row r="8">
          <cell r="GH8">
            <v>1</v>
          </cell>
        </row>
        <row r="9">
          <cell r="GH9">
            <v>1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  <cell r="GF15">
            <v>137</v>
          </cell>
          <cell r="GG15">
            <v>129</v>
          </cell>
          <cell r="GH15">
            <v>124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  <cell r="GF16">
            <v>137</v>
          </cell>
          <cell r="GG16">
            <v>129</v>
          </cell>
          <cell r="GH16">
            <v>125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</row>
        <row r="22">
          <cell r="GH22">
            <v>58893</v>
          </cell>
        </row>
        <row r="23">
          <cell r="GH23">
            <v>58994</v>
          </cell>
        </row>
        <row r="27">
          <cell r="GH27">
            <v>2054</v>
          </cell>
        </row>
        <row r="28">
          <cell r="GH28">
            <v>1877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  <cell r="GF32">
            <v>9322</v>
          </cell>
          <cell r="GG32">
            <v>9063</v>
          </cell>
          <cell r="GH32">
            <v>8862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  <cell r="GF33">
            <v>9720</v>
          </cell>
          <cell r="GG33">
            <v>9250</v>
          </cell>
          <cell r="GH33">
            <v>8616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  <cell r="GF37">
            <v>153</v>
          </cell>
          <cell r="GG37">
            <v>116</v>
          </cell>
          <cell r="GH37">
            <v>138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  <cell r="GF38">
            <v>137</v>
          </cell>
          <cell r="GG38">
            <v>128</v>
          </cell>
          <cell r="GH38">
            <v>119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  <row r="70">
          <cell r="GH70">
            <v>22019</v>
          </cell>
        </row>
        <row r="71">
          <cell r="GH71">
            <v>36975</v>
          </cell>
        </row>
        <row r="73">
          <cell r="GH73">
            <v>3216</v>
          </cell>
        </row>
        <row r="74">
          <cell r="GH74">
            <v>5400</v>
          </cell>
        </row>
      </sheetData>
      <sheetData sheetId="45">
        <row r="4">
          <cell r="GH4"/>
        </row>
        <row r="5">
          <cell r="GH5"/>
        </row>
        <row r="8">
          <cell r="GH8"/>
        </row>
        <row r="9">
          <cell r="GH9"/>
        </row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BG58"/>
        </row>
      </sheetData>
      <sheetData sheetId="46">
        <row r="4">
          <cell r="GH4">
            <v>175</v>
          </cell>
        </row>
        <row r="5">
          <cell r="GH5">
            <v>175</v>
          </cell>
        </row>
        <row r="8">
          <cell r="GH8"/>
        </row>
        <row r="9">
          <cell r="GH9"/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</row>
        <row r="22">
          <cell r="GH22">
            <v>10578</v>
          </cell>
        </row>
        <row r="23">
          <cell r="GH23">
            <v>10382</v>
          </cell>
        </row>
        <row r="27">
          <cell r="GH27">
            <v>508</v>
          </cell>
        </row>
        <row r="28">
          <cell r="GH28">
            <v>558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</row>
        <row r="47">
          <cell r="GH47">
            <v>381</v>
          </cell>
        </row>
        <row r="48">
          <cell r="GH48">
            <v>690</v>
          </cell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47">
        <row r="4">
          <cell r="GH4">
            <v>248</v>
          </cell>
        </row>
        <row r="5">
          <cell r="GH5">
            <v>248</v>
          </cell>
        </row>
        <row r="8">
          <cell r="GH8"/>
        </row>
        <row r="9">
          <cell r="GH9"/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</row>
        <row r="22">
          <cell r="GH22">
            <v>16357</v>
          </cell>
        </row>
        <row r="23">
          <cell r="GH23">
            <v>15965</v>
          </cell>
        </row>
        <row r="27">
          <cell r="GH27">
            <v>456</v>
          </cell>
        </row>
        <row r="28">
          <cell r="GH28">
            <v>506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</sheetData>
      <sheetData sheetId="48">
        <row r="8">
          <cell r="GH8"/>
        </row>
        <row r="9">
          <cell r="GH9"/>
        </row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  <cell r="GF15">
            <v>92</v>
          </cell>
          <cell r="GG15">
            <v>89</v>
          </cell>
          <cell r="GH15">
            <v>93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  <cell r="GF16">
            <v>92</v>
          </cell>
          <cell r="GG16">
            <v>89</v>
          </cell>
          <cell r="GH16">
            <v>93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  <cell r="GF32">
            <v>4807</v>
          </cell>
          <cell r="GG32">
            <v>5645</v>
          </cell>
          <cell r="GH32">
            <v>6256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  <cell r="GG33">
            <v>6120</v>
          </cell>
          <cell r="GH33">
            <v>5412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  <cell r="GF37">
            <v>76</v>
          </cell>
          <cell r="GG37">
            <v>46</v>
          </cell>
          <cell r="GH37">
            <v>88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  <cell r="GG38">
            <v>58</v>
          </cell>
          <cell r="GH38">
            <v>91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</row>
        <row r="47">
          <cell r="GH47">
            <v>2941</v>
          </cell>
        </row>
        <row r="48">
          <cell r="GH48"/>
        </row>
        <row r="52">
          <cell r="GH52">
            <v>2738</v>
          </cell>
        </row>
        <row r="53">
          <cell r="GH53"/>
        </row>
      </sheetData>
      <sheetData sheetId="49">
        <row r="4">
          <cell r="GH4">
            <v>4355</v>
          </cell>
        </row>
        <row r="5">
          <cell r="GH5">
            <v>4351</v>
          </cell>
        </row>
        <row r="8">
          <cell r="GH8"/>
        </row>
        <row r="9">
          <cell r="GH9">
            <v>4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  <cell r="GF15">
            <v>111</v>
          </cell>
          <cell r="GG15">
            <v>182</v>
          </cell>
          <cell r="GH15">
            <v>203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  <cell r="GF16">
            <v>110</v>
          </cell>
          <cell r="GG16">
            <v>185</v>
          </cell>
          <cell r="GH16">
            <v>206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</row>
        <row r="22">
          <cell r="GH22">
            <v>224871</v>
          </cell>
        </row>
        <row r="23">
          <cell r="GH23">
            <v>223982</v>
          </cell>
        </row>
        <row r="27">
          <cell r="GH27">
            <v>7141</v>
          </cell>
        </row>
        <row r="28">
          <cell r="GH28">
            <v>7160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  <cell r="GF32">
            <v>6317</v>
          </cell>
          <cell r="GG32">
            <v>11745</v>
          </cell>
          <cell r="GH32">
            <v>13428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  <cell r="GF33">
            <v>7085</v>
          </cell>
          <cell r="GG33">
            <v>12475</v>
          </cell>
          <cell r="GH33">
            <v>13463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  <cell r="GF37">
            <v>52</v>
          </cell>
          <cell r="GG37">
            <v>136</v>
          </cell>
          <cell r="GH37">
            <v>169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  <cell r="GF38">
            <v>59</v>
          </cell>
          <cell r="GG38">
            <v>115</v>
          </cell>
          <cell r="GH38">
            <v>172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  <row r="70">
          <cell r="GH70">
            <v>65794</v>
          </cell>
        </row>
        <row r="71">
          <cell r="GH71">
            <v>158188</v>
          </cell>
        </row>
        <row r="73">
          <cell r="GH73">
            <v>3955</v>
          </cell>
        </row>
        <row r="74">
          <cell r="GH74">
            <v>9508</v>
          </cell>
        </row>
      </sheetData>
      <sheetData sheetId="50">
        <row r="4">
          <cell r="GH4">
            <v>50</v>
          </cell>
        </row>
        <row r="5">
          <cell r="GH5">
            <v>50</v>
          </cell>
        </row>
        <row r="8">
          <cell r="GH8"/>
        </row>
        <row r="9">
          <cell r="GH9"/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</row>
        <row r="22">
          <cell r="GH22">
            <v>3004</v>
          </cell>
        </row>
        <row r="23">
          <cell r="GH23">
            <v>3303</v>
          </cell>
        </row>
        <row r="27">
          <cell r="GH27">
            <v>192</v>
          </cell>
        </row>
        <row r="28">
          <cell r="GH28">
            <v>123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51"/>
      <sheetData sheetId="52">
        <row r="4">
          <cell r="GH4"/>
        </row>
        <row r="5">
          <cell r="GH5"/>
        </row>
        <row r="8">
          <cell r="GH8"/>
        </row>
        <row r="9">
          <cell r="GH9"/>
        </row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53">
        <row r="4">
          <cell r="GH4">
            <v>31</v>
          </cell>
        </row>
        <row r="5">
          <cell r="GH5">
            <v>31</v>
          </cell>
        </row>
        <row r="8">
          <cell r="GH8"/>
        </row>
        <row r="9">
          <cell r="GH9"/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</row>
        <row r="22">
          <cell r="GH22">
            <v>2136</v>
          </cell>
        </row>
        <row r="23">
          <cell r="GH23">
            <v>2136</v>
          </cell>
        </row>
        <row r="27">
          <cell r="GH27">
            <v>112</v>
          </cell>
        </row>
        <row r="28">
          <cell r="GH28">
            <v>149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</row>
        <row r="47">
          <cell r="GH47">
            <v>2176</v>
          </cell>
        </row>
        <row r="48">
          <cell r="GH48"/>
        </row>
        <row r="52">
          <cell r="GH52">
            <v>321</v>
          </cell>
        </row>
        <row r="53">
          <cell r="GH53">
            <v>390</v>
          </cell>
        </row>
        <row r="57">
          <cell r="GH57"/>
        </row>
        <row r="58">
          <cell r="GH58"/>
        </row>
      </sheetData>
      <sheetData sheetId="54">
        <row r="4">
          <cell r="GH4"/>
        </row>
        <row r="5">
          <cell r="GH5"/>
        </row>
        <row r="8">
          <cell r="GH8"/>
        </row>
        <row r="9">
          <cell r="GH9"/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BG58"/>
        </row>
      </sheetData>
      <sheetData sheetId="55">
        <row r="4">
          <cell r="GH4"/>
        </row>
        <row r="5">
          <cell r="GH5"/>
        </row>
        <row r="8">
          <cell r="GH8"/>
        </row>
        <row r="9">
          <cell r="GH9"/>
        </row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</row>
        <row r="22">
          <cell r="GH22"/>
        </row>
        <row r="23">
          <cell r="GH23"/>
        </row>
        <row r="27">
          <cell r="GH27"/>
        </row>
        <row r="28">
          <cell r="GH28"/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BH58"/>
        </row>
        <row r="70">
          <cell r="GH70"/>
        </row>
        <row r="71">
          <cell r="GH71"/>
        </row>
        <row r="73">
          <cell r="GH73"/>
        </row>
        <row r="74">
          <cell r="GH74"/>
        </row>
      </sheetData>
      <sheetData sheetId="56"/>
      <sheetData sheetId="57"/>
      <sheetData sheetId="58"/>
      <sheetData sheetId="59">
        <row r="4">
          <cell r="GH4"/>
        </row>
        <row r="5">
          <cell r="GH5"/>
        </row>
        <row r="15">
          <cell r="GB15"/>
          <cell r="GC15"/>
          <cell r="GD15"/>
          <cell r="GE15"/>
          <cell r="GF15"/>
          <cell r="GH15"/>
        </row>
        <row r="16">
          <cell r="GB16"/>
          <cell r="GC16"/>
          <cell r="GD16"/>
          <cell r="GE16"/>
          <cell r="GF16"/>
          <cell r="GH16"/>
        </row>
        <row r="22">
          <cell r="GH22"/>
        </row>
        <row r="23">
          <cell r="GH23"/>
        </row>
        <row r="32">
          <cell r="GB32"/>
          <cell r="GC32"/>
          <cell r="GD32"/>
          <cell r="GE32"/>
          <cell r="GF32"/>
          <cell r="GG32"/>
          <cell r="GH32"/>
        </row>
        <row r="33">
          <cell r="GB33"/>
          <cell r="GC33"/>
          <cell r="GD33"/>
          <cell r="GE33"/>
          <cell r="GF33"/>
          <cell r="GG33"/>
          <cell r="GH33"/>
        </row>
        <row r="37">
          <cell r="GB37"/>
          <cell r="GC37"/>
          <cell r="GD37"/>
          <cell r="GE37"/>
          <cell r="GF37"/>
          <cell r="GG37"/>
          <cell r="GH37"/>
        </row>
        <row r="38">
          <cell r="GB38"/>
          <cell r="GC38"/>
          <cell r="GD38"/>
          <cell r="GE38"/>
          <cell r="GF38"/>
          <cell r="GG38"/>
          <cell r="GH38"/>
        </row>
      </sheetData>
      <sheetData sheetId="60">
        <row r="4">
          <cell r="GH4"/>
        </row>
        <row r="5">
          <cell r="GH5"/>
        </row>
        <row r="15">
          <cell r="GH15"/>
        </row>
        <row r="16">
          <cell r="GH16"/>
        </row>
        <row r="22">
          <cell r="GH22"/>
        </row>
        <row r="23">
          <cell r="GH23"/>
        </row>
        <row r="32">
          <cell r="GH32"/>
        </row>
        <row r="33">
          <cell r="GH33"/>
        </row>
      </sheetData>
      <sheetData sheetId="61">
        <row r="4">
          <cell r="GH4"/>
        </row>
        <row r="5">
          <cell r="GH5"/>
        </row>
        <row r="8">
          <cell r="GH8"/>
        </row>
        <row r="9">
          <cell r="GH9"/>
        </row>
        <row r="15">
          <cell r="GB15"/>
          <cell r="GC15"/>
          <cell r="GD15"/>
          <cell r="GE15"/>
          <cell r="GF15"/>
          <cell r="GH15"/>
        </row>
        <row r="16">
          <cell r="GB16"/>
          <cell r="GC16"/>
          <cell r="GD16"/>
          <cell r="GE16"/>
          <cell r="GF16"/>
          <cell r="GG16">
            <v>1</v>
          </cell>
          <cell r="GH16"/>
        </row>
        <row r="23">
          <cell r="GH23"/>
        </row>
        <row r="32">
          <cell r="GB32"/>
          <cell r="GC32">
            <v>212</v>
          </cell>
          <cell r="GD32"/>
          <cell r="GE32"/>
          <cell r="GF32"/>
          <cell r="GG32"/>
          <cell r="GH32"/>
        </row>
        <row r="33">
          <cell r="GB33"/>
          <cell r="GC33"/>
          <cell r="GD33"/>
          <cell r="GE33"/>
          <cell r="GF33">
            <v>106</v>
          </cell>
          <cell r="GG33">
            <v>137</v>
          </cell>
          <cell r="GH33"/>
        </row>
        <row r="37">
          <cell r="GB37"/>
          <cell r="GC37"/>
          <cell r="GD37"/>
          <cell r="GE37"/>
          <cell r="GF37"/>
          <cell r="GG37"/>
          <cell r="GH37"/>
        </row>
        <row r="38">
          <cell r="GB38"/>
          <cell r="GC38"/>
          <cell r="GD38"/>
          <cell r="GE38"/>
          <cell r="GF38"/>
          <cell r="GG38"/>
          <cell r="GH38"/>
        </row>
      </sheetData>
      <sheetData sheetId="62">
        <row r="4">
          <cell r="GH4">
            <v>1</v>
          </cell>
        </row>
        <row r="5">
          <cell r="GH5">
            <v>2</v>
          </cell>
        </row>
        <row r="15">
          <cell r="GB15"/>
          <cell r="GC15"/>
          <cell r="GD15"/>
          <cell r="GE15"/>
          <cell r="GF15"/>
          <cell r="GH15">
            <v>1</v>
          </cell>
        </row>
        <row r="16">
          <cell r="GB16"/>
          <cell r="GC16"/>
          <cell r="GD16"/>
          <cell r="GE16"/>
          <cell r="GF16"/>
          <cell r="GH16">
            <v>1</v>
          </cell>
        </row>
        <row r="22">
          <cell r="GH22">
            <v>146</v>
          </cell>
        </row>
        <row r="23">
          <cell r="GH23">
            <v>246</v>
          </cell>
        </row>
        <row r="32">
          <cell r="GB32"/>
          <cell r="GC32"/>
          <cell r="GD32"/>
          <cell r="GE32"/>
          <cell r="GF32"/>
          <cell r="GG32"/>
          <cell r="GH32">
            <v>147</v>
          </cell>
        </row>
        <row r="33">
          <cell r="GB33"/>
          <cell r="GC33"/>
          <cell r="GD33"/>
          <cell r="GE33"/>
          <cell r="GF33"/>
          <cell r="GG33"/>
          <cell r="GH33">
            <v>138</v>
          </cell>
        </row>
        <row r="37">
          <cell r="GB37"/>
          <cell r="GC37"/>
          <cell r="GD37"/>
          <cell r="GE37"/>
          <cell r="GF37"/>
          <cell r="GG37"/>
          <cell r="GH37"/>
        </row>
        <row r="38">
          <cell r="GB38"/>
          <cell r="GC38"/>
          <cell r="GD38"/>
          <cell r="GE38"/>
          <cell r="GF38"/>
          <cell r="GG38"/>
          <cell r="GH38"/>
        </row>
      </sheetData>
      <sheetData sheetId="63">
        <row r="4">
          <cell r="GH4">
            <v>32</v>
          </cell>
        </row>
        <row r="5">
          <cell r="GH5">
            <v>32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54</v>
          </cell>
          <cell r="FT12">
            <v>60</v>
          </cell>
          <cell r="GB12">
            <v>56</v>
          </cell>
          <cell r="GC12">
            <v>56</v>
          </cell>
          <cell r="GD12">
            <v>62</v>
          </cell>
          <cell r="GE12">
            <v>58</v>
          </cell>
          <cell r="GF12">
            <v>62</v>
          </cell>
          <cell r="GG12">
            <v>60</v>
          </cell>
          <cell r="GH12">
            <v>64</v>
          </cell>
        </row>
        <row r="19">
          <cell r="FT19">
            <v>60</v>
          </cell>
          <cell r="GH19">
            <v>64</v>
          </cell>
        </row>
        <row r="47">
          <cell r="GH47">
            <v>1578400</v>
          </cell>
        </row>
        <row r="48">
          <cell r="GH48"/>
        </row>
        <row r="52">
          <cell r="GH52">
            <v>685372</v>
          </cell>
        </row>
        <row r="53">
          <cell r="GH53"/>
        </row>
        <row r="57">
          <cell r="GH57"/>
        </row>
        <row r="58">
          <cell r="GH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</row>
      </sheetData>
      <sheetData sheetId="64"/>
      <sheetData sheetId="65">
        <row r="4">
          <cell r="GH4"/>
        </row>
        <row r="5">
          <cell r="GH5"/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</sheetData>
      <sheetData sheetId="66">
        <row r="12"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FT12">
            <v>44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</row>
        <row r="19">
          <cell r="FT19">
            <v>44</v>
          </cell>
          <cell r="GH19">
            <v>0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</row>
      </sheetData>
      <sheetData sheetId="67">
        <row r="4">
          <cell r="GH4"/>
        </row>
        <row r="5">
          <cell r="GH5"/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GB12">
            <v>0</v>
          </cell>
          <cell r="GC12">
            <v>2</v>
          </cell>
          <cell r="GD12">
            <v>0</v>
          </cell>
          <cell r="GE12">
            <v>0</v>
          </cell>
          <cell r="GF12">
            <v>2</v>
          </cell>
          <cell r="GG12">
            <v>2</v>
          </cell>
          <cell r="GH12">
            <v>0</v>
          </cell>
        </row>
        <row r="19">
          <cell r="FT19">
            <v>0</v>
          </cell>
          <cell r="GH19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H64">
            <v>0</v>
          </cell>
        </row>
      </sheetData>
      <sheetData sheetId="68"/>
      <sheetData sheetId="69">
        <row r="4">
          <cell r="GH4">
            <v>22</v>
          </cell>
        </row>
        <row r="5">
          <cell r="GH5">
            <v>22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GB12">
            <v>40</v>
          </cell>
          <cell r="GC12">
            <v>40</v>
          </cell>
          <cell r="GD12">
            <v>42</v>
          </cell>
          <cell r="GE12">
            <v>44</v>
          </cell>
          <cell r="GF12">
            <v>44</v>
          </cell>
          <cell r="GG12">
            <v>36</v>
          </cell>
          <cell r="GH12">
            <v>44</v>
          </cell>
        </row>
        <row r="19">
          <cell r="FT19">
            <v>0</v>
          </cell>
          <cell r="GH19">
            <v>44</v>
          </cell>
        </row>
        <row r="47">
          <cell r="GH47">
            <v>855989</v>
          </cell>
        </row>
        <row r="48">
          <cell r="GH48"/>
        </row>
        <row r="52">
          <cell r="GH52">
            <v>508256</v>
          </cell>
        </row>
        <row r="53">
          <cell r="GH53"/>
        </row>
        <row r="57">
          <cell r="GH57"/>
        </row>
        <row r="58">
          <cell r="GH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H64">
            <v>1364245</v>
          </cell>
        </row>
      </sheetData>
      <sheetData sheetId="70"/>
      <sheetData sheetId="71"/>
      <sheetData sheetId="72">
        <row r="4">
          <cell r="GH4">
            <v>44</v>
          </cell>
        </row>
        <row r="5">
          <cell r="GH5">
            <v>44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GB12">
            <v>85</v>
          </cell>
          <cell r="GC12">
            <v>74</v>
          </cell>
          <cell r="GD12">
            <v>94</v>
          </cell>
          <cell r="GE12">
            <v>82</v>
          </cell>
          <cell r="GF12">
            <v>90</v>
          </cell>
          <cell r="GG12">
            <v>82</v>
          </cell>
          <cell r="GH12">
            <v>88</v>
          </cell>
        </row>
        <row r="15">
          <cell r="GH15"/>
        </row>
        <row r="19">
          <cell r="FT19">
            <v>0</v>
          </cell>
          <cell r="GH19">
            <v>88</v>
          </cell>
        </row>
        <row r="47">
          <cell r="GH47">
            <v>69898</v>
          </cell>
        </row>
        <row r="48">
          <cell r="GH48"/>
        </row>
        <row r="52">
          <cell r="GH52">
            <v>37875</v>
          </cell>
        </row>
        <row r="53">
          <cell r="GH53"/>
        </row>
        <row r="57">
          <cell r="GH57"/>
        </row>
        <row r="58">
          <cell r="GH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</row>
      </sheetData>
      <sheetData sheetId="73"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</row>
        <row r="15">
          <cell r="GH15"/>
        </row>
        <row r="16">
          <cell r="GH16"/>
        </row>
        <row r="19">
          <cell r="FT19">
            <v>0</v>
          </cell>
          <cell r="GH19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</row>
      </sheetData>
      <sheetData sheetId="74">
        <row r="4">
          <cell r="GH4">
            <v>127</v>
          </cell>
        </row>
        <row r="5">
          <cell r="GH5">
            <v>127</v>
          </cell>
        </row>
        <row r="12"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FT12">
            <v>212</v>
          </cell>
          <cell r="GB12">
            <v>268</v>
          </cell>
          <cell r="GC12">
            <v>238</v>
          </cell>
          <cell r="GD12">
            <v>252</v>
          </cell>
          <cell r="GE12">
            <v>254</v>
          </cell>
          <cell r="GF12">
            <v>270</v>
          </cell>
          <cell r="GG12">
            <v>252</v>
          </cell>
          <cell r="GH12">
            <v>254</v>
          </cell>
        </row>
        <row r="15">
          <cell r="GH15"/>
        </row>
        <row r="19">
          <cell r="FT19">
            <v>212</v>
          </cell>
          <cell r="GH19">
            <v>254</v>
          </cell>
        </row>
        <row r="47">
          <cell r="GH47">
            <v>7318681</v>
          </cell>
        </row>
        <row r="48">
          <cell r="GH48"/>
        </row>
        <row r="52">
          <cell r="GH52">
            <v>7298632</v>
          </cell>
        </row>
        <row r="53">
          <cell r="GH53"/>
        </row>
        <row r="57">
          <cell r="GH57"/>
        </row>
        <row r="58">
          <cell r="GH58"/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</row>
      </sheetData>
      <sheetData sheetId="75">
        <row r="4">
          <cell r="GH4">
            <v>21</v>
          </cell>
        </row>
        <row r="5">
          <cell r="GH5">
            <v>21</v>
          </cell>
        </row>
        <row r="12"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GB12">
            <v>0</v>
          </cell>
          <cell r="GC12">
            <v>38</v>
          </cell>
          <cell r="GD12">
            <v>42</v>
          </cell>
          <cell r="GE12">
            <v>38</v>
          </cell>
          <cell r="GF12">
            <v>42</v>
          </cell>
          <cell r="GG12">
            <v>42</v>
          </cell>
          <cell r="GH12">
            <v>42</v>
          </cell>
        </row>
        <row r="19">
          <cell r="FT19">
            <v>38</v>
          </cell>
          <cell r="GH19">
            <v>42</v>
          </cell>
        </row>
        <row r="47">
          <cell r="GH47">
            <v>132566</v>
          </cell>
        </row>
        <row r="48">
          <cell r="GH48"/>
        </row>
        <row r="52">
          <cell r="GH52">
            <v>48818</v>
          </cell>
        </row>
        <row r="53">
          <cell r="GH53"/>
        </row>
        <row r="57">
          <cell r="GH57"/>
        </row>
        <row r="58">
          <cell r="GH58"/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</row>
      </sheetData>
      <sheetData sheetId="76">
        <row r="4">
          <cell r="GH4">
            <v>18</v>
          </cell>
        </row>
        <row r="5">
          <cell r="GH5">
            <v>18</v>
          </cell>
        </row>
        <row r="12"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GB12">
            <v>37</v>
          </cell>
          <cell r="GC12">
            <v>28</v>
          </cell>
          <cell r="GD12">
            <v>30</v>
          </cell>
          <cell r="GE12">
            <v>34</v>
          </cell>
          <cell r="GF12">
            <v>34</v>
          </cell>
          <cell r="GG12">
            <v>32</v>
          </cell>
          <cell r="GH12">
            <v>36</v>
          </cell>
        </row>
        <row r="15">
          <cell r="GH15"/>
        </row>
        <row r="19">
          <cell r="FT19">
            <v>40</v>
          </cell>
          <cell r="GH19">
            <v>36</v>
          </cell>
        </row>
        <row r="47">
          <cell r="GH47">
            <v>48673</v>
          </cell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</row>
      </sheetData>
      <sheetData sheetId="77">
        <row r="4">
          <cell r="GH4">
            <v>119</v>
          </cell>
        </row>
        <row r="5">
          <cell r="GH5">
            <v>119</v>
          </cell>
        </row>
        <row r="12"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FT12">
            <v>208</v>
          </cell>
          <cell r="GB12">
            <v>244</v>
          </cell>
          <cell r="GC12">
            <v>246</v>
          </cell>
          <cell r="GD12">
            <v>234</v>
          </cell>
          <cell r="GE12">
            <v>228</v>
          </cell>
          <cell r="GF12">
            <v>260</v>
          </cell>
          <cell r="GG12">
            <v>236</v>
          </cell>
          <cell r="GH12">
            <v>238</v>
          </cell>
        </row>
        <row r="15">
          <cell r="GH15">
            <v>15</v>
          </cell>
        </row>
        <row r="16">
          <cell r="GH16">
            <v>15</v>
          </cell>
        </row>
        <row r="19">
          <cell r="FT19">
            <v>242</v>
          </cell>
          <cell r="GH19">
            <v>268</v>
          </cell>
        </row>
        <row r="47">
          <cell r="GH47">
            <v>7140377</v>
          </cell>
        </row>
        <row r="48">
          <cell r="GH48"/>
        </row>
        <row r="52">
          <cell r="GH52">
            <v>4890863</v>
          </cell>
        </row>
        <row r="53">
          <cell r="GH53">
            <v>606825</v>
          </cell>
        </row>
        <row r="57">
          <cell r="GH57"/>
        </row>
        <row r="58">
          <cell r="GH58"/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</row>
      </sheetData>
      <sheetData sheetId="78"/>
      <sheetData sheetId="79"/>
      <sheetData sheetId="80"/>
      <sheetData sheetId="81">
        <row r="4">
          <cell r="GH4">
            <v>205</v>
          </cell>
        </row>
        <row r="5">
          <cell r="GH5">
            <v>205</v>
          </cell>
        </row>
        <row r="12"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GB12">
            <v>398</v>
          </cell>
          <cell r="GC12">
            <v>350</v>
          </cell>
          <cell r="GD12">
            <v>378</v>
          </cell>
          <cell r="GE12">
            <v>376</v>
          </cell>
          <cell r="GF12">
            <v>426</v>
          </cell>
          <cell r="GG12">
            <v>368</v>
          </cell>
          <cell r="GH12">
            <v>410</v>
          </cell>
        </row>
        <row r="19">
          <cell r="FT19">
            <v>536</v>
          </cell>
          <cell r="GH19">
            <v>410</v>
          </cell>
        </row>
      </sheetData>
      <sheetData sheetId="82">
        <row r="4">
          <cell r="GH4"/>
        </row>
        <row r="5">
          <cell r="GH5"/>
        </row>
        <row r="12"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GB12">
            <v>0</v>
          </cell>
          <cell r="GC12">
            <v>3</v>
          </cell>
          <cell r="GD12">
            <v>0</v>
          </cell>
          <cell r="GE12">
            <v>0</v>
          </cell>
          <cell r="GF12">
            <v>6</v>
          </cell>
          <cell r="GG12">
            <v>0</v>
          </cell>
          <cell r="GH12">
            <v>0</v>
          </cell>
        </row>
        <row r="19">
          <cell r="FT19">
            <v>1</v>
          </cell>
          <cell r="GH19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</row>
      </sheetData>
      <sheetData sheetId="83">
        <row r="4">
          <cell r="GH4"/>
        </row>
        <row r="5">
          <cell r="GH5"/>
        </row>
        <row r="8">
          <cell r="GH8"/>
        </row>
        <row r="9">
          <cell r="GH9"/>
        </row>
        <row r="12"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2</v>
          </cell>
          <cell r="GH12">
            <v>0</v>
          </cell>
        </row>
        <row r="19">
          <cell r="FT19">
            <v>91</v>
          </cell>
          <cell r="GH19">
            <v>0</v>
          </cell>
        </row>
        <row r="47">
          <cell r="GH47"/>
        </row>
        <row r="48">
          <cell r="GH48"/>
        </row>
        <row r="52">
          <cell r="GH52"/>
        </row>
        <row r="53">
          <cell r="GH53"/>
        </row>
        <row r="57">
          <cell r="GH57"/>
        </row>
        <row r="58">
          <cell r="GH58"/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</row>
      </sheetData>
      <sheetData sheetId="84">
        <row r="4">
          <cell r="GH4">
            <v>37</v>
          </cell>
        </row>
        <row r="5">
          <cell r="GH5">
            <v>37</v>
          </cell>
        </row>
      </sheetData>
      <sheetData sheetId="85">
        <row r="4">
          <cell r="GH4">
            <v>899</v>
          </cell>
        </row>
        <row r="5">
          <cell r="GH5">
            <v>900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182334</v>
          </cell>
          <cell r="C23">
            <v>184603</v>
          </cell>
          <cell r="L23">
            <v>1758933</v>
          </cell>
          <cell r="M23">
            <v>1778471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J5" sqref="J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43647</v>
      </c>
      <c r="B2" s="10"/>
      <c r="C2" s="10"/>
      <c r="D2" s="459" t="s">
        <v>211</v>
      </c>
      <c r="E2" s="459" t="s">
        <v>197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60"/>
      <c r="E3" s="461"/>
      <c r="F3" s="5" t="s">
        <v>2</v>
      </c>
      <c r="G3" s="5" t="s">
        <v>212</v>
      </c>
      <c r="H3" s="5" t="s">
        <v>198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1509677</v>
      </c>
      <c r="C5" s="10">
        <f>'Major Airline Stats'!K5</f>
        <v>1504556</v>
      </c>
      <c r="D5" s="2">
        <f>'Major Airline Stats'!K6</f>
        <v>3014233</v>
      </c>
      <c r="E5" s="2">
        <f>'[1]Monthly Summary'!D5</f>
        <v>2850605</v>
      </c>
      <c r="F5" s="3">
        <f>(D5-E5)/E5</f>
        <v>5.7401148177316744E-2</v>
      </c>
      <c r="G5" s="2">
        <f>+D5+'[2]Monthly Summary'!G5</f>
        <v>17726743</v>
      </c>
      <c r="H5" s="2">
        <f>'[1]Monthly Summary'!G5</f>
        <v>16895175</v>
      </c>
      <c r="I5" s="67">
        <f>(G5-H5)/H5</f>
        <v>4.9219259344753755E-2</v>
      </c>
      <c r="J5" s="2"/>
    </row>
    <row r="6" spans="1:14" x14ac:dyDescent="0.2">
      <c r="A6" s="52" t="s">
        <v>5</v>
      </c>
      <c r="B6" s="254">
        <f>'Regional Major'!M5</f>
        <v>361446</v>
      </c>
      <c r="C6" s="254">
        <f>'Regional Major'!M6</f>
        <v>358658</v>
      </c>
      <c r="D6" s="2">
        <f>B6+C6</f>
        <v>720104</v>
      </c>
      <c r="E6" s="2">
        <f>'[1]Monthly Summary'!D6</f>
        <v>693224</v>
      </c>
      <c r="F6" s="3">
        <f>(D6-E6)/E6</f>
        <v>3.8775345342919459E-2</v>
      </c>
      <c r="G6" s="2">
        <f>+D6+'[2]Monthly Summary'!G6</f>
        <v>4447457</v>
      </c>
      <c r="H6" s="2">
        <f>'[1]Monthly Summary'!G6</f>
        <v>4572378</v>
      </c>
      <c r="I6" s="67">
        <f>(G6-H6)/H6</f>
        <v>-2.7320794562479305E-2</v>
      </c>
      <c r="K6" s="2"/>
    </row>
    <row r="7" spans="1:14" x14ac:dyDescent="0.2">
      <c r="A7" s="52" t="s">
        <v>6</v>
      </c>
      <c r="B7" s="2">
        <f>Charter!G5</f>
        <v>293</v>
      </c>
      <c r="C7" s="254">
        <f>Charter!G6</f>
        <v>384</v>
      </c>
      <c r="D7" s="2">
        <f>B7+C7</f>
        <v>677</v>
      </c>
      <c r="E7" s="2">
        <f>'[1]Monthly Summary'!D7</f>
        <v>244</v>
      </c>
      <c r="F7" s="3">
        <f>(D7-E7)/E7</f>
        <v>1.7745901639344261</v>
      </c>
      <c r="G7" s="2">
        <f>+D7+'[2]Monthly Summary'!G7</f>
        <v>3685</v>
      </c>
      <c r="H7" s="2">
        <f>'[1]Monthly Summary'!G7</f>
        <v>3087</v>
      </c>
      <c r="I7" s="67">
        <f>(G7-H7)/H7</f>
        <v>0.19371558147068352</v>
      </c>
      <c r="K7" s="2"/>
    </row>
    <row r="8" spans="1:14" x14ac:dyDescent="0.2">
      <c r="A8" s="54" t="s">
        <v>7</v>
      </c>
      <c r="B8" s="121">
        <f>SUM(B5:B7)</f>
        <v>1871416</v>
      </c>
      <c r="C8" s="121">
        <f>SUM(C5:C7)</f>
        <v>1863598</v>
      </c>
      <c r="D8" s="121">
        <f>SUM(D5:D7)</f>
        <v>3735014</v>
      </c>
      <c r="E8" s="121">
        <f>SUM(E5:E7)</f>
        <v>3544073</v>
      </c>
      <c r="F8" s="73">
        <f>(D8-E8)/E8</f>
        <v>5.3876147584996134E-2</v>
      </c>
      <c r="G8" s="121">
        <f>SUM(G5:G7)</f>
        <v>22177885</v>
      </c>
      <c r="H8" s="121">
        <f>SUM(H5:H7)</f>
        <v>21470640</v>
      </c>
      <c r="I8" s="72">
        <f>(G8-H8)/H8</f>
        <v>3.2940098664967603E-2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54944</v>
      </c>
      <c r="C10" s="255">
        <f>'Major Airline Stats'!K10+'Regional Major'!M11</f>
        <v>55071</v>
      </c>
      <c r="D10" s="98">
        <f>SUM(B10:C10)</f>
        <v>110015</v>
      </c>
      <c r="E10" s="98">
        <f>'[1]Monthly Summary'!D10</f>
        <v>120935</v>
      </c>
      <c r="F10" s="74">
        <f>(D10-E10)/E10</f>
        <v>-9.029644023649068E-2</v>
      </c>
      <c r="G10" s="2">
        <f>+D10+'[2]Monthly Summary'!G10</f>
        <v>710587</v>
      </c>
      <c r="H10" s="98">
        <f>'[1]Monthly Summary'!G10</f>
        <v>737835</v>
      </c>
      <c r="I10" s="77">
        <f>(G10-H10)/H10</f>
        <v>-3.6929665846700141E-2</v>
      </c>
      <c r="J10" s="193"/>
    </row>
    <row r="11" spans="1:14" ht="15.75" thickBot="1" x14ac:dyDescent="0.3">
      <c r="A11" s="53" t="s">
        <v>13</v>
      </c>
      <c r="B11" s="234">
        <f>B10+B8</f>
        <v>1926360</v>
      </c>
      <c r="C11" s="234">
        <f>C10+C8</f>
        <v>1918669</v>
      </c>
      <c r="D11" s="234">
        <f>D10+D8</f>
        <v>3845029</v>
      </c>
      <c r="E11" s="234">
        <f>E10+E8</f>
        <v>3665008</v>
      </c>
      <c r="F11" s="75">
        <f>(D11-E11)/E11</f>
        <v>4.911885594792699E-2</v>
      </c>
      <c r="G11" s="234">
        <f>G8+G10</f>
        <v>22888472</v>
      </c>
      <c r="H11" s="234">
        <f>H8+H10</f>
        <v>22208475</v>
      </c>
      <c r="I11" s="78">
        <f>(G11-H11)/H11</f>
        <v>3.0618806559207689E-2</v>
      </c>
      <c r="L11" s="97"/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  <c r="K12" s="97"/>
    </row>
    <row r="13" spans="1:14" ht="16.5" customHeight="1" x14ac:dyDescent="0.2">
      <c r="B13" s="10"/>
      <c r="C13" s="10"/>
      <c r="D13" s="459" t="s">
        <v>211</v>
      </c>
      <c r="E13" s="459" t="s">
        <v>197</v>
      </c>
      <c r="F13" s="5"/>
      <c r="G13" s="5"/>
      <c r="H13" s="5"/>
      <c r="I13" s="5"/>
    </row>
    <row r="14" spans="1:14" ht="13.5" thickBot="1" x14ac:dyDescent="0.25">
      <c r="A14" s="9"/>
      <c r="B14" s="5" t="s">
        <v>194</v>
      </c>
      <c r="C14" s="5" t="s">
        <v>195</v>
      </c>
      <c r="D14" s="460"/>
      <c r="E14" s="461"/>
      <c r="F14" s="5" t="s">
        <v>2</v>
      </c>
      <c r="G14" s="5" t="s">
        <v>212</v>
      </c>
      <c r="H14" s="5" t="s">
        <v>198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10756</v>
      </c>
      <c r="C16" s="263">
        <f>'Major Airline Stats'!K16+'Major Airline Stats'!K20</f>
        <v>10752</v>
      </c>
      <c r="D16" s="32">
        <f t="shared" ref="D16:D21" si="0">SUM(B16:C16)</f>
        <v>21508</v>
      </c>
      <c r="E16" s="2">
        <f>'[1]Monthly Summary'!D16</f>
        <v>21118</v>
      </c>
      <c r="F16" s="76">
        <f t="shared" ref="F16:F22" si="1">(D16-E16)/E16</f>
        <v>1.8467657922151718E-2</v>
      </c>
      <c r="G16" s="2">
        <f>+D16+'[2]Monthly Summary'!G16</f>
        <v>131842</v>
      </c>
      <c r="H16" s="2">
        <f>'[1]Monthly Summary'!G16</f>
        <v>128377</v>
      </c>
      <c r="I16" s="225">
        <f t="shared" ref="I16:I22" si="2">(G16-H16)/H16</f>
        <v>2.6990816111920359E-2</v>
      </c>
      <c r="N16" s="97"/>
    </row>
    <row r="17" spans="1:12" x14ac:dyDescent="0.2">
      <c r="A17" s="52" t="s">
        <v>5</v>
      </c>
      <c r="B17" s="32">
        <f>'Regional Major'!M15+'Regional Major'!M18</f>
        <v>6487</v>
      </c>
      <c r="C17" s="32">
        <f>'Regional Major'!M16+'Regional Major'!M19</f>
        <v>6488</v>
      </c>
      <c r="D17" s="32">
        <f>SUM(B17:C17)</f>
        <v>12975</v>
      </c>
      <c r="E17" s="2">
        <f>'[1]Monthly Summary'!D17</f>
        <v>13005</v>
      </c>
      <c r="F17" s="76">
        <f t="shared" si="1"/>
        <v>-2.306805074971165E-3</v>
      </c>
      <c r="G17" s="2">
        <f>+D17+'[2]Monthly Summary'!G17</f>
        <v>83461</v>
      </c>
      <c r="H17" s="2">
        <f>'[1]Monthly Summary'!G17</f>
        <v>88154</v>
      </c>
      <c r="I17" s="225">
        <f t="shared" si="2"/>
        <v>-5.3236381786419221E-2</v>
      </c>
    </row>
    <row r="18" spans="1:12" x14ac:dyDescent="0.2">
      <c r="A18" s="52" t="s">
        <v>10</v>
      </c>
      <c r="B18" s="32">
        <f>Charter!G10</f>
        <v>2</v>
      </c>
      <c r="C18" s="32">
        <f>Charter!G11</f>
        <v>3</v>
      </c>
      <c r="D18" s="32">
        <f t="shared" si="0"/>
        <v>5</v>
      </c>
      <c r="E18" s="2">
        <f>'[1]Monthly Summary'!D18</f>
        <v>4</v>
      </c>
      <c r="F18" s="76">
        <f t="shared" si="1"/>
        <v>0.25</v>
      </c>
      <c r="G18" s="2">
        <f>+D18+'[2]Monthly Summary'!G18</f>
        <v>50</v>
      </c>
      <c r="H18" s="2">
        <f>'[1]Monthly Summary'!G18</f>
        <v>26</v>
      </c>
      <c r="I18" s="225">
        <f t="shared" si="2"/>
        <v>0.92307692307692313</v>
      </c>
    </row>
    <row r="19" spans="1:12" x14ac:dyDescent="0.2">
      <c r="A19" s="52" t="s">
        <v>11</v>
      </c>
      <c r="B19" s="32">
        <f>Cargo!P4</f>
        <v>603</v>
      </c>
      <c r="C19" s="32">
        <f>Cargo!P5</f>
        <v>603</v>
      </c>
      <c r="D19" s="32">
        <f t="shared" si="0"/>
        <v>1206</v>
      </c>
      <c r="E19" s="2">
        <f>'[1]Monthly Summary'!D19</f>
        <v>1261</v>
      </c>
      <c r="F19" s="76">
        <f t="shared" si="1"/>
        <v>-4.3616177636796191E-2</v>
      </c>
      <c r="G19" s="2">
        <f>+D19+'[2]Monthly Summary'!G19</f>
        <v>8208</v>
      </c>
      <c r="H19" s="2">
        <f>'[1]Monthly Summary'!G19</f>
        <v>8625</v>
      </c>
      <c r="I19" s="225">
        <f t="shared" si="2"/>
        <v>-4.8347826086956522E-2</v>
      </c>
    </row>
    <row r="20" spans="1:12" x14ac:dyDescent="0.2">
      <c r="A20" s="52" t="s">
        <v>152</v>
      </c>
      <c r="B20" s="32">
        <f>'[3]General Avation'!$GH$4</f>
        <v>899</v>
      </c>
      <c r="C20" s="32">
        <f>'[3]General Avation'!$GH$5</f>
        <v>900</v>
      </c>
      <c r="D20" s="32">
        <f t="shared" si="0"/>
        <v>1799</v>
      </c>
      <c r="E20" s="2">
        <f>'[1]Monthly Summary'!D20</f>
        <v>1653</v>
      </c>
      <c r="F20" s="76">
        <f t="shared" si="1"/>
        <v>8.8324258923169988E-2</v>
      </c>
      <c r="G20" s="2">
        <f>+D20+'[2]Monthly Summary'!G20</f>
        <v>11466</v>
      </c>
      <c r="H20" s="2">
        <f>'[1]Monthly Summary'!G20</f>
        <v>11786</v>
      </c>
      <c r="I20" s="225">
        <f t="shared" si="2"/>
        <v>-2.7150856948922452E-2</v>
      </c>
      <c r="L20" s="97"/>
    </row>
    <row r="21" spans="1:12" ht="12.75" customHeight="1" x14ac:dyDescent="0.2">
      <c r="A21" s="52" t="s">
        <v>12</v>
      </c>
      <c r="B21" s="11">
        <f>'[3]Military '!$GH$4</f>
        <v>37</v>
      </c>
      <c r="C21" s="11">
        <f>'[3]Military '!$GH$5</f>
        <v>37</v>
      </c>
      <c r="D21" s="11">
        <f t="shared" si="0"/>
        <v>74</v>
      </c>
      <c r="E21" s="98">
        <f>'[1]Monthly Summary'!D21</f>
        <v>90</v>
      </c>
      <c r="F21" s="223">
        <f t="shared" si="1"/>
        <v>-0.17777777777777778</v>
      </c>
      <c r="G21" s="2">
        <f>+D21+'[2]Monthly Summary'!G21</f>
        <v>625</v>
      </c>
      <c r="H21" s="98">
        <f>'[1]Monthly Summary'!G21</f>
        <v>700</v>
      </c>
      <c r="I21" s="226">
        <f t="shared" si="2"/>
        <v>-0.10714285714285714</v>
      </c>
    </row>
    <row r="22" spans="1:12" ht="15.75" thickBot="1" x14ac:dyDescent="0.3">
      <c r="A22" s="53" t="s">
        <v>28</v>
      </c>
      <c r="B22" s="235">
        <f>SUM(B16:B21)</f>
        <v>18784</v>
      </c>
      <c r="C22" s="235">
        <f>SUM(C16:C21)</f>
        <v>18783</v>
      </c>
      <c r="D22" s="235">
        <f>SUM(D16:D21)</f>
        <v>37567</v>
      </c>
      <c r="E22" s="235">
        <f>SUM(E16:E21)</f>
        <v>37131</v>
      </c>
      <c r="F22" s="232">
        <f t="shared" si="1"/>
        <v>1.174221001319652E-2</v>
      </c>
      <c r="G22" s="235">
        <f>SUM(G16:G21)</f>
        <v>235652</v>
      </c>
      <c r="H22" s="235">
        <f>SUM(H16:H21)</f>
        <v>237668</v>
      </c>
      <c r="I22" s="233">
        <f t="shared" si="2"/>
        <v>-8.4824208559839773E-3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59" t="s">
        <v>211</v>
      </c>
      <c r="E24" s="459" t="s">
        <v>197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60"/>
      <c r="E25" s="461"/>
      <c r="F25" s="5" t="s">
        <v>2</v>
      </c>
      <c r="G25" s="5" t="s">
        <v>212</v>
      </c>
      <c r="H25" s="5" t="s">
        <v>198</v>
      </c>
      <c r="I25" s="5" t="s">
        <v>2</v>
      </c>
    </row>
    <row r="26" spans="1:12" ht="15" x14ac:dyDescent="0.25">
      <c r="A26" s="50" t="s">
        <v>128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(Cargo!P16+'Major Airline Stats'!K28+'Regional Major'!M25)*0.00045359237</f>
        <v>9175.0442000987005</v>
      </c>
      <c r="C27" s="14">
        <f>(Cargo!P21+'Major Airline Stats'!K33+'Regional Major'!M30)*0.00045359237</f>
        <v>6819.1557371360495</v>
      </c>
      <c r="D27" s="14">
        <f>(SUM(B27:C27)+('Cargo Summary'!E17*0.00045359237))</f>
        <v>15994.199937234749</v>
      </c>
      <c r="E27" s="2">
        <f>'[1]Monthly Summary'!D27</f>
        <v>18184.056356267341</v>
      </c>
      <c r="F27" s="79">
        <f>(D27-E27)/E27</f>
        <v>-0.12042727849761825</v>
      </c>
      <c r="G27" s="2">
        <f>+D27+'[2]Monthly Summary'!G27</f>
        <v>115661.65314323388</v>
      </c>
      <c r="H27" s="2">
        <f>'[1]Monthly Summary'!G27</f>
        <v>119706.34583196367</v>
      </c>
      <c r="I27" s="81">
        <f>(G27-H27)/H27</f>
        <v>-3.378845674904718E-2</v>
      </c>
    </row>
    <row r="28" spans="1:12" x14ac:dyDescent="0.2">
      <c r="A28" s="47" t="s">
        <v>16</v>
      </c>
      <c r="B28" s="14">
        <f>(Cargo!P17+'Major Airline Stats'!K29+'Regional Major'!M26)*0.00045359237</f>
        <v>740.07541419119002</v>
      </c>
      <c r="C28" s="14">
        <f>(Cargo!P22+'Major Airline Stats'!K34+'Regional Major'!M31)*0.00045359237</f>
        <v>904.48132947479996</v>
      </c>
      <c r="D28" s="14">
        <f>SUM(B28:C28)</f>
        <v>1644.5567436659899</v>
      </c>
      <c r="E28" s="2">
        <f>'[1]Monthly Summary'!D28</f>
        <v>2110.26002994499</v>
      </c>
      <c r="F28" s="79">
        <f>(D28-E28)/E28</f>
        <v>-0.22068526137565145</v>
      </c>
      <c r="G28" s="2">
        <f>+D28+'[2]Monthly Summary'!G28</f>
        <v>14257.226469735479</v>
      </c>
      <c r="H28" s="2">
        <f>'[1]Monthly Summary'!G28</f>
        <v>14836.946094914789</v>
      </c>
      <c r="I28" s="81">
        <f>(G28-H28)/H28</f>
        <v>-3.9072705492810493E-2</v>
      </c>
    </row>
    <row r="29" spans="1:12" ht="15.75" thickBot="1" x14ac:dyDescent="0.3">
      <c r="A29" s="48" t="s">
        <v>62</v>
      </c>
      <c r="B29" s="39">
        <f>SUM(B27:B28)</f>
        <v>9915.1196142898898</v>
      </c>
      <c r="C29" s="39">
        <f>SUM(C27:C28)</f>
        <v>7723.6370666108496</v>
      </c>
      <c r="D29" s="39">
        <f>SUM(D27:D28)</f>
        <v>17638.75668090074</v>
      </c>
      <c r="E29" s="39">
        <f>SUM(E27:E28)</f>
        <v>20294.316386212333</v>
      </c>
      <c r="F29" s="80">
        <f>(D29-E29)/E29</f>
        <v>-0.1308523852084883</v>
      </c>
      <c r="G29" s="39">
        <f>SUM(G27:G28)</f>
        <v>129918.87961296937</v>
      </c>
      <c r="H29" s="39">
        <f>SUM(H27:H28)</f>
        <v>134543.29192687845</v>
      </c>
      <c r="I29" s="82">
        <f>(G29-H29)/H29</f>
        <v>-3.437118452863748E-2</v>
      </c>
    </row>
    <row r="30" spans="1:12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12" ht="13.5" thickBot="1" x14ac:dyDescent="0.25">
      <c r="B31" s="458" t="s">
        <v>148</v>
      </c>
      <c r="C31" s="457"/>
      <c r="D31" s="458" t="s">
        <v>155</v>
      </c>
      <c r="E31" s="457"/>
      <c r="F31" s="354"/>
      <c r="G31" s="355"/>
    </row>
    <row r="32" spans="1:12" x14ac:dyDescent="0.2">
      <c r="A32" s="336" t="s">
        <v>149</v>
      </c>
      <c r="B32" s="337">
        <f>C8-B33</f>
        <v>1114327</v>
      </c>
      <c r="C32" s="338">
        <f>B32/C8</f>
        <v>0.597943869868931</v>
      </c>
      <c r="D32" s="339">
        <f>+B32+'[2]Monthly Summary'!$D$32</f>
        <v>7033323</v>
      </c>
      <c r="E32" s="340">
        <f>+D32/D34</f>
        <v>0.63601334074606464</v>
      </c>
      <c r="G32" s="2"/>
      <c r="I32" s="353"/>
    </row>
    <row r="33" spans="1:14" ht="13.5" thickBot="1" x14ac:dyDescent="0.25">
      <c r="A33" s="341" t="s">
        <v>150</v>
      </c>
      <c r="B33" s="342">
        <f>'Major Airline Stats'!K51+'Regional Major'!M45</f>
        <v>749271</v>
      </c>
      <c r="C33" s="343">
        <f>+B33/C8</f>
        <v>0.40205613013106906</v>
      </c>
      <c r="D33" s="344">
        <f>+B33+'[2]Monthly Summary'!$D$33</f>
        <v>4025129</v>
      </c>
      <c r="E33" s="345">
        <f>+D33/D34</f>
        <v>0.36398665925393536</v>
      </c>
      <c r="I33" s="353"/>
    </row>
    <row r="34" spans="1:14" ht="13.5" thickBot="1" x14ac:dyDescent="0.25">
      <c r="B34" s="267"/>
      <c r="D34" s="346">
        <f>SUM(D32:D33)</f>
        <v>11058452</v>
      </c>
    </row>
    <row r="35" spans="1:14" ht="13.5" thickBot="1" x14ac:dyDescent="0.25">
      <c r="B35" s="456" t="s">
        <v>224</v>
      </c>
      <c r="C35" s="457"/>
      <c r="D35" s="458" t="s">
        <v>213</v>
      </c>
      <c r="E35" s="457"/>
    </row>
    <row r="36" spans="1:14" x14ac:dyDescent="0.2">
      <c r="A36" s="336" t="s">
        <v>149</v>
      </c>
      <c r="B36" s="337">
        <f>'[1]Monthly Summary'!$B$32</f>
        <v>1045862</v>
      </c>
      <c r="C36" s="338">
        <f>+B36/B38</f>
        <v>0.59069993623439532</v>
      </c>
      <c r="D36" s="339">
        <f>'[1]Monthly Summary'!$D$32</f>
        <v>6764324</v>
      </c>
      <c r="E36" s="340">
        <f>+D36/D38</f>
        <v>0.63179719198093121</v>
      </c>
    </row>
    <row r="37" spans="1:14" ht="13.5" thickBot="1" x14ac:dyDescent="0.25">
      <c r="A37" s="341" t="s">
        <v>150</v>
      </c>
      <c r="B37" s="342">
        <f>'[1]Monthly Summary'!$B$33</f>
        <v>724685</v>
      </c>
      <c r="C37" s="345">
        <f>+B37/B38</f>
        <v>0.40930006376560463</v>
      </c>
      <c r="D37" s="344">
        <f>'[1]Monthly Summary'!$D$33</f>
        <v>3942156</v>
      </c>
      <c r="E37" s="345">
        <f>+D37/D38</f>
        <v>0.36820280801906885</v>
      </c>
      <c r="M37" s="1"/>
    </row>
    <row r="38" spans="1:14" x14ac:dyDescent="0.2">
      <c r="B38" s="358">
        <f>+SUM(B36:B37)</f>
        <v>1770547</v>
      </c>
      <c r="D38" s="346">
        <f>SUM(D36:D37)</f>
        <v>10706480</v>
      </c>
    </row>
    <row r="39" spans="1:14" x14ac:dyDescent="0.2">
      <c r="A39" s="350" t="s">
        <v>151</v>
      </c>
    </row>
    <row r="40" spans="1:14" x14ac:dyDescent="0.2">
      <c r="A40" s="194" t="s">
        <v>153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7"/>
  <sheetViews>
    <sheetView zoomScaleNormal="100" zoomScaleSheetLayoutView="100" workbookViewId="0">
      <selection activeCell="A33" sqref="A33:O3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25">
        <v>43647</v>
      </c>
      <c r="B1" s="373" t="s">
        <v>18</v>
      </c>
      <c r="C1" s="455" t="s">
        <v>225</v>
      </c>
      <c r="D1" s="443" t="s">
        <v>161</v>
      </c>
      <c r="E1" s="372" t="s">
        <v>168</v>
      </c>
      <c r="F1" s="372" t="s">
        <v>167</v>
      </c>
      <c r="G1" s="372" t="s">
        <v>49</v>
      </c>
      <c r="H1" s="372" t="s">
        <v>115</v>
      </c>
      <c r="I1" s="372" t="s">
        <v>201</v>
      </c>
      <c r="J1" s="372" t="s">
        <v>196</v>
      </c>
      <c r="K1" s="372" t="s">
        <v>206</v>
      </c>
      <c r="L1" s="372" t="s">
        <v>166</v>
      </c>
      <c r="M1" s="372" t="s">
        <v>160</v>
      </c>
      <c r="N1" s="372" t="s">
        <v>142</v>
      </c>
      <c r="O1" s="372" t="s">
        <v>21</v>
      </c>
    </row>
    <row r="2" spans="1:15" ht="15" x14ac:dyDescent="0.25">
      <c r="A2" s="493" t="s">
        <v>143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5"/>
    </row>
    <row r="3" spans="1:15" x14ac:dyDescent="0.2">
      <c r="A3" s="47" t="s">
        <v>29</v>
      </c>
      <c r="O3" s="40"/>
    </row>
    <row r="4" spans="1:15" x14ac:dyDescent="0.2">
      <c r="A4" s="47" t="s">
        <v>30</v>
      </c>
      <c r="B4" s="13">
        <f>[3]Delta!$GH$32</f>
        <v>95813</v>
      </c>
      <c r="C4" s="13">
        <f>'[3]Aer Lingus'!$GH$32</f>
        <v>3556</v>
      </c>
      <c r="D4" s="13">
        <f>[3]Pinnacle!$GH$32</f>
        <v>8862</v>
      </c>
      <c r="E4" s="13">
        <f>'[3]Sky West'!$GH$32</f>
        <v>13428</v>
      </c>
      <c r="F4" s="13">
        <f>'[3]Go Jet'!$GH$32</f>
        <v>0</v>
      </c>
      <c r="G4" s="13">
        <f>'[3]Sun Country'!$GH$32</f>
        <v>592</v>
      </c>
      <c r="H4" s="13">
        <f>[3]Icelandair!$GH$32</f>
        <v>6512</v>
      </c>
      <c r="I4" s="13">
        <f>[3]KLM!$GH$32</f>
        <v>4349</v>
      </c>
      <c r="J4" s="13">
        <f>'[3]Air Georgian'!$GH$32</f>
        <v>0</v>
      </c>
      <c r="K4" s="13">
        <f>'[3]Sky Regional'!$GH$32</f>
        <v>6256</v>
      </c>
      <c r="L4" s="13">
        <f>[3]Condor!$GH$32</f>
        <v>4241</v>
      </c>
      <c r="M4" s="13">
        <f>'[3]Air France'!$GH$32</f>
        <v>9152</v>
      </c>
      <c r="N4" s="13">
        <f>'[3]Charter Misc'!$GH$32+[3]Ryan!$GH$32+[3]Omni!$GH$32</f>
        <v>147</v>
      </c>
      <c r="O4" s="242">
        <f>SUM(B4:N4)</f>
        <v>152908</v>
      </c>
    </row>
    <row r="5" spans="1:15" x14ac:dyDescent="0.2">
      <c r="A5" s="47" t="s">
        <v>31</v>
      </c>
      <c r="B5" s="7">
        <f>[3]Delta!$GH$33</f>
        <v>87029</v>
      </c>
      <c r="C5" s="7">
        <f>'[3]Aer Lingus'!$GH$33</f>
        <v>3362</v>
      </c>
      <c r="D5" s="7">
        <f>[3]Pinnacle!$GH$33</f>
        <v>8616</v>
      </c>
      <c r="E5" s="7">
        <f>'[3]Sky West'!$GH$33</f>
        <v>13463</v>
      </c>
      <c r="F5" s="7">
        <f>'[3]Go Jet'!$GH$33</f>
        <v>0</v>
      </c>
      <c r="G5" s="7">
        <f>'[3]Sun Country'!$GH$33</f>
        <v>607</v>
      </c>
      <c r="H5" s="7">
        <f>[3]Icelandair!$GH$33</f>
        <v>4733</v>
      </c>
      <c r="I5" s="7">
        <f>[3]KLM!$GH$33</f>
        <v>3436</v>
      </c>
      <c r="J5" s="7">
        <f>'[3]Air Georgian'!$GH$33</f>
        <v>0</v>
      </c>
      <c r="K5" s="7">
        <f>'[3]Sky Regional'!$GH$33</f>
        <v>5412</v>
      </c>
      <c r="L5" s="7">
        <f>[3]Condor!$GH$33</f>
        <v>4049</v>
      </c>
      <c r="M5" s="7">
        <f>'[3]Air France'!$GH$33</f>
        <v>7138</v>
      </c>
      <c r="N5" s="7">
        <f>'[3]Charter Misc'!$GH$33++[3]Ryan!$GH$33+[3]Omni!$GH$33</f>
        <v>138</v>
      </c>
      <c r="O5" s="243">
        <f>SUM(B5:N5)</f>
        <v>137983</v>
      </c>
    </row>
    <row r="6" spans="1:15" ht="15" x14ac:dyDescent="0.25">
      <c r="A6" s="45" t="s">
        <v>7</v>
      </c>
      <c r="B6" s="25">
        <f t="shared" ref="B6:N6" si="0">SUM(B4:B5)</f>
        <v>182842</v>
      </c>
      <c r="C6" s="25">
        <f t="shared" si="0"/>
        <v>6918</v>
      </c>
      <c r="D6" s="25">
        <f t="shared" si="0"/>
        <v>17478</v>
      </c>
      <c r="E6" s="25">
        <f t="shared" si="0"/>
        <v>26891</v>
      </c>
      <c r="F6" s="25">
        <f t="shared" ref="F6" si="1">SUM(F4:F5)</f>
        <v>0</v>
      </c>
      <c r="G6" s="25">
        <f t="shared" si="0"/>
        <v>1199</v>
      </c>
      <c r="H6" s="25">
        <f t="shared" si="0"/>
        <v>11245</v>
      </c>
      <c r="I6" s="25">
        <f t="shared" ref="I6" si="2">SUM(I4:I5)</f>
        <v>7785</v>
      </c>
      <c r="J6" s="25">
        <f t="shared" si="0"/>
        <v>0</v>
      </c>
      <c r="K6" s="25">
        <f t="shared" ref="K6" si="3">SUM(K4:K5)</f>
        <v>11668</v>
      </c>
      <c r="L6" s="25">
        <f t="shared" ref="L6" si="4">SUM(L4:L5)</f>
        <v>8290</v>
      </c>
      <c r="M6" s="25">
        <f t="shared" si="0"/>
        <v>16290</v>
      </c>
      <c r="N6" s="25">
        <f t="shared" si="0"/>
        <v>285</v>
      </c>
      <c r="O6" s="244">
        <f>SUM(B6:N6)</f>
        <v>290891</v>
      </c>
    </row>
    <row r="7" spans="1:15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42"/>
    </row>
    <row r="8" spans="1:15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42">
        <f>SUM(B8:N8)</f>
        <v>0</v>
      </c>
    </row>
    <row r="9" spans="1:15" x14ac:dyDescent="0.2">
      <c r="A9" s="47" t="s">
        <v>30</v>
      </c>
      <c r="B9" s="13">
        <f>[3]Delta!$GH$37</f>
        <v>2515</v>
      </c>
      <c r="C9" s="13">
        <f>'[3]Aer Lingus'!$GH$37</f>
        <v>30</v>
      </c>
      <c r="D9" s="13">
        <f>[3]Pinnacle!$GH$37</f>
        <v>138</v>
      </c>
      <c r="E9" s="13">
        <f>'[3]Sky West'!$GH$37</f>
        <v>169</v>
      </c>
      <c r="F9" s="13">
        <f>'[3]Go Jet'!$GH$37</f>
        <v>0</v>
      </c>
      <c r="G9" s="13">
        <f>'[3]Sun Country'!$GH$37</f>
        <v>14</v>
      </c>
      <c r="H9" s="13">
        <f>[3]Icelandair!$GH$37</f>
        <v>73</v>
      </c>
      <c r="I9" s="13">
        <f>[3]KLM!$GH$37</f>
        <v>8</v>
      </c>
      <c r="J9" s="13">
        <f>'[3]Air Georgian'!$GH$37</f>
        <v>0</v>
      </c>
      <c r="K9" s="13">
        <f>'[3]Sky Regional'!$GH$37</f>
        <v>88</v>
      </c>
      <c r="L9" s="13">
        <f>[3]Condor!$GH$37</f>
        <v>11</v>
      </c>
      <c r="M9" s="13">
        <f>'[3]Air France'!$GH$37</f>
        <v>7</v>
      </c>
      <c r="N9" s="13">
        <f>'[3]Charter Misc'!$GH$37+[3]Ryan!$GH$37+[3]Omni!$GH$37</f>
        <v>0</v>
      </c>
      <c r="O9" s="242">
        <f>SUM(B9:N9)</f>
        <v>3053</v>
      </c>
    </row>
    <row r="10" spans="1:15" x14ac:dyDescent="0.2">
      <c r="A10" s="47" t="s">
        <v>33</v>
      </c>
      <c r="B10" s="7">
        <f>[3]Delta!$GH$38</f>
        <v>2322</v>
      </c>
      <c r="C10" s="7">
        <f>'[3]Aer Lingus'!$GH$38</f>
        <v>23</v>
      </c>
      <c r="D10" s="7">
        <f>[3]Pinnacle!$GH$38</f>
        <v>119</v>
      </c>
      <c r="E10" s="7">
        <f>'[3]Sky West'!$GH$38</f>
        <v>172</v>
      </c>
      <c r="F10" s="7">
        <f>'[3]Go Jet'!$GH$38</f>
        <v>0</v>
      </c>
      <c r="G10" s="7">
        <f>'[3]Sun Country'!$GH$38</f>
        <v>11</v>
      </c>
      <c r="H10" s="7">
        <f>[3]Icelandair!$GH$38</f>
        <v>65</v>
      </c>
      <c r="I10" s="7">
        <f>[3]KLM!$GH$38</f>
        <v>10</v>
      </c>
      <c r="J10" s="7">
        <f>'[3]Air Georgian'!$GH$38</f>
        <v>0</v>
      </c>
      <c r="K10" s="7">
        <f>'[3]Sky Regional'!$GH$38</f>
        <v>91</v>
      </c>
      <c r="L10" s="7">
        <f>[3]Condor!$GH$38</f>
        <v>9</v>
      </c>
      <c r="M10" s="7">
        <f>'[3]Air France'!$GH$38</f>
        <v>2</v>
      </c>
      <c r="N10" s="7">
        <f>'[3]Charter Misc'!$GH$38+[3]Ryan!$GH$38+[3]Omni!$GH$38</f>
        <v>0</v>
      </c>
      <c r="O10" s="243">
        <f>SUM(B10:N10)</f>
        <v>2824</v>
      </c>
    </row>
    <row r="11" spans="1:15" ht="15.75" thickBot="1" x14ac:dyDescent="0.3">
      <c r="A11" s="48" t="s">
        <v>34</v>
      </c>
      <c r="B11" s="245">
        <f t="shared" ref="B11:G11" si="5">SUM(B9:B10)</f>
        <v>4837</v>
      </c>
      <c r="C11" s="245">
        <f t="shared" si="5"/>
        <v>53</v>
      </c>
      <c r="D11" s="245">
        <f t="shared" si="5"/>
        <v>257</v>
      </c>
      <c r="E11" s="245">
        <f t="shared" si="5"/>
        <v>341</v>
      </c>
      <c r="F11" s="245">
        <f t="shared" ref="F11" si="6">SUM(F9:F10)</f>
        <v>0</v>
      </c>
      <c r="G11" s="245">
        <f t="shared" si="5"/>
        <v>25</v>
      </c>
      <c r="H11" s="245">
        <f t="shared" ref="H11:N11" si="7">SUM(H9:H10)</f>
        <v>138</v>
      </c>
      <c r="I11" s="245">
        <f t="shared" ref="I11" si="8">SUM(I9:I10)</f>
        <v>18</v>
      </c>
      <c r="J11" s="245">
        <f t="shared" si="7"/>
        <v>0</v>
      </c>
      <c r="K11" s="245">
        <f t="shared" ref="K11" si="9">SUM(K9:K10)</f>
        <v>179</v>
      </c>
      <c r="L11" s="245">
        <f t="shared" si="7"/>
        <v>20</v>
      </c>
      <c r="M11" s="245">
        <f t="shared" si="7"/>
        <v>9</v>
      </c>
      <c r="N11" s="245">
        <f t="shared" si="7"/>
        <v>0</v>
      </c>
      <c r="O11" s="246">
        <f>SUM(B11:N11)</f>
        <v>5877</v>
      </c>
    </row>
    <row r="12" spans="1:15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7"/>
    </row>
    <row r="13" spans="1:15" ht="39" thickBot="1" x14ac:dyDescent="0.25">
      <c r="B13" s="373" t="s">
        <v>18</v>
      </c>
      <c r="C13" s="455" t="s">
        <v>225</v>
      </c>
      <c r="D13" s="443" t="s">
        <v>161</v>
      </c>
      <c r="E13" s="373" t="s">
        <v>99</v>
      </c>
      <c r="F13" s="372" t="s">
        <v>167</v>
      </c>
      <c r="G13" s="373" t="s">
        <v>141</v>
      </c>
      <c r="H13" s="373" t="s">
        <v>115</v>
      </c>
      <c r="I13" s="372" t="s">
        <v>201</v>
      </c>
      <c r="J13" s="372" t="s">
        <v>196</v>
      </c>
      <c r="K13" s="372" t="s">
        <v>206</v>
      </c>
      <c r="L13" s="372" t="s">
        <v>166</v>
      </c>
      <c r="M13" s="373" t="s">
        <v>160</v>
      </c>
      <c r="N13" s="373" t="s">
        <v>142</v>
      </c>
      <c r="O13" s="372" t="s">
        <v>144</v>
      </c>
    </row>
    <row r="14" spans="1:15" ht="15" x14ac:dyDescent="0.25">
      <c r="A14" s="496" t="s">
        <v>145</v>
      </c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8"/>
    </row>
    <row r="15" spans="1:15" x14ac:dyDescent="0.2">
      <c r="A15" s="47" t="s">
        <v>29</v>
      </c>
      <c r="O15" s="40"/>
    </row>
    <row r="16" spans="1:15" x14ac:dyDescent="0.2">
      <c r="A16" s="47" t="s">
        <v>30</v>
      </c>
      <c r="B16" s="13">
        <f>SUM([3]Delta!$GB$32:$GH$32)</f>
        <v>623020</v>
      </c>
      <c r="C16" s="13">
        <f>SUM('[3]Aer Lingus'!$GB$32:$GH$32)</f>
        <v>3556</v>
      </c>
      <c r="D16" s="13">
        <f>SUM([3]Pinnacle!$GB$32:$GH$32)</f>
        <v>42283</v>
      </c>
      <c r="E16" s="13">
        <f>SUM('[3]Sky West'!$GB$32:$GH$32)</f>
        <v>79616</v>
      </c>
      <c r="F16" s="13">
        <f>SUM('[3]Go Jet'!$GB$32:$GH$32)</f>
        <v>5012</v>
      </c>
      <c r="G16" s="13">
        <f>SUM('[3]Sun Country'!$GB$32:$GH$32)</f>
        <v>118955</v>
      </c>
      <c r="H16" s="13">
        <f>SUM([3]Icelandair!$GB$32:$GH$32)</f>
        <v>23593</v>
      </c>
      <c r="I16" s="13">
        <f>SUM([3]KLM!$GB$32:$GH$32)</f>
        <v>27577</v>
      </c>
      <c r="J16" s="13">
        <f>SUM('[3]Air Georgian'!$GB$32:$GH$32)</f>
        <v>0</v>
      </c>
      <c r="K16" s="13">
        <f>SUM('[3]Sky Regional'!$GB$32:$GH$32)</f>
        <v>33573</v>
      </c>
      <c r="L16" s="13">
        <f>SUM([3]Condor!$GB$32:$GH$32)</f>
        <v>6750</v>
      </c>
      <c r="M16" s="13">
        <f>SUM('[3]Air France'!$GB$32:$GH$32)</f>
        <v>22824</v>
      </c>
      <c r="N16" s="13">
        <f>SUM('[3]Charter Misc'!$GB$32:$GH$32)+SUM([3]Ryan!$GB$32:$GH$32)+SUM([3]Omni!$GB$32:$GH$32)</f>
        <v>359</v>
      </c>
      <c r="O16" s="242">
        <f>SUM(B16:N16)</f>
        <v>987118</v>
      </c>
    </row>
    <row r="17" spans="1:18" x14ac:dyDescent="0.2">
      <c r="A17" s="47" t="s">
        <v>31</v>
      </c>
      <c r="B17" s="7">
        <f>SUM([3]Delta!$GB$33:$GH$33)</f>
        <v>614030</v>
      </c>
      <c r="C17" s="7">
        <f>SUM('[3]Aer Lingus'!$GB$33:$GH$33)</f>
        <v>3362</v>
      </c>
      <c r="D17" s="7">
        <f>SUM([3]Pinnacle!$GB$33:$GH$33)</f>
        <v>43802</v>
      </c>
      <c r="E17" s="7">
        <f>SUM('[3]Sky West'!$GB$33:$GH$33)</f>
        <v>81107</v>
      </c>
      <c r="F17" s="7">
        <f>SUM('[3]Go Jet'!$GB$33:$GH$33)</f>
        <v>5685</v>
      </c>
      <c r="G17" s="7">
        <f>SUM('[3]Sun Country'!$GB$33:$GH$33)</f>
        <v>111102</v>
      </c>
      <c r="H17" s="7">
        <f>SUM([3]Icelandair!$GB$33:$GH$33)</f>
        <v>23494</v>
      </c>
      <c r="I17" s="7">
        <f>SUM([3]KLM!$GB$33:$GH$33)</f>
        <v>26029</v>
      </c>
      <c r="J17" s="7">
        <f>SUM('[3]Air Georgian'!$GB$33:$GH$33)</f>
        <v>0</v>
      </c>
      <c r="K17" s="7">
        <f>SUM('[3]Sky Regional'!$GB$33:$GH$33)</f>
        <v>32960</v>
      </c>
      <c r="L17" s="7">
        <f>SUM([3]Condor!$GB$33:$GH$33)</f>
        <v>6810</v>
      </c>
      <c r="M17" s="7">
        <f>SUM('[3]Air France'!$GB$33:$GH$33)</f>
        <v>21566</v>
      </c>
      <c r="N17" s="7">
        <f>SUM('[3]Charter Misc'!$GB$33:$GH$33)++SUM([3]Ryan!$GB$33:$GH$33)+SUM([3]Omni!$GB$33:$GH$33)</f>
        <v>381</v>
      </c>
      <c r="O17" s="243">
        <f>SUM(B17:N17)</f>
        <v>970328</v>
      </c>
    </row>
    <row r="18" spans="1:18" ht="15" x14ac:dyDescent="0.25">
      <c r="A18" s="45" t="s">
        <v>7</v>
      </c>
      <c r="B18" s="25">
        <f t="shared" ref="B18:N18" si="10">SUM(B16:B17)</f>
        <v>1237050</v>
      </c>
      <c r="C18" s="25">
        <f t="shared" si="10"/>
        <v>6918</v>
      </c>
      <c r="D18" s="25">
        <f t="shared" si="10"/>
        <v>86085</v>
      </c>
      <c r="E18" s="25">
        <f t="shared" si="10"/>
        <v>160723</v>
      </c>
      <c r="F18" s="25">
        <f t="shared" ref="F18" si="11">SUM(F16:F17)</f>
        <v>10697</v>
      </c>
      <c r="G18" s="25">
        <f t="shared" si="10"/>
        <v>230057</v>
      </c>
      <c r="H18" s="25">
        <f t="shared" si="10"/>
        <v>47087</v>
      </c>
      <c r="I18" s="25">
        <f t="shared" ref="I18" si="12">SUM(I16:I17)</f>
        <v>53606</v>
      </c>
      <c r="J18" s="25">
        <f t="shared" si="10"/>
        <v>0</v>
      </c>
      <c r="K18" s="25">
        <f t="shared" ref="K18" si="13">SUM(K16:K17)</f>
        <v>66533</v>
      </c>
      <c r="L18" s="25">
        <f t="shared" ref="L18" si="14">SUM(L16:L17)</f>
        <v>13560</v>
      </c>
      <c r="M18" s="25">
        <f t="shared" si="10"/>
        <v>44390</v>
      </c>
      <c r="N18" s="25">
        <f t="shared" si="10"/>
        <v>740</v>
      </c>
      <c r="O18" s="244">
        <f>SUM(B18:N18)</f>
        <v>1957446</v>
      </c>
      <c r="R18" s="267"/>
    </row>
    <row r="19" spans="1:18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42"/>
      <c r="R19" s="97"/>
    </row>
    <row r="20" spans="1:18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42">
        <f>SUM(B20:N20)</f>
        <v>0</v>
      </c>
    </row>
    <row r="21" spans="1:18" x14ac:dyDescent="0.2">
      <c r="A21" s="47" t="s">
        <v>30</v>
      </c>
      <c r="B21" s="13">
        <f>SUM([3]Delta!$GB$37:$GH$37)</f>
        <v>16481</v>
      </c>
      <c r="C21" s="13">
        <f>SUM('[3]Aer Lingus'!$GB$37:$GH$37)</f>
        <v>30</v>
      </c>
      <c r="D21" s="13">
        <f>SUM([3]Pinnacle!$GB$37:$GH$37)</f>
        <v>655</v>
      </c>
      <c r="E21" s="13">
        <f>SUM('[3]Sky West'!$GB$37:$GH$37)</f>
        <v>879</v>
      </c>
      <c r="F21" s="13">
        <f>SUM('[3]Go Jet'!$GB$37:$GH$37)</f>
        <v>110</v>
      </c>
      <c r="G21" s="13">
        <f>SUM('[3]Sun Country'!$GB$37:$GH$37)</f>
        <v>819</v>
      </c>
      <c r="H21" s="13">
        <f>SUM([3]Icelandair!$GB$37:$GH$37)</f>
        <v>214</v>
      </c>
      <c r="I21" s="13">
        <f>SUM([3]KLM!$GB$37:$GH$37)</f>
        <v>83</v>
      </c>
      <c r="J21" s="13">
        <f>SUM('[3]Air Georgian'!$GB$37:$GH$37)</f>
        <v>0</v>
      </c>
      <c r="K21" s="13">
        <f>SUM('[3]Sky Regional'!$GB$37:$GH$37)</f>
        <v>347</v>
      </c>
      <c r="L21" s="13">
        <f>SUM([3]Condor!$GB$37:$GH$37)</f>
        <v>12</v>
      </c>
      <c r="M21" s="13">
        <f>SUM('[3]Air France'!$GB$37:$GH$37)</f>
        <v>11</v>
      </c>
      <c r="N21" s="13">
        <f>SUM('[3]Charter Misc'!$GB$37:$GH$37)++SUM([3]Ryan!$GB$37:$GH$37)+SUM([3]Omni!$GB$37:$GH$37)</f>
        <v>0</v>
      </c>
      <c r="O21" s="242">
        <f>SUM(B21:N21)</f>
        <v>19641</v>
      </c>
    </row>
    <row r="22" spans="1:18" x14ac:dyDescent="0.2">
      <c r="A22" s="47" t="s">
        <v>33</v>
      </c>
      <c r="B22" s="7">
        <f>SUM([3]Delta!$GB$38:$GH$38)</f>
        <v>16340</v>
      </c>
      <c r="C22" s="7">
        <f>SUM('[3]Aer Lingus'!$GB$38:$GH$38)</f>
        <v>23</v>
      </c>
      <c r="D22" s="7">
        <f>SUM([3]Pinnacle!$GB$38:$GH$38)</f>
        <v>572</v>
      </c>
      <c r="E22" s="7">
        <f>SUM('[3]Sky West'!$GB$38:$GH$38)</f>
        <v>865</v>
      </c>
      <c r="F22" s="7">
        <f>SUM('[3]Go Jet'!$GB$38:$GH$38)</f>
        <v>70</v>
      </c>
      <c r="G22" s="7">
        <f>SUM('[3]Sun Country'!$GB$38:$GH$38)</f>
        <v>949</v>
      </c>
      <c r="H22" s="7">
        <f>SUM([3]Icelandair!$GB$38:$GH$38)</f>
        <v>216</v>
      </c>
      <c r="I22" s="7">
        <f>SUM([3]KLM!$GB$38:$GH$38)</f>
        <v>81</v>
      </c>
      <c r="J22" s="7">
        <f>SUM('[3]Air Georgian'!$GB$38:$GH$38)</f>
        <v>0</v>
      </c>
      <c r="K22" s="7">
        <f>SUM('[3]Sky Regional'!$GB$38:$GH$38)</f>
        <v>404</v>
      </c>
      <c r="L22" s="7">
        <f>SUM([3]Condor!$GB$38:$GH$38)</f>
        <v>9</v>
      </c>
      <c r="M22" s="7">
        <f>SUM('[3]Air France'!$GB$38:$GH$38)</f>
        <v>8</v>
      </c>
      <c r="N22" s="7">
        <f>SUM('[3]Charter Misc'!$GB$38:$GH$38)++SUM([3]Ryan!$GB$38:$GH$38)+SUM([3]Omni!$GB$38:$GH$38)</f>
        <v>0</v>
      </c>
      <c r="O22" s="243">
        <f>SUM(B22:N22)</f>
        <v>19537</v>
      </c>
    </row>
    <row r="23" spans="1:18" ht="15.75" thickBot="1" x14ac:dyDescent="0.3">
      <c r="A23" s="48" t="s">
        <v>34</v>
      </c>
      <c r="B23" s="245">
        <f t="shared" ref="B23:N23" si="15">SUM(B21:B22)</f>
        <v>32821</v>
      </c>
      <c r="C23" s="245">
        <f t="shared" si="15"/>
        <v>53</v>
      </c>
      <c r="D23" s="245">
        <f t="shared" si="15"/>
        <v>1227</v>
      </c>
      <c r="E23" s="245">
        <f t="shared" si="15"/>
        <v>1744</v>
      </c>
      <c r="F23" s="245">
        <f t="shared" ref="F23" si="16">SUM(F21:F22)</f>
        <v>180</v>
      </c>
      <c r="G23" s="245">
        <f t="shared" si="15"/>
        <v>1768</v>
      </c>
      <c r="H23" s="245">
        <f t="shared" si="15"/>
        <v>430</v>
      </c>
      <c r="I23" s="245">
        <f t="shared" ref="I23" si="17">SUM(I21:I22)</f>
        <v>164</v>
      </c>
      <c r="J23" s="245">
        <f t="shared" si="15"/>
        <v>0</v>
      </c>
      <c r="K23" s="245">
        <f t="shared" ref="K23" si="18">SUM(K21:K22)</f>
        <v>751</v>
      </c>
      <c r="L23" s="245">
        <f t="shared" ref="L23" si="19">SUM(L21:L22)</f>
        <v>21</v>
      </c>
      <c r="M23" s="245">
        <f t="shared" si="15"/>
        <v>19</v>
      </c>
      <c r="N23" s="245">
        <f t="shared" si="15"/>
        <v>0</v>
      </c>
      <c r="O23" s="246">
        <f>SUM(B23:N23)</f>
        <v>39178</v>
      </c>
    </row>
    <row r="25" spans="1:18" ht="39" thickBot="1" x14ac:dyDescent="0.25">
      <c r="B25" s="373" t="s">
        <v>18</v>
      </c>
      <c r="C25" s="455" t="s">
        <v>225</v>
      </c>
      <c r="D25" s="443" t="s">
        <v>161</v>
      </c>
      <c r="E25" s="373" t="s">
        <v>99</v>
      </c>
      <c r="F25" s="372" t="s">
        <v>167</v>
      </c>
      <c r="G25" s="373" t="s">
        <v>141</v>
      </c>
      <c r="H25" s="373" t="s">
        <v>115</v>
      </c>
      <c r="I25" s="372" t="s">
        <v>201</v>
      </c>
      <c r="J25" s="372" t="s">
        <v>196</v>
      </c>
      <c r="K25" s="372" t="s">
        <v>206</v>
      </c>
      <c r="L25" s="372" t="s">
        <v>166</v>
      </c>
      <c r="M25" s="373" t="s">
        <v>160</v>
      </c>
      <c r="N25" s="373" t="s">
        <v>142</v>
      </c>
      <c r="O25" s="372" t="s">
        <v>21</v>
      </c>
    </row>
    <row r="26" spans="1:18" ht="15" x14ac:dyDescent="0.25">
      <c r="A26" s="499" t="s">
        <v>146</v>
      </c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1"/>
    </row>
    <row r="27" spans="1:18" x14ac:dyDescent="0.2">
      <c r="A27" s="47" t="s">
        <v>22</v>
      </c>
      <c r="B27" s="13">
        <f>[3]Delta!$GH$15</f>
        <v>495</v>
      </c>
      <c r="C27" s="13">
        <f>'[3]Aer Lingus'!$GH$15</f>
        <v>23</v>
      </c>
      <c r="D27" s="13">
        <f>[3]Pinnacle!$GH$15</f>
        <v>124</v>
      </c>
      <c r="E27" s="13">
        <f>'[3]Sky West'!$GH$15</f>
        <v>203</v>
      </c>
      <c r="F27" s="13">
        <f>'[3]Go Jet'!$GH$15</f>
        <v>0</v>
      </c>
      <c r="G27" s="13">
        <f>'[3]Sun Country'!$GH$15</f>
        <v>5</v>
      </c>
      <c r="H27" s="13">
        <f>[3]Icelandair!$GH$15</f>
        <v>31</v>
      </c>
      <c r="I27" s="13">
        <f>[3]KLM!$GH$15</f>
        <v>16</v>
      </c>
      <c r="J27" s="13">
        <f>'[3]Air Georgian'!$GH$15</f>
        <v>0</v>
      </c>
      <c r="K27" s="13">
        <f>'[3]Sky Regional'!$GH$15</f>
        <v>93</v>
      </c>
      <c r="L27" s="13">
        <f>[3]Condor!$GH$15</f>
        <v>17</v>
      </c>
      <c r="M27" s="13">
        <f>'[3]Air France'!$GH$15</f>
        <v>31</v>
      </c>
      <c r="N27" s="13">
        <f>'[3]Charter Misc'!$GH$15+[3]Ryan!$GH$15+[3]Omni!$GH$15</f>
        <v>1</v>
      </c>
      <c r="O27" s="242">
        <f>SUM(B27:N27)</f>
        <v>1039</v>
      </c>
    </row>
    <row r="28" spans="1:18" x14ac:dyDescent="0.2">
      <c r="A28" s="47" t="s">
        <v>23</v>
      </c>
      <c r="B28" s="13">
        <f>[3]Delta!$GH$16</f>
        <v>499</v>
      </c>
      <c r="C28" s="13">
        <f>'[3]Aer Lingus'!$GH$16</f>
        <v>23</v>
      </c>
      <c r="D28" s="13">
        <f>[3]Pinnacle!$GH$16</f>
        <v>125</v>
      </c>
      <c r="E28" s="13">
        <f>'[3]Sky West'!$GH$16</f>
        <v>206</v>
      </c>
      <c r="F28" s="13">
        <f>'[3]Go Jet'!$GH$16</f>
        <v>0</v>
      </c>
      <c r="G28" s="13">
        <f>'[3]Sun Country'!$GH$16</f>
        <v>5</v>
      </c>
      <c r="H28" s="13">
        <f>[3]Icelandair!$GH$16</f>
        <v>31</v>
      </c>
      <c r="I28" s="13">
        <f>[3]KLM!$GH$16</f>
        <v>16</v>
      </c>
      <c r="J28" s="13">
        <f>'[3]Air Georgian'!$GH$16</f>
        <v>0</v>
      </c>
      <c r="K28" s="13">
        <f>'[3]Sky Regional'!$GH$16</f>
        <v>93</v>
      </c>
      <c r="L28" s="13">
        <f>[3]Condor!$GH$16</f>
        <v>17</v>
      </c>
      <c r="M28" s="13">
        <f>'[3]Air France'!$GH$16</f>
        <v>31</v>
      </c>
      <c r="N28" s="13">
        <f>'[3]Charter Misc'!$GH$16+[3]Ryan!$GH$16+[3]Omni!$GH$16</f>
        <v>1</v>
      </c>
      <c r="O28" s="242">
        <f>SUM(B28:N28)</f>
        <v>1047</v>
      </c>
    </row>
    <row r="29" spans="1:18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42"/>
    </row>
    <row r="30" spans="1:18" ht="15.75" thickBot="1" x14ac:dyDescent="0.3">
      <c r="A30" s="48" t="s">
        <v>28</v>
      </c>
      <c r="B30" s="328">
        <f t="shared" ref="B30:J30" si="20">SUM(B27:B28)</f>
        <v>994</v>
      </c>
      <c r="C30" s="328">
        <f t="shared" si="20"/>
        <v>46</v>
      </c>
      <c r="D30" s="328">
        <f t="shared" si="20"/>
        <v>249</v>
      </c>
      <c r="E30" s="328">
        <f>SUM(E27:E28)</f>
        <v>409</v>
      </c>
      <c r="F30" s="328">
        <f>SUM(F27:F28)</f>
        <v>0</v>
      </c>
      <c r="G30" s="328">
        <f t="shared" si="20"/>
        <v>10</v>
      </c>
      <c r="H30" s="328">
        <f t="shared" si="20"/>
        <v>62</v>
      </c>
      <c r="I30" s="328">
        <f t="shared" ref="I30" si="21">SUM(I27:I28)</f>
        <v>32</v>
      </c>
      <c r="J30" s="328">
        <f t="shared" si="20"/>
        <v>0</v>
      </c>
      <c r="K30" s="328">
        <f t="shared" ref="K30" si="22">SUM(K27:K28)</f>
        <v>186</v>
      </c>
      <c r="L30" s="328">
        <f>SUM(L27:L28)</f>
        <v>34</v>
      </c>
      <c r="M30" s="328">
        <f>SUM(M27:M28)</f>
        <v>62</v>
      </c>
      <c r="N30" s="328">
        <f>SUM(N27:N28)</f>
        <v>2</v>
      </c>
      <c r="O30" s="329">
        <f>SUM(B30:N30)</f>
        <v>2086</v>
      </c>
    </row>
    <row r="31" spans="1:18" ht="15" x14ac:dyDescent="0.25">
      <c r="A31" s="330"/>
    </row>
    <row r="32" spans="1:18" ht="39" thickBot="1" x14ac:dyDescent="0.25">
      <c r="B32" s="373" t="s">
        <v>18</v>
      </c>
      <c r="C32" s="455" t="s">
        <v>225</v>
      </c>
      <c r="D32" s="443" t="s">
        <v>161</v>
      </c>
      <c r="E32" s="373" t="s">
        <v>99</v>
      </c>
      <c r="F32" s="372" t="s">
        <v>167</v>
      </c>
      <c r="G32" s="373" t="s">
        <v>141</v>
      </c>
      <c r="H32" s="373" t="s">
        <v>115</v>
      </c>
      <c r="I32" s="372" t="s">
        <v>201</v>
      </c>
      <c r="J32" s="372" t="s">
        <v>196</v>
      </c>
      <c r="K32" s="372" t="s">
        <v>206</v>
      </c>
      <c r="L32" s="372" t="s">
        <v>166</v>
      </c>
      <c r="M32" s="373" t="s">
        <v>160</v>
      </c>
      <c r="N32" s="373" t="s">
        <v>142</v>
      </c>
      <c r="O32" s="372" t="s">
        <v>144</v>
      </c>
    </row>
    <row r="33" spans="1:15" ht="15" x14ac:dyDescent="0.25">
      <c r="A33" s="502" t="s">
        <v>147</v>
      </c>
      <c r="B33" s="503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4"/>
    </row>
    <row r="34" spans="1:15" x14ac:dyDescent="0.2">
      <c r="A34" s="47" t="s">
        <v>22</v>
      </c>
      <c r="B34" s="13">
        <f>SUM([3]Delta!$GB$15:$GH$15)</f>
        <v>3776</v>
      </c>
      <c r="C34" s="13">
        <f>SUM('[3]Aer Lingus'!$GB$15:$GH$15)</f>
        <v>23</v>
      </c>
      <c r="D34" s="13">
        <f>SUM([3]Pinnacle!$GB$15:$GH$15)</f>
        <v>644</v>
      </c>
      <c r="E34" s="13">
        <f>SUM('[3]Sky West'!$GB$15:$GH$15)</f>
        <v>1269</v>
      </c>
      <c r="F34" s="13">
        <f>SUM('[3]Go Jet'!$GB$15:$GH$15)</f>
        <v>95</v>
      </c>
      <c r="G34" s="13">
        <f>SUM('[3]Sun Country'!$GB$15:$GH$15)</f>
        <v>848</v>
      </c>
      <c r="H34" s="13">
        <f>SUM([3]Icelandair!$GB$15:$GH$15)</f>
        <v>135</v>
      </c>
      <c r="I34" s="13">
        <f>SUM([3]KLM!$GB$15:$GH$15)</f>
        <v>117</v>
      </c>
      <c r="J34" s="13">
        <f>SUM('[3]Air Georgian'!$GB$15:$GH$15)</f>
        <v>0</v>
      </c>
      <c r="K34" s="13">
        <f>SUM('[3]Sky Regional'!$GB$15:$GH$15)</f>
        <v>582</v>
      </c>
      <c r="L34" s="13">
        <f>SUM([3]Condor!$GB$15:$GH$15)</f>
        <v>28</v>
      </c>
      <c r="M34" s="13">
        <f>SUM('[3]Air France'!$GB$15:$GH$15)</f>
        <v>88</v>
      </c>
      <c r="N34" s="13">
        <f>SUM('[3]Charter Misc'!$GB$15:$GH$15)+SUM([3]Ryan!$GB$15:$GH$15)+SUM([3]Omni!$GB$15:$GH$15)</f>
        <v>1</v>
      </c>
      <c r="O34" s="242">
        <f>SUM(B34:N34)</f>
        <v>7606</v>
      </c>
    </row>
    <row r="35" spans="1:15" x14ac:dyDescent="0.2">
      <c r="A35" s="47" t="s">
        <v>23</v>
      </c>
      <c r="B35" s="13">
        <f>SUM([3]Delta!$GB$16:$GH$16)</f>
        <v>3791</v>
      </c>
      <c r="C35" s="13">
        <f>SUM('[3]Aer Lingus'!$GB$16:$GH$16)</f>
        <v>23</v>
      </c>
      <c r="D35" s="13">
        <f>SUM([3]Pinnacle!$GB$16:$GH$16)</f>
        <v>645</v>
      </c>
      <c r="E35" s="13">
        <f>SUM('[3]Sky West'!$GB$16:$GH$16)</f>
        <v>1273</v>
      </c>
      <c r="F35" s="13">
        <f>SUM('[3]Go Jet'!$GB$16:$GH$16)</f>
        <v>95</v>
      </c>
      <c r="G35" s="13">
        <f>SUM('[3]Sun Country'!$GB$16:$GH$16)</f>
        <v>845</v>
      </c>
      <c r="H35" s="13">
        <f>SUM([3]Icelandair!$GB$16:$GH$16)</f>
        <v>135</v>
      </c>
      <c r="I35" s="13">
        <f>SUM([3]KLM!$GB$16:$GH$16)</f>
        <v>117</v>
      </c>
      <c r="J35" s="13">
        <f>SUM('[3]Air Georgian'!$GB$16:$GH$16)</f>
        <v>0</v>
      </c>
      <c r="K35" s="13">
        <f>SUM('[3]Sky Regional'!$GB$16:$GH$16)</f>
        <v>582</v>
      </c>
      <c r="L35" s="13">
        <f>SUM([3]Condor!$GB$16:$GH$16)</f>
        <v>28</v>
      </c>
      <c r="M35" s="13">
        <f>SUM('[3]Air France'!$GB$16:$GH$16)</f>
        <v>88</v>
      </c>
      <c r="N35" s="13">
        <f>SUM('[3]Charter Misc'!$GB$16:$GH$16)+SUM([3]Ryan!$GB$16:$GH$16)+SUM([3]Omni!$GB$16:$GH$16)</f>
        <v>2</v>
      </c>
      <c r="O35" s="242">
        <f>SUM(B35:N35)</f>
        <v>7624</v>
      </c>
    </row>
    <row r="36" spans="1:15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42"/>
    </row>
    <row r="37" spans="1:15" ht="15.75" thickBot="1" x14ac:dyDescent="0.3">
      <c r="A37" s="48" t="s">
        <v>28</v>
      </c>
      <c r="B37" s="328">
        <f t="shared" ref="B37:J37" si="23">+SUM(B34:B35)</f>
        <v>7567</v>
      </c>
      <c r="C37" s="328">
        <f t="shared" si="23"/>
        <v>46</v>
      </c>
      <c r="D37" s="328">
        <f t="shared" si="23"/>
        <v>1289</v>
      </c>
      <c r="E37" s="328">
        <f>+SUM(E34:E35)</f>
        <v>2542</v>
      </c>
      <c r="F37" s="328">
        <f>+SUM(F34:F35)</f>
        <v>190</v>
      </c>
      <c r="G37" s="328">
        <f t="shared" si="23"/>
        <v>1693</v>
      </c>
      <c r="H37" s="328">
        <f t="shared" si="23"/>
        <v>270</v>
      </c>
      <c r="I37" s="328">
        <f t="shared" ref="I37" si="24">+SUM(I34:I35)</f>
        <v>234</v>
      </c>
      <c r="J37" s="328">
        <f t="shared" si="23"/>
        <v>0</v>
      </c>
      <c r="K37" s="328">
        <f t="shared" ref="K37" si="25">+SUM(K34:K35)</f>
        <v>1164</v>
      </c>
      <c r="L37" s="328">
        <f>+SUM(L34:L35)</f>
        <v>56</v>
      </c>
      <c r="M37" s="328">
        <f>+SUM(M34:M35)</f>
        <v>176</v>
      </c>
      <c r="N37" s="328">
        <f>+SUM(N34:N35)</f>
        <v>3</v>
      </c>
      <c r="O37" s="329">
        <f>SUM(B37:N37)</f>
        <v>15230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67" orientation="landscape" r:id="rId1"/>
  <headerFooter alignWithMargins="0">
    <oddHeader>&amp;LSchedule 9&amp;CMinneapolis-St. Paul International Airport
&amp;"Arial,Bold"International Detail&amp;"Arial,Regular"
&amp;"Arial,Bold"July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8"/>
  <sheetViews>
    <sheetView topLeftCell="A31" zoomScale="115" zoomScaleNormal="115" zoomScaleSheetLayoutView="85" workbookViewId="0">
      <selection activeCell="P80" sqref="P80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7109375" style="2" bestFit="1" customWidth="1"/>
    <col min="4" max="4" width="9" style="2" bestFit="1" customWidth="1"/>
    <col min="5" max="5" width="8.85546875" style="3" bestFit="1" customWidth="1"/>
    <col min="6" max="6" width="8.5703125" style="192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" customWidth="1"/>
    <col min="11" max="11" width="14.42578125" style="196" bestFit="1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08" t="s">
        <v>134</v>
      </c>
      <c r="B1" s="509"/>
      <c r="C1" s="382" t="s">
        <v>219</v>
      </c>
      <c r="D1" s="383" t="s">
        <v>202</v>
      </c>
      <c r="E1" s="229" t="s">
        <v>97</v>
      </c>
      <c r="F1" s="228" t="s">
        <v>220</v>
      </c>
      <c r="G1" s="383" t="s">
        <v>203</v>
      </c>
      <c r="H1" s="227" t="s">
        <v>98</v>
      </c>
      <c r="I1" s="229" t="s">
        <v>139</v>
      </c>
      <c r="J1" s="514" t="s">
        <v>138</v>
      </c>
      <c r="K1" s="515"/>
      <c r="L1" s="380" t="s">
        <v>221</v>
      </c>
      <c r="M1" s="381" t="s">
        <v>204</v>
      </c>
      <c r="N1" s="298" t="s">
        <v>98</v>
      </c>
      <c r="O1" s="416" t="s">
        <v>222</v>
      </c>
      <c r="P1" s="230" t="s">
        <v>205</v>
      </c>
      <c r="Q1" s="414" t="s">
        <v>98</v>
      </c>
      <c r="R1" s="417" t="s">
        <v>139</v>
      </c>
    </row>
    <row r="2" spans="1:18" s="9" customFormat="1" ht="13.5" customHeight="1" thickBot="1" x14ac:dyDescent="0.25">
      <c r="A2" s="510">
        <v>43647</v>
      </c>
      <c r="B2" s="511"/>
      <c r="C2" s="512" t="s">
        <v>9</v>
      </c>
      <c r="D2" s="513"/>
      <c r="E2" s="513"/>
      <c r="F2" s="513"/>
      <c r="G2" s="513"/>
      <c r="H2" s="513"/>
      <c r="I2" s="384"/>
      <c r="J2" s="510">
        <f>+A2</f>
        <v>43647</v>
      </c>
      <c r="K2" s="511"/>
      <c r="L2" s="505" t="s">
        <v>140</v>
      </c>
      <c r="M2" s="506"/>
      <c r="N2" s="506"/>
      <c r="O2" s="506"/>
      <c r="P2" s="506"/>
      <c r="Q2" s="506"/>
      <c r="R2" s="507"/>
    </row>
    <row r="3" spans="1:18" x14ac:dyDescent="0.2">
      <c r="A3" s="299"/>
      <c r="B3" s="300"/>
      <c r="C3" s="301"/>
      <c r="D3" s="302"/>
      <c r="E3" s="303"/>
      <c r="F3" s="356"/>
      <c r="G3" s="302"/>
      <c r="H3" s="412"/>
      <c r="I3" s="303"/>
      <c r="J3" s="304"/>
      <c r="K3" s="300"/>
      <c r="L3" s="310"/>
      <c r="N3" s="67"/>
      <c r="O3" s="299"/>
      <c r="P3" s="305"/>
      <c r="Q3" s="305"/>
      <c r="R3" s="300"/>
    </row>
    <row r="4" spans="1:18" x14ac:dyDescent="0.2">
      <c r="A4" s="306" t="s">
        <v>225</v>
      </c>
      <c r="B4" s="40"/>
      <c r="C4" s="307">
        <f>'[3]Aer Lingus'!$GH$19</f>
        <v>46</v>
      </c>
      <c r="D4" s="150">
        <f>'[3]Aer Lingus'!$FT$19</f>
        <v>0</v>
      </c>
      <c r="E4" s="309" t="e">
        <f>(C4-D4)/D4</f>
        <v>#DIV/0!</v>
      </c>
      <c r="F4" s="150">
        <f>SUM('[3]Aer Lingus'!$GB$19:$GH$19)</f>
        <v>46</v>
      </c>
      <c r="G4" s="150">
        <f>SUM('[3]Aer Lingus'!$FN$19:$FT$19)</f>
        <v>0</v>
      </c>
      <c r="H4" s="308" t="e">
        <f>(F4-G4)/G4</f>
        <v>#DIV/0!</v>
      </c>
      <c r="I4" s="309">
        <f>F4/$F$69</f>
        <v>2.1365238756543105E-4</v>
      </c>
      <c r="J4" s="306" t="s">
        <v>225</v>
      </c>
      <c r="K4" s="40"/>
      <c r="L4" s="307">
        <f>'[3]Aer Lingus'!$GH$41</f>
        <v>6918</v>
      </c>
      <c r="M4" s="150">
        <f>'[3]Aer Lingus'!$FT$41</f>
        <v>0</v>
      </c>
      <c r="N4" s="309" t="e">
        <f>(L4-M4)/M4</f>
        <v>#DIV/0!</v>
      </c>
      <c r="O4" s="307">
        <f>SUM('[3]Aer Lingus'!$GB$41:$GH$41)</f>
        <v>6918</v>
      </c>
      <c r="P4" s="150">
        <f>SUM('[3]Aer Lingus'!$FN$41:$FT$41)</f>
        <v>0</v>
      </c>
      <c r="Q4" s="308" t="e">
        <f>(O4-P4)/P4</f>
        <v>#DIV/0!</v>
      </c>
      <c r="R4" s="309">
        <f>O4/$O$69</f>
        <v>3.119841978515572E-4</v>
      </c>
    </row>
    <row r="5" spans="1:18" x14ac:dyDescent="0.2">
      <c r="A5" s="38"/>
      <c r="B5" s="40"/>
      <c r="C5" s="310"/>
      <c r="D5" s="447"/>
      <c r="E5" s="67"/>
      <c r="F5" s="448"/>
      <c r="G5" s="447"/>
      <c r="H5" s="449"/>
      <c r="I5" s="67"/>
      <c r="J5" s="450"/>
      <c r="K5" s="40"/>
      <c r="L5" s="310"/>
      <c r="N5" s="67"/>
      <c r="O5" s="38"/>
      <c r="P5" s="451"/>
      <c r="Q5" s="451"/>
      <c r="R5" s="40"/>
    </row>
    <row r="6" spans="1:18" ht="14.1" customHeight="1" x14ac:dyDescent="0.2">
      <c r="A6" s="306" t="s">
        <v>100</v>
      </c>
      <c r="B6" s="40"/>
      <c r="C6" s="307">
        <f>SUM(C7:C9)</f>
        <v>186</v>
      </c>
      <c r="D6" s="150">
        <f>SUM(D7:D9)</f>
        <v>182</v>
      </c>
      <c r="E6" s="309">
        <f>(C6-D6)/D6</f>
        <v>2.197802197802198E-2</v>
      </c>
      <c r="F6" s="307">
        <f>SUM(F7:F9)</f>
        <v>1164</v>
      </c>
      <c r="G6" s="150">
        <f>SUM(G7:G9)</f>
        <v>1188</v>
      </c>
      <c r="H6" s="308">
        <f>(F6-G6)/G6</f>
        <v>-2.0202020202020204E-2</v>
      </c>
      <c r="I6" s="309">
        <f>F6/$F$69</f>
        <v>5.4063343288296029E-3</v>
      </c>
      <c r="J6" s="306" t="s">
        <v>100</v>
      </c>
      <c r="K6" s="40"/>
      <c r="L6" s="307">
        <f>SUM(L7:L9)</f>
        <v>11668</v>
      </c>
      <c r="M6" s="150">
        <f>SUM(M7:M9)</f>
        <v>11704</v>
      </c>
      <c r="N6" s="309">
        <f>(L6-M6)/M6</f>
        <v>-3.0758714969241286E-3</v>
      </c>
      <c r="O6" s="307">
        <f>SUM(O7:O9)</f>
        <v>66533</v>
      </c>
      <c r="P6" s="150">
        <f>SUM(P7:P9)</f>
        <v>66279</v>
      </c>
      <c r="Q6" s="308">
        <f>(O6-P6)/P6</f>
        <v>3.8322847357383184E-3</v>
      </c>
      <c r="R6" s="309">
        <f>O6/$O$69</f>
        <v>3.000469013538256E-3</v>
      </c>
    </row>
    <row r="7" spans="1:18" ht="14.1" customHeight="1" x14ac:dyDescent="0.2">
      <c r="A7" s="306"/>
      <c r="B7" s="364" t="s">
        <v>100</v>
      </c>
      <c r="C7" s="310">
        <f>+[3]AirCanada!$GH$19</f>
        <v>0</v>
      </c>
      <c r="D7" s="2">
        <f>+[3]AirCanada!$FT$19</f>
        <v>0</v>
      </c>
      <c r="E7" s="67" t="e">
        <f>(C7-D7)/D7</f>
        <v>#DIV/0!</v>
      </c>
      <c r="F7" s="254">
        <f>SUM([3]AirCanada!$GB$19:$GH$19)</f>
        <v>0</v>
      </c>
      <c r="G7" s="254">
        <f>SUM([3]AirCanada!$FN$19:$FT$19)</f>
        <v>0</v>
      </c>
      <c r="H7" s="369" t="e">
        <f>(F7-G7)/G7</f>
        <v>#DIV/0!</v>
      </c>
      <c r="I7" s="67">
        <f>F7/$F$69</f>
        <v>0</v>
      </c>
      <c r="J7" s="306"/>
      <c r="K7" s="364" t="s">
        <v>100</v>
      </c>
      <c r="L7" s="368">
        <f>+[3]AirCanada!$GH$41</f>
        <v>0</v>
      </c>
      <c r="M7" s="254">
        <f>+[3]AirCanada!$FT$41</f>
        <v>0</v>
      </c>
      <c r="N7" s="370" t="e">
        <f>(L7-M7)/M7</f>
        <v>#DIV/0!</v>
      </c>
      <c r="O7" s="368">
        <f>SUM([3]AirCanada!$GB$41:$GH$41)</f>
        <v>0</v>
      </c>
      <c r="P7" s="254">
        <f>SUM([3]AirCanada!$FN$41:$FT$41)</f>
        <v>0</v>
      </c>
      <c r="Q7" s="369" t="e">
        <f>(O7-P7)/P7</f>
        <v>#DIV/0!</v>
      </c>
      <c r="R7" s="370">
        <f>O7/$O$69</f>
        <v>0</v>
      </c>
    </row>
    <row r="8" spans="1:18" ht="14.1" customHeight="1" x14ac:dyDescent="0.2">
      <c r="A8" s="306"/>
      <c r="B8" s="364" t="s">
        <v>169</v>
      </c>
      <c r="C8" s="310">
        <f>'[3]Air Georgian'!$GH$19</f>
        <v>0</v>
      </c>
      <c r="D8" s="2">
        <f>'[3]Air Georgian'!$FT$19</f>
        <v>0</v>
      </c>
      <c r="E8" s="67" t="e">
        <f>(C8-D8)/D8</f>
        <v>#DIV/0!</v>
      </c>
      <c r="F8" s="254">
        <f>SUM('[3]Air Georgian'!$GB$19:$GH$19)</f>
        <v>0</v>
      </c>
      <c r="G8" s="254">
        <f>SUM('[3]Air Georgian'!$FN$19:$FT$19)</f>
        <v>0</v>
      </c>
      <c r="H8" s="369" t="e">
        <f>(F8-G8)/G8</f>
        <v>#DIV/0!</v>
      </c>
      <c r="I8" s="67">
        <f>F8/$F$69</f>
        <v>0</v>
      </c>
      <c r="J8" s="306"/>
      <c r="K8" s="364" t="s">
        <v>169</v>
      </c>
      <c r="L8" s="310">
        <f>'[3]Air Georgian'!$GH$41</f>
        <v>0</v>
      </c>
      <c r="M8" s="2">
        <f>'[3]Air Georgian'!$FT$41</f>
        <v>0</v>
      </c>
      <c r="N8" s="67" t="e">
        <f>(L8-M8)/M8</f>
        <v>#DIV/0!</v>
      </c>
      <c r="O8" s="310">
        <f>SUM('[3]Air Georgian'!$GB$41:$GH$41)</f>
        <v>0</v>
      </c>
      <c r="P8" s="2">
        <f>SUM('[3]Air Georgian'!$FN$41:$FT$41)</f>
        <v>0</v>
      </c>
      <c r="Q8" s="3" t="e">
        <f>(O8-P8)/P8</f>
        <v>#DIV/0!</v>
      </c>
      <c r="R8" s="67">
        <f>O8/$O$69</f>
        <v>0</v>
      </c>
    </row>
    <row r="9" spans="1:18" ht="14.1" customHeight="1" x14ac:dyDescent="0.2">
      <c r="A9" s="306"/>
      <c r="B9" s="364" t="s">
        <v>199</v>
      </c>
      <c r="C9" s="310">
        <f>'[3]Sky Regional'!$GH$19</f>
        <v>186</v>
      </c>
      <c r="D9" s="2">
        <f>'[3]Sky Regional'!$FT$19</f>
        <v>182</v>
      </c>
      <c r="E9" s="67">
        <f>(C9-D9)/D9</f>
        <v>2.197802197802198E-2</v>
      </c>
      <c r="F9" s="254">
        <f>SUM('[3]Sky Regional'!$GB$19:$GH$19)</f>
        <v>1164</v>
      </c>
      <c r="G9" s="254">
        <f>SUM('[3]Sky Regional'!$FN$19:$FT$19)</f>
        <v>1188</v>
      </c>
      <c r="H9" s="369">
        <f>(F9-G9)/G9</f>
        <v>-2.0202020202020204E-2</v>
      </c>
      <c r="I9" s="67">
        <f>F9/$F$69</f>
        <v>5.4063343288296029E-3</v>
      </c>
      <c r="J9" s="306"/>
      <c r="K9" s="364" t="s">
        <v>199</v>
      </c>
      <c r="L9" s="310">
        <f>'[3]Sky Regional'!$GH$41</f>
        <v>11668</v>
      </c>
      <c r="M9" s="2">
        <f>'[3]Sky Regional'!$FT$41</f>
        <v>11704</v>
      </c>
      <c r="N9" s="67">
        <f>(L9-M9)/M9</f>
        <v>-3.0758714969241286E-3</v>
      </c>
      <c r="O9" s="310">
        <f>SUM('[3]Sky Regional'!$GB$41:$GH$41)</f>
        <v>66533</v>
      </c>
      <c r="P9" s="2">
        <f>SUM('[3]Sky Regional'!$FN$41:$FT$41)</f>
        <v>66279</v>
      </c>
      <c r="Q9" s="3">
        <f>(O9-P9)/P9</f>
        <v>3.8322847357383184E-3</v>
      </c>
      <c r="R9" s="67">
        <f>O9/$O$69</f>
        <v>3.000469013538256E-3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183</v>
      </c>
      <c r="B11" s="40"/>
      <c r="C11" s="307">
        <f>'[3]Air Choice One'!$GH$19</f>
        <v>210</v>
      </c>
      <c r="D11" s="150">
        <f>'[3]Air Choice One'!$FT$19</f>
        <v>194</v>
      </c>
      <c r="E11" s="309">
        <f>(C11-D11)/D11</f>
        <v>8.247422680412371E-2</v>
      </c>
      <c r="F11" s="150">
        <f>SUM('[3]Air Choice One'!$GB$19:$GH$19)</f>
        <v>1394</v>
      </c>
      <c r="G11" s="150">
        <f>SUM('[3]Air Choice One'!$FN$19:$FT$19)</f>
        <v>1392</v>
      </c>
      <c r="H11" s="308">
        <f>(F11-G11)/G11</f>
        <v>1.4367816091954023E-3</v>
      </c>
      <c r="I11" s="309">
        <f>F11/$F$69</f>
        <v>6.4745962666567583E-3</v>
      </c>
      <c r="J11" s="306" t="s">
        <v>183</v>
      </c>
      <c r="K11" s="40"/>
      <c r="L11" s="307">
        <f>'[3]Air Choice One'!$GH$41</f>
        <v>1083</v>
      </c>
      <c r="M11" s="150">
        <f>'[3]Air Choice One'!$FT$41</f>
        <v>901</v>
      </c>
      <c r="N11" s="309">
        <f>(L11-M11)/M11</f>
        <v>0.20199778024417314</v>
      </c>
      <c r="O11" s="307">
        <f>SUM('[3]Air Choice One'!$GB$41:$GH$41)</f>
        <v>5998</v>
      </c>
      <c r="P11" s="150">
        <f>SUM('[3]Air Choice One'!$FN$41:$FT$41)</f>
        <v>5748</v>
      </c>
      <c r="Q11" s="308">
        <f>(O11-P11)/P11</f>
        <v>4.3493389004871257E-2</v>
      </c>
      <c r="R11" s="309">
        <f>O11/$O$69</f>
        <v>2.7049453869812666E-4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160</v>
      </c>
      <c r="B13" s="40"/>
      <c r="C13" s="307">
        <f>'[3]Air France'!$GH$19</f>
        <v>62</v>
      </c>
      <c r="D13" s="150">
        <f>'[3]Air France'!$FT$19</f>
        <v>52</v>
      </c>
      <c r="E13" s="309">
        <f>(C13-D13)/D13</f>
        <v>0.19230769230769232</v>
      </c>
      <c r="F13" s="150">
        <f>SUM('[3]Air France'!$GB$19:$GH$19)</f>
        <v>176</v>
      </c>
      <c r="G13" s="150">
        <f>SUM('[3]Air France'!$FN$19:$FT$19)</f>
        <v>148</v>
      </c>
      <c r="H13" s="308">
        <f>(F13-G13)/G13</f>
        <v>0.1891891891891892</v>
      </c>
      <c r="I13" s="309">
        <f>F13/$F$69</f>
        <v>8.1745261329382315E-4</v>
      </c>
      <c r="J13" s="306" t="s">
        <v>160</v>
      </c>
      <c r="K13" s="40"/>
      <c r="L13" s="307">
        <f>'[3]Air France'!$GH$41</f>
        <v>16290</v>
      </c>
      <c r="M13" s="150">
        <f>'[3]Air France'!$FT$41</f>
        <v>11329</v>
      </c>
      <c r="N13" s="309">
        <f>(L13-M13)/M13</f>
        <v>0.43790272751346104</v>
      </c>
      <c r="O13" s="307">
        <f>SUM('[3]Air France'!$GB$41:$GH$41)</f>
        <v>44390</v>
      </c>
      <c r="P13" s="150">
        <f>SUM('[3]Air France'!$FN$41:$FT$41)</f>
        <v>31680</v>
      </c>
      <c r="Q13" s="308">
        <f>(O13-P13)/P13</f>
        <v>0.40119949494949497</v>
      </c>
      <c r="R13" s="309">
        <f>O13/$O$69</f>
        <v>2.0018760541530246E-3</v>
      </c>
    </row>
    <row r="14" spans="1:18" ht="14.1" customHeight="1" x14ac:dyDescent="0.2">
      <c r="A14" s="306"/>
      <c r="B14" s="40"/>
      <c r="C14" s="307"/>
      <c r="D14" s="150"/>
      <c r="E14" s="309"/>
      <c r="F14" s="150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130</v>
      </c>
      <c r="B15" s="40"/>
      <c r="C15" s="307">
        <f>SUM(C16:C18)</f>
        <v>314</v>
      </c>
      <c r="D15" s="150">
        <f>SUM(D16:D18)</f>
        <v>308</v>
      </c>
      <c r="E15" s="309">
        <f>(C15-D15)/D15</f>
        <v>1.948051948051948E-2</v>
      </c>
      <c r="F15" s="150">
        <f>SUM(F16:F18)</f>
        <v>1811</v>
      </c>
      <c r="G15" s="150">
        <f>SUM(G16:G18)</f>
        <v>2216</v>
      </c>
      <c r="H15" s="308">
        <f>(F15-G15)/G15</f>
        <v>-0.18276173285198555</v>
      </c>
      <c r="I15" s="309">
        <f>F15/$F$69</f>
        <v>8.4114016061085997E-3</v>
      </c>
      <c r="J15" s="306" t="s">
        <v>130</v>
      </c>
      <c r="K15" s="40"/>
      <c r="L15" s="307">
        <f>SUM(L16:L18)</f>
        <v>34727</v>
      </c>
      <c r="M15" s="150">
        <f>SUM(M16:M18)</f>
        <v>32182</v>
      </c>
      <c r="N15" s="309">
        <f>(L15-M15)/M15</f>
        <v>7.9081474115965444E-2</v>
      </c>
      <c r="O15" s="307">
        <f>SUM(O16:O18)</f>
        <v>195732</v>
      </c>
      <c r="P15" s="150">
        <f>SUM(P16:P18)</f>
        <v>214284</v>
      </c>
      <c r="Q15" s="308">
        <f>(O15-P15)/P15</f>
        <v>-8.6576692613540909E-2</v>
      </c>
      <c r="R15" s="309">
        <f>O15/$O$69</f>
        <v>8.8270151798035563E-3</v>
      </c>
    </row>
    <row r="16" spans="1:18" ht="14.1" customHeight="1" x14ac:dyDescent="0.2">
      <c r="A16" s="306"/>
      <c r="B16" s="364" t="s">
        <v>130</v>
      </c>
      <c r="C16" s="368">
        <f>[3]Alaska!$GH$19</f>
        <v>252</v>
      </c>
      <c r="D16" s="254">
        <f>[3]Alaska!$FT$19</f>
        <v>124</v>
      </c>
      <c r="E16" s="370">
        <f>(C16-D16)/D16</f>
        <v>1.032258064516129</v>
      </c>
      <c r="F16" s="254">
        <f>SUM([3]Alaska!$GB$19:$GH$19)</f>
        <v>1257</v>
      </c>
      <c r="G16" s="254">
        <f>SUM([3]Alaska!$FN$19:$FT$19)</f>
        <v>824</v>
      </c>
      <c r="H16" s="369">
        <f>(F16-G16)/G16</f>
        <v>0.52548543689320393</v>
      </c>
      <c r="I16" s="370">
        <f>F16/$F$69</f>
        <v>5.8382837210814529E-3</v>
      </c>
      <c r="J16" s="306"/>
      <c r="K16" s="364" t="s">
        <v>130</v>
      </c>
      <c r="L16" s="368">
        <f>[3]Alaska!$GH$41</f>
        <v>30455</v>
      </c>
      <c r="M16" s="254">
        <f>[3]Alaska!$FT$41</f>
        <v>20085</v>
      </c>
      <c r="N16" s="370">
        <f>(L16-M16)/M16</f>
        <v>0.51630570077172022</v>
      </c>
      <c r="O16" s="368">
        <f>SUM([3]Alaska!$GB$41:$GH$41)</f>
        <v>158934</v>
      </c>
      <c r="P16" s="254">
        <f>SUM([3]Alaska!$FN$41:$FT$41)</f>
        <v>123592</v>
      </c>
      <c r="Q16" s="369">
        <f>(O16-P16)/P16</f>
        <v>0.28595701987183636</v>
      </c>
      <c r="R16" s="370">
        <f>O16/$O$69</f>
        <v>7.1675190085775361E-3</v>
      </c>
    </row>
    <row r="17" spans="1:20" ht="14.1" customHeight="1" x14ac:dyDescent="0.2">
      <c r="A17" s="306"/>
      <c r="B17" s="364" t="s">
        <v>99</v>
      </c>
      <c r="C17" s="310">
        <f>'[3]Sky West_AS'!$GH$19</f>
        <v>62</v>
      </c>
      <c r="D17" s="2">
        <f>'[3]Sky West_AS'!$FT$19</f>
        <v>62</v>
      </c>
      <c r="E17" s="67">
        <f>(C17-D17)/D17</f>
        <v>0</v>
      </c>
      <c r="F17" s="2">
        <f>SUM('[3]Sky West_AS'!$GB$19:$GH$19)</f>
        <v>542</v>
      </c>
      <c r="G17" s="2">
        <f>SUM('[3]Sky West_AS'!$FN$19:$FT$19)</f>
        <v>644</v>
      </c>
      <c r="H17" s="3">
        <f>(F17-G17)/G17</f>
        <v>-0.15838509316770186</v>
      </c>
      <c r="I17" s="67">
        <f>F17/$F$69</f>
        <v>2.517382479575296E-3</v>
      </c>
      <c r="J17" s="306"/>
      <c r="K17" s="364" t="s">
        <v>99</v>
      </c>
      <c r="L17" s="310">
        <f>'[3]Sky West_AS'!$GH$41</f>
        <v>4272</v>
      </c>
      <c r="M17" s="2">
        <f>'[3]Sky West_AS'!$FT$41</f>
        <v>4182</v>
      </c>
      <c r="N17" s="67">
        <f>(L17-M17)/M17</f>
        <v>2.1520803443328552E-2</v>
      </c>
      <c r="O17" s="310">
        <f>SUM('[3]Sky West_AS'!$GB$41:$GH$41)</f>
        <v>35979</v>
      </c>
      <c r="P17" s="2">
        <f>SUM('[3]Sky West_AS'!$FN$41:$FT$41)</f>
        <v>42437</v>
      </c>
      <c r="Q17" s="3">
        <f>(O17-P17)/P17</f>
        <v>-0.15217852345830291</v>
      </c>
      <c r="R17" s="370">
        <f>O17/$O$69</f>
        <v>1.6225613550883459E-3</v>
      </c>
    </row>
    <row r="18" spans="1:20" ht="14.1" customHeight="1" x14ac:dyDescent="0.2">
      <c r="A18" s="306"/>
      <c r="B18" s="364" t="s">
        <v>200</v>
      </c>
      <c r="C18" s="310">
        <f>[3]Horizon_AS!$GH$19</f>
        <v>0</v>
      </c>
      <c r="D18" s="2">
        <f>[3]Horizon_AS!$FT$19</f>
        <v>122</v>
      </c>
      <c r="E18" s="67">
        <f>(C18-D18)/D18</f>
        <v>-1</v>
      </c>
      <c r="F18" s="2">
        <f>SUM([3]Horizon_AS!$GB$19:$GH$19)</f>
        <v>12</v>
      </c>
      <c r="G18" s="2">
        <f>SUM([3]Horizon_AS!$FN$19:$FT$19)</f>
        <v>748</v>
      </c>
      <c r="H18" s="3">
        <f>(F18-G18)/G18</f>
        <v>-0.98395721925133695</v>
      </c>
      <c r="I18" s="67">
        <f>F18/$F$69</f>
        <v>5.5735405451851578E-5</v>
      </c>
      <c r="J18" s="306"/>
      <c r="K18" s="364" t="s">
        <v>200</v>
      </c>
      <c r="L18" s="310">
        <f>[3]Horizon_AS!$GH$41</f>
        <v>0</v>
      </c>
      <c r="M18" s="2">
        <f>[3]Horizon_AS!$FT$41</f>
        <v>7915</v>
      </c>
      <c r="N18" s="67">
        <f>(L18-M18)/M18</f>
        <v>-1</v>
      </c>
      <c r="O18" s="310">
        <f>SUM([3]Horizon_AS!$GB$41:$GH$41)</f>
        <v>819</v>
      </c>
      <c r="P18" s="2">
        <f>SUM([3]Horizon_AS!$FN$41:$FT$41)</f>
        <v>48255</v>
      </c>
      <c r="Q18" s="3">
        <f>(O18-P18)/P18</f>
        <v>-0.98302766552688836</v>
      </c>
      <c r="R18" s="370">
        <f>O18/$O$69</f>
        <v>3.6934816137673511E-5</v>
      </c>
    </row>
    <row r="19" spans="1:20" ht="14.1" customHeight="1" x14ac:dyDescent="0.2">
      <c r="A19" s="306"/>
      <c r="B19" s="40"/>
      <c r="C19" s="307"/>
      <c r="D19" s="165"/>
      <c r="E19" s="309"/>
      <c r="F19" s="165"/>
      <c r="G19" s="165"/>
      <c r="H19" s="308"/>
      <c r="I19" s="309"/>
      <c r="J19" s="306"/>
      <c r="K19" s="40"/>
      <c r="L19" s="141"/>
      <c r="M19" s="97"/>
      <c r="N19" s="67"/>
      <c r="O19" s="141"/>
      <c r="P19" s="97"/>
      <c r="Q19" s="3"/>
      <c r="R19" s="67"/>
    </row>
    <row r="20" spans="1:20" ht="14.1" customHeight="1" x14ac:dyDescent="0.2">
      <c r="A20" s="306" t="s">
        <v>17</v>
      </c>
      <c r="B20" s="311"/>
      <c r="C20" s="307">
        <f>SUM(C21:C27)</f>
        <v>1709</v>
      </c>
      <c r="D20" s="150">
        <f>SUM(D21:D27)</f>
        <v>1864</v>
      </c>
      <c r="E20" s="309">
        <f t="shared" ref="E20:E27" si="0">(C20-D20)/D20</f>
        <v>-8.3154506437768241E-2</v>
      </c>
      <c r="F20" s="307">
        <f>SUM(F21:F27)</f>
        <v>11302</v>
      </c>
      <c r="G20" s="150">
        <f>SUM(G21:G27)</f>
        <v>12046</v>
      </c>
      <c r="H20" s="308">
        <f t="shared" ref="H20:H27" si="1">(F20-G20)/G20</f>
        <v>-6.1763240909845592E-2</v>
      </c>
      <c r="I20" s="309">
        <f t="shared" ref="I20:I27" si="2">F20/$F$69</f>
        <v>5.2493462701402212E-2</v>
      </c>
      <c r="J20" s="306" t="s">
        <v>17</v>
      </c>
      <c r="K20" s="311"/>
      <c r="L20" s="307">
        <f>SUM(L21:L27)</f>
        <v>182369</v>
      </c>
      <c r="M20" s="150">
        <f>SUM(M21:M27)</f>
        <v>193833</v>
      </c>
      <c r="N20" s="309">
        <f t="shared" ref="N20:N27" si="3">(L20-M20)/M20</f>
        <v>-5.9143695861901741E-2</v>
      </c>
      <c r="O20" s="307">
        <f>SUM(O21:O27)</f>
        <v>1202262</v>
      </c>
      <c r="P20" s="150">
        <f>SUM(P21:P27)</f>
        <v>1247518</v>
      </c>
      <c r="Q20" s="308">
        <f t="shared" ref="Q20:Q27" si="4">(O20-P20)/P20</f>
        <v>-3.6276831276181989E-2</v>
      </c>
      <c r="R20" s="309">
        <f t="shared" ref="R20:R27" si="5">O20/$O$69</f>
        <v>5.4218957166436668E-2</v>
      </c>
    </row>
    <row r="21" spans="1:20" ht="14.1" customHeight="1" x14ac:dyDescent="0.2">
      <c r="A21" s="38"/>
      <c r="B21" s="40" t="s">
        <v>17</v>
      </c>
      <c r="C21" s="310">
        <f>[3]American!$GH$19</f>
        <v>1194</v>
      </c>
      <c r="D21" s="2">
        <f>[3]American!$FT$19</f>
        <v>1351</v>
      </c>
      <c r="E21" s="67">
        <f t="shared" si="0"/>
        <v>-0.11621021465581051</v>
      </c>
      <c r="F21" s="2">
        <f>SUM([3]American!$GB$19:$GH$19)</f>
        <v>8301</v>
      </c>
      <c r="G21" s="2">
        <f>SUM([3]American!$FN$19:$FT$19)</f>
        <v>8278</v>
      </c>
      <c r="H21" s="3">
        <f t="shared" si="1"/>
        <v>2.7784489007006523E-3</v>
      </c>
      <c r="I21" s="67">
        <f t="shared" si="2"/>
        <v>3.8554966721318328E-2</v>
      </c>
      <c r="J21" s="38"/>
      <c r="K21" s="40" t="s">
        <v>17</v>
      </c>
      <c r="L21" s="310">
        <f>[3]American!$GH$41</f>
        <v>151465</v>
      </c>
      <c r="M21" s="2">
        <f>[3]American!$FT$41</f>
        <v>164580</v>
      </c>
      <c r="N21" s="67">
        <f t="shared" si="3"/>
        <v>-7.9687689877263337E-2</v>
      </c>
      <c r="O21" s="310">
        <f>SUM([3]American!$GB$41:$GH$41)</f>
        <v>1028487</v>
      </c>
      <c r="P21" s="2">
        <f>SUM([3]American!$FN$41:$FT$41)</f>
        <v>1033778</v>
      </c>
      <c r="Q21" s="3">
        <f t="shared" si="4"/>
        <v>-5.118120137979334E-3</v>
      </c>
      <c r="R21" s="67">
        <f t="shared" si="5"/>
        <v>4.6382146819276458E-2</v>
      </c>
    </row>
    <row r="22" spans="1:20" ht="14.1" customHeight="1" x14ac:dyDescent="0.2">
      <c r="A22" s="38"/>
      <c r="B22" s="364" t="s">
        <v>170</v>
      </c>
      <c r="C22" s="310">
        <f>'[3]American Eagle'!$GH$19</f>
        <v>163</v>
      </c>
      <c r="D22" s="2">
        <f>'[3]American Eagle'!$FT$19</f>
        <v>10</v>
      </c>
      <c r="E22" s="67">
        <f t="shared" si="0"/>
        <v>15.3</v>
      </c>
      <c r="F22" s="2">
        <f>SUM('[3]American Eagle'!$GB$19:$GH$19)</f>
        <v>669</v>
      </c>
      <c r="G22" s="2">
        <f>SUM('[3]American Eagle'!$FN$19:$FT$19)</f>
        <v>354</v>
      </c>
      <c r="H22" s="3">
        <f t="shared" si="1"/>
        <v>0.88983050847457623</v>
      </c>
      <c r="I22" s="67">
        <f t="shared" si="2"/>
        <v>3.1072488539407254E-3</v>
      </c>
      <c r="J22" s="38"/>
      <c r="K22" s="364" t="s">
        <v>170</v>
      </c>
      <c r="L22" s="310">
        <f>'[3]American Eagle'!$GH$41</f>
        <v>9902</v>
      </c>
      <c r="M22" s="2">
        <f>'[3]American Eagle'!$FT$41</f>
        <v>346</v>
      </c>
      <c r="N22" s="67">
        <f t="shared" si="3"/>
        <v>27.618497109826588</v>
      </c>
      <c r="O22" s="310">
        <f>SUM('[3]American Eagle'!$GB$41:$GH$41)</f>
        <v>44530</v>
      </c>
      <c r="P22" s="2">
        <f>SUM('[3]American Eagle'!$FN$41:$FT$41)</f>
        <v>22173</v>
      </c>
      <c r="Q22" s="3">
        <f t="shared" si="4"/>
        <v>1.0082983809137238</v>
      </c>
      <c r="R22" s="67">
        <f t="shared" si="5"/>
        <v>2.0081896979372424E-3</v>
      </c>
    </row>
    <row r="23" spans="1:20" ht="14.1" customHeight="1" x14ac:dyDescent="0.2">
      <c r="A23" s="38"/>
      <c r="B23" s="364" t="s">
        <v>52</v>
      </c>
      <c r="C23" s="310">
        <f>[3]Republic!$GH$19</f>
        <v>350</v>
      </c>
      <c r="D23" s="2">
        <f>[3]Republic!$FT$19</f>
        <v>439</v>
      </c>
      <c r="E23" s="67">
        <f t="shared" si="0"/>
        <v>-0.20273348519362186</v>
      </c>
      <c r="F23" s="2">
        <f>SUM([3]Republic!$GB$19:$GH$19)</f>
        <v>2330</v>
      </c>
      <c r="G23" s="2">
        <f>SUM([3]Republic!$FN$19:$FT$19)</f>
        <v>2897</v>
      </c>
      <c r="H23" s="3">
        <f t="shared" si="1"/>
        <v>-0.19571971004487401</v>
      </c>
      <c r="I23" s="67">
        <f t="shared" si="2"/>
        <v>1.0821957891901181E-2</v>
      </c>
      <c r="J23" s="38"/>
      <c r="K23" s="312" t="s">
        <v>52</v>
      </c>
      <c r="L23" s="310">
        <f>[3]Republic!$GH$41</f>
        <v>20960</v>
      </c>
      <c r="M23" s="2">
        <f>[3]Republic!$FT$41</f>
        <v>24955</v>
      </c>
      <c r="N23" s="67">
        <f t="shared" si="3"/>
        <v>-0.16008815868563414</v>
      </c>
      <c r="O23" s="310">
        <f>SUM([3]Republic!$GB$41:$GH$41)</f>
        <v>129203</v>
      </c>
      <c r="P23" s="2">
        <f>SUM([3]Republic!$FN$41:$FT$41)</f>
        <v>163052</v>
      </c>
      <c r="Q23" s="3">
        <f t="shared" si="4"/>
        <v>-0.20759634963079263</v>
      </c>
      <c r="R23" s="67">
        <f t="shared" si="5"/>
        <v>5.8267265560877054E-3</v>
      </c>
    </row>
    <row r="24" spans="1:20" ht="14.1" customHeight="1" x14ac:dyDescent="0.2">
      <c r="A24" s="38"/>
      <c r="B24" s="364" t="s">
        <v>187</v>
      </c>
      <c r="C24" s="310">
        <f>[3]PSA!$GH$19</f>
        <v>0</v>
      </c>
      <c r="D24" s="2">
        <f>[3]PSA!$FT$19</f>
        <v>0</v>
      </c>
      <c r="E24" s="67" t="e">
        <f t="shared" si="0"/>
        <v>#DIV/0!</v>
      </c>
      <c r="F24" s="2">
        <f>SUM([3]PSA!$GB$19:$GH$19)</f>
        <v>0</v>
      </c>
      <c r="G24" s="2">
        <f>SUM([3]PSA!$FN$19:$FT$19)</f>
        <v>178</v>
      </c>
      <c r="H24" s="3">
        <f t="shared" si="1"/>
        <v>-1</v>
      </c>
      <c r="I24" s="67">
        <f t="shared" si="2"/>
        <v>0</v>
      </c>
      <c r="J24" s="38"/>
      <c r="K24" s="364" t="s">
        <v>187</v>
      </c>
      <c r="L24" s="310">
        <f>[3]PSA!$GH$41</f>
        <v>0</v>
      </c>
      <c r="M24" s="2">
        <f>[3]PSA!$FT$41</f>
        <v>0</v>
      </c>
      <c r="N24" s="67" t="e">
        <f t="shared" si="3"/>
        <v>#DIV/0!</v>
      </c>
      <c r="O24" s="310">
        <f>SUM([3]PSA!$GB$41:$GH$41)</f>
        <v>0</v>
      </c>
      <c r="P24" s="2">
        <f>SUM([3]PSA!$FN$41:$FT$41)</f>
        <v>7565</v>
      </c>
      <c r="Q24" s="3">
        <f t="shared" si="4"/>
        <v>-1</v>
      </c>
      <c r="R24" s="67">
        <f t="shared" si="5"/>
        <v>0</v>
      </c>
    </row>
    <row r="25" spans="1:20" ht="14.1" customHeight="1" x14ac:dyDescent="0.2">
      <c r="A25" s="38"/>
      <c r="B25" s="364" t="s">
        <v>99</v>
      </c>
      <c r="C25" s="310">
        <f>'[3]Sky West_AA'!$GH$19</f>
        <v>0</v>
      </c>
      <c r="D25" s="2">
        <f>'[3]Sky West_AA'!$FT$19</f>
        <v>64</v>
      </c>
      <c r="E25" s="67">
        <f>(C25-D25)/D25</f>
        <v>-1</v>
      </c>
      <c r="F25" s="2">
        <f>SUM('[3]Sky West_AA'!$GB$19:$GH$19)</f>
        <v>0</v>
      </c>
      <c r="G25" s="2">
        <f>SUM('[3]Sky West_AA'!$FN$19:$FT$19)</f>
        <v>339</v>
      </c>
      <c r="H25" s="3">
        <f>(F25-G25)/G25</f>
        <v>-1</v>
      </c>
      <c r="I25" s="67">
        <f t="shared" si="2"/>
        <v>0</v>
      </c>
      <c r="J25" s="38"/>
      <c r="K25" s="364" t="s">
        <v>99</v>
      </c>
      <c r="L25" s="310">
        <f>'[3]Sky West_AA'!$GH$41</f>
        <v>0</v>
      </c>
      <c r="M25" s="2">
        <f>'[3]Sky West_AA'!$FT$41</f>
        <v>3952</v>
      </c>
      <c r="N25" s="67">
        <f>(L25-M25)/M25</f>
        <v>-1</v>
      </c>
      <c r="O25" s="310">
        <f>SUM('[3]Sky West_AA'!$GB$41:$GH$41)</f>
        <v>0</v>
      </c>
      <c r="P25" s="2">
        <f>SUM('[3]Sky West_AA'!$FN$41:$FT$41)</f>
        <v>20950</v>
      </c>
      <c r="Q25" s="3">
        <f>(O25-P25)/P25</f>
        <v>-1</v>
      </c>
      <c r="R25" s="370">
        <f t="shared" si="5"/>
        <v>0</v>
      </c>
    </row>
    <row r="26" spans="1:20" ht="14.1" customHeight="1" x14ac:dyDescent="0.2">
      <c r="A26" s="38"/>
      <c r="B26" s="364" t="s">
        <v>51</v>
      </c>
      <c r="C26" s="310">
        <f>[3]MESA!$GH$19</f>
        <v>0</v>
      </c>
      <c r="D26" s="2">
        <f>[3]MESA!$FT$19</f>
        <v>0</v>
      </c>
      <c r="E26" s="67" t="e">
        <f t="shared" si="0"/>
        <v>#DIV/0!</v>
      </c>
      <c r="F26" s="2">
        <f>SUM([3]MESA!$GB$19:$GH$19)</f>
        <v>0</v>
      </c>
      <c r="G26" s="2">
        <f>SUM([3]MESA!$FN$19:$FT$19)</f>
        <v>0</v>
      </c>
      <c r="H26" s="3" t="e">
        <f t="shared" si="1"/>
        <v>#DIV/0!</v>
      </c>
      <c r="I26" s="67">
        <f t="shared" si="2"/>
        <v>0</v>
      </c>
      <c r="J26" s="38"/>
      <c r="K26" s="364" t="s">
        <v>51</v>
      </c>
      <c r="L26" s="310">
        <f>[3]MESA!$GH$41</f>
        <v>0</v>
      </c>
      <c r="M26" s="2">
        <f>[3]MESA!$FT$41</f>
        <v>0</v>
      </c>
      <c r="N26" s="67" t="e">
        <f t="shared" si="3"/>
        <v>#DIV/0!</v>
      </c>
      <c r="O26" s="310">
        <f>SUM([3]MESA!$GB$41:$GH$41)</f>
        <v>0</v>
      </c>
      <c r="P26" s="2">
        <f>SUM([3]MESA!$FN$41:$FT$41)</f>
        <v>0</v>
      </c>
      <c r="Q26" s="3" t="e">
        <f t="shared" si="4"/>
        <v>#DIV/0!</v>
      </c>
      <c r="R26" s="67">
        <f t="shared" si="5"/>
        <v>0</v>
      </c>
    </row>
    <row r="27" spans="1:20" ht="14.1" customHeight="1" x14ac:dyDescent="0.2">
      <c r="A27" s="38"/>
      <c r="B27" s="364" t="s">
        <v>50</v>
      </c>
      <c r="C27" s="310">
        <f>'[3]Air Wisconsin'!$GH$19</f>
        <v>2</v>
      </c>
      <c r="D27" s="2">
        <f>'[3]Air Wisconsin'!$FT$19</f>
        <v>0</v>
      </c>
      <c r="E27" s="67" t="e">
        <f t="shared" si="0"/>
        <v>#DIV/0!</v>
      </c>
      <c r="F27" s="2">
        <f>SUM('[3]Air Wisconsin'!$GB$19:$GH$19)</f>
        <v>2</v>
      </c>
      <c r="G27" s="2">
        <f>SUM('[3]Air Wisconsin'!$FN$19:$FT$19)</f>
        <v>0</v>
      </c>
      <c r="H27" s="352" t="e">
        <f t="shared" si="1"/>
        <v>#DIV/0!</v>
      </c>
      <c r="I27" s="67">
        <f t="shared" si="2"/>
        <v>9.2892342419752635E-6</v>
      </c>
      <c r="J27" s="38"/>
      <c r="K27" s="312" t="s">
        <v>50</v>
      </c>
      <c r="L27" s="310">
        <f>'[3]Air Wisconsin'!$GH$41</f>
        <v>42</v>
      </c>
      <c r="M27" s="2">
        <f>'[3]Air Wisconsin'!$FT$41</f>
        <v>0</v>
      </c>
      <c r="N27" s="67" t="e">
        <f t="shared" si="3"/>
        <v>#DIV/0!</v>
      </c>
      <c r="O27" s="310">
        <f>SUM('[3]Air Wisconsin'!$GB$41:$GH$41)</f>
        <v>42</v>
      </c>
      <c r="P27" s="2">
        <f>SUM('[3]Air Wisconsin'!$FN$41:$FT$41)</f>
        <v>0</v>
      </c>
      <c r="Q27" s="3" t="e">
        <f t="shared" si="4"/>
        <v>#DIV/0!</v>
      </c>
      <c r="R27" s="67">
        <f t="shared" si="5"/>
        <v>1.8940931352653083E-6</v>
      </c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184</v>
      </c>
      <c r="B29" s="40"/>
      <c r="C29" s="307">
        <f>'[3]Boutique Air'!$GH$19</f>
        <v>159</v>
      </c>
      <c r="D29" s="150">
        <f>'[3]Boutique Air'!$FT$19</f>
        <v>166</v>
      </c>
      <c r="E29" s="309">
        <f>(C29-D29)/D29</f>
        <v>-4.2168674698795178E-2</v>
      </c>
      <c r="F29" s="150">
        <f>SUM('[3]Boutique Air'!$GB$19:$GH$19)</f>
        <v>995</v>
      </c>
      <c r="G29" s="150">
        <f>SUM('[3]Boutique Air'!$FN$19:$FT$19)</f>
        <v>1060</v>
      </c>
      <c r="H29" s="308">
        <f>(F29-G29)/G29</f>
        <v>-6.1320754716981132E-2</v>
      </c>
      <c r="I29" s="309">
        <f>F29/$F$69</f>
        <v>4.6213940353826933E-3</v>
      </c>
      <c r="J29" s="306" t="s">
        <v>184</v>
      </c>
      <c r="K29" s="40"/>
      <c r="L29" s="307">
        <f>'[3]Boutique Air'!$GH$41</f>
        <v>876</v>
      </c>
      <c r="M29" s="150">
        <f>'[3]Boutique Air'!$FT$41</f>
        <v>863</v>
      </c>
      <c r="N29" s="309">
        <f>(L29-M29)/M29</f>
        <v>1.5063731170336037E-2</v>
      </c>
      <c r="O29" s="307">
        <f>SUM('[3]Boutique Air'!$GB$41:$GH$41)</f>
        <v>4851</v>
      </c>
      <c r="P29" s="150">
        <f>SUM('[3]Boutique Air'!$FN$41:$FT$41)</f>
        <v>5686</v>
      </c>
      <c r="Q29" s="308">
        <f>(O29-P29)/P29</f>
        <v>-0.14685191698909603</v>
      </c>
      <c r="R29" s="309">
        <f>O29/$O$69</f>
        <v>2.1876775712314313E-4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166</v>
      </c>
      <c r="B31" s="40"/>
      <c r="C31" s="307">
        <f>[3]Condor!$GH$19</f>
        <v>34</v>
      </c>
      <c r="D31" s="150">
        <f>[3]Condor!$FT$19</f>
        <v>36</v>
      </c>
      <c r="E31" s="309">
        <f>(C31-D31)/D31</f>
        <v>-5.5555555555555552E-2</v>
      </c>
      <c r="F31" s="150">
        <f>SUM([3]Condor!$GB$19:$GH$19)</f>
        <v>56</v>
      </c>
      <c r="G31" s="150">
        <f>SUM([3]Condor!$FN$19:$FT$19)</f>
        <v>68</v>
      </c>
      <c r="H31" s="308">
        <f>(F31-G31)/G31</f>
        <v>-0.17647058823529413</v>
      </c>
      <c r="I31" s="309">
        <f>F31/$F$69</f>
        <v>2.6009855877530733E-4</v>
      </c>
      <c r="J31" s="306" t="s">
        <v>166</v>
      </c>
      <c r="K31" s="40"/>
      <c r="L31" s="307">
        <f>[3]Condor!$GH$41</f>
        <v>8290</v>
      </c>
      <c r="M31" s="150">
        <f>[3]Condor!$FT$41</f>
        <v>8876</v>
      </c>
      <c r="N31" s="309">
        <f>(L31-M31)/M31</f>
        <v>-6.6020730058584942E-2</v>
      </c>
      <c r="O31" s="307">
        <f>SUM([3]Condor!$GB$41:$GH$41)</f>
        <v>13560</v>
      </c>
      <c r="P31" s="150">
        <f>SUM([3]Condor!$FN$41:$FT$41)</f>
        <v>15923</v>
      </c>
      <c r="Q31" s="308">
        <f>(O31-P31)/P31</f>
        <v>-0.14840168309991836</v>
      </c>
      <c r="R31" s="309">
        <f>O31/$O$69</f>
        <v>6.1152149795708525E-4</v>
      </c>
      <c r="T31" s="2"/>
    </row>
    <row r="32" spans="1:20" ht="14.1" customHeight="1" x14ac:dyDescent="0.2">
      <c r="A32" s="38"/>
      <c r="B32" s="40"/>
      <c r="C32" s="310"/>
      <c r="E32" s="67"/>
      <c r="F32" s="2"/>
      <c r="I32" s="67"/>
      <c r="J32" s="38"/>
      <c r="K32" s="40"/>
      <c r="L32" s="310"/>
      <c r="N32" s="67"/>
      <c r="O32" s="310"/>
      <c r="P32" s="2"/>
      <c r="Q32" s="3"/>
      <c r="R32" s="67"/>
      <c r="T32" s="2"/>
    </row>
    <row r="33" spans="1:21" ht="14.1" customHeight="1" x14ac:dyDescent="0.2">
      <c r="A33" s="306" t="s">
        <v>18</v>
      </c>
      <c r="B33" s="311"/>
      <c r="C33" s="307">
        <f>SUM(C34:C40)</f>
        <v>25599</v>
      </c>
      <c r="D33" s="150">
        <f>SUM(D34:D40)</f>
        <v>25351</v>
      </c>
      <c r="E33" s="309">
        <f t="shared" ref="E33:E40" si="6">(C33-D33)/D33</f>
        <v>9.7826515719301021E-3</v>
      </c>
      <c r="F33" s="165">
        <f>SUM(F34:F40)</f>
        <v>158290</v>
      </c>
      <c r="G33" s="165">
        <f>SUM(G34:G40)</f>
        <v>158568</v>
      </c>
      <c r="H33" s="308">
        <f>(F33-G33)/G33</f>
        <v>-1.7531910599868825E-3</v>
      </c>
      <c r="I33" s="309">
        <f t="shared" ref="I33:I40" si="7">F33/$F$69</f>
        <v>0.73519644408113216</v>
      </c>
      <c r="J33" s="306" t="s">
        <v>18</v>
      </c>
      <c r="K33" s="311"/>
      <c r="L33" s="307">
        <f>SUM(L34:L40)</f>
        <v>2696231</v>
      </c>
      <c r="M33" s="150">
        <f>SUM(M34:M40)</f>
        <v>2551188</v>
      </c>
      <c r="N33" s="309">
        <f t="shared" ref="N33:N40" si="8">(L33-M33)/M33</f>
        <v>5.6853120977364273E-2</v>
      </c>
      <c r="O33" s="307">
        <f>SUM(O34:O40)</f>
        <v>15732582</v>
      </c>
      <c r="P33" s="150">
        <f>SUM(P34:P40)</f>
        <v>15232970</v>
      </c>
      <c r="Q33" s="308">
        <f t="shared" ref="Q33:Q40" si="9">(O33-P33)/P33</f>
        <v>3.2798068925495159E-2</v>
      </c>
      <c r="R33" s="309">
        <f t="shared" ref="R33:R40" si="10">O33/$O$69</f>
        <v>0.7094994182428227</v>
      </c>
      <c r="S33" s="353"/>
    </row>
    <row r="34" spans="1:21" ht="14.1" customHeight="1" x14ac:dyDescent="0.2">
      <c r="A34" s="38"/>
      <c r="B34" s="40" t="s">
        <v>18</v>
      </c>
      <c r="C34" s="310">
        <f>[3]Delta!$GH$19</f>
        <v>14255</v>
      </c>
      <c r="D34" s="2">
        <f>[3]Delta!$FT$19</f>
        <v>14017</v>
      </c>
      <c r="E34" s="67">
        <f t="shared" si="6"/>
        <v>1.6979382178782906E-2</v>
      </c>
      <c r="F34" s="2">
        <f>SUM([3]Delta!$GB$19:$GH$19)</f>
        <v>85776</v>
      </c>
      <c r="G34" s="2">
        <f>SUM([3]Delta!$FN$19:$FT$19)</f>
        <v>82758</v>
      </c>
      <c r="H34" s="3">
        <f t="shared" ref="H34:H40" si="11">(F34-G34)/G34</f>
        <v>3.6467773508301313E-2</v>
      </c>
      <c r="I34" s="67">
        <f t="shared" si="7"/>
        <v>0.39839667816983509</v>
      </c>
      <c r="J34" s="38"/>
      <c r="K34" s="40" t="s">
        <v>18</v>
      </c>
      <c r="L34" s="310">
        <f>[3]Delta!$GH$41</f>
        <v>2079367</v>
      </c>
      <c r="M34" s="2">
        <f>[3]Delta!$FT$41</f>
        <v>1963810</v>
      </c>
      <c r="N34" s="67">
        <f t="shared" si="8"/>
        <v>5.8843268951680662E-2</v>
      </c>
      <c r="O34" s="310">
        <f>SUM([3]Delta!$GB$41:$GH$41)</f>
        <v>11951102</v>
      </c>
      <c r="P34" s="2">
        <f>SUM([3]Delta!$FN$41:$FT$41)</f>
        <v>11415435</v>
      </c>
      <c r="Q34" s="3">
        <f t="shared" si="9"/>
        <v>4.6924799624368234E-2</v>
      </c>
      <c r="R34" s="67">
        <f t="shared" si="10"/>
        <v>0.53896429183465466</v>
      </c>
      <c r="T34" s="2"/>
    </row>
    <row r="35" spans="1:21" ht="14.1" customHeight="1" x14ac:dyDescent="0.2">
      <c r="A35" s="38"/>
      <c r="B35" s="312" t="s">
        <v>119</v>
      </c>
      <c r="C35" s="310">
        <f>[3]Compass!$GH$19</f>
        <v>0</v>
      </c>
      <c r="D35" s="2">
        <f>[3]Compass!$FT$19</f>
        <v>0</v>
      </c>
      <c r="E35" s="67" t="e">
        <f t="shared" si="6"/>
        <v>#DIV/0!</v>
      </c>
      <c r="F35" s="2">
        <f>SUM([3]Compass!$GB$19:$GH$19)</f>
        <v>0</v>
      </c>
      <c r="G35" s="2">
        <f>SUM([3]Compass!$FN$19:$FT$19)</f>
        <v>2</v>
      </c>
      <c r="H35" s="3">
        <f t="shared" si="11"/>
        <v>-1</v>
      </c>
      <c r="I35" s="67">
        <f t="shared" si="7"/>
        <v>0</v>
      </c>
      <c r="J35" s="38"/>
      <c r="K35" s="312" t="s">
        <v>119</v>
      </c>
      <c r="L35" s="310">
        <f>[3]Compass!$GH$41</f>
        <v>0</v>
      </c>
      <c r="M35" s="2">
        <f>[3]Compass!$FT$41</f>
        <v>0</v>
      </c>
      <c r="N35" s="67" t="e">
        <f t="shared" si="8"/>
        <v>#DIV/0!</v>
      </c>
      <c r="O35" s="310">
        <f>SUM([3]Compass!$GB$41:$GH$41)</f>
        <v>0</v>
      </c>
      <c r="P35" s="2">
        <f>SUM([3]Compass!$FN$41:$FT$41)</f>
        <v>0</v>
      </c>
      <c r="Q35" s="3" t="e">
        <f t="shared" si="9"/>
        <v>#DIV/0!</v>
      </c>
      <c r="R35" s="67">
        <f t="shared" si="10"/>
        <v>0</v>
      </c>
      <c r="S35" s="2"/>
      <c r="T35" s="2"/>
    </row>
    <row r="36" spans="1:21" ht="14.1" customHeight="1" x14ac:dyDescent="0.2">
      <c r="A36" s="38"/>
      <c r="B36" s="40" t="s">
        <v>162</v>
      </c>
      <c r="C36" s="310">
        <f>[3]Pinnacle!$GH$19</f>
        <v>2135</v>
      </c>
      <c r="D36" s="2">
        <f>[3]Pinnacle!$FT$19</f>
        <v>2051</v>
      </c>
      <c r="E36" s="67">
        <f t="shared" si="6"/>
        <v>4.0955631399317405E-2</v>
      </c>
      <c r="F36" s="2">
        <f>SUM([3]Pinnacle!$GB$19:$GH$19)</f>
        <v>15118</v>
      </c>
      <c r="G36" s="2">
        <f>SUM([3]Pinnacle!$FN$19:$FT$19)</f>
        <v>14159</v>
      </c>
      <c r="H36" s="3">
        <f t="shared" si="11"/>
        <v>6.7730771947171406E-2</v>
      </c>
      <c r="I36" s="67">
        <f t="shared" si="7"/>
        <v>7.0217321635091007E-2</v>
      </c>
      <c r="J36" s="38"/>
      <c r="K36" s="40" t="s">
        <v>162</v>
      </c>
      <c r="L36" s="310">
        <f>[3]Pinnacle!$GH$41</f>
        <v>135365</v>
      </c>
      <c r="M36" s="2">
        <f>[3]Pinnacle!$FT$41</f>
        <v>126774</v>
      </c>
      <c r="N36" s="67">
        <f t="shared" si="8"/>
        <v>6.7766261220755047E-2</v>
      </c>
      <c r="O36" s="310">
        <f>SUM([3]Pinnacle!$GB$41:$GH$41)</f>
        <v>931486</v>
      </c>
      <c r="P36" s="2">
        <f>SUM([3]Pinnacle!$FN$41:$FT$41)</f>
        <v>827651</v>
      </c>
      <c r="Q36" s="3">
        <f t="shared" si="9"/>
        <v>0.12545746939229216</v>
      </c>
      <c r="R36" s="67">
        <f t="shared" si="10"/>
        <v>4.2007648528470026E-2</v>
      </c>
    </row>
    <row r="37" spans="1:21" ht="14.1" customHeight="1" x14ac:dyDescent="0.2">
      <c r="A37" s="38"/>
      <c r="B37" s="40" t="s">
        <v>158</v>
      </c>
      <c r="C37" s="310">
        <f>'[3]Go Jet'!$GH$19</f>
        <v>90</v>
      </c>
      <c r="D37" s="2">
        <f>'[3]Go Jet'!$FT$19</f>
        <v>478</v>
      </c>
      <c r="E37" s="67">
        <f t="shared" si="6"/>
        <v>-0.81171548117154813</v>
      </c>
      <c r="F37" s="2">
        <f>SUM('[3]Go Jet'!$GB$19:$GH$19)</f>
        <v>1354</v>
      </c>
      <c r="G37" s="2">
        <f>SUM('[3]Go Jet'!$FN$19:$FT$19)</f>
        <v>4414</v>
      </c>
      <c r="H37" s="3">
        <f>(F37-G37)/G37</f>
        <v>-0.6932487539646579</v>
      </c>
      <c r="I37" s="67">
        <f t="shared" si="7"/>
        <v>6.2888115818172533E-3</v>
      </c>
      <c r="J37" s="38"/>
      <c r="K37" s="40" t="s">
        <v>158</v>
      </c>
      <c r="L37" s="310">
        <f>'[3]Go Jet'!$GH$41</f>
        <v>5755</v>
      </c>
      <c r="M37" s="2">
        <f>'[3]Go Jet'!$FT$41</f>
        <v>30084</v>
      </c>
      <c r="N37" s="67">
        <f t="shared" si="8"/>
        <v>-0.80870230022603373</v>
      </c>
      <c r="O37" s="310">
        <f>SUM('[3]Go Jet'!$GB$41:$GH$41)</f>
        <v>78556</v>
      </c>
      <c r="P37" s="2">
        <f>SUM('[3]Go Jet'!$FN$41:$FT$41)</f>
        <v>259752</v>
      </c>
      <c r="Q37" s="3">
        <f>(O37-P37)/P37</f>
        <v>-0.69757306969724964</v>
      </c>
      <c r="R37" s="67">
        <f t="shared" si="10"/>
        <v>3.5426757222357516E-3</v>
      </c>
      <c r="S37" s="285"/>
      <c r="T37" s="193"/>
    </row>
    <row r="38" spans="1:21" ht="14.1" customHeight="1" x14ac:dyDescent="0.2">
      <c r="A38" s="38"/>
      <c r="B38" s="40" t="s">
        <v>99</v>
      </c>
      <c r="C38" s="310">
        <f>'[3]Sky West'!$GH$19</f>
        <v>9119</v>
      </c>
      <c r="D38" s="2">
        <f>'[3]Sky West'!$FT$19</f>
        <v>8805</v>
      </c>
      <c r="E38" s="67">
        <f t="shared" si="6"/>
        <v>3.5661555934128335E-2</v>
      </c>
      <c r="F38" s="2">
        <f>SUM('[3]Sky West'!$GB$19:$GH$19)</f>
        <v>55720</v>
      </c>
      <c r="G38" s="2">
        <f>SUM('[3]Sky West'!$FN$19:$FT$19)</f>
        <v>55807</v>
      </c>
      <c r="H38" s="3">
        <f t="shared" si="11"/>
        <v>-1.5589442184672174E-3</v>
      </c>
      <c r="I38" s="67">
        <f t="shared" si="7"/>
        <v>0.25879806598143085</v>
      </c>
      <c r="J38" s="38"/>
      <c r="K38" s="40" t="s">
        <v>99</v>
      </c>
      <c r="L38" s="310">
        <f>'[3]Sky West'!$GH$41</f>
        <v>475744</v>
      </c>
      <c r="M38" s="2">
        <f>'[3]Sky West'!$FT$41</f>
        <v>430520</v>
      </c>
      <c r="N38" s="67">
        <f t="shared" si="8"/>
        <v>0.10504506178574746</v>
      </c>
      <c r="O38" s="310">
        <f>SUM('[3]Sky West'!$GB$41:$GH$41)</f>
        <v>2754804</v>
      </c>
      <c r="P38" s="2">
        <f>SUM('[3]Sky West'!$FN$41:$FT$41)</f>
        <v>2656805</v>
      </c>
      <c r="Q38" s="3">
        <f t="shared" si="9"/>
        <v>3.6886034165096795E-2</v>
      </c>
      <c r="R38" s="67">
        <f t="shared" si="10"/>
        <v>0.12423465108098601</v>
      </c>
    </row>
    <row r="39" spans="1:21" ht="14.1" customHeight="1" x14ac:dyDescent="0.2">
      <c r="A39" s="38"/>
      <c r="B39" s="40" t="s">
        <v>133</v>
      </c>
      <c r="C39" s="310">
        <f>'[3]Shuttle America_Delta'!$GH$19</f>
        <v>0</v>
      </c>
      <c r="D39" s="2">
        <f>'[3]Shuttle America_Delta'!$FT$19</f>
        <v>0</v>
      </c>
      <c r="E39" s="67" t="e">
        <f t="shared" si="6"/>
        <v>#DIV/0!</v>
      </c>
      <c r="F39" s="2">
        <f>SUM('[3]Shuttle America_Delta'!$GB$19:$GH$19)</f>
        <v>322</v>
      </c>
      <c r="G39" s="2">
        <f>SUM('[3]Shuttle America_Delta'!$FN$19:$FT$19)</f>
        <v>76</v>
      </c>
      <c r="H39" s="3">
        <f t="shared" si="11"/>
        <v>3.236842105263158</v>
      </c>
      <c r="I39" s="67">
        <f t="shared" si="7"/>
        <v>1.4955667129580173E-3</v>
      </c>
      <c r="J39" s="38"/>
      <c r="K39" s="40" t="s">
        <v>133</v>
      </c>
      <c r="L39" s="310">
        <f>'[3]Shuttle America_Delta'!$GH$41</f>
        <v>0</v>
      </c>
      <c r="M39" s="2">
        <f>'[3]Shuttle America_Delta'!$FT$41</f>
        <v>0</v>
      </c>
      <c r="N39" s="67" t="e">
        <f t="shared" si="8"/>
        <v>#DIV/0!</v>
      </c>
      <c r="O39" s="310">
        <f>SUM('[3]Shuttle America_Delta'!$GB$41:$GH$41)</f>
        <v>16634</v>
      </c>
      <c r="P39" s="2">
        <f>SUM('[3]Shuttle America_Delta'!$FN$41:$FT$41)</f>
        <v>4528</v>
      </c>
      <c r="Q39" s="3">
        <f t="shared" si="9"/>
        <v>2.6735865724381624</v>
      </c>
      <c r="R39" s="67">
        <f t="shared" si="10"/>
        <v>7.5015107647626522E-4</v>
      </c>
    </row>
    <row r="40" spans="1:21" ht="14.1" customHeight="1" x14ac:dyDescent="0.2">
      <c r="A40" s="38"/>
      <c r="B40" s="364" t="s">
        <v>171</v>
      </c>
      <c r="C40" s="310">
        <f>'[3]Atlantic Southeast'!$GH$19</f>
        <v>0</v>
      </c>
      <c r="D40" s="2">
        <f>'[3]Atlantic Southeast'!$FT$19</f>
        <v>0</v>
      </c>
      <c r="E40" s="67" t="e">
        <f t="shared" si="6"/>
        <v>#DIV/0!</v>
      </c>
      <c r="F40" s="2">
        <f>SUM('[3]Atlantic Southeast'!$GB$19:$GH$19)</f>
        <v>0</v>
      </c>
      <c r="G40" s="2">
        <f>SUM('[3]Atlantic Southeast'!$FN$19:$FT$19)</f>
        <v>1352</v>
      </c>
      <c r="H40" s="3">
        <f t="shared" si="11"/>
        <v>-1</v>
      </c>
      <c r="I40" s="67">
        <f t="shared" si="7"/>
        <v>0</v>
      </c>
      <c r="J40" s="38"/>
      <c r="K40" s="364" t="s">
        <v>171</v>
      </c>
      <c r="L40" s="310">
        <f>'[3]Atlantic Southeast'!$GH$41</f>
        <v>0</v>
      </c>
      <c r="M40" s="2">
        <f>'[3]Atlantic Southeast'!$FT$41</f>
        <v>0</v>
      </c>
      <c r="N40" s="67" t="e">
        <f t="shared" si="8"/>
        <v>#DIV/0!</v>
      </c>
      <c r="O40" s="310">
        <f>SUM('[3]Atlantic Southeast'!$GB$41:$GH$41)</f>
        <v>0</v>
      </c>
      <c r="P40" s="2">
        <f>SUM('[3]Atlantic Southeast'!$FN$41:$FT$41)</f>
        <v>68799</v>
      </c>
      <c r="Q40" s="3">
        <f t="shared" si="9"/>
        <v>-1</v>
      </c>
      <c r="R40" s="67">
        <f t="shared" si="10"/>
        <v>0</v>
      </c>
      <c r="S40" s="284"/>
    </row>
    <row r="41" spans="1:21" ht="14.1" customHeight="1" x14ac:dyDescent="0.2">
      <c r="A41" s="38"/>
      <c r="B41" s="364"/>
      <c r="C41" s="310"/>
      <c r="E41" s="67"/>
      <c r="F41" s="2"/>
      <c r="I41" s="67"/>
      <c r="J41" s="38"/>
      <c r="K41" s="364"/>
      <c r="L41" s="310"/>
      <c r="N41" s="67"/>
      <c r="O41" s="310"/>
      <c r="P41" s="2"/>
      <c r="Q41" s="3"/>
      <c r="R41" s="67"/>
      <c r="S41" s="284"/>
    </row>
    <row r="42" spans="1:21" ht="14.1" customHeight="1" x14ac:dyDescent="0.2">
      <c r="A42" s="306" t="s">
        <v>47</v>
      </c>
      <c r="B42" s="40"/>
      <c r="C42" s="307">
        <f>[3]Frontier!$GH$19</f>
        <v>346</v>
      </c>
      <c r="D42" s="150">
        <f>[3]Frontier!$FT$19</f>
        <v>312</v>
      </c>
      <c r="E42" s="309">
        <f>(C42-D42)/D42</f>
        <v>0.10897435897435898</v>
      </c>
      <c r="F42" s="150">
        <f>SUM([3]Frontier!$GB$19:$GH$19)</f>
        <v>1811</v>
      </c>
      <c r="G42" s="150">
        <f>SUM([3]Frontier!$FN$19:$FT$19)</f>
        <v>1932</v>
      </c>
      <c r="H42" s="308">
        <f>(F42-G42)/G42</f>
        <v>-6.2629399585921328E-2</v>
      </c>
      <c r="I42" s="309">
        <f>F42/$F$69</f>
        <v>8.4114016061085997E-3</v>
      </c>
      <c r="J42" s="306" t="s">
        <v>47</v>
      </c>
      <c r="K42" s="40"/>
      <c r="L42" s="307">
        <f>[3]Frontier!$GH$41</f>
        <v>54937</v>
      </c>
      <c r="M42" s="150">
        <f>[3]Frontier!$FT$41</f>
        <v>45702</v>
      </c>
      <c r="N42" s="309">
        <f>(L42-M42)/M42</f>
        <v>0.20206993129403528</v>
      </c>
      <c r="O42" s="307">
        <f>SUM([3]Frontier!$GB$41:$GH$41)</f>
        <v>295848</v>
      </c>
      <c r="P42" s="150">
        <f>SUM([3]Frontier!$FN$41:$FT$41)</f>
        <v>285337</v>
      </c>
      <c r="Q42" s="308">
        <f>(O42-P42)/P42</f>
        <v>3.6837143447922979E-2</v>
      </c>
      <c r="R42" s="309">
        <f>O42/$O$69</f>
        <v>1.3341992044808832E-2</v>
      </c>
      <c r="S42" s="398"/>
      <c r="U42" s="2"/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  <c r="S43" s="398"/>
    </row>
    <row r="44" spans="1:21" ht="14.1" customHeight="1" x14ac:dyDescent="0.2">
      <c r="A44" s="306" t="s">
        <v>48</v>
      </c>
      <c r="B44" s="40"/>
      <c r="C44" s="307">
        <f>[3]Icelandair!$GH$19</f>
        <v>62</v>
      </c>
      <c r="D44" s="150">
        <f>[3]Icelandair!$FT$19</f>
        <v>94</v>
      </c>
      <c r="E44" s="309">
        <f>(C44-D44)/D44</f>
        <v>-0.34042553191489361</v>
      </c>
      <c r="F44" s="150">
        <f>SUM([3]Icelandair!$GB$19:$GH$19)</f>
        <v>270</v>
      </c>
      <c r="G44" s="150">
        <f>SUM([3]Icelandair!$FN$19:$FT$19)</f>
        <v>344</v>
      </c>
      <c r="H44" s="308">
        <f>(F44-G44)/G44</f>
        <v>-0.21511627906976744</v>
      </c>
      <c r="I44" s="309">
        <f>F44/$F$69</f>
        <v>1.2540466226666604E-3</v>
      </c>
      <c r="J44" s="306" t="s">
        <v>48</v>
      </c>
      <c r="K44" s="40"/>
      <c r="L44" s="307">
        <f>[3]Icelandair!$GH$41</f>
        <v>11245</v>
      </c>
      <c r="M44" s="150">
        <f>[3]Icelandair!$FT$41</f>
        <v>13862</v>
      </c>
      <c r="N44" s="309">
        <f>(L44-M44)/M44</f>
        <v>-0.18878949646515655</v>
      </c>
      <c r="O44" s="307">
        <f>SUM([3]Icelandair!$GB$41:$GH$41)</f>
        <v>47087</v>
      </c>
      <c r="P44" s="150">
        <f>SUM([3]Icelandair!$FN$41:$FT$41)</f>
        <v>49323</v>
      </c>
      <c r="Q44" s="308">
        <f>(O44-P44)/P44</f>
        <v>-4.5333819921740362E-2</v>
      </c>
      <c r="R44" s="309">
        <f>O44/$O$69</f>
        <v>2.1235038919104185E-3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214</v>
      </c>
      <c r="B46" s="40"/>
      <c r="C46" s="307">
        <f>'[3]Jet Blue'!$GH$19</f>
        <v>178</v>
      </c>
      <c r="D46" s="150">
        <f>'[3]Jet Blue'!$FT$19</f>
        <v>186</v>
      </c>
      <c r="E46" s="309">
        <f>(C46-D46)/D46</f>
        <v>-4.3010752688172046E-2</v>
      </c>
      <c r="F46" s="150">
        <f>SUM('[3]Jet Blue'!$GB$19:$GH$19)</f>
        <v>1196</v>
      </c>
      <c r="G46" s="150">
        <f>SUM('[3]Jet Blue'!$FN$19:$FT$19)</f>
        <v>532</v>
      </c>
      <c r="H46" s="308">
        <f>(F46-G46)/G46</f>
        <v>1.2481203007518797</v>
      </c>
      <c r="I46" s="309">
        <f>F46/$F$69</f>
        <v>5.5549620767012071E-3</v>
      </c>
      <c r="J46" s="306" t="s">
        <v>214</v>
      </c>
      <c r="K46" s="40"/>
      <c r="L46" s="307">
        <f>'[3]Jet Blue'!$GH$41</f>
        <v>23641</v>
      </c>
      <c r="M46" s="150">
        <f>'[3]Jet Blue'!$FT$41</f>
        <v>22956</v>
      </c>
      <c r="N46" s="309">
        <f>(L46-M46)/M46</f>
        <v>2.9839693326363478E-2</v>
      </c>
      <c r="O46" s="307">
        <f>SUM('[3]Jet Blue'!$GB$41:$GH$41)</f>
        <v>133926</v>
      </c>
      <c r="P46" s="150">
        <f>SUM('[3]Jet Blue'!$FN$41:$FT$41)</f>
        <v>64729</v>
      </c>
      <c r="Q46" s="308">
        <f>(O46-P46)/P46</f>
        <v>1.0690262478950703</v>
      </c>
      <c r="R46" s="309">
        <f>O46/$O$69</f>
        <v>6.0397218388938499E-3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201</v>
      </c>
      <c r="B48" s="40"/>
      <c r="C48" s="307">
        <f>[3]KLM!$GH$19</f>
        <v>32</v>
      </c>
      <c r="D48" s="150">
        <f>[3]KLM!$FT$19</f>
        <v>36</v>
      </c>
      <c r="E48" s="309">
        <f>(C48-D48)/D48</f>
        <v>-0.1111111111111111</v>
      </c>
      <c r="F48" s="150">
        <f>SUM([3]KLM!$GB$19:$GH$19)</f>
        <v>234</v>
      </c>
      <c r="G48" s="150">
        <f>SUM([3]KLM!$FN$19:$FT$19)</f>
        <v>204</v>
      </c>
      <c r="H48" s="308">
        <f>(F48-G48)/G48</f>
        <v>0.14705882352941177</v>
      </c>
      <c r="I48" s="309">
        <f>F48/$F$69</f>
        <v>1.0868404063111058E-3</v>
      </c>
      <c r="J48" s="306" t="s">
        <v>201</v>
      </c>
      <c r="K48" s="40"/>
      <c r="L48" s="307">
        <f>[3]KLM!$GH$41</f>
        <v>7785</v>
      </c>
      <c r="M48" s="150">
        <f>[3]KLM!$FT$41</f>
        <v>8787</v>
      </c>
      <c r="N48" s="309">
        <f>(L48-M48)/M48</f>
        <v>-0.11403209286445885</v>
      </c>
      <c r="O48" s="307">
        <f>SUM([3]KLM!$GB$41:$GH$41)</f>
        <v>53606</v>
      </c>
      <c r="P48" s="150">
        <f>SUM([3]KLM!$FN$41:$FT$41)</f>
        <v>47134</v>
      </c>
      <c r="Q48" s="308">
        <f>(O48-P48)/P48</f>
        <v>0.1373106462426274</v>
      </c>
      <c r="R48" s="309">
        <f>O48/$O$69</f>
        <v>2.4174942049769552E-3</v>
      </c>
    </row>
    <row r="49" spans="1:18" ht="14.1" customHeight="1" x14ac:dyDescent="0.2">
      <c r="A49" s="306"/>
      <c r="B49" s="40"/>
      <c r="C49" s="307"/>
      <c r="D49" s="150"/>
      <c r="E49" s="309"/>
      <c r="F49" s="150"/>
      <c r="G49" s="150"/>
      <c r="H49" s="308"/>
      <c r="I49" s="309"/>
      <c r="J49" s="306"/>
      <c r="K49" s="40"/>
      <c r="L49" s="310"/>
      <c r="N49" s="67"/>
      <c r="O49" s="310"/>
      <c r="P49" s="2"/>
      <c r="Q49" s="3"/>
      <c r="R49" s="67"/>
    </row>
    <row r="50" spans="1:18" ht="14.1" customHeight="1" x14ac:dyDescent="0.2">
      <c r="A50" s="306" t="s">
        <v>131</v>
      </c>
      <c r="B50" s="40"/>
      <c r="C50" s="307">
        <f>SUM(C51:C51)</f>
        <v>1470</v>
      </c>
      <c r="D50" s="150">
        <f>SUM(D51:D51)</f>
        <v>1469</v>
      </c>
      <c r="E50" s="309">
        <f>(C50-D50)/D50</f>
        <v>6.8073519400953025E-4</v>
      </c>
      <c r="F50" s="307">
        <f>SUM(F51:F51)</f>
        <v>9497</v>
      </c>
      <c r="G50" s="150">
        <f>SUM(G51:G51)</f>
        <v>9339</v>
      </c>
      <c r="H50" s="308">
        <f>(F50-G50)/G50</f>
        <v>1.691829960381197E-2</v>
      </c>
      <c r="I50" s="309">
        <f>F50/$F$69</f>
        <v>4.4109928798019532E-2</v>
      </c>
      <c r="J50" s="306" t="s">
        <v>131</v>
      </c>
      <c r="K50" s="40"/>
      <c r="L50" s="307">
        <f>SUM(L51:L51)</f>
        <v>168704</v>
      </c>
      <c r="M50" s="150">
        <f>SUM(M51:M51)</f>
        <v>179912</v>
      </c>
      <c r="N50" s="309">
        <f>(L50-M50)/M50</f>
        <v>-6.2297123037929655E-2</v>
      </c>
      <c r="O50" s="307">
        <f>SUM(O51:O51)</f>
        <v>1094139</v>
      </c>
      <c r="P50" s="150">
        <f>SUM(P51:P51)</f>
        <v>1126934</v>
      </c>
      <c r="Q50" s="308">
        <f>(O50-P50)/P50</f>
        <v>-2.9101083115781402E-2</v>
      </c>
      <c r="R50" s="309">
        <f>O50/$O$69</f>
        <v>4.9342884974429742E-2</v>
      </c>
    </row>
    <row r="51" spans="1:18" ht="14.1" customHeight="1" x14ac:dyDescent="0.2">
      <c r="A51" s="306"/>
      <c r="B51" s="40" t="s">
        <v>131</v>
      </c>
      <c r="C51" s="368">
        <f>[3]Southwest!$GH$19</f>
        <v>1470</v>
      </c>
      <c r="D51" s="254">
        <f>[3]Southwest!$FT$19</f>
        <v>1469</v>
      </c>
      <c r="E51" s="370">
        <f>(C51-D51)/D51</f>
        <v>6.8073519400953025E-4</v>
      </c>
      <c r="F51" s="254">
        <f>SUM([3]Southwest!$GB$19:$GH$19)</f>
        <v>9497</v>
      </c>
      <c r="G51" s="254">
        <f>SUM([3]Southwest!$FN$19:$FT$19)</f>
        <v>9339</v>
      </c>
      <c r="H51" s="369">
        <f>(F51-G51)/G51</f>
        <v>1.691829960381197E-2</v>
      </c>
      <c r="I51" s="370">
        <f>F51/$F$69</f>
        <v>4.4109928798019532E-2</v>
      </c>
      <c r="J51" s="306"/>
      <c r="K51" s="40" t="s">
        <v>131</v>
      </c>
      <c r="L51" s="368">
        <f>[3]Southwest!$GH$41</f>
        <v>168704</v>
      </c>
      <c r="M51" s="254">
        <f>[3]Southwest!$FT$41</f>
        <v>179912</v>
      </c>
      <c r="N51" s="370">
        <f>(L51-M51)/M51</f>
        <v>-6.2297123037929655E-2</v>
      </c>
      <c r="O51" s="368">
        <f>SUM([3]Southwest!$GB$41:$GH$41)</f>
        <v>1094139</v>
      </c>
      <c r="P51" s="254">
        <f>SUM([3]Southwest!$FN$41:$FT$41)</f>
        <v>1126934</v>
      </c>
      <c r="Q51" s="369">
        <f>(O51-P51)/P51</f>
        <v>-2.9101083115781402E-2</v>
      </c>
      <c r="R51" s="370">
        <f>O51/$O$69</f>
        <v>4.9342884974429742E-2</v>
      </c>
    </row>
    <row r="52" spans="1:18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/>
    </row>
    <row r="53" spans="1:18" ht="14.1" customHeight="1" x14ac:dyDescent="0.2">
      <c r="A53" s="306" t="s">
        <v>159</v>
      </c>
      <c r="B53" s="40"/>
      <c r="C53" s="307">
        <f>[3]Spirit!$GH$19</f>
        <v>610</v>
      </c>
      <c r="D53" s="150">
        <f>[3]Spirit!$FT$19</f>
        <v>740</v>
      </c>
      <c r="E53" s="309">
        <f>(C53-D53)/D53</f>
        <v>-0.17567567567567569</v>
      </c>
      <c r="F53" s="150">
        <f>SUM([3]Spirit!$GB$19:$GH$19)</f>
        <v>4594</v>
      </c>
      <c r="G53" s="150">
        <f>SUM([3]Spirit!$FN$19:$FT$19)</f>
        <v>5031</v>
      </c>
      <c r="H53" s="308">
        <f>(F53-G53)/G53</f>
        <v>-8.6861458954482204E-2</v>
      </c>
      <c r="I53" s="309">
        <f>F53/$F$69</f>
        <v>2.1337371053817177E-2</v>
      </c>
      <c r="J53" s="306" t="s">
        <v>159</v>
      </c>
      <c r="K53" s="40"/>
      <c r="L53" s="307">
        <f>[3]Spirit!$GH$41</f>
        <v>98358</v>
      </c>
      <c r="M53" s="150">
        <f>[3]Spirit!$FT$41</f>
        <v>108629</v>
      </c>
      <c r="N53" s="309">
        <f>(L53-M53)/M53</f>
        <v>-9.4551178782829634E-2</v>
      </c>
      <c r="O53" s="307">
        <f>SUM([3]Spirit!$GB$41:$GH$41)</f>
        <v>691144</v>
      </c>
      <c r="P53" s="150">
        <f>SUM([3]Spirit!$FN$41:$FT$41)</f>
        <v>681439</v>
      </c>
      <c r="Q53" s="308">
        <f>(O53-P53)/P53</f>
        <v>1.4241920406668829E-2</v>
      </c>
      <c r="R53" s="309">
        <f>O53/$O$69</f>
        <v>3.1168835854281103E-2</v>
      </c>
    </row>
    <row r="54" spans="1:18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>
        <f>O54/$O$69</f>
        <v>0</v>
      </c>
    </row>
    <row r="55" spans="1:18" ht="14.1" customHeight="1" x14ac:dyDescent="0.2">
      <c r="A55" s="306" t="s">
        <v>49</v>
      </c>
      <c r="B55" s="40"/>
      <c r="C55" s="307">
        <f>'[3]Sun Country'!$GH$19</f>
        <v>1904</v>
      </c>
      <c r="D55" s="150">
        <f>'[3]Sun Country'!$FT$19</f>
        <v>1529</v>
      </c>
      <c r="E55" s="309">
        <f>(C55-D55)/D55</f>
        <v>0.24525833878351863</v>
      </c>
      <c r="F55" s="150">
        <f>SUM('[3]Sun Country'!$GB$19:$GH$19)</f>
        <v>12459</v>
      </c>
      <c r="G55" s="150">
        <f>SUM('[3]Sun Country'!$FN$19:$FT$19)</f>
        <v>12233</v>
      </c>
      <c r="H55" s="308">
        <f>(F55-G55)/G55</f>
        <v>1.8474617836998282E-2</v>
      </c>
      <c r="I55" s="309">
        <f>F55/$F$69</f>
        <v>5.7867284710384902E-2</v>
      </c>
      <c r="J55" s="306" t="s">
        <v>49</v>
      </c>
      <c r="K55" s="40"/>
      <c r="L55" s="307">
        <f>'[3]Sun Country'!$GH$41</f>
        <v>256488</v>
      </c>
      <c r="M55" s="150">
        <f>'[3]Sun Country'!$FT$41</f>
        <v>198882</v>
      </c>
      <c r="N55" s="309">
        <f>(L55-M55)/M55</f>
        <v>0.28964913868525055</v>
      </c>
      <c r="O55" s="307">
        <f>SUM('[3]Sun Country'!$GB$41:$GH$41)</f>
        <v>1692265</v>
      </c>
      <c r="P55" s="150">
        <f>SUM('[3]Sun Country'!$FN$41:$FT$41)</f>
        <v>1480096</v>
      </c>
      <c r="Q55" s="308">
        <f>(O55-P55)/P55</f>
        <v>0.14334813417508052</v>
      </c>
      <c r="R55" s="309">
        <f>O55/$O$69</f>
        <v>7.6316845703565409E-2</v>
      </c>
    </row>
    <row r="56" spans="1:18" ht="14.1" customHeight="1" x14ac:dyDescent="0.2">
      <c r="A56" s="306"/>
      <c r="B56" s="40"/>
      <c r="C56" s="307"/>
      <c r="D56" s="150"/>
      <c r="E56" s="309"/>
      <c r="F56" s="150"/>
      <c r="G56" s="150"/>
      <c r="H56" s="308"/>
      <c r="I56" s="309"/>
      <c r="J56" s="306"/>
      <c r="K56" s="40"/>
      <c r="L56" s="310"/>
      <c r="N56" s="67"/>
      <c r="O56" s="310"/>
      <c r="P56" s="2"/>
      <c r="Q56" s="3"/>
      <c r="R56" s="67"/>
    </row>
    <row r="57" spans="1:18" ht="14.1" customHeight="1" x14ac:dyDescent="0.2">
      <c r="A57" s="306" t="s">
        <v>19</v>
      </c>
      <c r="B57" s="311"/>
      <c r="C57" s="307">
        <f>SUM(C58:C64)</f>
        <v>1562</v>
      </c>
      <c r="D57" s="150">
        <f>SUM(D58:D64)</f>
        <v>1604</v>
      </c>
      <c r="E57" s="309">
        <f t="shared" ref="E57:E64" si="12">(C57-D57)/D57</f>
        <v>-2.6184538653366583E-2</v>
      </c>
      <c r="F57" s="150">
        <f>SUM(F58:F64)</f>
        <v>10008</v>
      </c>
      <c r="G57" s="150">
        <f>SUM(G58:G64)</f>
        <v>10230</v>
      </c>
      <c r="H57" s="308">
        <f t="shared" ref="H57:H64" si="13">(F57-G57)/G57</f>
        <v>-2.1700879765395895E-2</v>
      </c>
      <c r="I57" s="309">
        <f t="shared" ref="I57:I64" si="14">F57/$F$69</f>
        <v>4.6483328146844215E-2</v>
      </c>
      <c r="J57" s="306" t="s">
        <v>19</v>
      </c>
      <c r="K57" s="311"/>
      <c r="L57" s="307">
        <f>SUM(L58:L64)</f>
        <v>154727</v>
      </c>
      <c r="M57" s="150">
        <f>SUM(M58:M64)</f>
        <v>154223</v>
      </c>
      <c r="N57" s="309">
        <f t="shared" ref="N57:N64" si="15">(L57-M57)/M57</f>
        <v>3.2679950461344935E-3</v>
      </c>
      <c r="O57" s="307">
        <f>SUM(O58:O64)</f>
        <v>893359</v>
      </c>
      <c r="P57" s="150">
        <f>SUM(P58:P64)</f>
        <v>912473</v>
      </c>
      <c r="Q57" s="308">
        <f t="shared" ref="Q57:Q64" si="16">(O57-P57)/P57</f>
        <v>-2.0947469130593453E-2</v>
      </c>
      <c r="R57" s="309">
        <f t="shared" ref="R57:R64" si="17">O57/$O$69</f>
        <v>4.0288217838749536E-2</v>
      </c>
    </row>
    <row r="58" spans="1:18" ht="14.1" customHeight="1" x14ac:dyDescent="0.2">
      <c r="A58" s="38"/>
      <c r="B58" s="364" t="s">
        <v>19</v>
      </c>
      <c r="C58" s="310">
        <f>[3]United!$GH$19</f>
        <v>694</v>
      </c>
      <c r="D58" s="2">
        <f>[3]United!$FT$19+[3]Continental!$FT$19</f>
        <v>812</v>
      </c>
      <c r="E58" s="67">
        <f t="shared" si="12"/>
        <v>-0.14532019704433496</v>
      </c>
      <c r="F58" s="2">
        <f>SUM([3]United!$GB$19:$GH$19)</f>
        <v>3780</v>
      </c>
      <c r="G58" s="2">
        <f>SUM([3]United!$FN$19:$FT$19)+SUM([3]Continental!$FN$19:$FT$19)</f>
        <v>4234</v>
      </c>
      <c r="H58" s="3">
        <f t="shared" si="13"/>
        <v>-0.10722720831365139</v>
      </c>
      <c r="I58" s="67">
        <f t="shared" si="14"/>
        <v>1.7556652717333247E-2</v>
      </c>
      <c r="J58" s="38"/>
      <c r="K58" s="364" t="s">
        <v>19</v>
      </c>
      <c r="L58" s="310">
        <f>[3]United!$GH$41</f>
        <v>98331</v>
      </c>
      <c r="M58" s="2">
        <f>[3]United!$FT$41+[3]Continental!$FT$41</f>
        <v>101431</v>
      </c>
      <c r="N58" s="67">
        <f t="shared" si="15"/>
        <v>-3.0562648499965494E-2</v>
      </c>
      <c r="O58" s="310">
        <f>SUM([3]United!$GB$41:$GH$41)</f>
        <v>504488</v>
      </c>
      <c r="P58" s="2">
        <f>SUM([3]United!$FN$41:$FT$41)+SUM([3]Continental!$FN$41:$FT$41)</f>
        <v>528341</v>
      </c>
      <c r="Q58" s="3">
        <f t="shared" si="16"/>
        <v>-4.5146978939737785E-2</v>
      </c>
      <c r="R58" s="67">
        <f t="shared" si="17"/>
        <v>2.275112518151726E-2</v>
      </c>
    </row>
    <row r="59" spans="1:18" ht="14.1" customHeight="1" x14ac:dyDescent="0.2">
      <c r="A59" s="38"/>
      <c r="B59" s="364" t="s">
        <v>171</v>
      </c>
      <c r="C59" s="310">
        <f>'[3]Continental Express'!$GH$19</f>
        <v>96</v>
      </c>
      <c r="D59" s="2">
        <f>'[3]Continental Express'!$FT$19</f>
        <v>0</v>
      </c>
      <c r="E59" s="67" t="e">
        <f t="shared" si="12"/>
        <v>#DIV/0!</v>
      </c>
      <c r="F59" s="2">
        <f>SUM('[3]Continental Express'!$GB$19:$GH$19)</f>
        <v>150</v>
      </c>
      <c r="G59" s="2">
        <f>SUM('[3]Continental Express'!$FN$19:$FT$19)</f>
        <v>52</v>
      </c>
      <c r="H59" s="3">
        <f t="shared" si="13"/>
        <v>1.8846153846153846</v>
      </c>
      <c r="I59" s="67">
        <f t="shared" si="14"/>
        <v>6.9669256814814469E-4</v>
      </c>
      <c r="J59" s="38"/>
      <c r="K59" s="364" t="s">
        <v>171</v>
      </c>
      <c r="L59" s="310">
        <f>'[3]Continental Express'!$GH$41</f>
        <v>5779</v>
      </c>
      <c r="M59" s="2">
        <f>'[3]Continental Express'!$FT$41</f>
        <v>0</v>
      </c>
      <c r="N59" s="67" t="e">
        <f t="shared" si="15"/>
        <v>#DIV/0!</v>
      </c>
      <c r="O59" s="310">
        <f>SUM('[3]Continental Express'!$GB$41:$GH$41)</f>
        <v>7205</v>
      </c>
      <c r="P59" s="2">
        <f>SUM('[3]Continental Express'!$FN$41:$FT$41)</f>
        <v>1597</v>
      </c>
      <c r="Q59" s="3">
        <f t="shared" si="16"/>
        <v>3.5115842204132748</v>
      </c>
      <c r="R59" s="67">
        <f t="shared" si="17"/>
        <v>3.2492716760920351E-4</v>
      </c>
    </row>
    <row r="60" spans="1:18" ht="14.1" customHeight="1" x14ac:dyDescent="0.2">
      <c r="A60" s="38"/>
      <c r="B60" s="40" t="s">
        <v>158</v>
      </c>
      <c r="C60" s="310">
        <f>'[3]Go Jet_UA'!$GH$19</f>
        <v>0</v>
      </c>
      <c r="D60" s="2">
        <f>'[3]Go Jet_UA'!$FT$19</f>
        <v>0</v>
      </c>
      <c r="E60" s="67" t="e">
        <f t="shared" si="12"/>
        <v>#DIV/0!</v>
      </c>
      <c r="F60" s="2">
        <f>SUM('[3]Go Jet_UA'!$GB$19:$GH$19)</f>
        <v>40</v>
      </c>
      <c r="G60" s="2">
        <f>SUM('[3]Go Jet_UA'!$FN$19:$FT$19)</f>
        <v>156</v>
      </c>
      <c r="H60" s="3">
        <f t="shared" si="13"/>
        <v>-0.74358974358974361</v>
      </c>
      <c r="I60" s="67">
        <f t="shared" si="14"/>
        <v>1.8578468483950526E-4</v>
      </c>
      <c r="J60" s="38"/>
      <c r="K60" s="40" t="s">
        <v>158</v>
      </c>
      <c r="L60" s="310">
        <f>'[3]Go Jet_UA'!$GH$41</f>
        <v>0</v>
      </c>
      <c r="M60" s="2">
        <f>'[3]Go Jet_UA'!$FT$41</f>
        <v>0</v>
      </c>
      <c r="N60" s="67" t="e">
        <f t="shared" si="15"/>
        <v>#DIV/0!</v>
      </c>
      <c r="O60" s="310">
        <f>SUM('[3]Go Jet_UA'!$GB$41:$GH$41)</f>
        <v>2380</v>
      </c>
      <c r="P60" s="2">
        <f>SUM('[3]Go Jet_UA'!$FN$41:$FT$41)</f>
        <v>10304</v>
      </c>
      <c r="Q60" s="3">
        <f t="shared" si="16"/>
        <v>-0.76902173913043481</v>
      </c>
      <c r="R60" s="67">
        <f t="shared" si="17"/>
        <v>1.073319443317008E-4</v>
      </c>
    </row>
    <row r="61" spans="1:18" ht="14.1" customHeight="1" x14ac:dyDescent="0.2">
      <c r="A61" s="38"/>
      <c r="B61" s="40" t="s">
        <v>51</v>
      </c>
      <c r="C61" s="310">
        <f>[3]MESA_UA!$GH$19</f>
        <v>176</v>
      </c>
      <c r="D61" s="2">
        <f>[3]MESA_UA!$FT$19</f>
        <v>262</v>
      </c>
      <c r="E61" s="67">
        <f t="shared" si="12"/>
        <v>-0.3282442748091603</v>
      </c>
      <c r="F61" s="2">
        <f>SUM([3]MESA_UA!$GB$19:$GH$19)</f>
        <v>1620</v>
      </c>
      <c r="G61" s="2">
        <f>SUM([3]MESA_UA!$FN$19:$FT$19)</f>
        <v>1946</v>
      </c>
      <c r="H61" s="3">
        <f>(F61-G61)/G61</f>
        <v>-0.16752312435765673</v>
      </c>
      <c r="I61" s="67">
        <f t="shared" si="14"/>
        <v>7.5242797359999633E-3</v>
      </c>
      <c r="J61" s="38"/>
      <c r="K61" s="40" t="s">
        <v>51</v>
      </c>
      <c r="L61" s="310">
        <f>[3]MESA_UA!$GH$41</f>
        <v>11988</v>
      </c>
      <c r="M61" s="2">
        <f>[3]MESA_UA!$FT$41</f>
        <v>18318</v>
      </c>
      <c r="N61" s="67">
        <f t="shared" si="15"/>
        <v>-0.34556174254831312</v>
      </c>
      <c r="O61" s="310">
        <f>SUM([3]MESA_UA!$GB$41:$GH$41)</f>
        <v>104122</v>
      </c>
      <c r="P61" s="2">
        <f>SUM([3]MESA_UA!$FN$41:$FT$41)</f>
        <v>124874</v>
      </c>
      <c r="Q61" s="3">
        <f t="shared" si="16"/>
        <v>-0.16618351298108494</v>
      </c>
      <c r="R61" s="67">
        <f t="shared" si="17"/>
        <v>4.6956372721451058E-3</v>
      </c>
    </row>
    <row r="62" spans="1:18" ht="14.1" customHeight="1" x14ac:dyDescent="0.2">
      <c r="A62" s="38"/>
      <c r="B62" s="364" t="s">
        <v>52</v>
      </c>
      <c r="C62" s="310">
        <f>[3]Republic_UA!$GH$19</f>
        <v>496</v>
      </c>
      <c r="D62" s="2">
        <f>[3]Republic_UA!$FT$19</f>
        <v>454</v>
      </c>
      <c r="E62" s="67">
        <f t="shared" si="12"/>
        <v>9.2511013215859028E-2</v>
      </c>
      <c r="F62" s="2">
        <f>SUM([3]Republic_UA!$GB$19:$GH$19)</f>
        <v>3508</v>
      </c>
      <c r="G62" s="2">
        <f>SUM([3]Republic_UA!$FN$19:$FT$19)</f>
        <v>2724</v>
      </c>
      <c r="H62" s="3">
        <f t="shared" ref="H62" si="18">(F62-G62)/G62</f>
        <v>0.28781204111600589</v>
      </c>
      <c r="I62" s="67">
        <f t="shared" si="14"/>
        <v>1.6293316860424612E-2</v>
      </c>
      <c r="J62" s="38"/>
      <c r="K62" s="364" t="s">
        <v>52</v>
      </c>
      <c r="L62" s="310">
        <f>[3]Republic_UA!$GH$41</f>
        <v>32322</v>
      </c>
      <c r="M62" s="2">
        <f>[3]Republic_UA!$FT$41</f>
        <v>29337</v>
      </c>
      <c r="N62" s="67">
        <f t="shared" si="15"/>
        <v>0.10174864505573167</v>
      </c>
      <c r="O62" s="310">
        <f>SUM([3]Republic_UA!$GB$41:$GH$41)</f>
        <v>215244</v>
      </c>
      <c r="P62" s="2">
        <f>SUM([3]Republic_UA!$FN$41:$FT$41)</f>
        <v>173991</v>
      </c>
      <c r="Q62" s="3">
        <f t="shared" si="16"/>
        <v>0.23709847061054881</v>
      </c>
      <c r="R62" s="67">
        <f t="shared" si="17"/>
        <v>9.7069567335010959E-3</v>
      </c>
    </row>
    <row r="63" spans="1:18" ht="14.1" customHeight="1" x14ac:dyDescent="0.2">
      <c r="A63" s="38"/>
      <c r="B63" s="40" t="s">
        <v>99</v>
      </c>
      <c r="C63" s="310">
        <f>'[3]Sky West_UA'!$GH$19</f>
        <v>100</v>
      </c>
      <c r="D63" s="2">
        <f>'[3]Sky West_UA'!$FT$19+'[3]Sky West_CO'!$FT$19</f>
        <v>76</v>
      </c>
      <c r="E63" s="67">
        <f t="shared" si="12"/>
        <v>0.31578947368421051</v>
      </c>
      <c r="F63" s="2">
        <f>SUM('[3]Sky West_UA'!$GB$19:$GH$19)</f>
        <v>910</v>
      </c>
      <c r="G63" s="2">
        <f>SUM('[3]Sky West_UA'!$FN$19:$FT$19)+SUM('[3]Sky West_CO'!$FN$19:$FT$19)</f>
        <v>1118</v>
      </c>
      <c r="H63" s="3">
        <f t="shared" si="13"/>
        <v>-0.18604651162790697</v>
      </c>
      <c r="I63" s="67">
        <f t="shared" si="14"/>
        <v>4.2266015800987442E-3</v>
      </c>
      <c r="J63" s="38"/>
      <c r="K63" s="40" t="s">
        <v>99</v>
      </c>
      <c r="L63" s="310">
        <f>'[3]Sky West_UA'!$GH$41</f>
        <v>6307</v>
      </c>
      <c r="M63" s="2">
        <f>'[3]Sky West_UA'!$FT$41+'[3]Sky West_CO'!$FT$41</f>
        <v>5137</v>
      </c>
      <c r="N63" s="67">
        <f t="shared" si="15"/>
        <v>0.22775939264161962</v>
      </c>
      <c r="O63" s="310">
        <f>SUM('[3]Sky West_UA'!$GB$41:$GH$41)</f>
        <v>59920</v>
      </c>
      <c r="P63" s="2">
        <f>SUM('[3]Sky West_UA'!$FN$41:$FT$41)+SUM('[3]Sky West_CO'!$FN$41:$FT$41)</f>
        <v>73366</v>
      </c>
      <c r="Q63" s="3">
        <f t="shared" si="16"/>
        <v>-0.18327290570564023</v>
      </c>
      <c r="R63" s="67">
        <f t="shared" si="17"/>
        <v>2.7022395396451731E-3</v>
      </c>
    </row>
    <row r="64" spans="1:18" ht="14.1" customHeight="1" x14ac:dyDescent="0.2">
      <c r="A64" s="38"/>
      <c r="B64" s="312" t="s">
        <v>133</v>
      </c>
      <c r="C64" s="310">
        <f>'[3]Shuttle America'!$GH$19</f>
        <v>0</v>
      </c>
      <c r="D64" s="2">
        <f>'[3]Shuttle America'!$FT$19</f>
        <v>0</v>
      </c>
      <c r="E64" s="67" t="e">
        <f t="shared" si="12"/>
        <v>#DIV/0!</v>
      </c>
      <c r="F64" s="2">
        <f>SUM('[3]Shuttle America'!$GB$19:$GH$19)</f>
        <v>0</v>
      </c>
      <c r="G64" s="2">
        <f>SUM('[3]Shuttle America'!$FN$19:$FT$19)</f>
        <v>0</v>
      </c>
      <c r="H64" s="3" t="e">
        <f t="shared" si="13"/>
        <v>#DIV/0!</v>
      </c>
      <c r="I64" s="67">
        <f t="shared" si="14"/>
        <v>0</v>
      </c>
      <c r="J64" s="38"/>
      <c r="K64" s="312" t="s">
        <v>133</v>
      </c>
      <c r="L64" s="310">
        <f>'[3]Shuttle America'!$GH$41</f>
        <v>0</v>
      </c>
      <c r="M64" s="2">
        <f>'[3]Shuttle America'!$FT$41</f>
        <v>0</v>
      </c>
      <c r="N64" s="67" t="e">
        <f t="shared" si="15"/>
        <v>#DIV/0!</v>
      </c>
      <c r="O64" s="310">
        <f>SUM('[3]Shuttle America'!$GB$41:$GH$41)</f>
        <v>0</v>
      </c>
      <c r="P64" s="2">
        <f>SUM('[3]Shuttle America'!$FN$41:$FT$41)</f>
        <v>0</v>
      </c>
      <c r="Q64" s="3" t="e">
        <f t="shared" si="16"/>
        <v>#DIV/0!</v>
      </c>
      <c r="R64" s="67">
        <f t="shared" si="17"/>
        <v>0</v>
      </c>
    </row>
    <row r="65" spans="1:20" ht="14.1" customHeight="1" thickBot="1" x14ac:dyDescent="0.25">
      <c r="A65" s="366"/>
      <c r="B65" s="367"/>
      <c r="C65" s="313"/>
      <c r="D65" s="315"/>
      <c r="E65" s="316"/>
      <c r="F65" s="315"/>
      <c r="G65" s="315"/>
      <c r="H65" s="314"/>
      <c r="I65" s="316"/>
      <c r="J65" s="366"/>
      <c r="K65" s="367"/>
      <c r="L65" s="313"/>
      <c r="M65" s="315"/>
      <c r="N65" s="316"/>
      <c r="O65" s="313"/>
      <c r="P65" s="315"/>
      <c r="Q65" s="314"/>
      <c r="R65" s="400"/>
    </row>
    <row r="66" spans="1:20" s="194" customFormat="1" ht="14.1" customHeight="1" thickBot="1" x14ac:dyDescent="0.25">
      <c r="B66" s="193"/>
      <c r="C66" s="150"/>
      <c r="D66" s="150"/>
      <c r="E66" s="308"/>
      <c r="F66" s="365"/>
      <c r="G66" s="150"/>
      <c r="H66" s="308"/>
      <c r="I66" s="308"/>
      <c r="J66" s="317"/>
      <c r="K66" s="193"/>
      <c r="L66" s="318"/>
      <c r="M66" s="319"/>
      <c r="N66" s="317"/>
      <c r="S66"/>
      <c r="T66"/>
    </row>
    <row r="67" spans="1:20" ht="14.1" customHeight="1" x14ac:dyDescent="0.2">
      <c r="B67" s="320" t="s">
        <v>135</v>
      </c>
      <c r="C67" s="374">
        <f>+C69-C68</f>
        <v>21508</v>
      </c>
      <c r="D67" s="374">
        <f>+D69-D68</f>
        <v>21118</v>
      </c>
      <c r="E67" s="375">
        <f>(C67-D67)/D67</f>
        <v>1.8467657922151718E-2</v>
      </c>
      <c r="F67" s="374">
        <f>+F69-F68</f>
        <v>131842</v>
      </c>
      <c r="G67" s="374">
        <f>+G69-G68</f>
        <v>128377</v>
      </c>
      <c r="H67" s="375">
        <f>(F67-G67)/G67</f>
        <v>2.6990816111920359E-2</v>
      </c>
      <c r="I67" s="422">
        <f>F67/$F$69</f>
        <v>0.61235561046525133</v>
      </c>
      <c r="K67" s="320" t="s">
        <v>135</v>
      </c>
      <c r="L67" s="374">
        <f>+L69-L68</f>
        <v>3014233</v>
      </c>
      <c r="M67" s="374">
        <f>+M69-M68</f>
        <v>2850605</v>
      </c>
      <c r="N67" s="375">
        <f>(L67-M67)/M67</f>
        <v>5.7401148177316744E-2</v>
      </c>
      <c r="O67" s="374">
        <f>+O69-O68</f>
        <v>17726743</v>
      </c>
      <c r="P67" s="374">
        <f>+P69-P68</f>
        <v>16895175</v>
      </c>
      <c r="Q67" s="415">
        <f>(O67-P67)/P67</f>
        <v>4.9219259344753755E-2</v>
      </c>
      <c r="R67" s="418">
        <f>+O67/O69</f>
        <v>0.7994310054026752</v>
      </c>
    </row>
    <row r="68" spans="1:20" ht="14.1" customHeight="1" x14ac:dyDescent="0.2">
      <c r="B68" s="193" t="s">
        <v>136</v>
      </c>
      <c r="C68" s="376">
        <f>C64+C40+C38+C36+C35+C39+C22+C63+C60+C37+C59+C61+C27+C26+C23+C17+C8+C62+C24+C25+C9+C18</f>
        <v>12975</v>
      </c>
      <c r="D68" s="376">
        <f>D64+D40+D38+D36+D35+D39+D22+D63+D60+D37+D59+D61+D27+D26+D23+D17+D8+D62+D24+D25+D9+D18</f>
        <v>13005</v>
      </c>
      <c r="E68" s="321">
        <f>(C68-D68)/D68</f>
        <v>-2.306805074971165E-3</v>
      </c>
      <c r="F68" s="376">
        <f>F64+F40+F38+F36+F35+F39+F22+F63+F60+F37+F59+F61+F27+F26+F23+F17+F8+F62+F24+F25+F9+F18</f>
        <v>83461</v>
      </c>
      <c r="G68" s="376">
        <f>G64+G40+G38+G36+G35+G39+G22+G63+G60+G37+G59+G61+G27+G26+G23+G17+G8+G62+G24+G25+G9+G18</f>
        <v>88154</v>
      </c>
      <c r="H68" s="321">
        <f>(F68-G68)/G68</f>
        <v>-5.3236381786419221E-2</v>
      </c>
      <c r="I68" s="423">
        <f>F68/$F$69</f>
        <v>0.38764438953474872</v>
      </c>
      <c r="K68" s="193" t="s">
        <v>136</v>
      </c>
      <c r="L68" s="376">
        <f>L64+L40+L38+L36+L35+L39+L22+L63+L60+L37+L59+L61+L27+L26+L23+L17+L8+L62+L24+L25+L9+L18</f>
        <v>720104</v>
      </c>
      <c r="M68" s="376">
        <f>M64+M40+M38+M36+M35+M39+M22+M63+M60+M37+M59+M61+M27+M26+M23+M17+M8+M62+M24+M25+M9+M18</f>
        <v>693224</v>
      </c>
      <c r="N68" s="321">
        <f>(L68-M68)/M68</f>
        <v>3.8775345342919459E-2</v>
      </c>
      <c r="O68" s="376">
        <f>O64+O40+O38+O36+O35+O39+O22+O63+O60+O37+O59+O61+O27+O26+O23+O17+O8+O62+O24+O25+O9+O18</f>
        <v>4447457</v>
      </c>
      <c r="P68" s="376">
        <f>P64+P40+P38+P36+P35+P39+P22+P63+P60+P37+P59+P61+P27+P26+P23+P17+P8+P62+P24+P25+P9+P18</f>
        <v>4572378</v>
      </c>
      <c r="Q68" s="413">
        <f>(O68-P68)/P68</f>
        <v>-2.7320794562479305E-2</v>
      </c>
      <c r="R68" s="419">
        <f>+O68/O69</f>
        <v>0.20056899459732483</v>
      </c>
    </row>
    <row r="69" spans="1:20" ht="14.1" customHeight="1" thickBot="1" x14ac:dyDescent="0.25">
      <c r="B69" s="193" t="s">
        <v>137</v>
      </c>
      <c r="C69" s="377">
        <f>C57+C55+C50+C44+C42+C33+C20+C15+C6+C53+C31+C29+C11+C48+C13+C46+C4</f>
        <v>34483</v>
      </c>
      <c r="D69" s="377">
        <f>D57+D55+D50+D44+D42+D33+D20+D15+D6+D53+D31+D29+D11+D48+D13+D46+D4</f>
        <v>34123</v>
      </c>
      <c r="E69" s="378">
        <f>(C69-D69)/D69</f>
        <v>1.0550068868505114E-2</v>
      </c>
      <c r="F69" s="377">
        <f>F57+F55+F50+F44+F42+F33+F20+F15+F6+F53+F31+F29+F11+F48+F13+F46+F4</f>
        <v>215303</v>
      </c>
      <c r="G69" s="377">
        <f>G57+G55+G50+G44+G42+G33+G20+G15+G6+G53+G31+G29+G11+G48+G13+G46+G4</f>
        <v>216531</v>
      </c>
      <c r="H69" s="378">
        <f>(F69-G69)/G69</f>
        <v>-5.6712433785462589E-3</v>
      </c>
      <c r="I69" s="424">
        <f>+H69/H69</f>
        <v>1</v>
      </c>
      <c r="K69" s="193" t="s">
        <v>137</v>
      </c>
      <c r="L69" s="377">
        <f>L57+L55+L50+L44+L42+L33+L20+L15+L6+L53+L31+L29+L11+L48+L13+L46+L4</f>
        <v>3734337</v>
      </c>
      <c r="M69" s="377">
        <f>M57+M55+M50+M44+M42+M33+M20+M15+M6+M53+M31+M29+M11+M48+M13+M46+M4</f>
        <v>3543829</v>
      </c>
      <c r="N69" s="378">
        <f>(L69-M69)/M69</f>
        <v>5.3757672844824057E-2</v>
      </c>
      <c r="O69" s="377">
        <f>O57+O55+O50+O44+O42+O33+O20+O15+O6+O53+O31+O29+O11+O48+O13+O46+O4</f>
        <v>22174200</v>
      </c>
      <c r="P69" s="377">
        <f>P57+P55+P50+P44+P42+P33+P20+P15+P6+P53+P31+P29+P11+P48+P13+P46+P4</f>
        <v>21467553</v>
      </c>
      <c r="Q69" s="378">
        <f>(O69-P69)/P69</f>
        <v>3.2916979406083215E-2</v>
      </c>
      <c r="R69" s="424">
        <f>+Q69/Q69</f>
        <v>1</v>
      </c>
    </row>
    <row r="70" spans="1:20" x14ac:dyDescent="0.2">
      <c r="D70" s="3"/>
      <c r="F70" s="2"/>
      <c r="G70"/>
      <c r="H70"/>
      <c r="I70"/>
      <c r="J70"/>
      <c r="K70"/>
      <c r="M70"/>
      <c r="N70"/>
    </row>
    <row r="71" spans="1:20" x14ac:dyDescent="0.2">
      <c r="F71" s="2"/>
      <c r="H71"/>
      <c r="I71"/>
      <c r="J71"/>
      <c r="K71"/>
      <c r="N71"/>
      <c r="O71" s="2"/>
      <c r="P71" s="2"/>
    </row>
    <row r="72" spans="1:20" x14ac:dyDescent="0.2">
      <c r="F72" s="2"/>
      <c r="H72"/>
      <c r="I72"/>
      <c r="J72"/>
      <c r="K72"/>
      <c r="N72"/>
      <c r="O72" s="2"/>
      <c r="P72" s="2"/>
    </row>
    <row r="73" spans="1:20" x14ac:dyDescent="0.2">
      <c r="F73" s="2"/>
      <c r="H73"/>
      <c r="I73"/>
      <c r="J73"/>
      <c r="K73"/>
      <c r="N73"/>
      <c r="O73" s="2"/>
      <c r="P73" s="2"/>
    </row>
    <row r="74" spans="1:20" x14ac:dyDescent="0.2">
      <c r="D74" s="3"/>
      <c r="F74"/>
      <c r="G74"/>
      <c r="H74"/>
      <c r="I74"/>
      <c r="J74"/>
      <c r="K74"/>
      <c r="M74"/>
      <c r="N74"/>
    </row>
    <row r="75" spans="1:20" x14ac:dyDescent="0.2">
      <c r="D75" s="3"/>
      <c r="F75"/>
      <c r="G75"/>
      <c r="H75"/>
      <c r="I75"/>
      <c r="J75"/>
      <c r="K75"/>
      <c r="L75"/>
      <c r="M75"/>
      <c r="N75"/>
    </row>
    <row r="76" spans="1:20" x14ac:dyDescent="0.2">
      <c r="D76" s="3"/>
      <c r="F76"/>
      <c r="G76"/>
      <c r="H76"/>
      <c r="I76"/>
      <c r="J76"/>
      <c r="K76"/>
      <c r="L76"/>
      <c r="M76"/>
      <c r="N76"/>
    </row>
    <row r="77" spans="1:20" x14ac:dyDescent="0.2">
      <c r="D77" s="3"/>
      <c r="F77"/>
      <c r="G77"/>
      <c r="H77"/>
      <c r="I77"/>
      <c r="J77"/>
      <c r="K77"/>
      <c r="L77"/>
      <c r="M77"/>
      <c r="N77"/>
    </row>
    <row r="78" spans="1:20" x14ac:dyDescent="0.2">
      <c r="D78" s="3"/>
      <c r="F78"/>
      <c r="G78"/>
      <c r="H78"/>
      <c r="I78"/>
      <c r="J78"/>
      <c r="K78"/>
      <c r="L78"/>
      <c r="M78"/>
      <c r="N78"/>
    </row>
    <row r="79" spans="1:20" x14ac:dyDescent="0.2">
      <c r="D79" s="3"/>
      <c r="F79"/>
      <c r="G79"/>
      <c r="H79"/>
      <c r="I79"/>
      <c r="J79"/>
      <c r="K79"/>
      <c r="L79"/>
      <c r="M79"/>
      <c r="N79"/>
    </row>
    <row r="80" spans="1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  <row r="4707" spans="6:11" x14ac:dyDescent="0.2">
      <c r="F4707" s="195"/>
      <c r="K4707"/>
    </row>
    <row r="4708" spans="6:11" x14ac:dyDescent="0.2">
      <c r="F4708" s="195"/>
      <c r="K4708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0" fitToWidth="2" orientation="portrait" r:id="rId1"/>
  <headerFooter alignWithMargins="0">
    <oddHeader>&amp;L
Schedule 10
&amp;CMinneapolis-St. Paul International Airport
&amp;"Arial,Bold"&amp;A
July 2019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E13" sqref="E1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43647</v>
      </c>
      <c r="B1" s="446" t="s">
        <v>17</v>
      </c>
      <c r="C1" s="446" t="s">
        <v>18</v>
      </c>
      <c r="D1" s="446" t="s">
        <v>19</v>
      </c>
      <c r="E1" s="446" t="s">
        <v>159</v>
      </c>
      <c r="F1" s="446" t="s">
        <v>166</v>
      </c>
      <c r="G1" s="446" t="s">
        <v>160</v>
      </c>
      <c r="H1" s="426" t="s">
        <v>214</v>
      </c>
      <c r="I1" s="426" t="s">
        <v>201</v>
      </c>
      <c r="J1" s="373" t="s">
        <v>20</v>
      </c>
      <c r="K1" s="372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5"/>
      <c r="I2" s="425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[3]American!$GH$22</f>
        <v>75796</v>
      </c>
      <c r="C4" s="13">
        <f>[3]Delta!$GH$22+[3]Delta!$GH$32</f>
        <v>1040947</v>
      </c>
      <c r="D4" s="13">
        <f>[3]United!$GH$22</f>
        <v>49238</v>
      </c>
      <c r="E4" s="13">
        <f>[3]Spirit!$GH$22</f>
        <v>48783</v>
      </c>
      <c r="F4" s="13">
        <f>[3]Condor!$GH$22+[3]Condor!$GH$32</f>
        <v>4241</v>
      </c>
      <c r="G4" s="13">
        <f>'[3]Air France'!$GH$22+'[3]Air France'!$GH$32</f>
        <v>9152</v>
      </c>
      <c r="H4" s="13">
        <f>'[3]Jet Blue'!$GH$22</f>
        <v>11722</v>
      </c>
      <c r="I4" s="13">
        <f>[3]KLM!$GH$22+[3]KLM!$GH$32</f>
        <v>4349</v>
      </c>
      <c r="J4" s="13">
        <f>'Other Major Airline Stats'!J5</f>
        <v>265449</v>
      </c>
      <c r="K4" s="242">
        <f>SUM(B4:J4)</f>
        <v>1509677</v>
      </c>
      <c r="M4" s="444"/>
      <c r="N4" s="444"/>
      <c r="O4" s="444"/>
      <c r="P4" s="444"/>
      <c r="Q4" s="444"/>
      <c r="R4" s="444"/>
      <c r="S4" s="444"/>
      <c r="T4" s="444"/>
    </row>
    <row r="5" spans="1:20" x14ac:dyDescent="0.2">
      <c r="A5" s="47" t="s">
        <v>31</v>
      </c>
      <c r="B5" s="7">
        <f>[3]American!$GH$23</f>
        <v>75669</v>
      </c>
      <c r="C5" s="7">
        <f>[3]Delta!$GH$23+[3]Delta!$GH$33</f>
        <v>1038420</v>
      </c>
      <c r="D5" s="7">
        <f>[3]United!$GH$23</f>
        <v>49093</v>
      </c>
      <c r="E5" s="7">
        <f>[3]Spirit!$GH$23</f>
        <v>49575</v>
      </c>
      <c r="F5" s="7">
        <f>[3]Condor!$GH$23+[3]Condor!$GH$33</f>
        <v>4049</v>
      </c>
      <c r="G5" s="7">
        <f>'[3]Air France'!$GH$23+'[3]Air France'!$GH$33</f>
        <v>7138</v>
      </c>
      <c r="H5" s="7">
        <f>'[3]Jet Blue'!$GH$23</f>
        <v>11919</v>
      </c>
      <c r="I5" s="7">
        <f>[3]KLM!$GH$23+[3]KLM!$GH$33</f>
        <v>3436</v>
      </c>
      <c r="J5" s="7">
        <f>'Other Major Airline Stats'!J6</f>
        <v>265257</v>
      </c>
      <c r="K5" s="243">
        <f>SUM(B5:J5)</f>
        <v>1504556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151465</v>
      </c>
      <c r="C6" s="25">
        <f t="shared" si="0"/>
        <v>2079367</v>
      </c>
      <c r="D6" s="25">
        <f t="shared" si="0"/>
        <v>98331</v>
      </c>
      <c r="E6" s="25">
        <f t="shared" si="0"/>
        <v>98358</v>
      </c>
      <c r="F6" s="25">
        <f t="shared" ref="F6" si="1">SUM(F4:F5)</f>
        <v>8290</v>
      </c>
      <c r="G6" s="25">
        <f t="shared" ref="G6:I6" si="2">SUM(G4:G5)</f>
        <v>16290</v>
      </c>
      <c r="H6" s="25">
        <f t="shared" ref="H6" si="3">SUM(H4:H5)</f>
        <v>23641</v>
      </c>
      <c r="I6" s="25">
        <f t="shared" si="2"/>
        <v>7785</v>
      </c>
      <c r="J6" s="25">
        <f t="shared" si="0"/>
        <v>530706</v>
      </c>
      <c r="K6" s="244">
        <f>SUM(B6:J6)</f>
        <v>3014233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[3]American!$GH$27</f>
        <v>3403</v>
      </c>
      <c r="C9" s="13">
        <f>[3]Delta!$GH$27+[3]Delta!$GH$37</f>
        <v>33090</v>
      </c>
      <c r="D9" s="13">
        <f>[3]United!$GH$27</f>
        <v>1382</v>
      </c>
      <c r="E9" s="13">
        <f>[3]Spirit!$GH$27</f>
        <v>269</v>
      </c>
      <c r="F9" s="13">
        <f>[3]Condor!$GH$27+[3]Condor!$GH$37</f>
        <v>11</v>
      </c>
      <c r="G9" s="13">
        <f>'[3]Air France'!$GH$27+'[3]Air France'!$GH$37</f>
        <v>7</v>
      </c>
      <c r="H9" s="13">
        <f>'[3]Jet Blue'!$GH$27</f>
        <v>326</v>
      </c>
      <c r="I9" s="13">
        <f>[3]KLM!$GH$27+[3]KLM!$GH$37</f>
        <v>8</v>
      </c>
      <c r="J9" s="13">
        <f>'Other Major Airline Stats'!J10</f>
        <v>4860</v>
      </c>
      <c r="K9" s="242">
        <f>SUM(B9:J9)</f>
        <v>43356</v>
      </c>
    </row>
    <row r="10" spans="1:20" x14ac:dyDescent="0.2">
      <c r="A10" s="47" t="s">
        <v>33</v>
      </c>
      <c r="B10" s="7">
        <f>[3]American!$GH$28</f>
        <v>3489</v>
      </c>
      <c r="C10" s="7">
        <f>[3]Delta!$GH$28+[3]Delta!$GH$38</f>
        <v>32738</v>
      </c>
      <c r="D10" s="7">
        <f>[3]United!$GH$28</f>
        <v>1521</v>
      </c>
      <c r="E10" s="7">
        <f>[3]Spirit!$GH$28</f>
        <v>320</v>
      </c>
      <c r="F10" s="7">
        <f>[3]Condor!$GH$28+[3]Condor!$GH$38</f>
        <v>9</v>
      </c>
      <c r="G10" s="7">
        <f>'[3]Air France'!$GH$28+'[3]Air France'!$GH$38</f>
        <v>2</v>
      </c>
      <c r="H10" s="7">
        <f>'[3]Jet Blue'!$GH$28</f>
        <v>314</v>
      </c>
      <c r="I10" s="7">
        <f>[3]KLM!$GH$28+[3]KLM!$GH$38</f>
        <v>10</v>
      </c>
      <c r="J10" s="7">
        <f>'Other Major Airline Stats'!J11</f>
        <v>5097</v>
      </c>
      <c r="K10" s="243">
        <f>SUM(B10:J10)</f>
        <v>43500</v>
      </c>
    </row>
    <row r="11" spans="1:20" ht="15.75" thickBot="1" x14ac:dyDescent="0.3">
      <c r="A11" s="48" t="s">
        <v>34</v>
      </c>
      <c r="B11" s="245">
        <f t="shared" ref="B11:J11" si="4">SUM(B9:B10)</f>
        <v>6892</v>
      </c>
      <c r="C11" s="245">
        <f t="shared" si="4"/>
        <v>65828</v>
      </c>
      <c r="D11" s="245">
        <f t="shared" si="4"/>
        <v>2903</v>
      </c>
      <c r="E11" s="245">
        <f t="shared" si="4"/>
        <v>589</v>
      </c>
      <c r="F11" s="245">
        <f t="shared" ref="F11" si="5">SUM(F9:F10)</f>
        <v>20</v>
      </c>
      <c r="G11" s="245">
        <f t="shared" ref="G11:I11" si="6">SUM(G9:G10)</f>
        <v>9</v>
      </c>
      <c r="H11" s="245">
        <f t="shared" ref="H11" si="7">SUM(H9:H10)</f>
        <v>640</v>
      </c>
      <c r="I11" s="245">
        <f t="shared" si="6"/>
        <v>18</v>
      </c>
      <c r="J11" s="245">
        <f t="shared" si="4"/>
        <v>9957</v>
      </c>
      <c r="K11" s="246">
        <f>SUM(B11:J11)</f>
        <v>86856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[3]American!$GH$4</f>
        <v>598</v>
      </c>
      <c r="C15" s="13">
        <f>[3]Delta!$GH$4+[3]Delta!$GH$15</f>
        <v>7125</v>
      </c>
      <c r="D15" s="13">
        <f>[3]United!$GH$4</f>
        <v>347</v>
      </c>
      <c r="E15" s="13">
        <f>[3]Spirit!$GH$4</f>
        <v>305</v>
      </c>
      <c r="F15" s="13">
        <f>[3]Condor!$GH$4+[3]Condor!$GH$15</f>
        <v>17</v>
      </c>
      <c r="G15" s="13">
        <f>'[3]Air France'!$GH$4+'[3]Air France'!$GH$15</f>
        <v>31</v>
      </c>
      <c r="H15" s="13">
        <f>'[3]Jet Blue'!$GH$4</f>
        <v>89</v>
      </c>
      <c r="I15" s="13">
        <f>[3]KLM!$GH$4+[3]KLM!$GH$15</f>
        <v>16</v>
      </c>
      <c r="J15" s="13">
        <f>'Other Major Airline Stats'!J16</f>
        <v>2135</v>
      </c>
      <c r="K15" s="18">
        <f>SUM(B15:J15)</f>
        <v>10663</v>
      </c>
      <c r="M15" s="267"/>
    </row>
    <row r="16" spans="1:20" x14ac:dyDescent="0.2">
      <c r="A16" s="47" t="s">
        <v>23</v>
      </c>
      <c r="B16" s="7">
        <f>[3]American!$GH$5</f>
        <v>596</v>
      </c>
      <c r="C16" s="7">
        <f>[3]Delta!$GH$5+[3]Delta!$GH$16</f>
        <v>7103</v>
      </c>
      <c r="D16" s="7">
        <f>[3]United!$GH$5</f>
        <v>347</v>
      </c>
      <c r="E16" s="7">
        <f>[3]Spirit!$GH$5</f>
        <v>305</v>
      </c>
      <c r="F16" s="7">
        <f>[3]Condor!$GH$5+[3]Condor!$GH$16</f>
        <v>17</v>
      </c>
      <c r="G16" s="7">
        <f>'[3]Air France'!$GH$5+'[3]Air France'!$GH$16</f>
        <v>31</v>
      </c>
      <c r="H16" s="7">
        <f>'[3]Jet Blue'!$GH$5</f>
        <v>89</v>
      </c>
      <c r="I16" s="7">
        <f>[3]KLM!$GH$5+[3]KLM!$GH$16</f>
        <v>16</v>
      </c>
      <c r="J16" s="7">
        <f>'Other Major Airline Stats'!J17</f>
        <v>2133</v>
      </c>
      <c r="K16" s="24">
        <f>SUM(B16:J16)</f>
        <v>10637</v>
      </c>
    </row>
    <row r="17" spans="1:11" x14ac:dyDescent="0.2">
      <c r="A17" s="47" t="s">
        <v>24</v>
      </c>
      <c r="B17" s="249">
        <f t="shared" ref="B17:J17" si="8">SUM(B15:B16)</f>
        <v>1194</v>
      </c>
      <c r="C17" s="247">
        <f t="shared" si="8"/>
        <v>14228</v>
      </c>
      <c r="D17" s="247">
        <f t="shared" si="8"/>
        <v>694</v>
      </c>
      <c r="E17" s="247">
        <f t="shared" si="8"/>
        <v>610</v>
      </c>
      <c r="F17" s="247">
        <f t="shared" ref="F17" si="9">SUM(F15:F16)</f>
        <v>34</v>
      </c>
      <c r="G17" s="247">
        <f t="shared" ref="G17:I17" si="10">SUM(G15:G16)</f>
        <v>62</v>
      </c>
      <c r="H17" s="247">
        <f t="shared" ref="H17" si="11">SUM(H15:H16)</f>
        <v>178</v>
      </c>
      <c r="I17" s="247">
        <f t="shared" si="10"/>
        <v>32</v>
      </c>
      <c r="J17" s="247">
        <f t="shared" si="8"/>
        <v>4268</v>
      </c>
      <c r="K17" s="248">
        <f>SUM(B17:J17)</f>
        <v>21300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[3]American!$GH$8</f>
        <v>0</v>
      </c>
      <c r="C19" s="13">
        <f>[3]Delta!$GH$8</f>
        <v>3</v>
      </c>
      <c r="D19" s="13">
        <f>[3]United!$GH$8</f>
        <v>0</v>
      </c>
      <c r="E19" s="13">
        <f>[3]Spirit!$GH$8</f>
        <v>0</v>
      </c>
      <c r="F19" s="13">
        <f>[3]Condor!$GH$8</f>
        <v>0</v>
      </c>
      <c r="G19" s="13">
        <f>'[3]Air France'!$GH$8</f>
        <v>0</v>
      </c>
      <c r="H19" s="13">
        <f>'[3]Jet Blue'!$GH$8</f>
        <v>0</v>
      </c>
      <c r="I19" s="13">
        <f>[3]KLM!$GH$8</f>
        <v>0</v>
      </c>
      <c r="J19" s="13">
        <f>'Other Major Airline Stats'!J20</f>
        <v>90</v>
      </c>
      <c r="K19" s="18">
        <f>SUM(B19:J19)</f>
        <v>93</v>
      </c>
    </row>
    <row r="20" spans="1:11" x14ac:dyDescent="0.2">
      <c r="A20" s="47" t="s">
        <v>26</v>
      </c>
      <c r="B20" s="7">
        <f>[3]American!$GH$9</f>
        <v>0</v>
      </c>
      <c r="C20" s="7">
        <f>[3]Delta!$GH$9</f>
        <v>24</v>
      </c>
      <c r="D20" s="7">
        <f>[3]United!$GH$9</f>
        <v>0</v>
      </c>
      <c r="E20" s="7">
        <f>[3]Spirit!$GH$9</f>
        <v>0</v>
      </c>
      <c r="F20" s="7">
        <f>[3]Condor!$GH$9</f>
        <v>0</v>
      </c>
      <c r="G20" s="7">
        <f>'[3]Air France'!$GH$9</f>
        <v>0</v>
      </c>
      <c r="H20" s="7">
        <f>'[3]Jet Blue'!$GH$9</f>
        <v>0</v>
      </c>
      <c r="I20" s="7">
        <f>[3]KLM!$GH$9</f>
        <v>0</v>
      </c>
      <c r="J20" s="7">
        <f>'Other Major Airline Stats'!J21</f>
        <v>91</v>
      </c>
      <c r="K20" s="24">
        <f>SUM(B20:J20)</f>
        <v>115</v>
      </c>
    </row>
    <row r="21" spans="1:11" x14ac:dyDescent="0.2">
      <c r="A21" s="47" t="s">
        <v>27</v>
      </c>
      <c r="B21" s="249">
        <f t="shared" ref="B21:J21" si="12">SUM(B19:B20)</f>
        <v>0</v>
      </c>
      <c r="C21" s="247">
        <f t="shared" si="12"/>
        <v>27</v>
      </c>
      <c r="D21" s="247">
        <f t="shared" si="12"/>
        <v>0</v>
      </c>
      <c r="E21" s="247">
        <f t="shared" si="12"/>
        <v>0</v>
      </c>
      <c r="F21" s="247">
        <f t="shared" ref="F21" si="13">SUM(F19:F20)</f>
        <v>0</v>
      </c>
      <c r="G21" s="247">
        <f t="shared" ref="G21:I21" si="14">SUM(G19:G20)</f>
        <v>0</v>
      </c>
      <c r="H21" s="247">
        <f t="shared" ref="H21" si="15">SUM(H19:H20)</f>
        <v>0</v>
      </c>
      <c r="I21" s="247">
        <f t="shared" si="14"/>
        <v>0</v>
      </c>
      <c r="J21" s="247">
        <f t="shared" si="12"/>
        <v>181</v>
      </c>
      <c r="K21" s="148">
        <f>SUM(B21:J21)</f>
        <v>208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6">B17+B21</f>
        <v>1194</v>
      </c>
      <c r="C23" s="19">
        <f t="shared" si="16"/>
        <v>14255</v>
      </c>
      <c r="D23" s="19">
        <f t="shared" si="16"/>
        <v>694</v>
      </c>
      <c r="E23" s="19">
        <f>E17+E21</f>
        <v>610</v>
      </c>
      <c r="F23" s="19">
        <f t="shared" ref="F23" si="17">F17+F21</f>
        <v>34</v>
      </c>
      <c r="G23" s="19">
        <f t="shared" ref="G23:I23" si="18">G17+G21</f>
        <v>62</v>
      </c>
      <c r="H23" s="19">
        <f t="shared" ref="H23" si="19">H17+H21</f>
        <v>178</v>
      </c>
      <c r="I23" s="19">
        <f t="shared" si="18"/>
        <v>32</v>
      </c>
      <c r="J23" s="19">
        <f t="shared" si="16"/>
        <v>4449</v>
      </c>
      <c r="K23" s="20">
        <f>SUM(B23:J23)</f>
        <v>21508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[3]American!$GH$47</f>
        <v>39405</v>
      </c>
      <c r="C28" s="13">
        <f>[3]Delta!$GH$47</f>
        <v>1987813</v>
      </c>
      <c r="D28" s="13">
        <f>[3]United!$GH$47</f>
        <v>26958</v>
      </c>
      <c r="E28" s="13">
        <f>[3]Spirit!$GH$47</f>
        <v>0</v>
      </c>
      <c r="F28" s="13">
        <f>[3]Condor!$GH$47</f>
        <v>36107</v>
      </c>
      <c r="G28" s="13">
        <f>'[3]Air France'!$GH$47</f>
        <v>251424</v>
      </c>
      <c r="H28" s="13">
        <f>'[3]Jet Blue'!$GH$47</f>
        <v>0</v>
      </c>
      <c r="I28" s="13">
        <f>[3]KLM!$GH$47</f>
        <v>308240</v>
      </c>
      <c r="J28" s="13">
        <f>'Other Major Airline Stats'!J28</f>
        <v>426878</v>
      </c>
      <c r="K28" s="18">
        <f>SUM(B28:J28)</f>
        <v>3076825</v>
      </c>
    </row>
    <row r="29" spans="1:11" x14ac:dyDescent="0.2">
      <c r="A29" s="47" t="s">
        <v>38</v>
      </c>
      <c r="B29" s="7">
        <f>[3]American!$GH$48</f>
        <v>22035</v>
      </c>
      <c r="C29" s="7">
        <f>[3]Delta!$GH$48</f>
        <v>1167676</v>
      </c>
      <c r="D29" s="7">
        <f>[3]United!$GH$48</f>
        <v>41870</v>
      </c>
      <c r="E29" s="7">
        <f>[3]Spirit!$GH$48</f>
        <v>0</v>
      </c>
      <c r="F29" s="7">
        <f>[3]Condor!$GH$48</f>
        <v>0</v>
      </c>
      <c r="G29" s="7">
        <f>'[3]Air France'!$GH$48</f>
        <v>0</v>
      </c>
      <c r="H29" s="7">
        <f>'[3]Jet Blue'!$GH$48</f>
        <v>0</v>
      </c>
      <c r="I29" s="7">
        <f>[3]KLM!$GH$48</f>
        <v>0</v>
      </c>
      <c r="J29" s="7">
        <f>'Other Major Airline Stats'!J29</f>
        <v>399316</v>
      </c>
      <c r="K29" s="24">
        <f>SUM(B29:J29)</f>
        <v>1630897</v>
      </c>
    </row>
    <row r="30" spans="1:11" x14ac:dyDescent="0.2">
      <c r="A30" s="51" t="s">
        <v>39</v>
      </c>
      <c r="B30" s="249">
        <f t="shared" ref="B30:J30" si="20">SUM(B28:B29)</f>
        <v>61440</v>
      </c>
      <c r="C30" s="249">
        <f t="shared" si="20"/>
        <v>3155489</v>
      </c>
      <c r="D30" s="249">
        <f t="shared" si="20"/>
        <v>68828</v>
      </c>
      <c r="E30" s="249">
        <f t="shared" si="20"/>
        <v>0</v>
      </c>
      <c r="F30" s="249">
        <f t="shared" ref="F30" si="21">SUM(F28:F29)</f>
        <v>36107</v>
      </c>
      <c r="G30" s="249">
        <f t="shared" ref="G30:I30" si="22">SUM(G28:G29)</f>
        <v>251424</v>
      </c>
      <c r="H30" s="249">
        <f t="shared" ref="H30" si="23">SUM(H28:H29)</f>
        <v>0</v>
      </c>
      <c r="I30" s="249">
        <f t="shared" si="22"/>
        <v>308240</v>
      </c>
      <c r="J30" s="249">
        <f t="shared" si="20"/>
        <v>826194</v>
      </c>
      <c r="K30" s="18">
        <f>SUM(B30:J30)</f>
        <v>4707722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24">SUM(B32:J32)</f>
        <v>0</v>
      </c>
    </row>
    <row r="33" spans="1:11" x14ac:dyDescent="0.2">
      <c r="A33" s="47" t="s">
        <v>37</v>
      </c>
      <c r="B33" s="13">
        <f>[3]American!$GH$52</f>
        <v>7826</v>
      </c>
      <c r="C33" s="13">
        <f>[3]Delta!$GH$52</f>
        <v>1309234</v>
      </c>
      <c r="D33" s="13">
        <f>[3]United!$GH$52</f>
        <v>7042</v>
      </c>
      <c r="E33" s="13">
        <f>[3]Spirit!$GH$52</f>
        <v>0</v>
      </c>
      <c r="F33" s="13">
        <f>[3]Condor!$GH$52</f>
        <v>0</v>
      </c>
      <c r="G33" s="13">
        <f>'[3]Air France'!$GH$52</f>
        <v>49436</v>
      </c>
      <c r="H33" s="13">
        <f>'[3]Jet Blue'!$GH$52</f>
        <v>0</v>
      </c>
      <c r="I33" s="13">
        <f>[3]KLM!$GH$52</f>
        <v>79884</v>
      </c>
      <c r="J33" s="13">
        <f>'Other Major Airline Stats'!J33</f>
        <v>106990</v>
      </c>
      <c r="K33" s="18">
        <f t="shared" si="24"/>
        <v>1560412</v>
      </c>
    </row>
    <row r="34" spans="1:11" x14ac:dyDescent="0.2">
      <c r="A34" s="47" t="s">
        <v>38</v>
      </c>
      <c r="B34" s="7">
        <f>[3]American!$GH$53</f>
        <v>22946</v>
      </c>
      <c r="C34" s="7">
        <f>[3]Delta!$GH$53</f>
        <v>1021979</v>
      </c>
      <c r="D34" s="7">
        <f>[3]United!$GH$53</f>
        <v>25279</v>
      </c>
      <c r="E34" s="7">
        <f>[3]Spirit!$GH$53</f>
        <v>0</v>
      </c>
      <c r="F34" s="7">
        <f>[3]Condor!$GH$53</f>
        <v>0</v>
      </c>
      <c r="G34" s="7">
        <f>'[3]Air France'!$GH$53</f>
        <v>0</v>
      </c>
      <c r="H34" s="7">
        <f>'[3]Jet Blue'!$GH$53</f>
        <v>0</v>
      </c>
      <c r="I34" s="7">
        <f>[3]KLM!$GH$53</f>
        <v>0</v>
      </c>
      <c r="J34" s="7">
        <f>'Other Major Airline Stats'!J34</f>
        <v>316621</v>
      </c>
      <c r="K34" s="24">
        <f t="shared" si="24"/>
        <v>1386825</v>
      </c>
    </row>
    <row r="35" spans="1:11" x14ac:dyDescent="0.2">
      <c r="A35" s="51" t="s">
        <v>41</v>
      </c>
      <c r="B35" s="249">
        <f t="shared" ref="B35:J35" si="25">SUM(B33:B34)</f>
        <v>30772</v>
      </c>
      <c r="C35" s="249">
        <f t="shared" si="25"/>
        <v>2331213</v>
      </c>
      <c r="D35" s="249">
        <f t="shared" si="25"/>
        <v>32321</v>
      </c>
      <c r="E35" s="249">
        <f t="shared" si="25"/>
        <v>0</v>
      </c>
      <c r="F35" s="249">
        <f t="shared" ref="F35" si="26">SUM(F33:F34)</f>
        <v>0</v>
      </c>
      <c r="G35" s="249">
        <f t="shared" ref="G35:I35" si="27">SUM(G33:G34)</f>
        <v>49436</v>
      </c>
      <c r="H35" s="249">
        <f t="shared" ref="H35" si="28">SUM(H33:H34)</f>
        <v>0</v>
      </c>
      <c r="I35" s="249">
        <f t="shared" si="27"/>
        <v>79884</v>
      </c>
      <c r="J35" s="249">
        <f t="shared" si="25"/>
        <v>423611</v>
      </c>
      <c r="K35" s="18">
        <f t="shared" si="24"/>
        <v>2947237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24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24"/>
        <v>0</v>
      </c>
    </row>
    <row r="38" spans="1:11" hidden="1" x14ac:dyDescent="0.2">
      <c r="A38" s="47" t="s">
        <v>37</v>
      </c>
      <c r="B38" s="13">
        <f>[3]American!$GH$57</f>
        <v>0</v>
      </c>
      <c r="C38" s="13">
        <f>[3]Delta!$GH$57</f>
        <v>0</v>
      </c>
      <c r="D38" s="13">
        <f>[3]United!$GH$57</f>
        <v>0</v>
      </c>
      <c r="E38" s="13">
        <f>[3]Spirit!$GH$57</f>
        <v>0</v>
      </c>
      <c r="F38" s="13">
        <f>[3]Condor!$GH$57</f>
        <v>0</v>
      </c>
      <c r="G38" s="13">
        <f>'[3]Air France'!$GH$57</f>
        <v>0</v>
      </c>
      <c r="H38" s="13">
        <f>'[3]Jet Blue'!$GH$57</f>
        <v>0</v>
      </c>
      <c r="I38" s="13">
        <f>[3]KLM!$GH$57</f>
        <v>0</v>
      </c>
      <c r="J38" s="13">
        <f>'Other Major Airline Stats'!J38</f>
        <v>0</v>
      </c>
      <c r="K38" s="18">
        <f t="shared" si="24"/>
        <v>0</v>
      </c>
    </row>
    <row r="39" spans="1:11" hidden="1" x14ac:dyDescent="0.2">
      <c r="A39" s="47" t="s">
        <v>38</v>
      </c>
      <c r="B39" s="7">
        <f>[3]American!$GH$58</f>
        <v>0</v>
      </c>
      <c r="C39" s="7">
        <f>[3]Delta!$GH$58</f>
        <v>0</v>
      </c>
      <c r="D39" s="7">
        <f>[3]United!$GH$58</f>
        <v>0</v>
      </c>
      <c r="E39" s="7">
        <f>[3]Spirit!$GH$58</f>
        <v>0</v>
      </c>
      <c r="F39" s="7">
        <f>[3]Condor!$GH$58</f>
        <v>0</v>
      </c>
      <c r="G39" s="7">
        <f>'[3]Air France'!$GH$58</f>
        <v>0</v>
      </c>
      <c r="H39" s="7">
        <f>'[3]Jet Blue'!$GH$58</f>
        <v>0</v>
      </c>
      <c r="I39" s="7">
        <f>[3]KLM!$GH$58</f>
        <v>0</v>
      </c>
      <c r="J39" s="7">
        <f>'Other Major Airline Stats'!J39</f>
        <v>0</v>
      </c>
      <c r="K39" s="24">
        <f t="shared" si="24"/>
        <v>0</v>
      </c>
    </row>
    <row r="40" spans="1:11" hidden="1" x14ac:dyDescent="0.2">
      <c r="A40" s="51" t="s">
        <v>43</v>
      </c>
      <c r="B40" s="249">
        <f t="shared" ref="B40:J40" si="29">SUM(B38:B39)</f>
        <v>0</v>
      </c>
      <c r="C40" s="249">
        <f t="shared" si="29"/>
        <v>0</v>
      </c>
      <c r="D40" s="249">
        <f t="shared" si="29"/>
        <v>0</v>
      </c>
      <c r="E40" s="249">
        <f t="shared" si="29"/>
        <v>0</v>
      </c>
      <c r="F40" s="249">
        <f t="shared" ref="F40" si="30">SUM(F38:F39)</f>
        <v>0</v>
      </c>
      <c r="G40" s="249">
        <f t="shared" ref="G40:I40" si="31">SUM(G38:G39)</f>
        <v>0</v>
      </c>
      <c r="H40" s="249">
        <f t="shared" ref="H40" si="32">SUM(H38:H39)</f>
        <v>0</v>
      </c>
      <c r="I40" s="249">
        <f t="shared" si="31"/>
        <v>0</v>
      </c>
      <c r="J40" s="249">
        <f t="shared" si="29"/>
        <v>0</v>
      </c>
      <c r="K40" s="18">
        <f t="shared" si="24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33">B28+B33+B38</f>
        <v>47231</v>
      </c>
      <c r="C43" s="13">
        <f t="shared" si="33"/>
        <v>3297047</v>
      </c>
      <c r="D43" s="13">
        <f t="shared" si="33"/>
        <v>34000</v>
      </c>
      <c r="E43" s="13">
        <f>E28+E33+E38</f>
        <v>0</v>
      </c>
      <c r="F43" s="13">
        <f t="shared" ref="F43" si="34">F28+F33+F38</f>
        <v>36107</v>
      </c>
      <c r="G43" s="13">
        <f t="shared" ref="G43:I43" si="35">G28+G33+G38</f>
        <v>300860</v>
      </c>
      <c r="H43" s="13">
        <f t="shared" ref="H43" si="36">H28+H33+H38</f>
        <v>0</v>
      </c>
      <c r="I43" s="13">
        <f t="shared" si="35"/>
        <v>388124</v>
      </c>
      <c r="J43" s="13">
        <f t="shared" si="33"/>
        <v>533868</v>
      </c>
      <c r="K43" s="18">
        <f>SUM(B43:J43)</f>
        <v>4637237</v>
      </c>
    </row>
    <row r="44" spans="1:11" x14ac:dyDescent="0.2">
      <c r="A44" s="47" t="s">
        <v>38</v>
      </c>
      <c r="B44" s="7">
        <f t="shared" si="33"/>
        <v>44981</v>
      </c>
      <c r="C44" s="7">
        <f t="shared" si="33"/>
        <v>2189655</v>
      </c>
      <c r="D44" s="7">
        <f t="shared" si="33"/>
        <v>67149</v>
      </c>
      <c r="E44" s="7">
        <f>E29+E34+E39</f>
        <v>0</v>
      </c>
      <c r="F44" s="7">
        <f t="shared" ref="F44" si="37">F29+F34+F39</f>
        <v>0</v>
      </c>
      <c r="G44" s="7">
        <f t="shared" ref="G44:I44" si="38">G29+G34+G39</f>
        <v>0</v>
      </c>
      <c r="H44" s="7">
        <f t="shared" ref="H44" si="39">H29+H34+H39</f>
        <v>0</v>
      </c>
      <c r="I44" s="7">
        <f t="shared" si="38"/>
        <v>0</v>
      </c>
      <c r="J44" s="7">
        <f t="shared" si="33"/>
        <v>715937</v>
      </c>
      <c r="K44" s="18">
        <f>SUM(B44:J44)</f>
        <v>3017722</v>
      </c>
    </row>
    <row r="45" spans="1:11" ht="15.75" thickBot="1" x14ac:dyDescent="0.3">
      <c r="A45" s="48" t="s">
        <v>46</v>
      </c>
      <c r="B45" s="250">
        <f t="shared" ref="B45:J45" si="40">SUM(B43:B44)</f>
        <v>92212</v>
      </c>
      <c r="C45" s="250">
        <f t="shared" si="40"/>
        <v>5486702</v>
      </c>
      <c r="D45" s="250">
        <f t="shared" si="40"/>
        <v>101149</v>
      </c>
      <c r="E45" s="250">
        <f t="shared" si="40"/>
        <v>0</v>
      </c>
      <c r="F45" s="250">
        <f t="shared" ref="F45" si="41">SUM(F43:F44)</f>
        <v>36107</v>
      </c>
      <c r="G45" s="250">
        <f t="shared" ref="G45:I45" si="42">SUM(G43:G44)</f>
        <v>300860</v>
      </c>
      <c r="H45" s="250">
        <f t="shared" ref="H45" si="43">SUM(H43:H44)</f>
        <v>0</v>
      </c>
      <c r="I45" s="250">
        <f t="shared" si="42"/>
        <v>388124</v>
      </c>
      <c r="J45" s="250">
        <f t="shared" si="40"/>
        <v>1249805</v>
      </c>
      <c r="K45" s="251">
        <f>SUM(B45:J45)</f>
        <v>7654959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123</v>
      </c>
      <c r="C47" s="276">
        <f>[3]Delta!$GH$70+[3]Delta!$GH$73</f>
        <v>501996</v>
      </c>
      <c r="D47" s="264"/>
      <c r="E47" s="264"/>
      <c r="F47" s="264"/>
      <c r="G47" s="264"/>
      <c r="H47" s="264"/>
      <c r="I47" s="264"/>
      <c r="J47" s="264"/>
      <c r="K47" s="265">
        <f>SUM(B47:J47)</f>
        <v>501996</v>
      </c>
    </row>
    <row r="48" spans="1:11" hidden="1" x14ac:dyDescent="0.2">
      <c r="A48" s="323" t="s">
        <v>124</v>
      </c>
      <c r="C48" s="276">
        <f>[3]Delta!$GH$71+[3]Delta!$GH$74</f>
        <v>536424</v>
      </c>
      <c r="D48" s="264"/>
      <c r="E48" s="264"/>
      <c r="F48" s="264"/>
      <c r="G48" s="264"/>
      <c r="H48" s="264"/>
      <c r="I48" s="264"/>
      <c r="J48" s="264"/>
      <c r="K48" s="265">
        <f>SUM(B48:J48)</f>
        <v>536424</v>
      </c>
    </row>
    <row r="49" spans="1:11" hidden="1" x14ac:dyDescent="0.2">
      <c r="A49" s="324" t="s">
        <v>125</v>
      </c>
      <c r="C49" s="277">
        <f>SUM(C47:C48)</f>
        <v>1038420</v>
      </c>
      <c r="K49" s="265">
        <f>SUM(B49:J49)</f>
        <v>1038420</v>
      </c>
    </row>
    <row r="50" spans="1:11" x14ac:dyDescent="0.2">
      <c r="A50" s="322" t="s">
        <v>123</v>
      </c>
      <c r="B50" s="333"/>
      <c r="C50" s="279">
        <f>[3]Delta!$GH$70+[3]Delta!$GH$73</f>
        <v>501996</v>
      </c>
      <c r="D50" s="333"/>
      <c r="E50" s="279">
        <f>[3]Spirit!$GH$70+[3]Spirit!$GH$73</f>
        <v>0</v>
      </c>
      <c r="F50" s="333"/>
      <c r="G50" s="333"/>
      <c r="H50" s="333"/>
      <c r="I50" s="333"/>
      <c r="J50" s="278">
        <f>'Other Major Airline Stats'!J48</f>
        <v>212198</v>
      </c>
      <c r="K50" s="268">
        <f>SUM(B50:J50)</f>
        <v>714194</v>
      </c>
    </row>
    <row r="51" spans="1:11" x14ac:dyDescent="0.2">
      <c r="A51" s="335" t="s">
        <v>124</v>
      </c>
      <c r="B51" s="333"/>
      <c r="C51" s="279">
        <f>[3]Delta!$GH$71+[3]Delta!$GH$74</f>
        <v>536424</v>
      </c>
      <c r="D51" s="333"/>
      <c r="E51" s="279">
        <f>[3]Spirit!$GH$71+[3]Spirit!$GH$74</f>
        <v>0</v>
      </c>
      <c r="F51" s="333"/>
      <c r="G51" s="333"/>
      <c r="H51" s="333"/>
      <c r="I51" s="333"/>
      <c r="J51" s="278">
        <f>+'Other Major Airline Stats'!J49</f>
        <v>725</v>
      </c>
      <c r="K51" s="268">
        <f>SUM(B51:J51)</f>
        <v>537149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D2" sqref="D2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20" ht="26.25" thickBot="1" x14ac:dyDescent="0.25">
      <c r="A2" s="325">
        <v>43647</v>
      </c>
      <c r="B2" s="373" t="s">
        <v>47</v>
      </c>
      <c r="C2" s="445" t="s">
        <v>183</v>
      </c>
      <c r="D2" s="445" t="s">
        <v>225</v>
      </c>
      <c r="E2" s="445" t="s">
        <v>184</v>
      </c>
      <c r="F2" s="446" t="s">
        <v>48</v>
      </c>
      <c r="G2" s="445" t="s">
        <v>131</v>
      </c>
      <c r="H2" s="445" t="s">
        <v>49</v>
      </c>
      <c r="I2" s="445" t="s">
        <v>130</v>
      </c>
      <c r="J2" s="146" t="s">
        <v>61</v>
      </c>
    </row>
    <row r="3" spans="1:20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02"/>
      <c r="J3" s="125"/>
    </row>
    <row r="4" spans="1:20" x14ac:dyDescent="0.2">
      <c r="A4" s="47" t="s">
        <v>29</v>
      </c>
      <c r="B4" s="97"/>
      <c r="C4" s="97"/>
      <c r="D4" s="97"/>
      <c r="E4" s="97"/>
      <c r="F4" s="97"/>
      <c r="G4" s="97"/>
      <c r="H4" s="97"/>
      <c r="I4" s="97"/>
      <c r="J4" s="126"/>
    </row>
    <row r="5" spans="1:20" x14ac:dyDescent="0.2">
      <c r="A5" s="47" t="s">
        <v>30</v>
      </c>
      <c r="B5" s="97">
        <f>[3]Frontier!$GH$22</f>
        <v>26983</v>
      </c>
      <c r="C5" s="97">
        <f>'[3]Air Choice One'!$GH$22</f>
        <v>584</v>
      </c>
      <c r="D5" s="97">
        <f>'[3]Aer Lingus'!$GH$22+'[3]Aer Lingus'!$GH$32</f>
        <v>3556</v>
      </c>
      <c r="E5" s="97">
        <f>'[3]Boutique Air'!$GH$22</f>
        <v>435</v>
      </c>
      <c r="F5" s="97">
        <f>[3]Icelandair!$GH$32</f>
        <v>6512</v>
      </c>
      <c r="G5" s="97">
        <f>[3]Southwest!$GH$22</f>
        <v>84901</v>
      </c>
      <c r="H5" s="97">
        <f>'[3]Sun Country'!$GH$22+'[3]Sun Country'!$GH$32</f>
        <v>127368</v>
      </c>
      <c r="I5" s="97">
        <f>[3]Alaska!$GH$22</f>
        <v>15110</v>
      </c>
      <c r="J5" s="120">
        <f>SUM(B5:I5)</f>
        <v>265449</v>
      </c>
      <c r="L5" s="444"/>
      <c r="M5" s="444"/>
      <c r="N5" s="444"/>
      <c r="O5" s="444"/>
      <c r="P5" s="444"/>
      <c r="Q5" s="444"/>
      <c r="R5" s="444"/>
      <c r="S5" s="444"/>
      <c r="T5" s="444"/>
    </row>
    <row r="6" spans="1:20" x14ac:dyDescent="0.2">
      <c r="A6" s="47" t="s">
        <v>31</v>
      </c>
      <c r="B6" s="97">
        <f>[3]Frontier!$GH$23</f>
        <v>27954</v>
      </c>
      <c r="C6" s="97">
        <f>'[3]Air Choice One'!$GH$23</f>
        <v>499</v>
      </c>
      <c r="D6" s="97">
        <f>'[3]Aer Lingus'!$GH$23+'[3]Aer Lingus'!$GH$33</f>
        <v>3362</v>
      </c>
      <c r="E6" s="97">
        <f>'[3]Boutique Air'!$GH$23</f>
        <v>441</v>
      </c>
      <c r="F6" s="97">
        <f>[3]Icelandair!$GH$33</f>
        <v>4733</v>
      </c>
      <c r="G6" s="97">
        <f>[3]Southwest!$GH$23</f>
        <v>83803</v>
      </c>
      <c r="H6" s="97">
        <f>'[3]Sun Country'!$GH$23+'[3]Sun Country'!$GH$33</f>
        <v>129120</v>
      </c>
      <c r="I6" s="97">
        <f>[3]Alaska!$GH$23</f>
        <v>15345</v>
      </c>
      <c r="J6" s="120">
        <f>SUM(B6:I6)</f>
        <v>265257</v>
      </c>
    </row>
    <row r="7" spans="1:20" ht="15" x14ac:dyDescent="0.25">
      <c r="A7" s="45" t="s">
        <v>7</v>
      </c>
      <c r="B7" s="128">
        <f t="shared" ref="B7:I7" si="0">SUM(B5:B6)</f>
        <v>54937</v>
      </c>
      <c r="C7" s="128">
        <f t="shared" ref="C7:E7" si="1">SUM(C5:C6)</f>
        <v>1083</v>
      </c>
      <c r="D7" s="128">
        <f>SUM(D5:D6)</f>
        <v>6918</v>
      </c>
      <c r="E7" s="128">
        <f t="shared" si="1"/>
        <v>876</v>
      </c>
      <c r="F7" s="128">
        <f t="shared" si="0"/>
        <v>11245</v>
      </c>
      <c r="G7" s="128">
        <f t="shared" si="0"/>
        <v>168704</v>
      </c>
      <c r="H7" s="128">
        <f>SUM(H5:H6)</f>
        <v>256488</v>
      </c>
      <c r="I7" s="128">
        <f t="shared" si="0"/>
        <v>30455</v>
      </c>
      <c r="J7" s="129">
        <f>SUM(B7:I7)</f>
        <v>530706</v>
      </c>
    </row>
    <row r="8" spans="1:20" x14ac:dyDescent="0.2">
      <c r="A8" s="47"/>
      <c r="B8" s="127"/>
      <c r="C8" s="127"/>
      <c r="D8" s="127"/>
      <c r="E8" s="127"/>
      <c r="F8" s="127"/>
      <c r="G8" s="127"/>
      <c r="H8" s="127"/>
      <c r="I8" s="127"/>
      <c r="J8" s="120"/>
    </row>
    <row r="9" spans="1:20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7"/>
      <c r="J9" s="120"/>
    </row>
    <row r="10" spans="1:20" x14ac:dyDescent="0.2">
      <c r="A10" s="47" t="s">
        <v>30</v>
      </c>
      <c r="B10" s="127">
        <f>[3]Frontier!$GH$27</f>
        <v>217</v>
      </c>
      <c r="C10" s="127">
        <f>'[3]Air Choice One'!$GH$27</f>
        <v>0</v>
      </c>
      <c r="D10" s="127">
        <f>'[3]Aer Lingus'!$GH$27+'[3]Aer Lingus'!$GH$37</f>
        <v>30</v>
      </c>
      <c r="E10" s="127">
        <f>'[3]Boutique Air'!$GH$27</f>
        <v>0</v>
      </c>
      <c r="F10" s="127">
        <f>[3]Icelandair!$GH$37</f>
        <v>73</v>
      </c>
      <c r="G10" s="127">
        <f>[3]Southwest!$GH$27</f>
        <v>2240</v>
      </c>
      <c r="H10" s="127">
        <f>'[3]Sun Country'!$GH$27+'[3]Sun Country'!$GH$37</f>
        <v>1695</v>
      </c>
      <c r="I10" s="127">
        <f>[3]Alaska!$GH$27</f>
        <v>605</v>
      </c>
      <c r="J10" s="120">
        <f>SUM(B10:I10)</f>
        <v>4860</v>
      </c>
    </row>
    <row r="11" spans="1:20" x14ac:dyDescent="0.2">
      <c r="A11" s="47" t="s">
        <v>33</v>
      </c>
      <c r="B11" s="130">
        <f>[3]Frontier!$GH$28</f>
        <v>207</v>
      </c>
      <c r="C11" s="130">
        <f>'[3]Air Choice One'!$GH$28</f>
        <v>0</v>
      </c>
      <c r="D11" s="130">
        <f>'[3]Aer Lingus'!$GH$28+'[3]Aer Lingus'!$GH$38</f>
        <v>23</v>
      </c>
      <c r="E11" s="130">
        <f>'[3]Boutique Air'!$GH$28</f>
        <v>0</v>
      </c>
      <c r="F11" s="130">
        <f>[3]Icelandair!$GH$38</f>
        <v>65</v>
      </c>
      <c r="G11" s="130">
        <f>[3]Southwest!$GH$28</f>
        <v>2495</v>
      </c>
      <c r="H11" s="130">
        <f>'[3]Sun Country'!$GH$28+'[3]Sun Country'!$GH$38</f>
        <v>1718</v>
      </c>
      <c r="I11" s="130">
        <f>[3]Alaska!$GH$28</f>
        <v>589</v>
      </c>
      <c r="J11" s="120">
        <f>SUM(B11:I11)</f>
        <v>5097</v>
      </c>
    </row>
    <row r="12" spans="1:20" ht="15.75" thickBot="1" x14ac:dyDescent="0.3">
      <c r="A12" s="48" t="s">
        <v>34</v>
      </c>
      <c r="B12" s="123">
        <f t="shared" ref="B12:I12" si="2">SUM(B10:B11)</f>
        <v>424</v>
      </c>
      <c r="C12" s="123">
        <f t="shared" ref="C12:E12" si="3">SUM(C10:C11)</f>
        <v>0</v>
      </c>
      <c r="D12" s="123">
        <f>SUM(D10:D11)</f>
        <v>53</v>
      </c>
      <c r="E12" s="123">
        <f t="shared" si="3"/>
        <v>0</v>
      </c>
      <c r="F12" s="123">
        <f t="shared" si="2"/>
        <v>138</v>
      </c>
      <c r="G12" s="123">
        <f t="shared" si="2"/>
        <v>4735</v>
      </c>
      <c r="H12" s="123">
        <f>SUM(H10:H11)</f>
        <v>3413</v>
      </c>
      <c r="I12" s="123">
        <f t="shared" si="2"/>
        <v>1194</v>
      </c>
      <c r="J12" s="131">
        <f>SUM(B12:I12)</f>
        <v>9957</v>
      </c>
      <c r="M12" s="97"/>
    </row>
    <row r="13" spans="1:20" ht="15" x14ac:dyDescent="0.25">
      <c r="A13" s="44"/>
      <c r="B13" s="252"/>
      <c r="C13" s="252"/>
      <c r="D13" s="252"/>
      <c r="E13" s="252"/>
      <c r="F13" s="252"/>
      <c r="G13" s="252"/>
      <c r="H13" s="252"/>
      <c r="I13" s="252"/>
      <c r="J13" s="253"/>
    </row>
    <row r="14" spans="1:20" ht="13.5" thickBot="1" x14ac:dyDescent="0.25"/>
    <row r="15" spans="1:20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8"/>
      <c r="J15" s="119"/>
    </row>
    <row r="16" spans="1:20" x14ac:dyDescent="0.2">
      <c r="A16" s="47" t="s">
        <v>22</v>
      </c>
      <c r="B16" s="97">
        <f>[3]Frontier!$GH$4</f>
        <v>173</v>
      </c>
      <c r="C16" s="87">
        <f>'[3]Air Choice One'!$GH$4</f>
        <v>105</v>
      </c>
      <c r="D16" s="97">
        <f>'[3]Aer Lingus'!$GH$4+'[3]Aer Lingus'!$GH$15</f>
        <v>23</v>
      </c>
      <c r="E16" s="87">
        <f>'[3]Boutique Air'!$GH$4</f>
        <v>80</v>
      </c>
      <c r="F16" s="97">
        <f>[3]Icelandair!$GH$15</f>
        <v>31</v>
      </c>
      <c r="G16" s="87">
        <f>[3]Southwest!$GH$4</f>
        <v>736</v>
      </c>
      <c r="H16" s="97">
        <f>'[3]Sun Country'!$GH$4+'[3]Sun Country'!$GH$15</f>
        <v>863</v>
      </c>
      <c r="I16" s="97">
        <f>[3]Alaska!$GH$4</f>
        <v>124</v>
      </c>
      <c r="J16" s="120">
        <f>SUM(B16:I16)</f>
        <v>2135</v>
      </c>
    </row>
    <row r="17" spans="1:257" x14ac:dyDescent="0.2">
      <c r="A17" s="47" t="s">
        <v>23</v>
      </c>
      <c r="B17" s="97">
        <f>[3]Frontier!$GH$5</f>
        <v>173</v>
      </c>
      <c r="C17" s="87">
        <f>'[3]Air Choice One'!$GH$5</f>
        <v>105</v>
      </c>
      <c r="D17" s="97">
        <f>'[3]Aer Lingus'!$GH$5+'[3]Aer Lingus'!$GH$16</f>
        <v>23</v>
      </c>
      <c r="E17" s="87">
        <f>'[3]Boutique Air'!$GH$5</f>
        <v>79</v>
      </c>
      <c r="F17" s="97">
        <f>[3]Icelandair!$GH$16</f>
        <v>31</v>
      </c>
      <c r="G17" s="87">
        <f>[3]Southwest!$GH$5</f>
        <v>734</v>
      </c>
      <c r="H17" s="97">
        <f>'[3]Sun Country'!$GH$5+'[3]Sun Country'!$GH$16</f>
        <v>864</v>
      </c>
      <c r="I17" s="97">
        <f>[3]Alaska!$GH$5</f>
        <v>124</v>
      </c>
      <c r="J17" s="120">
        <f>SUM(B17:I17)</f>
        <v>2133</v>
      </c>
    </row>
    <row r="18" spans="1:257" x14ac:dyDescent="0.2">
      <c r="A18" s="51" t="s">
        <v>24</v>
      </c>
      <c r="B18" s="121">
        <f t="shared" ref="B18:I18" si="4">SUM(B16:B17)</f>
        <v>346</v>
      </c>
      <c r="C18" s="121">
        <f t="shared" ref="C18:E18" si="5">SUM(C16:C17)</f>
        <v>210</v>
      </c>
      <c r="D18" s="121">
        <f t="shared" si="5"/>
        <v>46</v>
      </c>
      <c r="E18" s="121">
        <f t="shared" si="5"/>
        <v>159</v>
      </c>
      <c r="F18" s="121">
        <f t="shared" si="4"/>
        <v>62</v>
      </c>
      <c r="G18" s="121">
        <f t="shared" si="4"/>
        <v>1470</v>
      </c>
      <c r="H18" s="121">
        <f t="shared" si="4"/>
        <v>1727</v>
      </c>
      <c r="I18" s="121">
        <f t="shared" si="4"/>
        <v>248</v>
      </c>
      <c r="J18" s="122">
        <f>SUM(B18:I18)</f>
        <v>4268</v>
      </c>
    </row>
    <row r="19" spans="1:257" x14ac:dyDescent="0.2">
      <c r="A19" s="51"/>
      <c r="B19" s="95"/>
      <c r="C19" s="95"/>
      <c r="D19" s="95"/>
      <c r="E19" s="95"/>
      <c r="F19" s="95"/>
      <c r="G19" s="95"/>
      <c r="H19" s="95"/>
      <c r="I19" s="95"/>
      <c r="J19" s="120"/>
    </row>
    <row r="20" spans="1:257" x14ac:dyDescent="0.2">
      <c r="A20" s="47" t="s">
        <v>25</v>
      </c>
      <c r="B20" s="97">
        <f>[3]Frontier!$GH$8</f>
        <v>0</v>
      </c>
      <c r="C20" s="97">
        <f>'[3]Air Choice One'!$GH$8</f>
        <v>0</v>
      </c>
      <c r="D20" s="97">
        <f>'[3]Aer Lingus'!$GH$8</f>
        <v>0</v>
      </c>
      <c r="E20" s="97">
        <f>'[3]Boutique Air'!$GH$8</f>
        <v>0</v>
      </c>
      <c r="F20" s="97">
        <f>[3]Icelandair!$GH$8</f>
        <v>0</v>
      </c>
      <c r="G20" s="97">
        <f>[3]Southwest!$GH$8</f>
        <v>0</v>
      </c>
      <c r="H20" s="97">
        <f>'[3]Sun Country'!$GH$8</f>
        <v>88</v>
      </c>
      <c r="I20" s="97">
        <f>[3]Alaska!$GH$8</f>
        <v>2</v>
      </c>
      <c r="J20" s="120">
        <f>SUM(B20:I20)</f>
        <v>90</v>
      </c>
    </row>
    <row r="21" spans="1:257" x14ac:dyDescent="0.2">
      <c r="A21" s="47" t="s">
        <v>26</v>
      </c>
      <c r="B21" s="97">
        <f>[3]Frontier!$GH$9</f>
        <v>0</v>
      </c>
      <c r="C21" s="97">
        <f>'[3]Air Choice One'!$GH$9</f>
        <v>0</v>
      </c>
      <c r="D21" s="97">
        <f>'[3]Aer Lingus'!$GH$9</f>
        <v>0</v>
      </c>
      <c r="E21" s="97">
        <f>'[3]Boutique Air'!$GH$9</f>
        <v>0</v>
      </c>
      <c r="F21" s="97">
        <f>[3]Icelandair!$GH$9</f>
        <v>0</v>
      </c>
      <c r="G21" s="97">
        <f>[3]Southwest!$GH$9</f>
        <v>0</v>
      </c>
      <c r="H21" s="97">
        <f>'[3]Sun Country'!$GH$9</f>
        <v>89</v>
      </c>
      <c r="I21" s="97">
        <f>[3]Alaska!$GH$9</f>
        <v>2</v>
      </c>
      <c r="J21" s="120">
        <f>SUM(B21:I21)</f>
        <v>91</v>
      </c>
    </row>
    <row r="22" spans="1:257" x14ac:dyDescent="0.2">
      <c r="A22" s="51" t="s">
        <v>27</v>
      </c>
      <c r="B22" s="121">
        <f t="shared" ref="B22:I22" si="6">SUM(B20:B21)</f>
        <v>0</v>
      </c>
      <c r="C22" s="121">
        <f t="shared" ref="C22:E22" si="7">SUM(C20:C21)</f>
        <v>0</v>
      </c>
      <c r="D22" s="121">
        <f t="shared" si="7"/>
        <v>0</v>
      </c>
      <c r="E22" s="121">
        <f t="shared" si="7"/>
        <v>0</v>
      </c>
      <c r="F22" s="121">
        <f t="shared" si="6"/>
        <v>0</v>
      </c>
      <c r="G22" s="121">
        <f t="shared" si="6"/>
        <v>0</v>
      </c>
      <c r="H22" s="121">
        <f t="shared" si="6"/>
        <v>177</v>
      </c>
      <c r="I22" s="121">
        <f t="shared" si="6"/>
        <v>4</v>
      </c>
      <c r="J22" s="122">
        <f>SUM(B22:I22)</f>
        <v>181</v>
      </c>
    </row>
    <row r="23" spans="1:257" ht="15.75" thickBot="1" x14ac:dyDescent="0.3">
      <c r="A23" s="48" t="s">
        <v>28</v>
      </c>
      <c r="B23" s="123">
        <f t="shared" ref="B23:I23" si="8">B22+B18</f>
        <v>346</v>
      </c>
      <c r="C23" s="123">
        <f t="shared" ref="C23:E23" si="9">C22+C18</f>
        <v>210</v>
      </c>
      <c r="D23" s="123">
        <f t="shared" si="9"/>
        <v>46</v>
      </c>
      <c r="E23" s="123">
        <f t="shared" si="9"/>
        <v>159</v>
      </c>
      <c r="F23" s="123">
        <f t="shared" si="8"/>
        <v>62</v>
      </c>
      <c r="G23" s="123">
        <f t="shared" si="8"/>
        <v>1470</v>
      </c>
      <c r="H23" s="123">
        <f t="shared" si="8"/>
        <v>1904</v>
      </c>
      <c r="I23" s="123">
        <f t="shared" si="8"/>
        <v>252</v>
      </c>
      <c r="J23" s="124">
        <f>SUM(B23:I23)</f>
        <v>4449</v>
      </c>
    </row>
    <row r="24" spans="1:257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</row>
    <row r="25" spans="1:257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97"/>
    </row>
    <row r="26" spans="1:257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2"/>
      <c r="J26" s="133"/>
    </row>
    <row r="27" spans="1:257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34"/>
      <c r="J27" s="126"/>
    </row>
    <row r="28" spans="1:257" x14ac:dyDescent="0.2">
      <c r="A28" s="47" t="s">
        <v>37</v>
      </c>
      <c r="B28" s="97">
        <f>[3]Frontier!$GH$47</f>
        <v>0</v>
      </c>
      <c r="C28" s="97">
        <f>'[3]Air Choice One'!$GH$47</f>
        <v>0</v>
      </c>
      <c r="D28" s="97">
        <f>'[3]Aer Lingus'!$GH$47</f>
        <v>3664</v>
      </c>
      <c r="E28" s="97">
        <f>'[3]Boutique Air'!$GH$47</f>
        <v>0</v>
      </c>
      <c r="F28" s="97">
        <f>[3]Icelandair!$GH$47</f>
        <v>61824</v>
      </c>
      <c r="G28" s="97">
        <f>[3]Southwest!$GH$47</f>
        <v>248274</v>
      </c>
      <c r="H28" s="97">
        <f>'[3]Sun Country'!$GH$47</f>
        <v>77053</v>
      </c>
      <c r="I28" s="97">
        <f>[3]Alaska!$GH$47</f>
        <v>36063</v>
      </c>
      <c r="J28" s="120">
        <f>SUM(B28:I28)</f>
        <v>426878</v>
      </c>
    </row>
    <row r="29" spans="1:257" x14ac:dyDescent="0.2">
      <c r="A29" s="47" t="s">
        <v>38</v>
      </c>
      <c r="B29" s="97">
        <f>[3]Frontier!$GH$48</f>
        <v>0</v>
      </c>
      <c r="C29" s="97">
        <f>'[3]Air Choice One'!$GH$48</f>
        <v>0</v>
      </c>
      <c r="D29" s="97">
        <f>'[3]Aer Lingus'!$GH$48</f>
        <v>0</v>
      </c>
      <c r="E29" s="97">
        <f>'[3]Boutique Air'!$GH$48</f>
        <v>0</v>
      </c>
      <c r="F29" s="97">
        <f>[3]Icelandair!$GH$48</f>
        <v>0</v>
      </c>
      <c r="G29" s="97">
        <f>[3]Southwest!$GH$48</f>
        <v>0</v>
      </c>
      <c r="H29" s="97">
        <f>'[3]Sun Country'!$GH$48</f>
        <v>399238</v>
      </c>
      <c r="I29" s="97">
        <f>[3]Alaska!$GH$48</f>
        <v>78</v>
      </c>
      <c r="J29" s="120">
        <f>SUM(B29:I29)</f>
        <v>399316</v>
      </c>
    </row>
    <row r="30" spans="1:257" x14ac:dyDescent="0.2">
      <c r="A30" s="51" t="s">
        <v>39</v>
      </c>
      <c r="B30" s="135">
        <f t="shared" ref="B30:I30" si="10">SUM(B28:B29)</f>
        <v>0</v>
      </c>
      <c r="C30" s="135">
        <f t="shared" ref="C30:E30" si="11">SUM(C28:C29)</f>
        <v>0</v>
      </c>
      <c r="D30" s="135">
        <f t="shared" si="11"/>
        <v>3664</v>
      </c>
      <c r="E30" s="135">
        <f t="shared" si="11"/>
        <v>0</v>
      </c>
      <c r="F30" s="135">
        <f t="shared" si="10"/>
        <v>61824</v>
      </c>
      <c r="G30" s="135">
        <f t="shared" si="10"/>
        <v>248274</v>
      </c>
      <c r="H30" s="135">
        <f t="shared" si="10"/>
        <v>476291</v>
      </c>
      <c r="I30" s="135">
        <f t="shared" si="10"/>
        <v>36141</v>
      </c>
      <c r="J30" s="137">
        <f>SUM(B30:I30)</f>
        <v>826194</v>
      </c>
    </row>
    <row r="31" spans="1:257" x14ac:dyDescent="0.2">
      <c r="A31" s="47"/>
      <c r="B31" s="127"/>
      <c r="C31" s="127"/>
      <c r="D31" s="127"/>
      <c r="E31" s="127"/>
      <c r="F31" s="127"/>
      <c r="G31" s="127"/>
      <c r="H31" s="127"/>
      <c r="I31" s="127"/>
      <c r="J31" s="120"/>
    </row>
    <row r="32" spans="1:257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97"/>
      <c r="J32" s="120"/>
    </row>
    <row r="33" spans="1:10" x14ac:dyDescent="0.2">
      <c r="A33" s="47" t="s">
        <v>37</v>
      </c>
      <c r="B33" s="97">
        <f>[3]Frontier!$GH$52</f>
        <v>0</v>
      </c>
      <c r="C33" s="97">
        <f>'[3]Air Choice One'!$GH$52</f>
        <v>0</v>
      </c>
      <c r="D33" s="97">
        <f>'[3]Aer Lingus'!$GH$52</f>
        <v>3148</v>
      </c>
      <c r="E33" s="97">
        <f>'[3]Boutique Air'!$GH$52</f>
        <v>0</v>
      </c>
      <c r="F33" s="97">
        <f>[3]Icelandair!$GH$52</f>
        <v>15910</v>
      </c>
      <c r="G33" s="97">
        <f>[3]Southwest!$GH$52</f>
        <v>76818</v>
      </c>
      <c r="H33" s="97">
        <f>'[3]Sun Country'!$GH$52</f>
        <v>2396</v>
      </c>
      <c r="I33" s="97">
        <f>[3]Alaska!$GH$52</f>
        <v>8718</v>
      </c>
      <c r="J33" s="120">
        <f>SUM(B33:I33)</f>
        <v>106990</v>
      </c>
    </row>
    <row r="34" spans="1:10" x14ac:dyDescent="0.2">
      <c r="A34" s="47" t="s">
        <v>38</v>
      </c>
      <c r="B34" s="97">
        <f>[3]Frontier!$GH$53</f>
        <v>0</v>
      </c>
      <c r="C34" s="97">
        <f>'[3]Air Choice One'!$GH$53</f>
        <v>0</v>
      </c>
      <c r="D34" s="97">
        <f>'[3]Aer Lingus'!$GH$53</f>
        <v>0</v>
      </c>
      <c r="E34" s="97">
        <f>'[3]Boutique Air'!$GH$53</f>
        <v>0</v>
      </c>
      <c r="F34" s="97">
        <f>[3]Icelandair!$GH$53</f>
        <v>0</v>
      </c>
      <c r="G34" s="97">
        <f>[3]Southwest!$GH$53</f>
        <v>0</v>
      </c>
      <c r="H34" s="97">
        <f>'[3]Sun Country'!$GH$53</f>
        <v>315999</v>
      </c>
      <c r="I34" s="97">
        <f>[3]Alaska!$GH$53</f>
        <v>622</v>
      </c>
      <c r="J34" s="136">
        <f>SUM(B34:I34)</f>
        <v>316621</v>
      </c>
    </row>
    <row r="35" spans="1:10" x14ac:dyDescent="0.2">
      <c r="A35" s="51" t="s">
        <v>41</v>
      </c>
      <c r="B35" s="121">
        <f t="shared" ref="B35:I35" si="12">SUM(B33:B34)</f>
        <v>0</v>
      </c>
      <c r="C35" s="121">
        <f t="shared" ref="C35:E35" si="13">SUM(C33:C34)</f>
        <v>0</v>
      </c>
      <c r="D35" s="121">
        <f t="shared" si="13"/>
        <v>3148</v>
      </c>
      <c r="E35" s="121">
        <f t="shared" si="13"/>
        <v>0</v>
      </c>
      <c r="F35" s="121">
        <f t="shared" si="12"/>
        <v>15910</v>
      </c>
      <c r="G35" s="121">
        <f t="shared" si="12"/>
        <v>76818</v>
      </c>
      <c r="H35" s="121">
        <f t="shared" si="12"/>
        <v>318395</v>
      </c>
      <c r="I35" s="121">
        <f t="shared" si="12"/>
        <v>9340</v>
      </c>
      <c r="J35" s="137">
        <f>SUM(B35:I35)</f>
        <v>423611</v>
      </c>
    </row>
    <row r="36" spans="1:10" hidden="1" x14ac:dyDescent="0.2">
      <c r="A36" s="47"/>
      <c r="B36" s="127"/>
      <c r="C36" s="127"/>
      <c r="D36" s="127"/>
      <c r="E36" s="127"/>
      <c r="F36" s="127"/>
      <c r="G36" s="127"/>
      <c r="H36" s="127"/>
      <c r="I36" s="127"/>
      <c r="J36" s="120"/>
    </row>
    <row r="37" spans="1:10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7"/>
      <c r="J37" s="120"/>
    </row>
    <row r="38" spans="1:10" hidden="1" x14ac:dyDescent="0.2">
      <c r="A38" s="47" t="s">
        <v>37</v>
      </c>
      <c r="B38" s="127">
        <f>[3]Frontier!$GH$57</f>
        <v>0</v>
      </c>
      <c r="C38" s="127">
        <f>'[3]Air Choice One'!$GH$57</f>
        <v>0</v>
      </c>
      <c r="D38" s="127">
        <f>'[3]Aer Lingus'!$GH$57</f>
        <v>0</v>
      </c>
      <c r="E38" s="127">
        <f>'[3]Boutique Air'!$GH$57</f>
        <v>0</v>
      </c>
      <c r="F38" s="127">
        <f>[3]Icelandair!$GH$57</f>
        <v>0</v>
      </c>
      <c r="G38" s="127">
        <f>[3]Southwest!$GH$57</f>
        <v>0</v>
      </c>
      <c r="H38" s="127">
        <f>'[3]Sun Country'!$GH$57</f>
        <v>0</v>
      </c>
      <c r="I38" s="127">
        <f>[3]Alaska!$GH$57</f>
        <v>0</v>
      </c>
      <c r="J38" s="120">
        <f>SUM(B38:H38)</f>
        <v>0</v>
      </c>
    </row>
    <row r="39" spans="1:10" hidden="1" x14ac:dyDescent="0.2">
      <c r="A39" s="47" t="s">
        <v>38</v>
      </c>
      <c r="B39" s="130">
        <f>[3]Frontier!$GH$58</f>
        <v>0</v>
      </c>
      <c r="C39" s="130">
        <f>'[3]Air Choice One'!$GH$58</f>
        <v>0</v>
      </c>
      <c r="D39" s="130">
        <f>'[3]Aer Lingus'!$GH$58</f>
        <v>0</v>
      </c>
      <c r="E39" s="130">
        <f>'[3]Boutique Air'!$GH$58</f>
        <v>0</v>
      </c>
      <c r="F39" s="130">
        <f>[3]Icelandair!$GH$58</f>
        <v>0</v>
      </c>
      <c r="G39" s="130">
        <f>[3]Southwest!$GH$58</f>
        <v>0</v>
      </c>
      <c r="H39" s="130">
        <f>'[3]Sun Country'!$GH$58</f>
        <v>0</v>
      </c>
      <c r="I39" s="130">
        <f>[3]Alaska!$GH$58</f>
        <v>0</v>
      </c>
      <c r="J39" s="136">
        <f>SUM(B39:H39)</f>
        <v>0</v>
      </c>
    </row>
    <row r="40" spans="1:10" hidden="1" x14ac:dyDescent="0.2">
      <c r="A40" s="51" t="s">
        <v>43</v>
      </c>
      <c r="B40" s="138">
        <f t="shared" ref="B40:I40" si="14">SUM(B38:B39)</f>
        <v>0</v>
      </c>
      <c r="C40" s="138">
        <f t="shared" ref="C40:E40" si="15">SUM(C38:C39)</f>
        <v>0</v>
      </c>
      <c r="D40" s="138">
        <f t="shared" si="15"/>
        <v>0</v>
      </c>
      <c r="E40" s="138">
        <f t="shared" si="15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38">
        <f t="shared" si="14"/>
        <v>0</v>
      </c>
      <c r="J40" s="120">
        <f>SUM(B40:H40)</f>
        <v>0</v>
      </c>
    </row>
    <row r="41" spans="1:10" x14ac:dyDescent="0.2">
      <c r="A41" s="47"/>
      <c r="B41" s="127"/>
      <c r="C41" s="127"/>
      <c r="D41" s="127"/>
      <c r="E41" s="127"/>
      <c r="F41" s="127"/>
      <c r="G41" s="127"/>
      <c r="H41" s="127"/>
      <c r="I41" s="127"/>
      <c r="J41" s="120"/>
    </row>
    <row r="42" spans="1:10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7"/>
      <c r="J42" s="120"/>
    </row>
    <row r="43" spans="1:10" x14ac:dyDescent="0.2">
      <c r="A43" s="47" t="s">
        <v>45</v>
      </c>
      <c r="B43" s="127">
        <f t="shared" ref="B43:I43" si="16">B28+B33+B38</f>
        <v>0</v>
      </c>
      <c r="C43" s="127">
        <f t="shared" ref="C43:E43" si="17">C28+C33+C38</f>
        <v>0</v>
      </c>
      <c r="D43" s="127">
        <f t="shared" si="17"/>
        <v>6812</v>
      </c>
      <c r="E43" s="127">
        <f t="shared" si="17"/>
        <v>0</v>
      </c>
      <c r="F43" s="127">
        <f t="shared" si="16"/>
        <v>77734</v>
      </c>
      <c r="G43" s="127">
        <f t="shared" si="16"/>
        <v>325092</v>
      </c>
      <c r="H43" s="127">
        <f t="shared" si="16"/>
        <v>79449</v>
      </c>
      <c r="I43" s="127">
        <f t="shared" si="16"/>
        <v>44781</v>
      </c>
      <c r="J43" s="120">
        <f>SUM(B43:I43)</f>
        <v>533868</v>
      </c>
    </row>
    <row r="44" spans="1:10" x14ac:dyDescent="0.2">
      <c r="A44" s="47" t="s">
        <v>38</v>
      </c>
      <c r="B44" s="130">
        <f t="shared" ref="B44:I44" si="18">+B39+B34+B29</f>
        <v>0</v>
      </c>
      <c r="C44" s="130">
        <f t="shared" ref="C44:E44" si="19">+C39+C34+C29</f>
        <v>0</v>
      </c>
      <c r="D44" s="130">
        <f t="shared" si="19"/>
        <v>0</v>
      </c>
      <c r="E44" s="130">
        <f t="shared" si="19"/>
        <v>0</v>
      </c>
      <c r="F44" s="130">
        <f t="shared" si="18"/>
        <v>0</v>
      </c>
      <c r="G44" s="130">
        <f t="shared" si="18"/>
        <v>0</v>
      </c>
      <c r="H44" s="130">
        <f t="shared" si="18"/>
        <v>715237</v>
      </c>
      <c r="I44" s="130">
        <f t="shared" si="18"/>
        <v>700</v>
      </c>
      <c r="J44" s="120">
        <f>SUM(B44:I44)</f>
        <v>715937</v>
      </c>
    </row>
    <row r="45" spans="1:10" ht="15.75" thickBot="1" x14ac:dyDescent="0.3">
      <c r="A45" s="48" t="s">
        <v>46</v>
      </c>
      <c r="B45" s="139">
        <f t="shared" ref="B45:I45" si="20">B43+B44</f>
        <v>0</v>
      </c>
      <c r="C45" s="139">
        <f t="shared" ref="C45:E45" si="21">C43+C44</f>
        <v>0</v>
      </c>
      <c r="D45" s="139">
        <f t="shared" si="21"/>
        <v>6812</v>
      </c>
      <c r="E45" s="139">
        <f t="shared" si="21"/>
        <v>0</v>
      </c>
      <c r="F45" s="139">
        <f t="shared" si="20"/>
        <v>77734</v>
      </c>
      <c r="G45" s="139">
        <f t="shared" si="20"/>
        <v>325092</v>
      </c>
      <c r="H45" s="139">
        <f t="shared" si="20"/>
        <v>794686</v>
      </c>
      <c r="I45" s="139">
        <f t="shared" si="20"/>
        <v>45481</v>
      </c>
      <c r="J45" s="140">
        <f>SUM(B45:I45)</f>
        <v>1249805</v>
      </c>
    </row>
    <row r="48" spans="1:10" x14ac:dyDescent="0.2">
      <c r="A48" s="322" t="s">
        <v>123</v>
      </c>
      <c r="B48" s="333"/>
      <c r="C48" s="333"/>
      <c r="D48" s="333"/>
      <c r="E48" s="333"/>
      <c r="G48" s="279">
        <f>[3]Southwest!$GH$70+[3]Southwest!$GH$73</f>
        <v>83078</v>
      </c>
      <c r="H48" s="279">
        <f>'[3]Sun Country'!$GH$70+'[3]Sun Country'!$GH$73</f>
        <v>129120</v>
      </c>
      <c r="I48" s="333"/>
      <c r="J48" s="268">
        <f>SUM(B48:I48)</f>
        <v>212198</v>
      </c>
    </row>
    <row r="49" spans="1:10" x14ac:dyDescent="0.2">
      <c r="A49" s="335" t="s">
        <v>124</v>
      </c>
      <c r="B49" s="333"/>
      <c r="C49" s="333"/>
      <c r="D49" s="333"/>
      <c r="E49" s="333"/>
      <c r="G49" s="279">
        <f>[3]Southwest!$GH$71+[3]Southwest!$GH$74</f>
        <v>725</v>
      </c>
      <c r="H49" s="279">
        <f>'[3]Sun Country'!$GH$71+'[3]Sun Country'!$GH$74</f>
        <v>0</v>
      </c>
      <c r="I49" s="333"/>
      <c r="J49" s="268">
        <f>SUM(B49:I49)</f>
        <v>725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July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7"/>
  <sheetViews>
    <sheetView zoomScaleNormal="100" zoomScaleSheetLayoutView="115" workbookViewId="0">
      <selection activeCell="P38" sqref="P3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38" x14ac:dyDescent="0.2">
      <c r="A1" s="331"/>
    </row>
    <row r="2" spans="1:38" ht="51.75" thickBot="1" x14ac:dyDescent="0.25">
      <c r="A2" s="325">
        <v>43647</v>
      </c>
      <c r="B2" s="371" t="s">
        <v>161</v>
      </c>
      <c r="C2" s="371" t="s">
        <v>164</v>
      </c>
      <c r="D2" s="371" t="s">
        <v>173</v>
      </c>
      <c r="E2" s="371" t="s">
        <v>172</v>
      </c>
      <c r="F2" s="371" t="s">
        <v>174</v>
      </c>
      <c r="G2" s="371" t="s">
        <v>210</v>
      </c>
      <c r="H2" s="371" t="s">
        <v>178</v>
      </c>
      <c r="I2" s="371" t="s">
        <v>185</v>
      </c>
      <c r="J2" s="371" t="s">
        <v>206</v>
      </c>
      <c r="K2" s="371" t="s">
        <v>177</v>
      </c>
      <c r="L2" s="12" t="s">
        <v>117</v>
      </c>
      <c r="M2" s="12" t="s">
        <v>21</v>
      </c>
    </row>
    <row r="3" spans="1:38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38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38" x14ac:dyDescent="0.2">
      <c r="A5" s="47" t="s">
        <v>30</v>
      </c>
      <c r="B5" s="89">
        <f>[3]Pinnacle!$GH$22+[3]Pinnacle!$GH$32</f>
        <v>67755</v>
      </c>
      <c r="C5" s="89">
        <f>[3]MESA_UA!$GH$22</f>
        <v>6091</v>
      </c>
      <c r="D5" s="97">
        <f>'[3]Sky West'!$GH$22+'[3]Sky West'!$GH$32</f>
        <v>238299</v>
      </c>
      <c r="E5" s="97">
        <f>'[3]Sky West_UA'!$GH$22</f>
        <v>3004</v>
      </c>
      <c r="F5" s="97">
        <f>'[3]Sky West_AS'!$GH$22</f>
        <v>2136</v>
      </c>
      <c r="G5" s="97">
        <f>'[3]Sky West_AA'!$GH$22</f>
        <v>0</v>
      </c>
      <c r="H5" s="97">
        <f>[3]Republic!$GH$22</f>
        <v>10578</v>
      </c>
      <c r="I5" s="97">
        <f>[3]Republic_UA!$GH$22</f>
        <v>16357</v>
      </c>
      <c r="J5" s="97">
        <f>'[3]Sky Regional'!$GH$32</f>
        <v>6256</v>
      </c>
      <c r="K5" s="97">
        <f>'[3]American Eagle'!$GH$22</f>
        <v>5119</v>
      </c>
      <c r="L5" s="97">
        <f>'Other Regional'!K5</f>
        <v>5851</v>
      </c>
      <c r="M5" s="90">
        <f>SUM(B5:L5)</f>
        <v>361446</v>
      </c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</row>
    <row r="6" spans="1:38" s="6" customFormat="1" x14ac:dyDescent="0.2">
      <c r="A6" s="47" t="s">
        <v>31</v>
      </c>
      <c r="B6" s="89">
        <f>[3]Pinnacle!$GH$23+[3]Pinnacle!$GH$33</f>
        <v>67610</v>
      </c>
      <c r="C6" s="89">
        <f>[3]MESA_UA!$GH$23</f>
        <v>5897</v>
      </c>
      <c r="D6" s="97">
        <f>'[3]Sky West'!$GH$23+'[3]Sky West'!$GH$33</f>
        <v>237445</v>
      </c>
      <c r="E6" s="97">
        <f>'[3]Sky West_UA'!$GH$23</f>
        <v>3303</v>
      </c>
      <c r="F6" s="97">
        <f>'[3]Sky West_AS'!$GH$23</f>
        <v>2136</v>
      </c>
      <c r="G6" s="97">
        <f>'[3]Sky West_AA'!$GH$23</f>
        <v>0</v>
      </c>
      <c r="H6" s="97">
        <f>[3]Republic!$GH$23</f>
        <v>10382</v>
      </c>
      <c r="I6" s="97">
        <f>[3]Republic_UA!$GH$23</f>
        <v>15965</v>
      </c>
      <c r="J6" s="97">
        <f>'[3]Sky Regional'!$GH$33</f>
        <v>5412</v>
      </c>
      <c r="K6" s="97">
        <f>'[3]American Eagle'!$GH$23</f>
        <v>4783</v>
      </c>
      <c r="L6" s="97">
        <f>'Other Regional'!K6</f>
        <v>5725</v>
      </c>
      <c r="M6" s="94">
        <f>SUM(B6:L6)</f>
        <v>358658</v>
      </c>
    </row>
    <row r="7" spans="1:38" ht="15" thickBot="1" x14ac:dyDescent="0.25">
      <c r="A7" s="56" t="s">
        <v>7</v>
      </c>
      <c r="B7" s="107">
        <f>SUM(B5:B6)</f>
        <v>135365</v>
      </c>
      <c r="C7" s="107">
        <f t="shared" ref="C7:L7" si="0">SUM(C5:C6)</f>
        <v>11988</v>
      </c>
      <c r="D7" s="107">
        <f t="shared" si="0"/>
        <v>475744</v>
      </c>
      <c r="E7" s="107">
        <f t="shared" si="0"/>
        <v>6307</v>
      </c>
      <c r="F7" s="107">
        <f t="shared" ref="F7:G7" si="1">SUM(F5:F6)</f>
        <v>4272</v>
      </c>
      <c r="G7" s="107">
        <f t="shared" si="1"/>
        <v>0</v>
      </c>
      <c r="H7" s="107">
        <f t="shared" si="0"/>
        <v>20960</v>
      </c>
      <c r="I7" s="107">
        <f t="shared" si="0"/>
        <v>32322</v>
      </c>
      <c r="J7" s="107">
        <f t="shared" si="0"/>
        <v>11668</v>
      </c>
      <c r="K7" s="107">
        <f t="shared" si="0"/>
        <v>9902</v>
      </c>
      <c r="L7" s="107">
        <f t="shared" si="0"/>
        <v>11576</v>
      </c>
      <c r="M7" s="108">
        <f>SUM(B7:L7)</f>
        <v>720104</v>
      </c>
    </row>
    <row r="8" spans="1:38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38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38" x14ac:dyDescent="0.2">
      <c r="A10" s="47" t="s">
        <v>30</v>
      </c>
      <c r="B10" s="89">
        <f>[3]Pinnacle!$GH$27+[3]Pinnacle!$GH$37</f>
        <v>2192</v>
      </c>
      <c r="C10" s="89">
        <f>[3]MESA_UA!$GH$27</f>
        <v>187</v>
      </c>
      <c r="D10" s="97">
        <f>'[3]Sky West'!$GH$27+'[3]Sky West'!$GH$37</f>
        <v>7310</v>
      </c>
      <c r="E10" s="97">
        <f>'[3]Sky West_UA'!$GH$27</f>
        <v>192</v>
      </c>
      <c r="F10" s="97">
        <f>'[3]Sky West_AS'!$GH$27</f>
        <v>112</v>
      </c>
      <c r="G10" s="97">
        <f>'[3]Sky West_AA'!$GH$27</f>
        <v>0</v>
      </c>
      <c r="H10" s="97">
        <f>[3]Republic!$GH$27</f>
        <v>508</v>
      </c>
      <c r="I10" s="97">
        <f>[3]Republic_UA!$GH$27</f>
        <v>456</v>
      </c>
      <c r="J10" s="97">
        <f>'[3]Sky Regional'!$GH$37</f>
        <v>88</v>
      </c>
      <c r="K10" s="97">
        <f>'[3]American Eagle'!$GH$27</f>
        <v>336</v>
      </c>
      <c r="L10" s="97">
        <f>'Other Regional'!K10</f>
        <v>207</v>
      </c>
      <c r="M10" s="90">
        <f>SUM(B10:L10)</f>
        <v>11588</v>
      </c>
    </row>
    <row r="11" spans="1:38" x14ac:dyDescent="0.2">
      <c r="A11" s="47" t="s">
        <v>33</v>
      </c>
      <c r="B11" s="89">
        <f>[3]Pinnacle!$GH$28+[3]Pinnacle!$GH$38</f>
        <v>1996</v>
      </c>
      <c r="C11" s="89">
        <f>[3]MESA_UA!$GH$28</f>
        <v>202</v>
      </c>
      <c r="D11" s="97">
        <f>'[3]Sky West'!$GH$28+'[3]Sky West'!$GH$38</f>
        <v>7332</v>
      </c>
      <c r="E11" s="97">
        <f>'[3]Sky West_UA'!$GH$28</f>
        <v>123</v>
      </c>
      <c r="F11" s="97">
        <f>'[3]Sky West_AS'!$GH$28</f>
        <v>149</v>
      </c>
      <c r="G11" s="97">
        <f>'[3]Sky West_AA'!$GH$28</f>
        <v>0</v>
      </c>
      <c r="H11" s="97">
        <f>[3]Republic!$GH$28</f>
        <v>558</v>
      </c>
      <c r="I11" s="97">
        <f>[3]Republic_UA!$GH$28</f>
        <v>506</v>
      </c>
      <c r="J11" s="97">
        <f>'[3]Sky Regional'!$GH$38</f>
        <v>91</v>
      </c>
      <c r="K11" s="97">
        <f>'[3]American Eagle'!$GH$28</f>
        <v>437</v>
      </c>
      <c r="L11" s="97">
        <f>'Other Regional'!K11</f>
        <v>177</v>
      </c>
      <c r="M11" s="94">
        <f>SUM(B11:L11)</f>
        <v>11571</v>
      </c>
    </row>
    <row r="12" spans="1:38" ht="15" thickBot="1" x14ac:dyDescent="0.25">
      <c r="A12" s="57" t="s">
        <v>34</v>
      </c>
      <c r="B12" s="110">
        <f t="shared" ref="B12:L12" si="2">SUM(B10:B11)</f>
        <v>4188</v>
      </c>
      <c r="C12" s="110">
        <f t="shared" si="2"/>
        <v>389</v>
      </c>
      <c r="D12" s="110">
        <f t="shared" si="2"/>
        <v>14642</v>
      </c>
      <c r="E12" s="110">
        <f t="shared" si="2"/>
        <v>315</v>
      </c>
      <c r="F12" s="110">
        <f t="shared" ref="F12:G12" si="3">SUM(F10:F11)</f>
        <v>261</v>
      </c>
      <c r="G12" s="110">
        <f t="shared" si="3"/>
        <v>0</v>
      </c>
      <c r="H12" s="110">
        <f t="shared" si="2"/>
        <v>1066</v>
      </c>
      <c r="I12" s="110">
        <f t="shared" si="2"/>
        <v>962</v>
      </c>
      <c r="J12" s="110">
        <f t="shared" si="2"/>
        <v>179</v>
      </c>
      <c r="K12" s="110">
        <f t="shared" si="2"/>
        <v>773</v>
      </c>
      <c r="L12" s="110">
        <f t="shared" si="2"/>
        <v>384</v>
      </c>
      <c r="M12" s="111">
        <f>SUM(B12:L12)</f>
        <v>23159</v>
      </c>
    </row>
    <row r="13" spans="1:38" ht="13.5" thickBot="1" x14ac:dyDescent="0.25"/>
    <row r="14" spans="1:38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38" x14ac:dyDescent="0.2">
      <c r="A15" s="47" t="s">
        <v>53</v>
      </c>
      <c r="B15" s="13">
        <f>[3]Pinnacle!$GH$4+[3]Pinnacle!$GH$15</f>
        <v>1067</v>
      </c>
      <c r="C15" s="88">
        <f>[3]MESA_UA!$GH$4</f>
        <v>88</v>
      </c>
      <c r="D15" s="87">
        <f>'[3]Sky West'!$GH$4+'[3]Sky West'!$GH$15</f>
        <v>4558</v>
      </c>
      <c r="E15" s="87">
        <f>'[3]Sky West_UA'!$GH$4</f>
        <v>50</v>
      </c>
      <c r="F15" s="87">
        <f>'[3]Sky West_AS'!$GH$4</f>
        <v>31</v>
      </c>
      <c r="G15" s="87">
        <f>'[3]Sky West_AA'!$GH$4</f>
        <v>0</v>
      </c>
      <c r="H15" s="89">
        <f>[3]Republic!$GH$4</f>
        <v>175</v>
      </c>
      <c r="I15" s="385">
        <f>[3]Republic_UA!$GH$4</f>
        <v>248</v>
      </c>
      <c r="J15" s="385">
        <f>'[3]Sky Regional'!$GH$15</f>
        <v>93</v>
      </c>
      <c r="K15" s="89">
        <f>'[3]American Eagle'!$GH$4</f>
        <v>82</v>
      </c>
      <c r="L15" s="88">
        <f>'Other Regional'!K15</f>
        <v>94</v>
      </c>
      <c r="M15" s="90">
        <f t="shared" ref="M15:M21" si="5">SUM(B15:L15)</f>
        <v>6486</v>
      </c>
    </row>
    <row r="16" spans="1:38" x14ac:dyDescent="0.2">
      <c r="A16" s="47" t="s">
        <v>54</v>
      </c>
      <c r="B16" s="7">
        <f>[3]Pinnacle!$GH$5+[3]Pinnacle!$GH$16</f>
        <v>1066</v>
      </c>
      <c r="C16" s="92">
        <f>[3]MESA_UA!$GH$5</f>
        <v>88</v>
      </c>
      <c r="D16" s="91">
        <f>'[3]Sky West'!$GH$5+'[3]Sky West'!$GH$16</f>
        <v>4557</v>
      </c>
      <c r="E16" s="91">
        <f>'[3]Sky West_UA'!$GH$5</f>
        <v>50</v>
      </c>
      <c r="F16" s="91">
        <f>'[3]Sky West_AS'!$GH$5</f>
        <v>31</v>
      </c>
      <c r="G16" s="91">
        <f>'[3]Sky West_AA'!$GH$5</f>
        <v>0</v>
      </c>
      <c r="H16" s="93">
        <f>[3]Republic!$GH$5</f>
        <v>175</v>
      </c>
      <c r="I16" s="255">
        <f>[3]Republic_UA!$GH$5</f>
        <v>248</v>
      </c>
      <c r="J16" s="255">
        <f>'[3]Sky Regional'!$GH$16</f>
        <v>93</v>
      </c>
      <c r="K16" s="93">
        <f>'[3]American Eagle'!$GH$5</f>
        <v>81</v>
      </c>
      <c r="L16" s="92">
        <f>'Other Regional'!K16</f>
        <v>94</v>
      </c>
      <c r="M16" s="94">
        <f t="shared" si="5"/>
        <v>6483</v>
      </c>
    </row>
    <row r="17" spans="1:13" x14ac:dyDescent="0.2">
      <c r="A17" s="51" t="s">
        <v>55</v>
      </c>
      <c r="B17" s="95">
        <f t="shared" ref="B17:K17" si="6">SUM(B15:B16)</f>
        <v>2133</v>
      </c>
      <c r="C17" s="95">
        <f t="shared" si="6"/>
        <v>176</v>
      </c>
      <c r="D17" s="95">
        <f t="shared" si="6"/>
        <v>9115</v>
      </c>
      <c r="E17" s="95">
        <f t="shared" si="6"/>
        <v>100</v>
      </c>
      <c r="F17" s="95">
        <f t="shared" ref="F17:G17" si="7">SUM(F15:F16)</f>
        <v>62</v>
      </c>
      <c r="G17" s="95">
        <f t="shared" si="7"/>
        <v>0</v>
      </c>
      <c r="H17" s="95">
        <f t="shared" si="6"/>
        <v>350</v>
      </c>
      <c r="I17" s="95">
        <f t="shared" ref="I17:J17" si="8">SUM(I15:I16)</f>
        <v>496</v>
      </c>
      <c r="J17" s="95">
        <f t="shared" si="8"/>
        <v>186</v>
      </c>
      <c r="K17" s="95">
        <f t="shared" si="6"/>
        <v>163</v>
      </c>
      <c r="L17" s="95">
        <f>SUM(L15:L16)</f>
        <v>188</v>
      </c>
      <c r="M17" s="96">
        <f t="shared" si="5"/>
        <v>12969</v>
      </c>
    </row>
    <row r="18" spans="1:13" x14ac:dyDescent="0.2">
      <c r="A18" s="47" t="s">
        <v>56</v>
      </c>
      <c r="B18" s="97">
        <f>[3]Pinnacle!$GH$8</f>
        <v>1</v>
      </c>
      <c r="C18" s="89">
        <f>[3]MESA_UA!$GH$8</f>
        <v>0</v>
      </c>
      <c r="D18" s="97">
        <f>'[3]Sky West'!$GH$8</f>
        <v>0</v>
      </c>
      <c r="E18" s="97">
        <f>'[3]Sky West_UA'!$GH$8</f>
        <v>0</v>
      </c>
      <c r="F18" s="97">
        <f>'[3]Sky West_AS'!$GH$8</f>
        <v>0</v>
      </c>
      <c r="G18" s="97">
        <f>'[3]Sky West_AA'!$GH$8</f>
        <v>0</v>
      </c>
      <c r="H18" s="97">
        <f>[3]Republic!$GH$8</f>
        <v>0</v>
      </c>
      <c r="I18" s="97">
        <f>[3]Republic_UA!$GH$8</f>
        <v>0</v>
      </c>
      <c r="J18" s="97">
        <f>'[3]Sky Regional'!$GH$8</f>
        <v>0</v>
      </c>
      <c r="K18" s="97">
        <f>'[3]American Eagle'!$GH$8</f>
        <v>0</v>
      </c>
      <c r="L18" s="97">
        <f>'Other Regional'!K18</f>
        <v>0</v>
      </c>
      <c r="M18" s="90">
        <f t="shared" si="5"/>
        <v>1</v>
      </c>
    </row>
    <row r="19" spans="1:13" x14ac:dyDescent="0.2">
      <c r="A19" s="47" t="s">
        <v>57</v>
      </c>
      <c r="B19" s="98">
        <f>[3]Pinnacle!$GH$9</f>
        <v>1</v>
      </c>
      <c r="C19" s="93">
        <f>[3]MESA_UA!$GH$9</f>
        <v>0</v>
      </c>
      <c r="D19" s="98">
        <f>'[3]Sky West'!$GH$9</f>
        <v>4</v>
      </c>
      <c r="E19" s="98">
        <f>'[3]Sky West_UA'!$GH$9</f>
        <v>0</v>
      </c>
      <c r="F19" s="98">
        <f>'[3]Sky West_AS'!$GH$9</f>
        <v>0</v>
      </c>
      <c r="G19" s="98">
        <f>'[3]Sky West_AA'!$GH$9</f>
        <v>0</v>
      </c>
      <c r="H19" s="98">
        <f>[3]Republic!$GH$9</f>
        <v>0</v>
      </c>
      <c r="I19" s="98">
        <f>[3]Republic_UA!$GH$9</f>
        <v>0</v>
      </c>
      <c r="J19" s="98">
        <f>'[3]Sky Regional'!$GH$9</f>
        <v>0</v>
      </c>
      <c r="K19" s="98">
        <f>'[3]American Eagle'!$GH$9</f>
        <v>0</v>
      </c>
      <c r="L19" s="98">
        <f>'Other Regional'!K19</f>
        <v>0</v>
      </c>
      <c r="M19" s="94">
        <f t="shared" si="5"/>
        <v>5</v>
      </c>
    </row>
    <row r="20" spans="1:13" x14ac:dyDescent="0.2">
      <c r="A20" s="51" t="s">
        <v>58</v>
      </c>
      <c r="B20" s="95">
        <f t="shared" ref="B20:L20" si="9">SUM(B18:B19)</f>
        <v>2</v>
      </c>
      <c r="C20" s="95">
        <f t="shared" si="9"/>
        <v>0</v>
      </c>
      <c r="D20" s="95">
        <f t="shared" si="9"/>
        <v>4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0</v>
      </c>
      <c r="M20" s="96">
        <f t="shared" si="5"/>
        <v>6</v>
      </c>
    </row>
    <row r="21" spans="1:13" ht="15.75" thickBot="1" x14ac:dyDescent="0.3">
      <c r="A21" s="55" t="s">
        <v>28</v>
      </c>
      <c r="B21" s="99">
        <f t="shared" ref="B21:K21" si="11">SUM(B20,B17)</f>
        <v>2135</v>
      </c>
      <c r="C21" s="99">
        <f t="shared" si="11"/>
        <v>176</v>
      </c>
      <c r="D21" s="99">
        <f t="shared" si="11"/>
        <v>9119</v>
      </c>
      <c r="E21" s="99">
        <f t="shared" si="11"/>
        <v>100</v>
      </c>
      <c r="F21" s="99">
        <f t="shared" ref="F21:G21" si="12">SUM(F20,F17)</f>
        <v>62</v>
      </c>
      <c r="G21" s="99">
        <f t="shared" si="12"/>
        <v>0</v>
      </c>
      <c r="H21" s="99">
        <f t="shared" si="11"/>
        <v>350</v>
      </c>
      <c r="I21" s="99">
        <f t="shared" si="11"/>
        <v>496</v>
      </c>
      <c r="J21" s="99">
        <f t="shared" si="11"/>
        <v>186</v>
      </c>
      <c r="K21" s="99">
        <f t="shared" si="11"/>
        <v>163</v>
      </c>
      <c r="L21" s="99">
        <f>SUM(L20,L17)</f>
        <v>188</v>
      </c>
      <c r="M21" s="100">
        <f t="shared" si="5"/>
        <v>12975</v>
      </c>
    </row>
    <row r="22" spans="1:13" ht="13.5" thickBot="1" x14ac:dyDescent="0.25"/>
    <row r="23" spans="1:13" ht="15.75" thickTop="1" x14ac:dyDescent="0.25">
      <c r="A23" s="50" t="s">
        <v>116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[3]Pinnacle!$GH$47</f>
        <v>0</v>
      </c>
      <c r="C25" s="89">
        <f>[3]MESA_UA!$GH$47</f>
        <v>0</v>
      </c>
      <c r="D25" s="97">
        <f>'[3]Sky West'!$GH$47</f>
        <v>0</v>
      </c>
      <c r="E25" s="97">
        <f>'[3]Sky West_UA'!$GH$47</f>
        <v>0</v>
      </c>
      <c r="F25" s="97">
        <f>'[3]Sky West_AS'!$GH$47</f>
        <v>2176</v>
      </c>
      <c r="G25" s="97">
        <f>'[3]Sky West_AA'!$GH$47</f>
        <v>0</v>
      </c>
      <c r="H25" s="97">
        <f>[3]Republic!$GH$47</f>
        <v>381</v>
      </c>
      <c r="I25" s="97">
        <f>[3]Republic_UA!$GH$47</f>
        <v>0</v>
      </c>
      <c r="J25" s="97">
        <f>'[3]Sky Regional'!$GH$47</f>
        <v>2941</v>
      </c>
      <c r="K25" s="97">
        <f>'[3]American Eagle'!$GH$47</f>
        <v>577</v>
      </c>
      <c r="L25" s="97">
        <f>'Other Regional'!K25</f>
        <v>26</v>
      </c>
      <c r="M25" s="90">
        <f>SUM(B25:L25)</f>
        <v>6101</v>
      </c>
    </row>
    <row r="26" spans="1:13" x14ac:dyDescent="0.2">
      <c r="A26" s="47" t="s">
        <v>38</v>
      </c>
      <c r="B26" s="97">
        <f>[3]Pinnacle!$GH$48</f>
        <v>0</v>
      </c>
      <c r="C26" s="89">
        <f>[3]MESA_UA!$GH$48</f>
        <v>0</v>
      </c>
      <c r="D26" s="97">
        <f>'[3]Sky West'!$GH$48</f>
        <v>0</v>
      </c>
      <c r="E26" s="97">
        <f>'[3]Sky West_UA'!$GH$48</f>
        <v>0</v>
      </c>
      <c r="F26" s="97">
        <f>'[3]Sky West_AS'!$GH$48</f>
        <v>0</v>
      </c>
      <c r="G26" s="97">
        <f>'[3]Sky West_AA'!$GH$48</f>
        <v>0</v>
      </c>
      <c r="H26" s="97">
        <f>[3]Republic!$GH$48</f>
        <v>690</v>
      </c>
      <c r="I26" s="97">
        <f>[3]Republic_UA!$GH$48</f>
        <v>0</v>
      </c>
      <c r="J26" s="97">
        <f>'[3]Sky Regional'!$GH$48</f>
        <v>0</v>
      </c>
      <c r="K26" s="97">
        <f>'[3]American Eagle'!$GH$48</f>
        <v>0</v>
      </c>
      <c r="L26" s="97">
        <f>'Other Regional'!K26</f>
        <v>0</v>
      </c>
      <c r="M26" s="90">
        <f>SUM(B26:L26)</f>
        <v>690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2176</v>
      </c>
      <c r="G27" s="107">
        <f t="shared" si="14"/>
        <v>0</v>
      </c>
      <c r="H27" s="107">
        <f t="shared" si="13"/>
        <v>1071</v>
      </c>
      <c r="I27" s="107">
        <f t="shared" si="13"/>
        <v>0</v>
      </c>
      <c r="J27" s="107">
        <f t="shared" si="13"/>
        <v>2941</v>
      </c>
      <c r="K27" s="107">
        <f t="shared" si="13"/>
        <v>577</v>
      </c>
      <c r="L27" s="107">
        <f t="shared" si="13"/>
        <v>26</v>
      </c>
      <c r="M27" s="108">
        <f>SUM(B27:L27)</f>
        <v>6791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[3]Pinnacle!$GH$52</f>
        <v>0</v>
      </c>
      <c r="C30" s="89">
        <f>[3]MESA_UA!$GH$52</f>
        <v>0</v>
      </c>
      <c r="D30" s="97">
        <f>'[3]Sky West'!$GH$52</f>
        <v>0</v>
      </c>
      <c r="E30" s="97">
        <f>'[3]Sky West_UA'!$GH$52</f>
        <v>0</v>
      </c>
      <c r="F30" s="97">
        <f>'[3]Sky West_AS'!$GH$52</f>
        <v>321</v>
      </c>
      <c r="G30" s="97">
        <f>'[3]Sky West_AA'!$GH$52</f>
        <v>0</v>
      </c>
      <c r="H30" s="97">
        <f>[3]Republic!$GH$52</f>
        <v>0</v>
      </c>
      <c r="I30" s="97">
        <f>[3]Republic_UA!$GH$52</f>
        <v>0</v>
      </c>
      <c r="J30" s="97">
        <f>'[3]Sky Regional'!$GH$52</f>
        <v>2738</v>
      </c>
      <c r="K30" s="97">
        <f>'[3]American Eagle'!$GH$52</f>
        <v>378</v>
      </c>
      <c r="L30" s="97">
        <f>'Other Regional'!K30</f>
        <v>0</v>
      </c>
      <c r="M30" s="90">
        <f t="shared" ref="M30:M37" si="15">SUM(B30:L30)</f>
        <v>3437</v>
      </c>
    </row>
    <row r="31" spans="1:13" x14ac:dyDescent="0.2">
      <c r="A31" s="47" t="s">
        <v>60</v>
      </c>
      <c r="B31" s="97">
        <f>[3]Pinnacle!$GH$53</f>
        <v>0</v>
      </c>
      <c r="C31" s="89">
        <f>[3]MESA_UA!$GH$53</f>
        <v>0</v>
      </c>
      <c r="D31" s="97">
        <f>'[3]Sky West'!$GH$53</f>
        <v>0</v>
      </c>
      <c r="E31" s="97">
        <f>'[3]Sky West_UA'!$GH$53</f>
        <v>0</v>
      </c>
      <c r="F31" s="97">
        <f>'[3]Sky West_AS'!$GH$53</f>
        <v>390</v>
      </c>
      <c r="G31" s="97">
        <f>'[3]Sky West_AA'!$GH$53</f>
        <v>0</v>
      </c>
      <c r="H31" s="97">
        <f>[3]Republic!$GH$53</f>
        <v>0</v>
      </c>
      <c r="I31" s="97">
        <f>[3]Republic_UA!$GH$53</f>
        <v>0</v>
      </c>
      <c r="J31" s="97">
        <f>'[3]Sky Regional'!$GH$53</f>
        <v>0</v>
      </c>
      <c r="K31" s="97">
        <f>'[3]American Eagle'!$GH$53</f>
        <v>0</v>
      </c>
      <c r="L31" s="97">
        <f>'Other Regional'!K31</f>
        <v>0</v>
      </c>
      <c r="M31" s="90">
        <f t="shared" si="15"/>
        <v>390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711</v>
      </c>
      <c r="G32" s="107">
        <f t="shared" si="17"/>
        <v>0</v>
      </c>
      <c r="H32" s="107">
        <f t="shared" si="16"/>
        <v>0</v>
      </c>
      <c r="I32" s="107">
        <f t="shared" si="16"/>
        <v>0</v>
      </c>
      <c r="J32" s="107">
        <f t="shared" si="16"/>
        <v>2738</v>
      </c>
      <c r="K32" s="107">
        <f t="shared" si="16"/>
        <v>378</v>
      </c>
      <c r="L32" s="107">
        <f>SUM(L30:L31)</f>
        <v>0</v>
      </c>
      <c r="M32" s="108">
        <f t="shared" si="15"/>
        <v>3827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[3]Pinnacle!$GH$57</f>
        <v>0</v>
      </c>
      <c r="C35" s="89">
        <f>[3]MESA_UA!$GH$57</f>
        <v>0</v>
      </c>
      <c r="D35" s="97">
        <f>'[3]Sky West'!$GH$57</f>
        <v>0</v>
      </c>
      <c r="E35" s="97">
        <f>'[3]Sky West_UA'!$GH$57</f>
        <v>0</v>
      </c>
      <c r="F35" s="97">
        <f>'[3]Sky West_AS'!$GH$57</f>
        <v>0</v>
      </c>
      <c r="G35" s="97">
        <f>'[3]Sky West_AA'!$GH$57</f>
        <v>0</v>
      </c>
      <c r="H35" s="97">
        <f>[3]Republic!$GH$57</f>
        <v>0</v>
      </c>
      <c r="I35" s="97">
        <f>[3]Republic!$GH$57</f>
        <v>0</v>
      </c>
      <c r="J35" s="97">
        <f>[3]Republic!$GH$57</f>
        <v>0</v>
      </c>
      <c r="K35" s="97">
        <f>'[3]American Eagle'!$GH$57</f>
        <v>0</v>
      </c>
      <c r="L35" s="97">
        <f>'Other Regional'!K35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[3]Pinnacle!$GH$58</f>
        <v>0</v>
      </c>
      <c r="C36" s="89">
        <f>[3]MESA_UA!$GH$58</f>
        <v>0</v>
      </c>
      <c r="D36" s="97">
        <f>'[3]Sky West'!$GH$58</f>
        <v>0</v>
      </c>
      <c r="E36" s="97">
        <f>'[3]Sky West_UA'!$GH$58</f>
        <v>0</v>
      </c>
      <c r="F36" s="97">
        <f>'[3]Sky West_AS'!$GH$58</f>
        <v>0</v>
      </c>
      <c r="G36" s="97">
        <f>'[3]Sky West_AA'!$GH$58</f>
        <v>0</v>
      </c>
      <c r="H36" s="97">
        <f>[3]Republic!$GH$58</f>
        <v>0</v>
      </c>
      <c r="I36" s="97">
        <f>[3]Republic!$GH$58</f>
        <v>0</v>
      </c>
      <c r="J36" s="97">
        <f>[3]Republic!$GH$58</f>
        <v>0</v>
      </c>
      <c r="K36" s="97">
        <f>'[3]American Eagle'!$GH$58</f>
        <v>0</v>
      </c>
      <c r="L36" s="97">
        <f>'Other Regional'!K36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2497</v>
      </c>
      <c r="G40" s="97">
        <f t="shared" ref="G40" si="22">SUM(G35,G30,G25)</f>
        <v>0</v>
      </c>
      <c r="H40" s="97">
        <f t="shared" si="20"/>
        <v>381</v>
      </c>
      <c r="I40" s="97">
        <f t="shared" si="20"/>
        <v>0</v>
      </c>
      <c r="J40" s="97">
        <f t="shared" si="20"/>
        <v>5679</v>
      </c>
      <c r="K40" s="97">
        <f>SUM(K35,K30,K25)</f>
        <v>955</v>
      </c>
      <c r="L40" s="97">
        <f>L35+L30+L25</f>
        <v>26</v>
      </c>
      <c r="M40" s="90">
        <f>SUM(B40:L40)</f>
        <v>9538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390</v>
      </c>
      <c r="G41" s="97">
        <f t="shared" ref="G41" si="23">SUM(G36,G31,G26)</f>
        <v>0</v>
      </c>
      <c r="H41" s="97">
        <f t="shared" si="20"/>
        <v>690</v>
      </c>
      <c r="I41" s="97">
        <f t="shared" si="20"/>
        <v>0</v>
      </c>
      <c r="J41" s="97">
        <f t="shared" si="20"/>
        <v>0</v>
      </c>
      <c r="K41" s="97">
        <f>SUM(K36,K31,K26)</f>
        <v>0</v>
      </c>
      <c r="L41" s="97">
        <f>L36+L31+L26</f>
        <v>0</v>
      </c>
      <c r="M41" s="90">
        <f>SUM(B41:L41)</f>
        <v>1080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2887</v>
      </c>
      <c r="G42" s="110">
        <f t="shared" ref="G42" si="24">SUM(G37,G32,G27)</f>
        <v>0</v>
      </c>
      <c r="H42" s="110">
        <f t="shared" si="20"/>
        <v>1071</v>
      </c>
      <c r="I42" s="110">
        <f t="shared" si="20"/>
        <v>0</v>
      </c>
      <c r="J42" s="110">
        <f t="shared" si="20"/>
        <v>5679</v>
      </c>
      <c r="K42" s="110">
        <f>SUM(K37,K32,K27)</f>
        <v>955</v>
      </c>
      <c r="L42" s="110">
        <f>SUM(L37,L32,L27)</f>
        <v>26</v>
      </c>
      <c r="M42" s="111">
        <f>SUM(B42:L42)</f>
        <v>10618</v>
      </c>
    </row>
    <row r="44" spans="1:13" x14ac:dyDescent="0.2">
      <c r="A44" s="322" t="s">
        <v>123</v>
      </c>
      <c r="B44" s="278">
        <f>[3]Pinnacle!$GH$70+[3]Pinnacle!$GH$73</f>
        <v>25235</v>
      </c>
      <c r="D44" s="279">
        <f>'[3]Sky West'!$GH$70+'[3]Sky West'!$GH$73</f>
        <v>69749</v>
      </c>
      <c r="E44" s="2"/>
      <c r="F44" s="2"/>
      <c r="G44" s="2"/>
      <c r="L44" s="279">
        <f>+'Other Regional'!K46</f>
        <v>845</v>
      </c>
      <c r="M44" s="268">
        <f>SUM(B44:L44)</f>
        <v>95829</v>
      </c>
    </row>
    <row r="45" spans="1:13" x14ac:dyDescent="0.2">
      <c r="A45" s="335" t="s">
        <v>124</v>
      </c>
      <c r="B45" s="278">
        <f>[3]Pinnacle!$GH$71+[3]Pinnacle!$GH$74</f>
        <v>42375</v>
      </c>
      <c r="D45" s="279">
        <f>'[3]Sky West'!$GH$71+'[3]Sky West'!$GH$74</f>
        <v>167696</v>
      </c>
      <c r="E45" s="2"/>
      <c r="F45" s="2"/>
      <c r="G45" s="2"/>
      <c r="L45" s="279">
        <f>+'Other Regional'!K47</f>
        <v>2051</v>
      </c>
      <c r="M45" s="268">
        <f>SUM(B45:L45)</f>
        <v>212122</v>
      </c>
    </row>
    <row r="46" spans="1:13" x14ac:dyDescent="0.2">
      <c r="A46" s="269" t="s">
        <v>125</v>
      </c>
      <c r="B46" s="270">
        <f>SUM(B44:B45)</f>
        <v>67610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July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topLeftCell="A2" zoomScaleNormal="100" zoomScaleSheetLayoutView="100" workbookViewId="0">
      <selection activeCell="M31" sqref="M31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5703125" customWidth="1"/>
    <col min="8" max="8" width="10.140625" customWidth="1"/>
    <col min="9" max="9" width="9.5703125" customWidth="1"/>
    <col min="10" max="10" width="9.28515625" bestFit="1" customWidth="1"/>
    <col min="11" max="11" width="12.140625" customWidth="1"/>
  </cols>
  <sheetData>
    <row r="1" spans="1:11" ht="36" customHeight="1" x14ac:dyDescent="0.2">
      <c r="A1" s="331"/>
    </row>
    <row r="2" spans="1:11" ht="55.5" customHeight="1" thickBot="1" x14ac:dyDescent="0.25">
      <c r="A2" s="325">
        <v>43647</v>
      </c>
      <c r="B2" s="428" t="s">
        <v>176</v>
      </c>
      <c r="C2" s="428" t="s">
        <v>175</v>
      </c>
      <c r="D2" s="428" t="s">
        <v>209</v>
      </c>
      <c r="E2" s="428" t="s">
        <v>186</v>
      </c>
      <c r="F2" s="428" t="s">
        <v>180</v>
      </c>
      <c r="G2" s="428" t="s">
        <v>226</v>
      </c>
      <c r="H2" s="428" t="s">
        <v>179</v>
      </c>
      <c r="I2" s="428" t="s">
        <v>163</v>
      </c>
      <c r="J2" s="428" t="s">
        <v>167</v>
      </c>
      <c r="K2" s="429" t="s">
        <v>21</v>
      </c>
    </row>
    <row r="3" spans="1:11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348"/>
      <c r="K3" s="427"/>
    </row>
    <row r="4" spans="1:11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89"/>
      <c r="K4" s="90"/>
    </row>
    <row r="5" spans="1:11" x14ac:dyDescent="0.2">
      <c r="A5" s="47" t="s">
        <v>30</v>
      </c>
      <c r="B5" s="89">
        <f>'[3]Shuttle America'!$GH$22</f>
        <v>0</v>
      </c>
      <c r="C5" s="89">
        <f>'[3]Shuttle America_Delta'!$GH$22</f>
        <v>0</v>
      </c>
      <c r="D5" s="385">
        <f>[3]Horizon_AS!$GH$22</f>
        <v>0</v>
      </c>
      <c r="E5" s="385">
        <f>[3]PSA!$GH$22</f>
        <v>0</v>
      </c>
      <c r="F5" s="89">
        <f>'[3]Atlantic Southeast'!$GH$22+'[3]Atlantic Southeast'!$GH$32</f>
        <v>0</v>
      </c>
      <c r="G5" s="13">
        <f>'[3]Air Wisconsin'!$GH$22+'[3]Air Wisconsin'!$GH$32</f>
        <v>42</v>
      </c>
      <c r="H5" s="89">
        <f>'[3]Continental Express'!$GH$22</f>
        <v>2950</v>
      </c>
      <c r="I5" s="97">
        <f>'[3]Go Jet_UA'!$GH$22</f>
        <v>0</v>
      </c>
      <c r="J5" s="13">
        <f>'[3]Go Jet'!$GH$22+'[3]Go Jet'!$GH$32</f>
        <v>2859</v>
      </c>
      <c r="K5" s="90">
        <f>SUM(B5:J5)</f>
        <v>5851</v>
      </c>
    </row>
    <row r="6" spans="1:11" s="6" customFormat="1" x14ac:dyDescent="0.2">
      <c r="A6" s="47" t="s">
        <v>31</v>
      </c>
      <c r="B6" s="89">
        <f>'[3]Shuttle America'!$GH$23</f>
        <v>0</v>
      </c>
      <c r="C6" s="89">
        <f>'[3]Shuttle America_Delta'!$GH$23</f>
        <v>0</v>
      </c>
      <c r="D6" s="385">
        <f>[3]Horizon_AS!$GH$23</f>
        <v>0</v>
      </c>
      <c r="E6" s="385">
        <f>[3]PSA!$GH$23</f>
        <v>0</v>
      </c>
      <c r="F6" s="89">
        <f>'[3]Atlantic Southeast'!$GH$23+'[3]Atlantic Southeast'!$GH$33</f>
        <v>0</v>
      </c>
      <c r="G6" s="7">
        <f>'[3]Air Wisconsin'!$GH$23+'[3]Air Wisconsin'!$GH$33</f>
        <v>0</v>
      </c>
      <c r="H6" s="89">
        <f>'[3]Continental Express'!$GH$23</f>
        <v>2829</v>
      </c>
      <c r="I6" s="97">
        <f>'[3]Go Jet_UA'!$GH$23</f>
        <v>0</v>
      </c>
      <c r="J6" s="7">
        <f>'[3]Go Jet'!$GH$23+'[3]Go Jet'!$GH$33</f>
        <v>2896</v>
      </c>
      <c r="K6" s="94">
        <f>SUM(B6:J6)</f>
        <v>5725</v>
      </c>
    </row>
    <row r="7" spans="1:11" ht="15" thickBot="1" x14ac:dyDescent="0.25">
      <c r="A7" s="56" t="s">
        <v>7</v>
      </c>
      <c r="B7" s="107">
        <f t="shared" ref="B7:I7" si="0">SUM(B5:B6)</f>
        <v>0</v>
      </c>
      <c r="C7" s="107">
        <f t="shared" si="0"/>
        <v>0</v>
      </c>
      <c r="D7" s="107">
        <f t="shared" ref="D7" si="1">SUM(D5:D6)</f>
        <v>0</v>
      </c>
      <c r="E7" s="107">
        <f t="shared" si="0"/>
        <v>0</v>
      </c>
      <c r="F7" s="107">
        <f t="shared" si="0"/>
        <v>0</v>
      </c>
      <c r="G7" s="107">
        <f>SUM(G5:G6)</f>
        <v>42</v>
      </c>
      <c r="H7" s="107">
        <f t="shared" si="0"/>
        <v>5779</v>
      </c>
      <c r="I7" s="107">
        <f t="shared" si="0"/>
        <v>0</v>
      </c>
      <c r="J7" s="107">
        <f>SUM(J5:J6)</f>
        <v>5755</v>
      </c>
      <c r="K7" s="108">
        <f>SUM(B7:J7)</f>
        <v>11576</v>
      </c>
    </row>
    <row r="8" spans="1:11" ht="13.5" thickTop="1" x14ac:dyDescent="0.2">
      <c r="A8" s="47"/>
      <c r="B8" s="89"/>
      <c r="C8" s="89"/>
      <c r="D8" s="385"/>
      <c r="E8" s="385"/>
      <c r="F8" s="89"/>
      <c r="G8" s="297"/>
      <c r="H8" s="89"/>
      <c r="I8" s="97"/>
      <c r="J8" s="297"/>
      <c r="K8" s="109"/>
    </row>
    <row r="9" spans="1:11" s="6" customFormat="1" x14ac:dyDescent="0.2">
      <c r="A9" s="47" t="s">
        <v>32</v>
      </c>
      <c r="B9" s="89"/>
      <c r="C9" s="89"/>
      <c r="D9" s="385"/>
      <c r="E9" s="385"/>
      <c r="F9" s="89"/>
      <c r="G9" s="13"/>
      <c r="H9" s="89"/>
      <c r="I9" s="97"/>
      <c r="J9" s="13"/>
      <c r="K9" s="90"/>
    </row>
    <row r="10" spans="1:11" x14ac:dyDescent="0.2">
      <c r="A10" s="47" t="s">
        <v>30</v>
      </c>
      <c r="B10" s="89">
        <f>'[3]Shuttle America'!$GH$27</f>
        <v>0</v>
      </c>
      <c r="C10" s="89">
        <f>'[3]Shuttle America_Delta'!$GH$27</f>
        <v>0</v>
      </c>
      <c r="D10" s="385">
        <f>[3]Horizon_AS!$GH$27</f>
        <v>0</v>
      </c>
      <c r="E10" s="385">
        <f>[3]PSA!$GH$27</f>
        <v>0</v>
      </c>
      <c r="F10" s="13">
        <f>'[3]Atlantic Southeast'!$GH$27+'[3]Atlantic Southeast'!$GH$37</f>
        <v>0</v>
      </c>
      <c r="G10" s="13">
        <f>'[3]Air Wisconsin'!$GH$27+'[3]Air Wisconsin'!$GH$37</f>
        <v>0</v>
      </c>
      <c r="H10" s="89">
        <f>'[3]Continental Express'!$GH$27</f>
        <v>138</v>
      </c>
      <c r="I10" s="97">
        <f>'[3]Go Jet_UA'!$GH$27</f>
        <v>0</v>
      </c>
      <c r="J10" s="13">
        <f>'[3]Go Jet'!$GH$27+'[3]Go Jet'!$GH$37</f>
        <v>69</v>
      </c>
      <c r="K10" s="90">
        <f>SUM(B10:J10)</f>
        <v>207</v>
      </c>
    </row>
    <row r="11" spans="1:11" x14ac:dyDescent="0.2">
      <c r="A11" s="47" t="s">
        <v>33</v>
      </c>
      <c r="B11" s="89">
        <f>'[3]Shuttle America'!$GH$28</f>
        <v>0</v>
      </c>
      <c r="C11" s="89">
        <f>'[3]Shuttle America_Delta'!$GH$28</f>
        <v>0</v>
      </c>
      <c r="D11" s="385">
        <f>[3]Horizon_AS!$GH$28</f>
        <v>0</v>
      </c>
      <c r="E11" s="385">
        <f>[3]PSA!$GH$28</f>
        <v>0</v>
      </c>
      <c r="F11" s="7">
        <f>'[3]Atlantic Southeast'!$GH$28+'[3]Atlantic Southeast'!$GH$38</f>
        <v>0</v>
      </c>
      <c r="G11" s="7">
        <f>'[3]Air Wisconsin'!$GH$28+'[3]Air Wisconsin'!$GH$38</f>
        <v>0</v>
      </c>
      <c r="H11" s="89">
        <f>'[3]Continental Express'!$GH$28</f>
        <v>114</v>
      </c>
      <c r="I11" s="97">
        <f>'[3]Go Jet_UA'!$GH$28</f>
        <v>0</v>
      </c>
      <c r="J11" s="7">
        <f>'[3]Go Jet'!$GH$28+'[3]Go Jet'!$GH$38</f>
        <v>63</v>
      </c>
      <c r="K11" s="94">
        <f>SUM(B11:J11)</f>
        <v>177</v>
      </c>
    </row>
    <row r="12" spans="1:11" ht="15" thickBot="1" x14ac:dyDescent="0.25">
      <c r="A12" s="57" t="s">
        <v>34</v>
      </c>
      <c r="B12" s="110">
        <f>SUM(B10:B11)</f>
        <v>0</v>
      </c>
      <c r="C12" s="110">
        <f>SUM(C10:C11)</f>
        <v>0</v>
      </c>
      <c r="D12" s="110">
        <f t="shared" ref="D12:E12" si="2">SUM(D10:D11)</f>
        <v>0</v>
      </c>
      <c r="E12" s="110">
        <f t="shared" si="2"/>
        <v>0</v>
      </c>
      <c r="F12" s="110">
        <f t="shared" ref="F12:I12" si="3">SUM(F10:F11)</f>
        <v>0</v>
      </c>
      <c r="G12" s="110">
        <f t="shared" si="3"/>
        <v>0</v>
      </c>
      <c r="H12" s="110">
        <f t="shared" si="3"/>
        <v>252</v>
      </c>
      <c r="I12" s="110">
        <f t="shared" si="3"/>
        <v>0</v>
      </c>
      <c r="J12" s="110">
        <f t="shared" ref="J12" si="4">SUM(J10:J11)</f>
        <v>132</v>
      </c>
      <c r="K12" s="111">
        <f>SUM(B12:J12)</f>
        <v>384</v>
      </c>
    </row>
    <row r="13" spans="1:11" ht="6" customHeight="1" thickBot="1" x14ac:dyDescent="0.25"/>
    <row r="14" spans="1:11" ht="15.75" thickTop="1" x14ac:dyDescent="0.25">
      <c r="A14" s="46" t="s">
        <v>9</v>
      </c>
      <c r="B14" s="84"/>
      <c r="C14" s="84"/>
      <c r="D14" s="84"/>
      <c r="E14" s="84"/>
      <c r="F14" s="85"/>
      <c r="G14" s="84"/>
      <c r="H14" s="85"/>
      <c r="I14" s="84"/>
      <c r="J14" s="84"/>
      <c r="K14" s="86"/>
    </row>
    <row r="15" spans="1:11" x14ac:dyDescent="0.2">
      <c r="A15" s="47" t="s">
        <v>53</v>
      </c>
      <c r="B15" s="87">
        <f>'[3]Shuttle America'!$GH$4</f>
        <v>0</v>
      </c>
      <c r="C15" s="87">
        <f>'[3]Shuttle America_Delta'!$GH$4</f>
        <v>0</v>
      </c>
      <c r="D15" s="386">
        <f>[3]Horizon_AS!$GH$4</f>
        <v>0</v>
      </c>
      <c r="E15" s="386">
        <f>[3]PSA!$GH$4</f>
        <v>0</v>
      </c>
      <c r="F15" s="88">
        <f>'[3]Atlantic Southeast'!$GH$4+'[3]Atlantic Southeast'!$GH$15</f>
        <v>0</v>
      </c>
      <c r="G15" s="13">
        <f>'[3]Air Wisconsin'!$GH$4+'[3]Air Wisconsin'!$GH$15</f>
        <v>1</v>
      </c>
      <c r="H15" s="88">
        <f>'[3]Continental Express'!$GH$4</f>
        <v>48</v>
      </c>
      <c r="I15" s="87">
        <f>'[3]Go Jet_UA'!$GH$4</f>
        <v>0</v>
      </c>
      <c r="J15" s="13">
        <f>'[3]Go Jet'!$GH$4+'[3]Go Jet'!$GH$15</f>
        <v>45</v>
      </c>
      <c r="K15" s="90">
        <f t="shared" ref="K15:K21" si="5">SUM(B15:J15)</f>
        <v>94</v>
      </c>
    </row>
    <row r="16" spans="1:11" x14ac:dyDescent="0.2">
      <c r="A16" s="47" t="s">
        <v>54</v>
      </c>
      <c r="B16" s="91">
        <f>'[3]Shuttle America'!$GH$5</f>
        <v>0</v>
      </c>
      <c r="C16" s="91">
        <f>'[3]Shuttle America_Delta'!$GH$5</f>
        <v>0</v>
      </c>
      <c r="D16" s="387">
        <f>[3]Horizon_AS!$GH$5</f>
        <v>0</v>
      </c>
      <c r="E16" s="387">
        <f>[3]PSA!$GH$5</f>
        <v>0</v>
      </c>
      <c r="F16" s="92">
        <f>'[3]Atlantic Southeast'!$GH$5+'[3]Atlantic Southeast'!$GH$16</f>
        <v>0</v>
      </c>
      <c r="G16" s="7">
        <f>'[3]Air Wisconsin'!$GH$5+'[3]Air Wisconsin'!$GH$16</f>
        <v>1</v>
      </c>
      <c r="H16" s="92">
        <f>'[3]Continental Express'!$GH$5</f>
        <v>48</v>
      </c>
      <c r="I16" s="91">
        <f>'[3]Go Jet_UA'!$GH$5</f>
        <v>0</v>
      </c>
      <c r="J16" s="7">
        <f>'[3]Go Jet'!$GH$5+'[3]Go Jet'!$GH$16</f>
        <v>45</v>
      </c>
      <c r="K16" s="94">
        <f t="shared" si="5"/>
        <v>94</v>
      </c>
    </row>
    <row r="17" spans="1:11" x14ac:dyDescent="0.2">
      <c r="A17" s="51" t="s">
        <v>55</v>
      </c>
      <c r="B17" s="95">
        <f>SUM(B15:B16)</f>
        <v>0</v>
      </c>
      <c r="C17" s="95">
        <f>SUM(C15:C16)</f>
        <v>0</v>
      </c>
      <c r="D17" s="95">
        <f t="shared" ref="D17:E17" si="6">SUM(D15:D16)</f>
        <v>0</v>
      </c>
      <c r="E17" s="95">
        <f t="shared" si="6"/>
        <v>0</v>
      </c>
      <c r="F17" s="95">
        <f t="shared" ref="F17:I17" si="7">SUM(F15:F16)</f>
        <v>0</v>
      </c>
      <c r="G17" s="247">
        <f>SUM(G15:G16)</f>
        <v>2</v>
      </c>
      <c r="H17" s="95">
        <f t="shared" si="7"/>
        <v>96</v>
      </c>
      <c r="I17" s="95">
        <f t="shared" si="7"/>
        <v>0</v>
      </c>
      <c r="J17" s="247">
        <f>SUM(J15:J16)</f>
        <v>90</v>
      </c>
      <c r="K17" s="96">
        <f t="shared" si="5"/>
        <v>188</v>
      </c>
    </row>
    <row r="18" spans="1:11" x14ac:dyDescent="0.2">
      <c r="A18" s="47" t="s">
        <v>56</v>
      </c>
      <c r="B18" s="97">
        <f>'[3]Shuttle America'!$GH$8</f>
        <v>0</v>
      </c>
      <c r="C18" s="97">
        <f>'[3]Shuttle America_Delta'!$GH$8</f>
        <v>0</v>
      </c>
      <c r="D18" s="97">
        <f>[3]Horizon_AS!$GH$8</f>
        <v>0</v>
      </c>
      <c r="E18" s="97">
        <f>[3]PSA!$GH$8</f>
        <v>0</v>
      </c>
      <c r="F18" s="89">
        <f>'[3]Atlantic Southeast'!$GH$8</f>
        <v>0</v>
      </c>
      <c r="G18" s="13">
        <f>'[3]Air Wisconsin'!$GH$8</f>
        <v>0</v>
      </c>
      <c r="H18" s="89">
        <f>'[3]Continental Express'!$GH$8</f>
        <v>0</v>
      </c>
      <c r="I18" s="97">
        <f>'[3]Go Jet_UA'!$GH$8</f>
        <v>0</v>
      </c>
      <c r="J18" s="13">
        <f>'[3]Go Jet'!$GH$8</f>
        <v>0</v>
      </c>
      <c r="K18" s="90">
        <f t="shared" si="5"/>
        <v>0</v>
      </c>
    </row>
    <row r="19" spans="1:11" x14ac:dyDescent="0.2">
      <c r="A19" s="47" t="s">
        <v>57</v>
      </c>
      <c r="B19" s="98">
        <f>'[3]Shuttle America'!$GH$9</f>
        <v>0</v>
      </c>
      <c r="C19" s="98">
        <f>'[3]Shuttle America_Delta'!$GH$9</f>
        <v>0</v>
      </c>
      <c r="D19" s="98">
        <f>[3]Horizon_AS!$GH$9</f>
        <v>0</v>
      </c>
      <c r="E19" s="98">
        <f>[3]PSA!$GH$9</f>
        <v>0</v>
      </c>
      <c r="F19" s="93">
        <f>'[3]Atlantic Southeast'!$GH$9</f>
        <v>0</v>
      </c>
      <c r="G19" s="7">
        <f>'[3]Air Wisconsin'!$GH$9</f>
        <v>0</v>
      </c>
      <c r="H19" s="93">
        <f>'[3]Continental Express'!$GH$9</f>
        <v>0</v>
      </c>
      <c r="I19" s="98">
        <f>'[3]Go Jet_UA'!$GH$9</f>
        <v>0</v>
      </c>
      <c r="J19" s="7">
        <f>'[3]Go Jet'!$GH$9</f>
        <v>0</v>
      </c>
      <c r="K19" s="94">
        <f t="shared" si="5"/>
        <v>0</v>
      </c>
    </row>
    <row r="20" spans="1:11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I20" si="9">SUM(F18:F19)</f>
        <v>0</v>
      </c>
      <c r="G20" s="247">
        <f>SUM(G18:G19)</f>
        <v>0</v>
      </c>
      <c r="H20" s="95">
        <f t="shared" si="9"/>
        <v>0</v>
      </c>
      <c r="I20" s="95">
        <f t="shared" si="9"/>
        <v>0</v>
      </c>
      <c r="J20" s="247">
        <f>SUM(J18:J19)</f>
        <v>0</v>
      </c>
      <c r="K20" s="96">
        <f t="shared" si="5"/>
        <v>0</v>
      </c>
    </row>
    <row r="21" spans="1:11" ht="15.75" thickBot="1" x14ac:dyDescent="0.3">
      <c r="A21" s="55" t="s">
        <v>28</v>
      </c>
      <c r="B21" s="99">
        <f>SUM(B20,B17)</f>
        <v>0</v>
      </c>
      <c r="C21" s="99">
        <f>SUM(C20,C17)</f>
        <v>0</v>
      </c>
      <c r="D21" s="99">
        <f t="shared" ref="D21:E21" si="10">SUM(D20,D17)</f>
        <v>0</v>
      </c>
      <c r="E21" s="99">
        <f t="shared" si="10"/>
        <v>0</v>
      </c>
      <c r="F21" s="99">
        <f t="shared" ref="F21:I21" si="11">SUM(F20,F17)</f>
        <v>0</v>
      </c>
      <c r="G21" s="99">
        <f t="shared" si="11"/>
        <v>2</v>
      </c>
      <c r="H21" s="99">
        <f t="shared" si="11"/>
        <v>96</v>
      </c>
      <c r="I21" s="99">
        <f t="shared" si="11"/>
        <v>0</v>
      </c>
      <c r="J21" s="99">
        <f t="shared" ref="J21" si="12">SUM(J20,J17)</f>
        <v>90</v>
      </c>
      <c r="K21" s="100">
        <f t="shared" si="5"/>
        <v>188</v>
      </c>
    </row>
    <row r="22" spans="1:11" ht="3.75" customHeight="1" thickBot="1" x14ac:dyDescent="0.25"/>
    <row r="23" spans="1:11" ht="15.75" thickTop="1" x14ac:dyDescent="0.25">
      <c r="A23" s="50" t="s">
        <v>116</v>
      </c>
      <c r="B23" s="112"/>
      <c r="C23" s="112"/>
      <c r="D23" s="112"/>
      <c r="E23" s="112"/>
      <c r="F23" s="113"/>
      <c r="G23" s="112"/>
      <c r="H23" s="113"/>
      <c r="I23" s="112"/>
      <c r="J23" s="112"/>
      <c r="K23" s="114"/>
    </row>
    <row r="24" spans="1:11" x14ac:dyDescent="0.2">
      <c r="A24" s="47" t="s">
        <v>36</v>
      </c>
      <c r="B24" s="97"/>
      <c r="C24" s="97"/>
      <c r="D24" s="97"/>
      <c r="E24" s="97"/>
      <c r="F24" s="89"/>
      <c r="H24" s="89"/>
      <c r="I24" s="97"/>
      <c r="K24" s="90"/>
    </row>
    <row r="25" spans="1:11" x14ac:dyDescent="0.2">
      <c r="A25" s="47" t="s">
        <v>37</v>
      </c>
      <c r="B25" s="97">
        <f>'[3]Shuttle America'!$GH$47</f>
        <v>0</v>
      </c>
      <c r="C25" s="97">
        <f>'[3]Shuttle America_Delta'!$GH$47</f>
        <v>0</v>
      </c>
      <c r="D25" s="97">
        <f>[3]Horizon_AS!$GH$47</f>
        <v>0</v>
      </c>
      <c r="E25" s="97">
        <f>[3]PSA!$GH$47</f>
        <v>0</v>
      </c>
      <c r="F25" s="89">
        <f>'[3]Atlantic Southeast'!$GH$47</f>
        <v>0</v>
      </c>
      <c r="G25" s="97">
        <f>'[3]Air Wisconsin'!$GH$47</f>
        <v>0</v>
      </c>
      <c r="H25" s="89">
        <f>'[3]Continental Express'!$GH$47</f>
        <v>0</v>
      </c>
      <c r="I25" s="97">
        <f>'[3]Go Jet_UA'!$GH$47</f>
        <v>0</v>
      </c>
      <c r="J25" s="97">
        <f>'[3]Go Jet'!$GH$47</f>
        <v>26</v>
      </c>
      <c r="K25" s="90">
        <f>SUM(B25:J25)</f>
        <v>26</v>
      </c>
    </row>
    <row r="26" spans="1:11" x14ac:dyDescent="0.2">
      <c r="A26" s="47" t="s">
        <v>38</v>
      </c>
      <c r="B26" s="97">
        <f>'[3]Shuttle America'!$GH$48</f>
        <v>0</v>
      </c>
      <c r="C26" s="97">
        <f>'[3]Shuttle America_Delta'!$GH$48</f>
        <v>0</v>
      </c>
      <c r="D26" s="97">
        <f>[3]Horizon_AS!$GH$48</f>
        <v>0</v>
      </c>
      <c r="E26" s="97">
        <f>[3]PSA!$GH$48</f>
        <v>0</v>
      </c>
      <c r="F26" s="89">
        <f>'[3]Atlantic Southeast'!$GH$48</f>
        <v>0</v>
      </c>
      <c r="G26" s="97">
        <f>'[3]Air Wisconsin'!$GH$48</f>
        <v>0</v>
      </c>
      <c r="H26" s="89">
        <f>'[3]Continental Express'!$GH$48</f>
        <v>0</v>
      </c>
      <c r="I26" s="97">
        <f>'[3]Go Jet_UA'!$GH$48</f>
        <v>0</v>
      </c>
      <c r="J26" s="97">
        <f>'[3]Go Jet'!$GH$48</f>
        <v>0</v>
      </c>
      <c r="K26" s="90">
        <f>SUM(B26:J26)</f>
        <v>0</v>
      </c>
    </row>
    <row r="27" spans="1:11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0</v>
      </c>
      <c r="E27" s="107">
        <f t="shared" si="13"/>
        <v>0</v>
      </c>
      <c r="F27" s="107">
        <f t="shared" ref="F27:I27" si="14">SUM(F25:F26)</f>
        <v>0</v>
      </c>
      <c r="G27" s="107">
        <f>SUM(G25:G26)</f>
        <v>0</v>
      </c>
      <c r="H27" s="107">
        <f t="shared" si="14"/>
        <v>0</v>
      </c>
      <c r="I27" s="107">
        <f t="shared" si="14"/>
        <v>0</v>
      </c>
      <c r="J27" s="107">
        <f>SUM(J25:J26)</f>
        <v>26</v>
      </c>
      <c r="K27" s="108">
        <f>SUM(B27:J27)</f>
        <v>26</v>
      </c>
    </row>
    <row r="28" spans="1:11" ht="7.5" customHeight="1" thickTop="1" x14ac:dyDescent="0.2">
      <c r="A28" s="47"/>
      <c r="B28" s="97"/>
      <c r="C28" s="97"/>
      <c r="D28" s="97"/>
      <c r="E28" s="97"/>
      <c r="F28" s="89"/>
      <c r="G28" s="97"/>
      <c r="H28" s="89"/>
      <c r="I28" s="97"/>
      <c r="J28" s="97"/>
      <c r="K28" s="90"/>
    </row>
    <row r="29" spans="1:11" x14ac:dyDescent="0.2">
      <c r="A29" s="47" t="s">
        <v>40</v>
      </c>
      <c r="B29" s="97"/>
      <c r="C29" s="97"/>
      <c r="D29" s="97"/>
      <c r="E29" s="97"/>
      <c r="F29" s="89"/>
      <c r="G29" s="97"/>
      <c r="H29" s="89"/>
      <c r="I29" s="97"/>
      <c r="J29" s="97"/>
      <c r="K29" s="90"/>
    </row>
    <row r="30" spans="1:11" x14ac:dyDescent="0.2">
      <c r="A30" s="47" t="s">
        <v>59</v>
      </c>
      <c r="B30" s="97">
        <f>'[3]Shuttle America'!$GH$52</f>
        <v>0</v>
      </c>
      <c r="C30" s="97">
        <f>'[3]Shuttle America_Delta'!$GH$52</f>
        <v>0</v>
      </c>
      <c r="D30" s="97">
        <f>[3]Horizon_AS!$GH$52</f>
        <v>0</v>
      </c>
      <c r="E30" s="97">
        <f>[3]PSA!$GH$52</f>
        <v>0</v>
      </c>
      <c r="F30" s="89">
        <f>'[3]Atlantic Southeast'!$GH$52</f>
        <v>0</v>
      </c>
      <c r="G30" s="97">
        <f>'[3]Air Wisconsin'!$GH$52</f>
        <v>0</v>
      </c>
      <c r="H30" s="89">
        <f>'[3]Continental Express'!$GH$52</f>
        <v>0</v>
      </c>
      <c r="I30" s="97">
        <f>'[3]Go Jet_UA'!$GH$52</f>
        <v>0</v>
      </c>
      <c r="J30" s="97">
        <f>'[3]Go Jet'!$GH$52</f>
        <v>0</v>
      </c>
      <c r="K30" s="90">
        <f>SUM(B30:J30)</f>
        <v>0</v>
      </c>
    </row>
    <row r="31" spans="1:11" x14ac:dyDescent="0.2">
      <c r="A31" s="47" t="s">
        <v>60</v>
      </c>
      <c r="B31" s="97">
        <f>'[3]Shuttle America'!$GH$53</f>
        <v>0</v>
      </c>
      <c r="C31" s="97">
        <f>'[3]Shuttle America_Delta'!$GH$53</f>
        <v>0</v>
      </c>
      <c r="D31" s="97">
        <f>[3]Horizon_AS!$GH$53</f>
        <v>0</v>
      </c>
      <c r="E31" s="97">
        <f>[3]PSA!$GH$53</f>
        <v>0</v>
      </c>
      <c r="F31" s="89">
        <f>'[3]Atlantic Southeast'!$GH$53</f>
        <v>0</v>
      </c>
      <c r="G31" s="97">
        <f>'[3]Air Wisconsin'!$GH$53</f>
        <v>0</v>
      </c>
      <c r="H31" s="89">
        <f>'[3]Continental Express'!$GH$53</f>
        <v>0</v>
      </c>
      <c r="I31" s="97">
        <f>'[3]Go Jet_UA'!$GH$53</f>
        <v>0</v>
      </c>
      <c r="J31" s="97">
        <f>'[3]Go Jet'!$GH$53</f>
        <v>0</v>
      </c>
      <c r="K31" s="90">
        <f>SUM(B31:J31)</f>
        <v>0</v>
      </c>
    </row>
    <row r="32" spans="1:11" ht="15" thickBot="1" x14ac:dyDescent="0.25">
      <c r="A32" s="56" t="s">
        <v>41</v>
      </c>
      <c r="B32" s="107">
        <f t="shared" ref="B32:I32" si="15">SUM(B30:B31)</f>
        <v>0</v>
      </c>
      <c r="C32" s="107">
        <f t="shared" si="15"/>
        <v>0</v>
      </c>
      <c r="D32" s="107">
        <f t="shared" ref="D32" si="16">SUM(D30:D31)</f>
        <v>0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si="15"/>
        <v>0</v>
      </c>
      <c r="J32" s="107">
        <f t="shared" ref="J32" si="17">SUM(J30:J31)</f>
        <v>0</v>
      </c>
      <c r="K32" s="108">
        <f>SUM(B32:J32)</f>
        <v>0</v>
      </c>
    </row>
    <row r="33" spans="1:11" ht="13.5" hidden="1" thickTop="1" x14ac:dyDescent="0.2">
      <c r="A33" s="47"/>
      <c r="B33" s="97"/>
      <c r="C33" s="97"/>
      <c r="D33" s="97"/>
      <c r="E33" s="97"/>
      <c r="F33" s="89"/>
      <c r="G33" s="97"/>
      <c r="H33" s="89"/>
      <c r="I33" s="97"/>
      <c r="J33" s="97"/>
      <c r="K33" s="90"/>
    </row>
    <row r="34" spans="1:11" ht="13.5" hidden="1" thickTop="1" x14ac:dyDescent="0.2">
      <c r="A34" s="47" t="s">
        <v>42</v>
      </c>
      <c r="B34" s="97"/>
      <c r="C34" s="97"/>
      <c r="D34" s="97"/>
      <c r="E34" s="97"/>
      <c r="F34" s="89"/>
      <c r="G34" s="97"/>
      <c r="H34" s="89"/>
      <c r="I34" s="97"/>
      <c r="J34" s="97"/>
      <c r="K34" s="90"/>
    </row>
    <row r="35" spans="1:11" ht="13.5" hidden="1" thickTop="1" x14ac:dyDescent="0.2">
      <c r="A35" s="47" t="s">
        <v>37</v>
      </c>
      <c r="B35" s="97">
        <f>'[3]Shuttle America'!$GH$57</f>
        <v>0</v>
      </c>
      <c r="C35" s="97">
        <f>'[3]Shuttle America_Delta'!$GH$57</f>
        <v>0</v>
      </c>
      <c r="D35" s="97">
        <f>[3]Horizon_AS!$GH$57</f>
        <v>0</v>
      </c>
      <c r="E35" s="97">
        <f>[3]PSA!$GH$57</f>
        <v>0</v>
      </c>
      <c r="F35" s="89">
        <f>'[3]Atlantic Southeast'!$GH$57</f>
        <v>0</v>
      </c>
      <c r="G35" s="97">
        <f>'[3]Air Wisconsin'!$GH$57</f>
        <v>0</v>
      </c>
      <c r="H35" s="89">
        <f>'[3]Continental Express'!$GH$57</f>
        <v>0</v>
      </c>
      <c r="I35" s="97">
        <f>'[3]Go Jet_UA'!$AJ$57</f>
        <v>0</v>
      </c>
      <c r="J35" s="97">
        <f>'[3]Go Jet'!$GH$57</f>
        <v>0</v>
      </c>
      <c r="K35" s="90">
        <f>SUM(B35:J35)</f>
        <v>0</v>
      </c>
    </row>
    <row r="36" spans="1:11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97">
        <f>'[3]Air Wisconsin'!BH$58</f>
        <v>0</v>
      </c>
      <c r="H36" s="89">
        <f>'[3]Continental Express'!BG$58</f>
        <v>0</v>
      </c>
      <c r="I36" s="97">
        <f>'[3]Go Jet_UA'!$AJ$58</f>
        <v>0</v>
      </c>
      <c r="J36" s="97">
        <f>'[3]Go Jet'!BK$58</f>
        <v>0</v>
      </c>
      <c r="K36" s="90">
        <f>SUM(B36:J36)</f>
        <v>0</v>
      </c>
    </row>
    <row r="37" spans="1:11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I37" si="19">SUM(F35:F36)</f>
        <v>0</v>
      </c>
      <c r="G37" s="115">
        <f>SUM(G35:G36)</f>
        <v>0</v>
      </c>
      <c r="H37" s="116">
        <f t="shared" si="19"/>
        <v>0</v>
      </c>
      <c r="I37" s="115">
        <f t="shared" si="19"/>
        <v>0</v>
      </c>
      <c r="J37" s="115">
        <f>SUM(J35:J36)</f>
        <v>0</v>
      </c>
      <c r="K37" s="117">
        <f>SUM(B37:J37)</f>
        <v>0</v>
      </c>
    </row>
    <row r="38" spans="1:11" ht="6.75" customHeight="1" thickTop="1" x14ac:dyDescent="0.2">
      <c r="A38" s="47"/>
      <c r="B38" s="97"/>
      <c r="C38" s="97"/>
      <c r="D38" s="97"/>
      <c r="E38" s="97"/>
      <c r="F38" s="89"/>
      <c r="G38" s="97"/>
      <c r="H38" s="89"/>
      <c r="I38" s="97"/>
      <c r="J38" s="97"/>
      <c r="K38" s="90"/>
    </row>
    <row r="39" spans="1:11" x14ac:dyDescent="0.2">
      <c r="A39" s="47" t="s">
        <v>44</v>
      </c>
      <c r="B39" s="97"/>
      <c r="C39" s="97"/>
      <c r="D39" s="97"/>
      <c r="E39" s="97"/>
      <c r="F39" s="89"/>
      <c r="G39" s="97"/>
      <c r="H39" s="89"/>
      <c r="I39" s="97"/>
      <c r="J39" s="97"/>
      <c r="K39" s="90"/>
    </row>
    <row r="40" spans="1:11" x14ac:dyDescent="0.2">
      <c r="A40" s="47" t="s">
        <v>45</v>
      </c>
      <c r="B40" s="97">
        <f t="shared" ref="B40:H41" si="20">SUM(B35,B30,B25)</f>
        <v>0</v>
      </c>
      <c r="C40" s="97">
        <f>SUM(C35,C30,C25)</f>
        <v>0</v>
      </c>
      <c r="D40" s="97">
        <f t="shared" ref="D40:E41" si="21">SUM(D35,D30,D25)</f>
        <v>0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 t="shared" si="20"/>
        <v>0</v>
      </c>
      <c r="I40" s="97">
        <f>SUM(I35,I30,I25)</f>
        <v>0</v>
      </c>
      <c r="J40" s="97">
        <f t="shared" ref="J40" si="22">SUM(J35,J30,J25)</f>
        <v>26</v>
      </c>
      <c r="K40" s="90">
        <f>SUM(B40:J40)</f>
        <v>26</v>
      </c>
    </row>
    <row r="41" spans="1:11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0</v>
      </c>
      <c r="E41" s="97">
        <f t="shared" si="21"/>
        <v>0</v>
      </c>
      <c r="F41" s="97">
        <f t="shared" ref="F41:H41" si="23">SUM(F36,F31,F26)</f>
        <v>0</v>
      </c>
      <c r="G41" s="97">
        <f t="shared" si="20"/>
        <v>0</v>
      </c>
      <c r="H41" s="97">
        <f t="shared" si="23"/>
        <v>0</v>
      </c>
      <c r="I41" s="97">
        <f>SUM(I36,I31,I26)</f>
        <v>0</v>
      </c>
      <c r="J41" s="97">
        <f t="shared" ref="J41" si="24">SUM(J36,J31,J26)</f>
        <v>0</v>
      </c>
      <c r="K41" s="90">
        <f>SUM(B41:J41)</f>
        <v>0</v>
      </c>
    </row>
    <row r="42" spans="1:11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0</v>
      </c>
      <c r="E42" s="110">
        <f t="shared" si="25"/>
        <v>0</v>
      </c>
      <c r="F42" s="110">
        <f t="shared" ref="F42:I42" si="26">SUM(F40:F41)</f>
        <v>0</v>
      </c>
      <c r="G42" s="110">
        <f t="shared" si="26"/>
        <v>0</v>
      </c>
      <c r="H42" s="110">
        <f t="shared" si="26"/>
        <v>0</v>
      </c>
      <c r="I42" s="110">
        <f t="shared" si="26"/>
        <v>0</v>
      </c>
      <c r="J42" s="110">
        <f t="shared" ref="J42" si="27">SUM(J40:J41)</f>
        <v>26</v>
      </c>
      <c r="K42" s="111">
        <f>SUM(B42:J42)</f>
        <v>26</v>
      </c>
    </row>
    <row r="43" spans="1:11" ht="4.5" customHeight="1" x14ac:dyDescent="0.2"/>
    <row r="44" spans="1:11" hidden="1" x14ac:dyDescent="0.2">
      <c r="A44" s="280" t="s">
        <v>126</v>
      </c>
      <c r="F44" s="266"/>
      <c r="G44" s="266"/>
      <c r="J44" s="279">
        <f>'[3]Go Jet'!BK$70+'[3]Go Jet'!BK$73</f>
        <v>0</v>
      </c>
      <c r="K44" s="268" t="e">
        <f>SUM(#REF!)</f>
        <v>#REF!</v>
      </c>
    </row>
    <row r="45" spans="1:11" hidden="1" x14ac:dyDescent="0.2">
      <c r="A45" s="280" t="s">
        <v>127</v>
      </c>
      <c r="F45" s="283"/>
      <c r="G45" s="283"/>
      <c r="J45" s="279">
        <f>'[3]Go Jet'!BK$71+'[3]Go Jet'!BK$74</f>
        <v>0</v>
      </c>
      <c r="K45" s="268" t="e">
        <f>SUM(#REF!)</f>
        <v>#REF!</v>
      </c>
    </row>
    <row r="46" spans="1:11" x14ac:dyDescent="0.2">
      <c r="A46" s="322" t="s">
        <v>123</v>
      </c>
      <c r="C46" s="279">
        <f>'[3]Shuttle America_Delta'!$GH$70+'[3]Shuttle America_Delta'!$GH$73</f>
        <v>0</v>
      </c>
      <c r="D46" s="2"/>
      <c r="F46" s="279">
        <f>'[3]Atlantic Southeast'!$GH$70+'[3]Atlantic Southeast'!$GH$73</f>
        <v>0</v>
      </c>
      <c r="G46" s="447"/>
      <c r="J46" s="279">
        <f>'[3]Go Jet'!$GH$70+'[3]Go Jet'!$GH$73</f>
        <v>845</v>
      </c>
      <c r="K46" s="334">
        <f>SUM(B46:J46)</f>
        <v>845</v>
      </c>
    </row>
    <row r="47" spans="1:11" x14ac:dyDescent="0.2">
      <c r="A47" s="335" t="s">
        <v>124</v>
      </c>
      <c r="C47" s="279">
        <f>'[3]Shuttle America_Delta'!$GH$71+'[3]Shuttle America_Delta'!$GH$74</f>
        <v>0</v>
      </c>
      <c r="D47" s="2"/>
      <c r="F47" s="279">
        <f>'[3]Atlantic Southeast'!$GH$71+'[3]Atlantic Southeast'!$GH$74</f>
        <v>0</v>
      </c>
      <c r="G47" s="447"/>
      <c r="J47" s="279">
        <f>'[3]Go Jet'!$GH$71+'[3]Go Jet'!$GH$74</f>
        <v>2051</v>
      </c>
      <c r="K47" s="334">
        <f>SUM(B47:J47)</f>
        <v>2051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July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14" sqref="E1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43647</v>
      </c>
      <c r="B2" s="152" t="s">
        <v>118</v>
      </c>
      <c r="C2" s="152" t="s">
        <v>156</v>
      </c>
      <c r="D2" s="83" t="s">
        <v>78</v>
      </c>
      <c r="E2" s="83" t="s">
        <v>157</v>
      </c>
      <c r="F2" s="152" t="s">
        <v>132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Misc'!$GH$22</f>
        <v>146</v>
      </c>
      <c r="C5" s="156">
        <f>[3]Ryan!$GH$22</f>
        <v>0</v>
      </c>
      <c r="D5" s="156">
        <f>'[3]Charter Misc'!$GH$32</f>
        <v>147</v>
      </c>
      <c r="E5" s="156">
        <f>[3]Omni!$GH$32</f>
        <v>0</v>
      </c>
      <c r="F5" s="156">
        <f>[3]Xtra!$GH$32+[3]Xtra!$GH$22</f>
        <v>0</v>
      </c>
      <c r="G5" s="296">
        <f>SUM(B5:F5)</f>
        <v>293</v>
      </c>
    </row>
    <row r="6" spans="1:17" x14ac:dyDescent="0.2">
      <c r="A6" s="47" t="s">
        <v>31</v>
      </c>
      <c r="B6" s="360">
        <f>'[3]Charter Misc'!$GH$23</f>
        <v>246</v>
      </c>
      <c r="C6" s="159">
        <f>[3]Ryan!$GH$23</f>
        <v>0</v>
      </c>
      <c r="D6" s="159">
        <f>'[3]Charter Misc'!$GH$33</f>
        <v>138</v>
      </c>
      <c r="E6" s="159">
        <f>[3]Omni!$GH$33+[3]Omni!$GH$23</f>
        <v>0</v>
      </c>
      <c r="F6" s="159">
        <f>[3]Xtra!$GH$33+[3]Xtra!$GH$23</f>
        <v>0</v>
      </c>
      <c r="G6" s="295">
        <f>SUM(B6:F6)</f>
        <v>384</v>
      </c>
    </row>
    <row r="7" spans="1:17" ht="15.75" thickBot="1" x14ac:dyDescent="0.3">
      <c r="A7" s="155" t="s">
        <v>7</v>
      </c>
      <c r="B7" s="361">
        <f>SUM(B5:B6)</f>
        <v>392</v>
      </c>
      <c r="C7" s="256">
        <f>SUM(C5:C6)</f>
        <v>0</v>
      </c>
      <c r="D7" s="256">
        <f>SUM(D5:D6)</f>
        <v>285</v>
      </c>
      <c r="E7" s="256">
        <f>SUM(E5:E6)</f>
        <v>0</v>
      </c>
      <c r="F7" s="256">
        <f>SUM(F5:F6)</f>
        <v>0</v>
      </c>
      <c r="G7" s="257">
        <f>SUM(B7:F7)</f>
        <v>677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Misc'!$GH$4</f>
        <v>1</v>
      </c>
      <c r="C10" s="156">
        <f>[3]Ryan!$GH$4</f>
        <v>0</v>
      </c>
      <c r="D10" s="156">
        <f>'[3]Charter Misc'!$GH$15</f>
        <v>1</v>
      </c>
      <c r="E10" s="156">
        <f>[3]Omni!$GH$15+[3]Omni!$GH$4+[3]Omni!$GH$8</f>
        <v>0</v>
      </c>
      <c r="F10" s="156">
        <f>[3]Xtra!$GH$15+[3]Xtra!$GH$4+[3]Omni!$GH$8</f>
        <v>0</v>
      </c>
      <c r="G10" s="295">
        <f>SUM(B10:F10)</f>
        <v>2</v>
      </c>
    </row>
    <row r="11" spans="1:17" x14ac:dyDescent="0.2">
      <c r="A11" s="154" t="s">
        <v>81</v>
      </c>
      <c r="B11" s="359">
        <f>'[3]Charter Misc'!$GH$5</f>
        <v>2</v>
      </c>
      <c r="C11" s="156">
        <f>[3]Ryan!$GH$5</f>
        <v>0</v>
      </c>
      <c r="D11" s="156">
        <f>'[3]Charter Misc'!$GH$16</f>
        <v>1</v>
      </c>
      <c r="E11" s="156">
        <f>[3]Omni!$GH$16+[3]Omni!$GH$5+[3]Omni!$GH$9</f>
        <v>0</v>
      </c>
      <c r="F11" s="156">
        <f>[3]Xtra!$GH$16+[3]Xtra!$GH$5+[3]Omni!$GH$9</f>
        <v>0</v>
      </c>
      <c r="G11" s="295">
        <f>SUM(B11:F11)</f>
        <v>3</v>
      </c>
    </row>
    <row r="12" spans="1:17" ht="15.75" thickBot="1" x14ac:dyDescent="0.3">
      <c r="A12" s="238" t="s">
        <v>28</v>
      </c>
      <c r="B12" s="363">
        <f>SUM(B10:B11)</f>
        <v>3</v>
      </c>
      <c r="C12" s="258">
        <f>SUM(C10:C11)</f>
        <v>0</v>
      </c>
      <c r="D12" s="258">
        <f>SUM(D10:D11)</f>
        <v>2</v>
      </c>
      <c r="E12" s="258">
        <f>SUM(E10:E11)</f>
        <v>0</v>
      </c>
      <c r="F12" s="258">
        <f>SUM(F10:F11)</f>
        <v>0</v>
      </c>
      <c r="G12" s="259">
        <f>SUM(B12:F12)</f>
        <v>5</v>
      </c>
      <c r="Q12" s="97"/>
    </row>
    <row r="17" spans="1:16" x14ac:dyDescent="0.2">
      <c r="B17" s="462" t="s">
        <v>154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65" t="s">
        <v>120</v>
      </c>
      <c r="C19" s="466"/>
      <c r="D19" s="466"/>
      <c r="E19" s="467"/>
      <c r="G19" s="465" t="s">
        <v>121</v>
      </c>
      <c r="H19" s="468"/>
      <c r="I19" s="468"/>
      <c r="J19" s="469"/>
      <c r="L19" s="470" t="s">
        <v>122</v>
      </c>
      <c r="M19" s="471"/>
      <c r="N19" s="471"/>
      <c r="O19" s="472"/>
    </row>
    <row r="20" spans="1:16" ht="13.5" thickBot="1" x14ac:dyDescent="0.25">
      <c r="A20" s="200" t="s">
        <v>101</v>
      </c>
      <c r="B20" s="205" t="s">
        <v>102</v>
      </c>
      <c r="C20" s="5" t="s">
        <v>103</v>
      </c>
      <c r="D20" s="5" t="s">
        <v>215</v>
      </c>
      <c r="E20" s="5" t="s">
        <v>208</v>
      </c>
      <c r="F20" s="206" t="s">
        <v>98</v>
      </c>
      <c r="G20" s="5" t="s">
        <v>102</v>
      </c>
      <c r="H20" s="5" t="s">
        <v>103</v>
      </c>
      <c r="I20" s="5" t="s">
        <v>215</v>
      </c>
      <c r="J20" s="5" t="s">
        <v>208</v>
      </c>
      <c r="K20" s="206" t="s">
        <v>98</v>
      </c>
      <c r="L20" s="205" t="s">
        <v>102</v>
      </c>
      <c r="M20" s="199" t="s">
        <v>103</v>
      </c>
      <c r="N20" s="5" t="s">
        <v>215</v>
      </c>
      <c r="O20" s="5" t="s">
        <v>208</v>
      </c>
      <c r="P20" s="206" t="s">
        <v>98</v>
      </c>
    </row>
    <row r="21" spans="1:16" ht="14.1" customHeight="1" x14ac:dyDescent="0.2">
      <c r="A21" s="209" t="s">
        <v>104</v>
      </c>
      <c r="B21" s="437">
        <f>+[4]Charter!$B$21</f>
        <v>137103</v>
      </c>
      <c r="C21" s="438">
        <f>+[4]Charter!$C$21</f>
        <v>129608</v>
      </c>
      <c r="D21" s="435">
        <f t="shared" ref="D21:D32" si="0">SUM(B21:C21)</f>
        <v>266711</v>
      </c>
      <c r="E21" s="436">
        <f>[5]Charter!$D$21</f>
        <v>268837</v>
      </c>
      <c r="F21" s="294">
        <f t="shared" ref="F21:F32" si="1">(D21-E21)/E21</f>
        <v>-7.9081376447438408E-3</v>
      </c>
      <c r="G21" s="290">
        <f t="shared" ref="G21:H22" si="2">L21-B21</f>
        <v>1214024</v>
      </c>
      <c r="H21" s="291">
        <f t="shared" si="2"/>
        <v>1256106</v>
      </c>
      <c r="I21" s="291">
        <f t="shared" ref="I21:I26" si="3">SUM(G21:H21)</f>
        <v>2470130</v>
      </c>
      <c r="J21" s="292">
        <f>[5]Charter!$I$21</f>
        <v>2415973</v>
      </c>
      <c r="K21" s="210">
        <f t="shared" ref="K21:K32" si="4">(I21-J21)/J21</f>
        <v>2.2416227333666394E-2</v>
      </c>
      <c r="L21" s="441">
        <f>+[4]Charter!$L$21</f>
        <v>1351127</v>
      </c>
      <c r="M21" s="442">
        <f>+[4]Charter!$M$21</f>
        <v>1385714</v>
      </c>
      <c r="N21" s="291">
        <f t="shared" ref="N21:N32" si="5">SUM(L21:M21)</f>
        <v>2736841</v>
      </c>
      <c r="O21" s="292">
        <f>[5]Charter!$N$21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105</v>
      </c>
      <c r="B22" s="439">
        <f>+[6]Charter!$B22</f>
        <v>135822</v>
      </c>
      <c r="C22" s="440">
        <f>+[6]Charter!$C22</f>
        <v>139060</v>
      </c>
      <c r="D22" s="431">
        <f t="shared" ref="D22" si="6">SUM(B22:C22)</f>
        <v>274882</v>
      </c>
      <c r="E22" s="432">
        <f>[7]Charter!$D22</f>
        <v>285115</v>
      </c>
      <c r="F22" s="289">
        <f t="shared" si="1"/>
        <v>-3.5890780912964944E-2</v>
      </c>
      <c r="G22" s="433">
        <f t="shared" si="2"/>
        <v>1165574</v>
      </c>
      <c r="H22" s="434">
        <f t="shared" si="2"/>
        <v>1184555</v>
      </c>
      <c r="I22" s="434">
        <f t="shared" si="3"/>
        <v>2350129</v>
      </c>
      <c r="J22" s="293">
        <f>[7]Charter!$I22</f>
        <v>2426258</v>
      </c>
      <c r="K22" s="213">
        <f t="shared" si="4"/>
        <v>-3.1377124774034745E-2</v>
      </c>
      <c r="L22" s="286">
        <f>+[6]Charter!$L22</f>
        <v>1301396</v>
      </c>
      <c r="M22" s="288">
        <f>+[6]Charter!$M22</f>
        <v>1323615</v>
      </c>
      <c r="N22" s="434">
        <f t="shared" ref="N22" si="7">SUM(L22:M22)</f>
        <v>2625011</v>
      </c>
      <c r="O22" s="293">
        <f>[7]Charter!$N22</f>
        <v>2711373</v>
      </c>
      <c r="P22" s="212">
        <f t="shared" ref="P22:P32" si="8">(N22-O22)/O22</f>
        <v>-3.1851759237847395E-2</v>
      </c>
    </row>
    <row r="23" spans="1:16" ht="14.1" customHeight="1" x14ac:dyDescent="0.2">
      <c r="A23" s="211" t="s">
        <v>106</v>
      </c>
      <c r="B23" s="439">
        <f>+[8]Charter!$B23</f>
        <v>182334</v>
      </c>
      <c r="C23" s="440">
        <f>+[8]Charter!$C23</f>
        <v>184603</v>
      </c>
      <c r="D23" s="431">
        <f t="shared" ref="D23" si="9">SUM(B23:C23)</f>
        <v>366937</v>
      </c>
      <c r="E23" s="432">
        <f>[9]Charter!$D23</f>
        <v>367828</v>
      </c>
      <c r="F23" s="212">
        <f t="shared" si="1"/>
        <v>-2.4223278271365964E-3</v>
      </c>
      <c r="G23" s="433">
        <f t="shared" ref="G23" si="10">L23-B23</f>
        <v>1576599</v>
      </c>
      <c r="H23" s="434">
        <f t="shared" ref="H23" si="11">M23-C23</f>
        <v>1593868</v>
      </c>
      <c r="I23" s="434">
        <f t="shared" si="3"/>
        <v>3170467</v>
      </c>
      <c r="J23" s="293">
        <f>[9]Charter!$I23</f>
        <v>3043039</v>
      </c>
      <c r="K23" s="213">
        <f t="shared" si="4"/>
        <v>4.187524379411503E-2</v>
      </c>
      <c r="L23" s="286">
        <f>+[8]Charter!$L23</f>
        <v>1758933</v>
      </c>
      <c r="M23" s="288">
        <f>+[8]Charter!$M23</f>
        <v>1778471</v>
      </c>
      <c r="N23" s="434">
        <f t="shared" ref="N23" si="12">SUM(L23:M23)</f>
        <v>3537404</v>
      </c>
      <c r="O23" s="293">
        <f>[9]Charter!$N23</f>
        <v>3410867</v>
      </c>
      <c r="P23" s="212">
        <f t="shared" si="8"/>
        <v>3.7098192336435284E-2</v>
      </c>
    </row>
    <row r="24" spans="1:16" ht="14.1" customHeight="1" x14ac:dyDescent="0.2">
      <c r="A24" s="211" t="s">
        <v>107</v>
      </c>
      <c r="B24" s="439">
        <f>+[10]Charter!$B24</f>
        <v>134432</v>
      </c>
      <c r="C24" s="440">
        <f>+[10]Charter!$C24</f>
        <v>115520</v>
      </c>
      <c r="D24" s="431">
        <f t="shared" ref="D24" si="13">SUM(B24:C24)</f>
        <v>249952</v>
      </c>
      <c r="E24" s="432">
        <f>[11]Charter!$D24</f>
        <v>242418</v>
      </c>
      <c r="F24" s="212">
        <f t="shared" si="1"/>
        <v>3.1078550272669522E-2</v>
      </c>
      <c r="G24" s="433">
        <f t="shared" ref="G24" si="14">L24-B24</f>
        <v>1483600</v>
      </c>
      <c r="H24" s="434">
        <f t="shared" ref="H24" si="15">M24-C24</f>
        <v>1402478</v>
      </c>
      <c r="I24" s="287">
        <f t="shared" si="3"/>
        <v>2886078</v>
      </c>
      <c r="J24" s="293">
        <f>[11]Charter!$I24</f>
        <v>2750844</v>
      </c>
      <c r="K24" s="213">
        <f t="shared" si="4"/>
        <v>4.9160912069168589E-2</v>
      </c>
      <c r="L24" s="286">
        <f>+[10]Charter!$L24</f>
        <v>1618032</v>
      </c>
      <c r="M24" s="288">
        <f>+[10]Charter!$M24</f>
        <v>1517998</v>
      </c>
      <c r="N24" s="434">
        <f t="shared" ref="N24" si="16">SUM(L24:M24)</f>
        <v>3136030</v>
      </c>
      <c r="O24" s="293">
        <f>[11]Charter!$N24</f>
        <v>2993262</v>
      </c>
      <c r="P24" s="212">
        <f t="shared" si="8"/>
        <v>4.7696459581553503E-2</v>
      </c>
    </row>
    <row r="25" spans="1:16" ht="14.1" customHeight="1" x14ac:dyDescent="0.2">
      <c r="A25" s="198" t="s">
        <v>76</v>
      </c>
      <c r="B25" s="439">
        <f>+[12]Charter!$B25</f>
        <v>120364</v>
      </c>
      <c r="C25" s="440">
        <f>+[12]Charter!$C25</f>
        <v>132909</v>
      </c>
      <c r="D25" s="431">
        <f t="shared" ref="D25" si="17">SUM(B25:C25)</f>
        <v>253273</v>
      </c>
      <c r="E25" s="432">
        <f>[13]Charter!$D25</f>
        <v>246334</v>
      </c>
      <c r="F25" s="201">
        <f t="shared" si="1"/>
        <v>2.8169071260970877E-2</v>
      </c>
      <c r="G25" s="433">
        <f t="shared" ref="G25" si="18">L25-B25</f>
        <v>1558009</v>
      </c>
      <c r="H25" s="434">
        <f t="shared" ref="H25" si="19">M25-C25</f>
        <v>1529530</v>
      </c>
      <c r="I25" s="287">
        <f t="shared" si="3"/>
        <v>3087539</v>
      </c>
      <c r="J25" s="293">
        <f>[13]Charter!$I25</f>
        <v>2981156</v>
      </c>
      <c r="K25" s="207">
        <f t="shared" si="4"/>
        <v>3.5685150324236636E-2</v>
      </c>
      <c r="L25" s="286">
        <f>+[12]Charter!$L25</f>
        <v>1678373</v>
      </c>
      <c r="M25" s="288">
        <f>+[12]Charter!$M25</f>
        <v>1662439</v>
      </c>
      <c r="N25" s="434">
        <f t="shared" ref="N25" si="20">SUM(L25:M25)</f>
        <v>3340812</v>
      </c>
      <c r="O25" s="293">
        <f>[13]Charter!$N25</f>
        <v>3227490</v>
      </c>
      <c r="P25" s="201">
        <f t="shared" si="8"/>
        <v>3.5111495310597401E-2</v>
      </c>
    </row>
    <row r="26" spans="1:16" ht="14.1" customHeight="1" x14ac:dyDescent="0.2">
      <c r="A26" s="211" t="s">
        <v>108</v>
      </c>
      <c r="B26" s="439">
        <f>+[2]Charter!$B26</f>
        <v>140743</v>
      </c>
      <c r="C26" s="440">
        <f>+[2]Charter!$C26</f>
        <v>147358</v>
      </c>
      <c r="D26" s="431">
        <f t="shared" ref="D26" si="21">SUM(B26:C26)</f>
        <v>288101</v>
      </c>
      <c r="E26" s="432">
        <f>[14]Charter!$D26</f>
        <v>260189</v>
      </c>
      <c r="F26" s="212">
        <f t="shared" si="1"/>
        <v>0.10727586485208829</v>
      </c>
      <c r="G26" s="433">
        <f t="shared" ref="G26" si="22">L26-B26</f>
        <v>1698978</v>
      </c>
      <c r="H26" s="434">
        <f t="shared" ref="H26" si="23">M26-C26</f>
        <v>1680266</v>
      </c>
      <c r="I26" s="287">
        <f t="shared" si="3"/>
        <v>3379244</v>
      </c>
      <c r="J26" s="293">
        <f>[14]Charter!$I26</f>
        <v>3255476</v>
      </c>
      <c r="K26" s="213">
        <f t="shared" si="4"/>
        <v>3.8018403453135577E-2</v>
      </c>
      <c r="L26" s="286">
        <f>+[2]Charter!$L26</f>
        <v>1839721</v>
      </c>
      <c r="M26" s="288">
        <f>+[2]Charter!$M26</f>
        <v>1827624</v>
      </c>
      <c r="N26" s="434">
        <f t="shared" ref="N26" si="24">SUM(L26:M26)</f>
        <v>3667345</v>
      </c>
      <c r="O26" s="293">
        <f>[14]Charter!$N26</f>
        <v>3515665</v>
      </c>
      <c r="P26" s="212">
        <f t="shared" si="8"/>
        <v>4.3144042450005901E-2</v>
      </c>
    </row>
    <row r="27" spans="1:16" ht="14.1" customHeight="1" x14ac:dyDescent="0.2">
      <c r="A27" s="198" t="s">
        <v>109</v>
      </c>
      <c r="B27" s="430">
        <f>'Intl Detail'!$O$4+'Intl Detail'!$O$9</f>
        <v>155961</v>
      </c>
      <c r="C27" s="431">
        <f>'Intl Detail'!$O$5+'Intl Detail'!$O$10</f>
        <v>140807</v>
      </c>
      <c r="D27" s="431">
        <f t="shared" ref="D27" si="25">SUM(B27:C27)</f>
        <v>296768</v>
      </c>
      <c r="E27" s="432">
        <f>[1]Charter!$D27</f>
        <v>266074</v>
      </c>
      <c r="F27" s="201">
        <f t="shared" si="1"/>
        <v>0.11535888512218405</v>
      </c>
      <c r="G27" s="433">
        <f t="shared" ref="G27" si="26">L27-B27</f>
        <v>1770399</v>
      </c>
      <c r="H27" s="434">
        <f t="shared" ref="H27" si="27">M27-C27</f>
        <v>1777862</v>
      </c>
      <c r="I27" s="287">
        <f t="shared" ref="I27" si="28">SUM(G27:H27)</f>
        <v>3548261</v>
      </c>
      <c r="J27" s="293">
        <f>[1]Charter!$I27</f>
        <v>3398934</v>
      </c>
      <c r="K27" s="207">
        <f t="shared" si="4"/>
        <v>4.3933480320594631E-2</v>
      </c>
      <c r="L27" s="433">
        <f>'Monthly Summary'!$B$11</f>
        <v>1926360</v>
      </c>
      <c r="M27" s="434">
        <f>'Monthly Summary'!$C$11</f>
        <v>1918669</v>
      </c>
      <c r="N27" s="287">
        <f t="shared" ref="N27" si="29">SUM(L27:M27)</f>
        <v>3845029</v>
      </c>
      <c r="O27" s="293">
        <f>[1]Charter!$N27</f>
        <v>3665008</v>
      </c>
      <c r="P27" s="201">
        <f t="shared" si="8"/>
        <v>4.911885594792699E-2</v>
      </c>
    </row>
    <row r="28" spans="1:16" ht="14.1" customHeight="1" x14ac:dyDescent="0.2">
      <c r="A28" s="211" t="s">
        <v>110</v>
      </c>
      <c r="B28" s="286"/>
      <c r="C28" s="288"/>
      <c r="D28" s="287">
        <f t="shared" si="0"/>
        <v>0</v>
      </c>
      <c r="E28" s="293"/>
      <c r="F28" s="212" t="e">
        <f t="shared" si="1"/>
        <v>#DIV/0!</v>
      </c>
      <c r="G28" s="286"/>
      <c r="H28" s="288"/>
      <c r="I28" s="287">
        <f t="shared" ref="I28:I32" si="30">SUM(G28:H28)</f>
        <v>0</v>
      </c>
      <c r="J28" s="293"/>
      <c r="K28" s="213" t="e">
        <f t="shared" si="4"/>
        <v>#DIV/0!</v>
      </c>
      <c r="L28" s="286"/>
      <c r="M28" s="288"/>
      <c r="N28" s="287">
        <f t="shared" si="5"/>
        <v>0</v>
      </c>
      <c r="O28" s="293"/>
      <c r="P28" s="212" t="e">
        <f t="shared" si="8"/>
        <v>#DIV/0!</v>
      </c>
    </row>
    <row r="29" spans="1:16" ht="14.1" customHeight="1" x14ac:dyDescent="0.2">
      <c r="A29" s="198" t="s">
        <v>111</v>
      </c>
      <c r="B29" s="286"/>
      <c r="C29" s="288"/>
      <c r="D29" s="287">
        <f t="shared" si="0"/>
        <v>0</v>
      </c>
      <c r="E29" s="293"/>
      <c r="F29" s="201" t="e">
        <f t="shared" si="1"/>
        <v>#DIV/0!</v>
      </c>
      <c r="G29" s="286"/>
      <c r="H29" s="288"/>
      <c r="I29" s="287">
        <f t="shared" si="30"/>
        <v>0</v>
      </c>
      <c r="J29" s="293"/>
      <c r="K29" s="207" t="e">
        <f t="shared" si="4"/>
        <v>#DIV/0!</v>
      </c>
      <c r="L29" s="286"/>
      <c r="M29" s="288"/>
      <c r="N29" s="287">
        <f t="shared" si="5"/>
        <v>0</v>
      </c>
      <c r="O29" s="293"/>
      <c r="P29" s="201" t="e">
        <f t="shared" si="8"/>
        <v>#DIV/0!</v>
      </c>
    </row>
    <row r="30" spans="1:16" ht="14.1" customHeight="1" x14ac:dyDescent="0.2">
      <c r="A30" s="211" t="s">
        <v>112</v>
      </c>
      <c r="B30" s="286"/>
      <c r="C30" s="288"/>
      <c r="D30" s="287">
        <f>SUM(B30:C30)</f>
        <v>0</v>
      </c>
      <c r="E30" s="293"/>
      <c r="F30" s="212" t="e">
        <f t="shared" si="1"/>
        <v>#DIV/0!</v>
      </c>
      <c r="G30" s="286"/>
      <c r="H30" s="288"/>
      <c r="I30" s="287">
        <f>SUM(G30:H30)</f>
        <v>0</v>
      </c>
      <c r="J30" s="293"/>
      <c r="K30" s="213" t="e">
        <f t="shared" si="4"/>
        <v>#DIV/0!</v>
      </c>
      <c r="L30" s="286"/>
      <c r="M30" s="288"/>
      <c r="N30" s="287">
        <f>SUM(L30:M30)</f>
        <v>0</v>
      </c>
      <c r="O30" s="293"/>
      <c r="P30" s="212" t="e">
        <f t="shared" si="8"/>
        <v>#DIV/0!</v>
      </c>
    </row>
    <row r="31" spans="1:16" ht="14.1" customHeight="1" x14ac:dyDescent="0.2">
      <c r="A31" s="198" t="s">
        <v>113</v>
      </c>
      <c r="B31" s="286"/>
      <c r="C31" s="288"/>
      <c r="D31" s="287">
        <f>SUM(B31:C31)</f>
        <v>0</v>
      </c>
      <c r="E31" s="293"/>
      <c r="F31" s="201" t="e">
        <f t="shared" si="1"/>
        <v>#DIV/0!</v>
      </c>
      <c r="G31" s="286"/>
      <c r="H31" s="288"/>
      <c r="I31" s="287">
        <f t="shared" si="30"/>
        <v>0</v>
      </c>
      <c r="J31" s="293"/>
      <c r="K31" s="207" t="e">
        <f t="shared" si="4"/>
        <v>#DIV/0!</v>
      </c>
      <c r="L31" s="286"/>
      <c r="M31" s="288"/>
      <c r="N31" s="287">
        <f>SUM(L31:M31)</f>
        <v>0</v>
      </c>
      <c r="O31" s="293"/>
      <c r="P31" s="201" t="e">
        <f t="shared" si="8"/>
        <v>#DIV/0!</v>
      </c>
    </row>
    <row r="32" spans="1:16" ht="14.1" customHeight="1" x14ac:dyDescent="0.2">
      <c r="A32" s="214" t="s">
        <v>114</v>
      </c>
      <c r="B32" s="286"/>
      <c r="C32" s="288"/>
      <c r="D32" s="134">
        <f t="shared" si="0"/>
        <v>0</v>
      </c>
      <c r="E32" s="293"/>
      <c r="F32" s="215" t="e">
        <f t="shared" si="1"/>
        <v>#DIV/0!</v>
      </c>
      <c r="G32" s="216"/>
      <c r="H32" s="134"/>
      <c r="I32" s="134">
        <f t="shared" si="30"/>
        <v>0</v>
      </c>
      <c r="J32" s="293"/>
      <c r="K32" s="215" t="e">
        <f t="shared" si="4"/>
        <v>#DIV/0!</v>
      </c>
      <c r="L32" s="286"/>
      <c r="M32" s="288"/>
      <c r="N32" s="134">
        <f t="shared" si="5"/>
        <v>0</v>
      </c>
      <c r="O32" s="293"/>
      <c r="P32" s="215" t="e">
        <f t="shared" si="8"/>
        <v>#DIV/0!</v>
      </c>
    </row>
    <row r="33" spans="1:16" ht="13.5" thickBot="1" x14ac:dyDescent="0.25">
      <c r="A33" s="208" t="s">
        <v>77</v>
      </c>
      <c r="B33" s="218">
        <f>SUM(B21:B32)</f>
        <v>1006759</v>
      </c>
      <c r="C33" s="219">
        <f>SUM(C21:C32)</f>
        <v>989865</v>
      </c>
      <c r="D33" s="219">
        <f>SUM(D21:D32)</f>
        <v>1996624</v>
      </c>
      <c r="E33" s="220">
        <f>SUM(E21:E32)</f>
        <v>1936795</v>
      </c>
      <c r="F33" s="203">
        <f>(D33-E33)/E33</f>
        <v>3.0890724108643405E-2</v>
      </c>
      <c r="G33" s="221">
        <f>SUM(G21:G32)</f>
        <v>10467183</v>
      </c>
      <c r="H33" s="219">
        <f>SUM(H21:H32)</f>
        <v>10424665</v>
      </c>
      <c r="I33" s="219">
        <f>SUM(I21:I32)</f>
        <v>20891848</v>
      </c>
      <c r="J33" s="222">
        <f>SUM(J21:J32)</f>
        <v>20271680</v>
      </c>
      <c r="K33" s="204">
        <f>(I33-J33)/J33</f>
        <v>3.0592827037522297E-2</v>
      </c>
      <c r="L33" s="221">
        <f>SUM(L21:L32)</f>
        <v>11473942</v>
      </c>
      <c r="M33" s="219">
        <f>SUM(M21:M32)</f>
        <v>11414530</v>
      </c>
      <c r="N33" s="219">
        <f>SUM(N21:N32)</f>
        <v>22888472</v>
      </c>
      <c r="O33" s="220">
        <f>SUM(O21:O32)</f>
        <v>22208475</v>
      </c>
      <c r="P33" s="202">
        <f>(N33-O33)/O33</f>
        <v>3.0618806559207689E-2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July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zoomScaleNormal="100" workbookViewId="0">
      <selection activeCell="H2" sqref="H2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0.28515625" customWidth="1"/>
    <col min="5" max="6" width="11.28515625" bestFit="1" customWidth="1"/>
    <col min="7" max="7" width="1" customWidth="1"/>
    <col min="8" max="8" width="11.28515625" bestFit="1" customWidth="1"/>
    <col min="9" max="11" width="11.28515625" customWidth="1"/>
    <col min="13" max="14" width="11.28515625" bestFit="1" customWidth="1"/>
    <col min="16" max="16" width="11.28515625" bestFit="1" customWidth="1"/>
  </cols>
  <sheetData>
    <row r="1" spans="1:19" s="44" customFormat="1" ht="15.75" thickBot="1" x14ac:dyDescent="0.3">
      <c r="B1" s="476"/>
      <c r="C1" s="476"/>
      <c r="D1" s="476"/>
      <c r="E1" s="476"/>
      <c r="F1" s="476"/>
      <c r="G1" s="379"/>
      <c r="H1" s="477" t="s">
        <v>93</v>
      </c>
      <c r="I1" s="478"/>
      <c r="J1" s="478"/>
      <c r="K1" s="478"/>
      <c r="L1" s="478"/>
      <c r="M1" s="478"/>
      <c r="N1" s="478"/>
      <c r="O1" s="479"/>
    </row>
    <row r="2" spans="1:19" s="28" customFormat="1" ht="30.75" customHeight="1" thickBot="1" x14ac:dyDescent="0.25">
      <c r="A2" s="325">
        <v>43647</v>
      </c>
      <c r="B2" s="372" t="s">
        <v>181</v>
      </c>
      <c r="C2" s="372" t="s">
        <v>229</v>
      </c>
      <c r="D2" s="372" t="s">
        <v>217</v>
      </c>
      <c r="E2" s="373" t="s">
        <v>82</v>
      </c>
      <c r="F2" s="373" t="s">
        <v>83</v>
      </c>
      <c r="G2" s="452"/>
      <c r="H2" s="453" t="s">
        <v>233</v>
      </c>
      <c r="I2" s="453" t="s">
        <v>227</v>
      </c>
      <c r="J2" s="453" t="s">
        <v>182</v>
      </c>
      <c r="K2" s="453" t="s">
        <v>165</v>
      </c>
      <c r="L2" s="454" t="s">
        <v>84</v>
      </c>
      <c r="M2" s="373" t="s">
        <v>85</v>
      </c>
      <c r="N2" s="453" t="s">
        <v>86</v>
      </c>
      <c r="O2" s="453" t="s">
        <v>129</v>
      </c>
      <c r="P2" s="453" t="s">
        <v>21</v>
      </c>
    </row>
    <row r="3" spans="1:19" ht="15" x14ac:dyDescent="0.25">
      <c r="A3" s="168" t="s">
        <v>9</v>
      </c>
      <c r="B3" s="169"/>
      <c r="C3" s="169"/>
      <c r="D3" s="169"/>
      <c r="E3" s="169"/>
      <c r="F3" s="169"/>
      <c r="G3" s="170"/>
      <c r="H3" s="30"/>
      <c r="I3" s="30"/>
      <c r="J3" s="30"/>
      <c r="K3" s="30"/>
      <c r="L3" s="30"/>
      <c r="M3" s="41"/>
      <c r="N3" s="30"/>
      <c r="O3" s="30"/>
      <c r="P3" s="171"/>
    </row>
    <row r="4" spans="1:19" x14ac:dyDescent="0.2">
      <c r="A4" s="38" t="s">
        <v>53</v>
      </c>
      <c r="B4" s="134">
        <f>[3]DHL_Atlas!$GH$4</f>
        <v>0</v>
      </c>
      <c r="C4" s="134">
        <f>[3]DHL_Kalitta!$GH$4</f>
        <v>22</v>
      </c>
      <c r="D4" s="134">
        <f>'[3]Atlas Air'!$GH$4</f>
        <v>32</v>
      </c>
      <c r="E4" s="134">
        <f>[3]FedEx!$GH$4+[3]FedEx!$GH$15</f>
        <v>127</v>
      </c>
      <c r="F4" s="134">
        <f>[3]UPS!$GH$4+[3]UPS!$GH$15</f>
        <v>134</v>
      </c>
      <c r="G4" s="161"/>
      <c r="H4" s="97">
        <f>[3]Airborne!$GH$4</f>
        <v>0</v>
      </c>
      <c r="I4" s="134">
        <f>[3]Encore!$GH$4+[3]Encore!$GH$15</f>
        <v>44</v>
      </c>
      <c r="J4" s="134">
        <f>[3]IFL!$GH$4+[3]IFL!$GH$15</f>
        <v>18</v>
      </c>
      <c r="K4" s="97">
        <f>'[3]Suburban Air Freight'!$GH$15</f>
        <v>0</v>
      </c>
      <c r="L4" s="97">
        <f>[3]Bemidji!$GH$4</f>
        <v>205</v>
      </c>
      <c r="M4" s="97">
        <f>'[3]CSA Air'!$GH$4</f>
        <v>0</v>
      </c>
      <c r="N4" s="97">
        <f>'[3]Mountain Cargo'!$GH$4</f>
        <v>21</v>
      </c>
      <c r="O4" s="97">
        <f>'[3]Misc Cargo'!$GH$4</f>
        <v>0</v>
      </c>
      <c r="P4" s="172">
        <f>SUM(B4:O4)</f>
        <v>603</v>
      </c>
    </row>
    <row r="5" spans="1:19" x14ac:dyDescent="0.2">
      <c r="A5" s="38" t="s">
        <v>54</v>
      </c>
      <c r="B5" s="167">
        <f>[3]DHL_Atlas!$GH$5</f>
        <v>0</v>
      </c>
      <c r="C5" s="167">
        <f>[3]DHL_Kalitta!$GH$5</f>
        <v>22</v>
      </c>
      <c r="D5" s="167">
        <f>'[3]Atlas Air'!$GH$5</f>
        <v>32</v>
      </c>
      <c r="E5" s="167">
        <f>[3]FedEx!$GH$5</f>
        <v>127</v>
      </c>
      <c r="F5" s="167">
        <f>[3]UPS!$GH$5+[3]UPS!$GH$16</f>
        <v>134</v>
      </c>
      <c r="G5" s="161"/>
      <c r="H5" s="98">
        <f>[3]Airborne!$GH$5</f>
        <v>0</v>
      </c>
      <c r="I5" s="167">
        <f>[3]Encore!$GH$5</f>
        <v>44</v>
      </c>
      <c r="J5" s="167">
        <f>[3]IFL!$GH$5</f>
        <v>18</v>
      </c>
      <c r="K5" s="98">
        <f>'[3]Suburban Air Freight'!$GH$16</f>
        <v>0</v>
      </c>
      <c r="L5" s="98">
        <f>[3]Bemidji!$GH$5</f>
        <v>205</v>
      </c>
      <c r="M5" s="98">
        <f>'[3]CSA Air'!$GH$5</f>
        <v>0</v>
      </c>
      <c r="N5" s="98">
        <f>'[3]Mountain Cargo'!$GH$5</f>
        <v>21</v>
      </c>
      <c r="O5" s="98">
        <f>'[3]Misc Cargo'!$GH$5</f>
        <v>0</v>
      </c>
      <c r="P5" s="176">
        <f>SUM(B5:O5)</f>
        <v>603</v>
      </c>
    </row>
    <row r="6" spans="1:19" s="160" customFormat="1" x14ac:dyDescent="0.2">
      <c r="A6" s="173" t="s">
        <v>55</v>
      </c>
      <c r="B6" s="174">
        <f>SUM(B4:B5)</f>
        <v>0</v>
      </c>
      <c r="C6" s="174">
        <f>SUM(C4:C5)</f>
        <v>44</v>
      </c>
      <c r="D6" s="174">
        <f>SUM(D4:D5)</f>
        <v>64</v>
      </c>
      <c r="E6" s="174">
        <f>SUM(E4:E5)</f>
        <v>254</v>
      </c>
      <c r="F6" s="174">
        <f>SUM(F4:F5)</f>
        <v>268</v>
      </c>
      <c r="G6" s="162"/>
      <c r="H6" s="95">
        <f t="shared" ref="H6:O6" si="0">SUM(H4:H5)</f>
        <v>0</v>
      </c>
      <c r="I6" s="174">
        <f>SUM(I4:I5)</f>
        <v>88</v>
      </c>
      <c r="J6" s="174">
        <f>SUM(J4:J5)</f>
        <v>36</v>
      </c>
      <c r="K6" s="95">
        <f t="shared" si="0"/>
        <v>0</v>
      </c>
      <c r="L6" s="95">
        <f t="shared" si="0"/>
        <v>410</v>
      </c>
      <c r="M6" s="95">
        <f t="shared" si="0"/>
        <v>0</v>
      </c>
      <c r="N6" s="95">
        <f t="shared" si="0"/>
        <v>42</v>
      </c>
      <c r="O6" s="95">
        <f t="shared" si="0"/>
        <v>0</v>
      </c>
      <c r="P6" s="175">
        <f>SUM(B6:O6)</f>
        <v>1206</v>
      </c>
    </row>
    <row r="7" spans="1:19" x14ac:dyDescent="0.2">
      <c r="A7" s="38"/>
      <c r="B7" s="134"/>
      <c r="C7" s="134"/>
      <c r="D7" s="134"/>
      <c r="E7" s="134"/>
      <c r="F7" s="134"/>
      <c r="G7" s="161"/>
      <c r="H7" s="97"/>
      <c r="I7" s="134"/>
      <c r="J7" s="134"/>
      <c r="K7" s="97"/>
      <c r="L7" s="97"/>
      <c r="M7" s="97"/>
      <c r="N7" s="97"/>
      <c r="O7" s="97"/>
      <c r="P7" s="172"/>
    </row>
    <row r="8" spans="1:19" x14ac:dyDescent="0.2">
      <c r="A8" s="38" t="s">
        <v>56</v>
      </c>
      <c r="B8" s="134"/>
      <c r="C8" s="134"/>
      <c r="D8" s="134"/>
      <c r="E8" s="134"/>
      <c r="F8" s="134"/>
      <c r="G8" s="161"/>
      <c r="H8" s="97"/>
      <c r="I8" s="134"/>
      <c r="J8" s="134"/>
      <c r="K8" s="97"/>
      <c r="L8" s="97"/>
      <c r="M8" s="97"/>
      <c r="N8" s="97"/>
      <c r="O8" s="97">
        <f>'[3]Misc Cargo'!$GH$8</f>
        <v>0</v>
      </c>
      <c r="P8" s="172">
        <f>SUM(B8:O8)</f>
        <v>0</v>
      </c>
    </row>
    <row r="9" spans="1:19" ht="15" x14ac:dyDescent="0.25">
      <c r="A9" s="38" t="s">
        <v>57</v>
      </c>
      <c r="B9" s="167"/>
      <c r="C9" s="167"/>
      <c r="D9" s="167"/>
      <c r="E9" s="167"/>
      <c r="F9" s="167"/>
      <c r="G9" s="161"/>
      <c r="H9" s="98"/>
      <c r="I9" s="167"/>
      <c r="J9" s="167"/>
      <c r="K9" s="98"/>
      <c r="L9" s="98"/>
      <c r="M9" s="98"/>
      <c r="N9" s="98"/>
      <c r="O9" s="98">
        <f>'[3]Misc Cargo'!$GH$9</f>
        <v>0</v>
      </c>
      <c r="P9" s="176">
        <f>SUM(B9:O9)</f>
        <v>0</v>
      </c>
      <c r="S9" s="8"/>
    </row>
    <row r="10" spans="1:19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74">
        <f>SUM(F8:F9)</f>
        <v>0</v>
      </c>
      <c r="G10" s="162"/>
      <c r="H10" s="95">
        <f t="shared" ref="H10:O10" si="1">SUM(H8:H9)</f>
        <v>0</v>
      </c>
      <c r="I10" s="174">
        <f>SUM(I8:I9)</f>
        <v>0</v>
      </c>
      <c r="J10" s="174">
        <f>SUM(J8:J9)</f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0</v>
      </c>
      <c r="O10" s="95">
        <f t="shared" si="1"/>
        <v>0</v>
      </c>
      <c r="P10" s="175">
        <f>SUM(B10:O10)</f>
        <v>0</v>
      </c>
    </row>
    <row r="11" spans="1:19" x14ac:dyDescent="0.2">
      <c r="A11" s="38"/>
      <c r="B11" s="134"/>
      <c r="C11" s="134"/>
      <c r="D11" s="134"/>
      <c r="E11" s="134"/>
      <c r="F11" s="134"/>
      <c r="G11" s="161"/>
      <c r="H11" s="97"/>
      <c r="I11" s="134"/>
      <c r="J11" s="134"/>
      <c r="K11" s="97"/>
      <c r="L11" s="97"/>
      <c r="M11" s="97"/>
      <c r="N11" s="97"/>
      <c r="O11" s="97"/>
      <c r="P11" s="142"/>
    </row>
    <row r="12" spans="1:19" ht="18" customHeight="1" thickBot="1" x14ac:dyDescent="0.25">
      <c r="A12" s="177" t="s">
        <v>28</v>
      </c>
      <c r="B12" s="178">
        <f>B6+B10</f>
        <v>0</v>
      </c>
      <c r="C12" s="178">
        <f>C6+C10</f>
        <v>44</v>
      </c>
      <c r="D12" s="178">
        <f>D6+D10</f>
        <v>64</v>
      </c>
      <c r="E12" s="178">
        <f>E6+E10</f>
        <v>254</v>
      </c>
      <c r="F12" s="178">
        <f>F6+F10</f>
        <v>268</v>
      </c>
      <c r="G12" s="179"/>
      <c r="H12" s="180">
        <f t="shared" ref="H12:O12" si="2">H6+H10</f>
        <v>0</v>
      </c>
      <c r="I12" s="178">
        <f>I6+I10</f>
        <v>88</v>
      </c>
      <c r="J12" s="178">
        <f>J6+J10</f>
        <v>36</v>
      </c>
      <c r="K12" s="180">
        <f t="shared" si="2"/>
        <v>0</v>
      </c>
      <c r="L12" s="180">
        <f t="shared" si="2"/>
        <v>410</v>
      </c>
      <c r="M12" s="180">
        <f t="shared" si="2"/>
        <v>0</v>
      </c>
      <c r="N12" s="180">
        <f t="shared" si="2"/>
        <v>42</v>
      </c>
      <c r="O12" s="180">
        <f t="shared" si="2"/>
        <v>0</v>
      </c>
      <c r="P12" s="181">
        <f>SUM(B12:O12)</f>
        <v>1206</v>
      </c>
    </row>
    <row r="13" spans="1:19" ht="18" customHeight="1" thickBot="1" x14ac:dyDescent="0.25">
      <c r="A13" s="149"/>
      <c r="B13" s="163"/>
      <c r="C13" s="163"/>
      <c r="D13" s="163"/>
      <c r="E13" s="163"/>
      <c r="F13" s="163"/>
      <c r="G13" s="164"/>
      <c r="H13" s="165"/>
      <c r="I13" s="163"/>
      <c r="J13" s="163"/>
      <c r="K13" s="165"/>
      <c r="L13" s="150"/>
      <c r="M13" s="150"/>
      <c r="N13" s="150"/>
      <c r="O13" s="150"/>
      <c r="P13" s="2"/>
    </row>
    <row r="14" spans="1:19" ht="15" x14ac:dyDescent="0.25">
      <c r="A14" s="182" t="s">
        <v>94</v>
      </c>
      <c r="B14" s="183"/>
      <c r="C14" s="183"/>
      <c r="D14" s="183"/>
      <c r="E14" s="183"/>
      <c r="F14" s="183"/>
      <c r="G14" s="184"/>
      <c r="H14" s="147"/>
      <c r="I14" s="183"/>
      <c r="J14" s="183"/>
      <c r="K14" s="147"/>
      <c r="L14" s="63"/>
      <c r="M14" s="63"/>
      <c r="N14" s="63"/>
      <c r="O14" s="63"/>
      <c r="P14" s="185"/>
    </row>
    <row r="15" spans="1:19" x14ac:dyDescent="0.2">
      <c r="A15" s="186" t="s">
        <v>95</v>
      </c>
      <c r="B15" s="134"/>
      <c r="C15" s="134"/>
      <c r="D15" s="134"/>
      <c r="E15" s="134"/>
      <c r="F15" s="134"/>
      <c r="G15" s="161"/>
      <c r="H15" s="97"/>
      <c r="I15" s="134"/>
      <c r="J15" s="134"/>
      <c r="K15" s="97"/>
      <c r="L15" s="2"/>
      <c r="M15" s="2"/>
      <c r="N15" s="2"/>
      <c r="O15" s="2"/>
      <c r="P15" s="151"/>
    </row>
    <row r="16" spans="1:19" x14ac:dyDescent="0.2">
      <c r="A16" s="38" t="s">
        <v>37</v>
      </c>
      <c r="B16" s="134">
        <f>[3]DHL_Atlas!$GH$47</f>
        <v>0</v>
      </c>
      <c r="C16" s="134">
        <f>[3]DHL_Kalitta!$GH$47</f>
        <v>855989</v>
      </c>
      <c r="D16" s="134">
        <f>'[3]Atlas Air'!$GH$47</f>
        <v>1578400</v>
      </c>
      <c r="E16" s="134">
        <f>[3]FedEx!$GH$47</f>
        <v>7318681</v>
      </c>
      <c r="F16" s="134">
        <f>[3]UPS!$GH$47</f>
        <v>7140377</v>
      </c>
      <c r="G16" s="161"/>
      <c r="H16" s="97">
        <f>[3]Airborne!$GH$47</f>
        <v>0</v>
      </c>
      <c r="I16" s="134">
        <f>[3]Encore!$GH$47</f>
        <v>69898</v>
      </c>
      <c r="J16" s="134">
        <f>[3]IFL!$GH$47</f>
        <v>48673</v>
      </c>
      <c r="K16" s="97">
        <f>'[3]Suburban Air Freight'!$GH$47</f>
        <v>0</v>
      </c>
      <c r="L16" s="473" t="s">
        <v>87</v>
      </c>
      <c r="M16" s="97">
        <f>'[3]CSA Air'!$GH$47</f>
        <v>0</v>
      </c>
      <c r="N16" s="97">
        <f>'[3]Mountain Cargo'!$GH$47</f>
        <v>132566</v>
      </c>
      <c r="O16" s="97">
        <f>'[3]Misc Cargo'!$GH$47</f>
        <v>0</v>
      </c>
      <c r="P16" s="172">
        <f>SUM(B16:K16)+SUM(M16:O16)</f>
        <v>17144584</v>
      </c>
    </row>
    <row r="17" spans="1:16" x14ac:dyDescent="0.2">
      <c r="A17" s="38" t="s">
        <v>38</v>
      </c>
      <c r="B17" s="134">
        <f>[3]DHL_Atlas!$GH$48</f>
        <v>0</v>
      </c>
      <c r="C17" s="134">
        <f>[3]DHL_Kalitta!$GH$48</f>
        <v>0</v>
      </c>
      <c r="D17" s="134">
        <f>'[3]Atlas Air'!$GH$48</f>
        <v>0</v>
      </c>
      <c r="E17" s="134">
        <f>[3]FedEx!$GH$48</f>
        <v>0</v>
      </c>
      <c r="F17" s="134">
        <f>[3]UPS!$GH$48</f>
        <v>0</v>
      </c>
      <c r="G17" s="161"/>
      <c r="H17" s="97">
        <f>[3]Airborne!$GH$48</f>
        <v>0</v>
      </c>
      <c r="I17" s="134">
        <f>[3]Encore!$GH$48</f>
        <v>0</v>
      </c>
      <c r="J17" s="134">
        <f>[3]IFL!$GH$48</f>
        <v>0</v>
      </c>
      <c r="K17" s="97">
        <f>'[3]Suburban Air Freight'!$GH$48</f>
        <v>0</v>
      </c>
      <c r="L17" s="474"/>
      <c r="M17" s="97">
        <f>'[3]CSA Air'!$GH$48</f>
        <v>0</v>
      </c>
      <c r="N17" s="97">
        <f>'[3]Mountain Cargo'!$GH$48</f>
        <v>0</v>
      </c>
      <c r="O17" s="97">
        <f>'[3]Misc Cargo'!$GH$48</f>
        <v>0</v>
      </c>
      <c r="P17" s="172">
        <f>SUM(B17:K17)+SUM(M17:O17)</f>
        <v>0</v>
      </c>
    </row>
    <row r="18" spans="1:16" ht="18" customHeight="1" x14ac:dyDescent="0.2">
      <c r="A18" s="187" t="s">
        <v>39</v>
      </c>
      <c r="B18" s="260">
        <f>SUM(B16:B17)</f>
        <v>0</v>
      </c>
      <c r="C18" s="260">
        <f>SUM(C16:C17)</f>
        <v>855989</v>
      </c>
      <c r="D18" s="260">
        <f>SUM(D16:D17)</f>
        <v>1578400</v>
      </c>
      <c r="E18" s="260">
        <f>SUM(E16:E17)</f>
        <v>7318681</v>
      </c>
      <c r="F18" s="260">
        <f>SUM(F16:F17)</f>
        <v>7140377</v>
      </c>
      <c r="G18" s="166"/>
      <c r="H18" s="261">
        <f>SUM(H16:H17)</f>
        <v>0</v>
      </c>
      <c r="I18" s="260">
        <f>SUM(I16:I17)</f>
        <v>69898</v>
      </c>
      <c r="J18" s="260">
        <f>SUM(J16:J17)</f>
        <v>48673</v>
      </c>
      <c r="K18" s="261">
        <f>SUM(K16:K17)</f>
        <v>0</v>
      </c>
      <c r="L18" s="474"/>
      <c r="M18" s="261">
        <f>SUM(M16:M17)</f>
        <v>0</v>
      </c>
      <c r="N18" s="261">
        <f>SUM(N16:N17)</f>
        <v>132566</v>
      </c>
      <c r="O18" s="261">
        <f>SUM(O16:O17)</f>
        <v>0</v>
      </c>
      <c r="P18" s="188">
        <f>SUM(B18:K18)+SUM(M18:O18)</f>
        <v>17144584</v>
      </c>
    </row>
    <row r="19" spans="1:16" x14ac:dyDescent="0.2">
      <c r="A19" s="38"/>
      <c r="B19" s="134"/>
      <c r="C19" s="134"/>
      <c r="D19" s="134"/>
      <c r="E19" s="134"/>
      <c r="F19" s="134"/>
      <c r="G19" s="161"/>
      <c r="H19" s="97"/>
      <c r="I19" s="134"/>
      <c r="J19" s="134"/>
      <c r="K19" s="97"/>
      <c r="L19" s="474"/>
      <c r="M19" s="97"/>
      <c r="N19" s="97"/>
      <c r="O19" s="97"/>
      <c r="P19" s="172"/>
    </row>
    <row r="20" spans="1:16" x14ac:dyDescent="0.2">
      <c r="A20" s="189" t="s">
        <v>88</v>
      </c>
      <c r="B20" s="134"/>
      <c r="C20" s="134"/>
      <c r="D20" s="134"/>
      <c r="E20" s="134"/>
      <c r="F20" s="134"/>
      <c r="G20" s="161"/>
      <c r="H20" s="97"/>
      <c r="I20" s="134"/>
      <c r="J20" s="134"/>
      <c r="K20" s="97"/>
      <c r="L20" s="474"/>
      <c r="M20" s="97"/>
      <c r="N20" s="97"/>
      <c r="O20" s="97"/>
      <c r="P20" s="172"/>
    </row>
    <row r="21" spans="1:16" x14ac:dyDescent="0.2">
      <c r="A21" s="38" t="s">
        <v>59</v>
      </c>
      <c r="B21" s="134">
        <f>[3]DHL_Atlas!$GH$52</f>
        <v>0</v>
      </c>
      <c r="C21" s="134">
        <f>[3]DHL_Kalitta!$GH$52</f>
        <v>508256</v>
      </c>
      <c r="D21" s="134">
        <f>'[3]Atlas Air'!$GH$52</f>
        <v>685372</v>
      </c>
      <c r="E21" s="134">
        <f>[3]FedEx!$GH$52</f>
        <v>7298632</v>
      </c>
      <c r="F21" s="134">
        <f>[3]UPS!$GH$52</f>
        <v>4890863</v>
      </c>
      <c r="G21" s="161"/>
      <c r="H21" s="97">
        <f>[3]Airborne!$GH$52</f>
        <v>0</v>
      </c>
      <c r="I21" s="134">
        <f>[3]Encore!$GH$52</f>
        <v>37875</v>
      </c>
      <c r="J21" s="134">
        <f>[3]IFL!$GH$52</f>
        <v>0</v>
      </c>
      <c r="K21" s="97">
        <f>'[3]Suburban Air Freight'!$GH$52</f>
        <v>0</v>
      </c>
      <c r="L21" s="474"/>
      <c r="M21" s="97">
        <f>'[3]CSA Air'!$GH$52</f>
        <v>0</v>
      </c>
      <c r="N21" s="97">
        <f>'[3]Mountain Cargo'!$GH$52</f>
        <v>48818</v>
      </c>
      <c r="O21" s="97">
        <f>'[3]Misc Cargo'!$GH$52</f>
        <v>0</v>
      </c>
      <c r="P21" s="172">
        <f>SUM(B21:K21)+SUM(M21:O21)</f>
        <v>13469816</v>
      </c>
    </row>
    <row r="22" spans="1:16" x14ac:dyDescent="0.2">
      <c r="A22" s="38" t="s">
        <v>60</v>
      </c>
      <c r="B22" s="134">
        <f>[3]DHL_Atlas!$GH$53</f>
        <v>0</v>
      </c>
      <c r="C22" s="134">
        <f>[3]DHL_Kalitta!$GH$53</f>
        <v>0</v>
      </c>
      <c r="D22" s="134">
        <f>'[3]Atlas Air'!$GH$53</f>
        <v>0</v>
      </c>
      <c r="E22" s="134">
        <f>[3]FedEx!$GH$53</f>
        <v>0</v>
      </c>
      <c r="F22" s="134">
        <f>[3]UPS!$GH$53</f>
        <v>606825</v>
      </c>
      <c r="G22" s="161"/>
      <c r="H22" s="97">
        <f>[3]Airborne!$GH$53</f>
        <v>0</v>
      </c>
      <c r="I22" s="134">
        <f>[3]Encore!$GH$53</f>
        <v>0</v>
      </c>
      <c r="J22" s="134">
        <f>[3]IFL!$GH$53</f>
        <v>0</v>
      </c>
      <c r="K22" s="97">
        <f>'[3]Suburban Air Freight'!$GH$53</f>
        <v>0</v>
      </c>
      <c r="L22" s="474"/>
      <c r="M22" s="97">
        <f>'[3]CSA Air'!$GH$53</f>
        <v>0</v>
      </c>
      <c r="N22" s="97">
        <f>'[3]Mountain Cargo'!$GH$53</f>
        <v>0</v>
      </c>
      <c r="O22" s="97">
        <f>'[3]Misc Cargo'!$GH$53</f>
        <v>0</v>
      </c>
      <c r="P22" s="172">
        <f>SUM(B22:K22)+SUM(M22:O22)</f>
        <v>606825</v>
      </c>
    </row>
    <row r="23" spans="1:16" ht="18" customHeight="1" x14ac:dyDescent="0.2">
      <c r="A23" s="187" t="s">
        <v>41</v>
      </c>
      <c r="B23" s="260">
        <f>SUM(B21:B22)</f>
        <v>0</v>
      </c>
      <c r="C23" s="260">
        <f>SUM(C21:C22)</f>
        <v>508256</v>
      </c>
      <c r="D23" s="260">
        <f>SUM(D21:D22)</f>
        <v>685372</v>
      </c>
      <c r="E23" s="260">
        <f>SUM(E21:E22)</f>
        <v>7298632</v>
      </c>
      <c r="F23" s="260">
        <f>SUM(F21:F22)</f>
        <v>5497688</v>
      </c>
      <c r="G23" s="166"/>
      <c r="H23" s="261">
        <f>SUM(H21:H22)</f>
        <v>0</v>
      </c>
      <c r="I23" s="260">
        <f>SUM(I21:I22)</f>
        <v>37875</v>
      </c>
      <c r="J23" s="260">
        <f>SUM(J21:J22)</f>
        <v>0</v>
      </c>
      <c r="K23" s="261">
        <f>SUM(K21:K22)</f>
        <v>0</v>
      </c>
      <c r="L23" s="474"/>
      <c r="M23" s="261">
        <f>SUM(M21:M22)</f>
        <v>0</v>
      </c>
      <c r="N23" s="261">
        <f>SUM(N21:N22)</f>
        <v>48818</v>
      </c>
      <c r="O23" s="261">
        <f>SUM(O21:O22)</f>
        <v>0</v>
      </c>
      <c r="P23" s="188">
        <f>SUM(B23:K23)+SUM(M23:O23)</f>
        <v>14076641</v>
      </c>
    </row>
    <row r="24" spans="1:16" x14ac:dyDescent="0.2">
      <c r="A24" s="38"/>
      <c r="B24" s="134"/>
      <c r="C24" s="134"/>
      <c r="D24" s="134"/>
      <c r="E24" s="134"/>
      <c r="F24" s="134"/>
      <c r="G24" s="161"/>
      <c r="H24" s="97"/>
      <c r="I24" s="134"/>
      <c r="J24" s="134"/>
      <c r="K24" s="97"/>
      <c r="L24" s="474"/>
      <c r="M24" s="97"/>
      <c r="N24" s="97"/>
      <c r="O24" s="97"/>
      <c r="P24" s="172"/>
    </row>
    <row r="25" spans="1:16" x14ac:dyDescent="0.2">
      <c r="A25" s="189" t="s">
        <v>96</v>
      </c>
      <c r="B25" s="134"/>
      <c r="C25" s="134"/>
      <c r="D25" s="134"/>
      <c r="E25" s="134"/>
      <c r="F25" s="134"/>
      <c r="G25" s="161"/>
      <c r="H25" s="97"/>
      <c r="I25" s="134"/>
      <c r="J25" s="134"/>
      <c r="K25" s="97"/>
      <c r="L25" s="474"/>
      <c r="M25" s="97"/>
      <c r="N25" s="97"/>
      <c r="O25" s="97"/>
      <c r="P25" s="172"/>
    </row>
    <row r="26" spans="1:16" x14ac:dyDescent="0.2">
      <c r="A26" s="38" t="s">
        <v>59</v>
      </c>
      <c r="B26" s="134">
        <f>[3]DHL_Atlas!$GH$57</f>
        <v>0</v>
      </c>
      <c r="C26" s="134">
        <f>[3]DHL_Kalitta!$GH$57</f>
        <v>0</v>
      </c>
      <c r="D26" s="134">
        <f>'[3]Atlas Air'!$GH$57</f>
        <v>0</v>
      </c>
      <c r="E26" s="134">
        <f>[3]FedEx!$GH$57</f>
        <v>0</v>
      </c>
      <c r="F26" s="134">
        <f>[3]UPS!$GH$57</f>
        <v>0</v>
      </c>
      <c r="G26" s="161"/>
      <c r="H26" s="97">
        <f>[3]Airborne!$GH$57</f>
        <v>0</v>
      </c>
      <c r="I26" s="134">
        <f>[3]Encore!$GH$57</f>
        <v>0</v>
      </c>
      <c r="J26" s="134">
        <f>[3]IFL!$GH$57</f>
        <v>0</v>
      </c>
      <c r="K26" s="97">
        <f>'[3]Suburban Air Freight'!$GH$57</f>
        <v>0</v>
      </c>
      <c r="L26" s="474"/>
      <c r="M26" s="97">
        <f>'[3]CSA Air'!$GH$57</f>
        <v>0</v>
      </c>
      <c r="N26" s="97">
        <f>'[3]Mountain Cargo'!$GH$57</f>
        <v>0</v>
      </c>
      <c r="O26" s="97">
        <f>'[3]Misc Cargo'!$GH$57</f>
        <v>0</v>
      </c>
      <c r="P26" s="172">
        <f>SUM(B26:K26)+SUM(M26:O26)</f>
        <v>0</v>
      </c>
    </row>
    <row r="27" spans="1:16" x14ac:dyDescent="0.2">
      <c r="A27" s="38" t="s">
        <v>60</v>
      </c>
      <c r="B27" s="134">
        <f>[3]DHL_Atlas!$GH$58</f>
        <v>0</v>
      </c>
      <c r="C27" s="134">
        <f>[3]DHL_Kalitta!$GH$58</f>
        <v>0</v>
      </c>
      <c r="D27" s="134">
        <f>'[3]Atlas Air'!$GH$58</f>
        <v>0</v>
      </c>
      <c r="E27" s="134">
        <f>[3]FedEx!$GH$58</f>
        <v>0</v>
      </c>
      <c r="F27" s="134">
        <f>[3]UPS!$GH$58</f>
        <v>0</v>
      </c>
      <c r="G27" s="161"/>
      <c r="H27" s="97">
        <f>[3]Airborne!$GH$58</f>
        <v>0</v>
      </c>
      <c r="I27" s="134">
        <f>[3]Encore!$GH$58</f>
        <v>0</v>
      </c>
      <c r="J27" s="134">
        <f>[3]IFL!$GH$58</f>
        <v>0</v>
      </c>
      <c r="K27" s="97">
        <f>'[3]Suburban Air Freight'!$GH$58</f>
        <v>0</v>
      </c>
      <c r="L27" s="474"/>
      <c r="M27" s="97">
        <f>'[3]CSA Air'!$GH$58</f>
        <v>0</v>
      </c>
      <c r="N27" s="97">
        <f>'[3]Mountain Cargo'!$GH$58</f>
        <v>0</v>
      </c>
      <c r="O27" s="97">
        <f>'[3]Misc Cargo'!$GH$58</f>
        <v>0</v>
      </c>
      <c r="P27" s="172">
        <f>SUM(B27:K27)+SUM(M27:O27)</f>
        <v>0</v>
      </c>
    </row>
    <row r="28" spans="1:16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260">
        <f>SUM(F26:F27)</f>
        <v>0</v>
      </c>
      <c r="G28" s="166"/>
      <c r="H28" s="261">
        <f>SUM(H26:H27)</f>
        <v>0</v>
      </c>
      <c r="I28" s="260">
        <f>SUM(I26:I27)</f>
        <v>0</v>
      </c>
      <c r="J28" s="260">
        <f>SUM(J26:J27)</f>
        <v>0</v>
      </c>
      <c r="K28" s="261">
        <f>SUM(K26:K27)</f>
        <v>0</v>
      </c>
      <c r="L28" s="474"/>
      <c r="M28" s="261">
        <f>SUM(M26:M27)</f>
        <v>0</v>
      </c>
      <c r="N28" s="261">
        <f>SUM(N26:N27)</f>
        <v>0</v>
      </c>
      <c r="O28" s="261">
        <f>SUM(O26:O27)</f>
        <v>0</v>
      </c>
      <c r="P28" s="188">
        <f>SUM(B28:K28)+SUM(M28:O28)</f>
        <v>0</v>
      </c>
    </row>
    <row r="29" spans="1:16" x14ac:dyDescent="0.2">
      <c r="A29" s="38"/>
      <c r="B29" s="134"/>
      <c r="C29" s="134"/>
      <c r="D29" s="134"/>
      <c r="E29" s="134"/>
      <c r="F29" s="134"/>
      <c r="G29" s="161"/>
      <c r="H29" s="97"/>
      <c r="I29" s="134"/>
      <c r="J29" s="134"/>
      <c r="K29" s="97"/>
      <c r="L29" s="474"/>
      <c r="M29" s="97"/>
      <c r="N29" s="97"/>
      <c r="O29" s="97"/>
      <c r="P29" s="172"/>
    </row>
    <row r="30" spans="1:16" x14ac:dyDescent="0.2">
      <c r="A30" s="190" t="s">
        <v>44</v>
      </c>
      <c r="B30" s="134"/>
      <c r="C30" s="134"/>
      <c r="D30" s="134"/>
      <c r="E30" s="134"/>
      <c r="F30" s="134"/>
      <c r="G30" s="161"/>
      <c r="H30" s="97"/>
      <c r="I30" s="134"/>
      <c r="J30" s="134"/>
      <c r="K30" s="97"/>
      <c r="L30" s="474"/>
      <c r="M30" s="97"/>
      <c r="N30" s="97"/>
      <c r="O30" s="97"/>
      <c r="P30" s="172"/>
    </row>
    <row r="31" spans="1:16" x14ac:dyDescent="0.2">
      <c r="A31" s="38" t="s">
        <v>89</v>
      </c>
      <c r="B31" s="134">
        <f t="shared" ref="B31:F33" si="3">B26+B21+B16</f>
        <v>0</v>
      </c>
      <c r="C31" s="134">
        <f t="shared" ref="C31" si="4">C26+C21+C16</f>
        <v>1364245</v>
      </c>
      <c r="D31" s="134">
        <f t="shared" ref="D31" si="5">D26+D21+D16</f>
        <v>2263772</v>
      </c>
      <c r="E31" s="134">
        <f t="shared" si="3"/>
        <v>14617313</v>
      </c>
      <c r="F31" s="134">
        <f t="shared" si="3"/>
        <v>12031240</v>
      </c>
      <c r="G31" s="161"/>
      <c r="H31" s="97">
        <f t="shared" ref="H31:K33" si="6">H26+H21+H16</f>
        <v>0</v>
      </c>
      <c r="I31" s="134">
        <f t="shared" ref="I31" si="7">I26+I21+I16</f>
        <v>107773</v>
      </c>
      <c r="J31" s="134">
        <f t="shared" si="6"/>
        <v>48673</v>
      </c>
      <c r="K31" s="97">
        <f t="shared" si="6"/>
        <v>0</v>
      </c>
      <c r="L31" s="474"/>
      <c r="M31" s="97">
        <f t="shared" ref="M31:O33" si="8">M26+M21+M16</f>
        <v>0</v>
      </c>
      <c r="N31" s="97">
        <f t="shared" si="8"/>
        <v>181384</v>
      </c>
      <c r="O31" s="97">
        <f>O26+O21+O16</f>
        <v>0</v>
      </c>
      <c r="P31" s="172">
        <f>SUM(B31:K31)+SUM(M31:O31)</f>
        <v>30614400</v>
      </c>
    </row>
    <row r="32" spans="1:16" x14ac:dyDescent="0.2">
      <c r="A32" s="38" t="s">
        <v>60</v>
      </c>
      <c r="B32" s="134">
        <f t="shared" si="3"/>
        <v>0</v>
      </c>
      <c r="C32" s="134">
        <f t="shared" ref="C32" si="9">C27+C22+C17</f>
        <v>0</v>
      </c>
      <c r="D32" s="134">
        <f t="shared" ref="D32" si="10">D27+D22+D17</f>
        <v>0</v>
      </c>
      <c r="E32" s="134">
        <f t="shared" si="3"/>
        <v>0</v>
      </c>
      <c r="F32" s="134">
        <f t="shared" si="3"/>
        <v>606825</v>
      </c>
      <c r="G32" s="161"/>
      <c r="H32" s="97">
        <f t="shared" si="6"/>
        <v>0</v>
      </c>
      <c r="I32" s="134">
        <f t="shared" ref="I32" si="11">I27+I22+I17</f>
        <v>0</v>
      </c>
      <c r="J32" s="134">
        <f t="shared" si="6"/>
        <v>0</v>
      </c>
      <c r="K32" s="97">
        <f t="shared" si="6"/>
        <v>0</v>
      </c>
      <c r="L32" s="475"/>
      <c r="M32" s="97">
        <f t="shared" si="8"/>
        <v>0</v>
      </c>
      <c r="N32" s="97">
        <f t="shared" si="8"/>
        <v>0</v>
      </c>
      <c r="O32" s="97">
        <f>O27+O22+O17</f>
        <v>0</v>
      </c>
      <c r="P32" s="176">
        <f>SUM(B32:K32)+SUM(M32:O32)</f>
        <v>606825</v>
      </c>
    </row>
    <row r="33" spans="1:16" ht="18" customHeight="1" thickBot="1" x14ac:dyDescent="0.25">
      <c r="A33" s="177" t="s">
        <v>46</v>
      </c>
      <c r="B33" s="178">
        <f t="shared" si="3"/>
        <v>0</v>
      </c>
      <c r="C33" s="178">
        <f t="shared" ref="C33" si="12">C28+C23+C18</f>
        <v>1364245</v>
      </c>
      <c r="D33" s="178">
        <f t="shared" ref="D33" si="13">D28+D23+D18</f>
        <v>2263772</v>
      </c>
      <c r="E33" s="178">
        <f t="shared" si="3"/>
        <v>14617313</v>
      </c>
      <c r="F33" s="178">
        <f t="shared" si="3"/>
        <v>12638065</v>
      </c>
      <c r="G33" s="191"/>
      <c r="H33" s="180">
        <f t="shared" si="6"/>
        <v>0</v>
      </c>
      <c r="I33" s="178">
        <f t="shared" ref="I33" si="14">I28+I23+I18</f>
        <v>107773</v>
      </c>
      <c r="J33" s="178">
        <f t="shared" si="6"/>
        <v>48673</v>
      </c>
      <c r="K33" s="180">
        <f t="shared" si="6"/>
        <v>0</v>
      </c>
      <c r="L33" s="262">
        <f>L28+L23+L18</f>
        <v>0</v>
      </c>
      <c r="M33" s="180">
        <f t="shared" si="8"/>
        <v>0</v>
      </c>
      <c r="N33" s="180">
        <f t="shared" si="8"/>
        <v>181384</v>
      </c>
      <c r="O33" s="180">
        <f t="shared" si="8"/>
        <v>0</v>
      </c>
      <c r="P33" s="181">
        <f>SUM(B33:K33)+SUM(M33:O33)</f>
        <v>31221225</v>
      </c>
    </row>
    <row r="34" spans="1:16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</row>
    <row r="35" spans="1:16" x14ac:dyDescent="0.2">
      <c r="A35" t="s">
        <v>90</v>
      </c>
      <c r="B35" s="2"/>
      <c r="C35" s="2"/>
      <c r="D35" s="2"/>
      <c r="E35" s="2"/>
      <c r="F35" s="2"/>
      <c r="G35" s="2"/>
    </row>
    <row r="36" spans="1:16" x14ac:dyDescent="0.2">
      <c r="A36" t="s">
        <v>91</v>
      </c>
    </row>
    <row r="37" spans="1:16" x14ac:dyDescent="0.2">
      <c r="A37" t="s">
        <v>92</v>
      </c>
    </row>
    <row r="43" spans="1:16" ht="15" x14ac:dyDescent="0.25">
      <c r="L43" s="44"/>
    </row>
  </sheetData>
  <mergeCells count="3">
    <mergeCell ref="L16:L32"/>
    <mergeCell ref="B1:F1"/>
    <mergeCell ref="H1:O1"/>
  </mergeCells>
  <phoneticPr fontId="6" type="noConversion"/>
  <pageMargins left="0.75" right="0.75" top="1" bottom="1" header="0.5" footer="0.5"/>
  <pageSetup scale="79" orientation="landscape" r:id="rId1"/>
  <headerFooter alignWithMargins="0">
    <oddHeader>&amp;L
Schedule 7
&amp;CMinneapolis-St. Paul International Airport
&amp;"Arial,Bold"Cargo
July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K41" sqref="K41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5">
        <v>43647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216</v>
      </c>
      <c r="G2" s="60" t="s">
        <v>207</v>
      </c>
      <c r="H2" s="61" t="s">
        <v>66</v>
      </c>
      <c r="I2" s="62" t="s">
        <v>212</v>
      </c>
      <c r="J2" s="62" t="s">
        <v>198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3076825</v>
      </c>
      <c r="C5" s="97">
        <f>'Regional Major'!M25</f>
        <v>6101</v>
      </c>
      <c r="D5" s="97">
        <f>Cargo!P16</f>
        <v>17144584</v>
      </c>
      <c r="E5" s="97">
        <f>SUM(B5:D5)</f>
        <v>20227510</v>
      </c>
      <c r="F5" s="97">
        <f>E5*0.00045359237</f>
        <v>9175.0442000987005</v>
      </c>
      <c r="G5" s="97">
        <f>'[1]Cargo Summary'!F5</f>
        <v>10390.0820816177</v>
      </c>
      <c r="H5" s="79">
        <f>(F5-G5)/G5</f>
        <v>-0.11694208688386247</v>
      </c>
      <c r="I5" s="97">
        <f>+F5+'[2]Cargo Summary'!I5</f>
        <v>62853.896456799142</v>
      </c>
      <c r="J5" s="97">
        <f>'[1]Cargo Summary'!I5</f>
        <v>67049.234882676203</v>
      </c>
      <c r="K5" s="67">
        <f>(I5-J5)/J5</f>
        <v>-6.2571011186304051E-2</v>
      </c>
      <c r="M5" s="26"/>
    </row>
    <row r="6" spans="1:18" x14ac:dyDescent="0.2">
      <c r="A6" s="47" t="s">
        <v>16</v>
      </c>
      <c r="B6" s="141">
        <f>'Major Airline Stats'!K29</f>
        <v>1630897</v>
      </c>
      <c r="C6" s="97">
        <f>'Regional Major'!M26</f>
        <v>690</v>
      </c>
      <c r="D6" s="97">
        <f>Cargo!P17</f>
        <v>0</v>
      </c>
      <c r="E6" s="97">
        <f>SUM(B6:D6)</f>
        <v>1631587</v>
      </c>
      <c r="F6" s="97">
        <f>E6*0.00045359237</f>
        <v>740.07541419119002</v>
      </c>
      <c r="G6" s="97">
        <f>'[1]Cargo Summary'!F6</f>
        <v>886.01195535314002</v>
      </c>
      <c r="H6" s="3">
        <f>(F6-G6)/G6</f>
        <v>-0.16471170651843373</v>
      </c>
      <c r="I6" s="97">
        <f>+F6+'[2]Cargo Summary'!I6</f>
        <v>5842.5260052890508</v>
      </c>
      <c r="J6" s="97">
        <f>'[1]Cargo Summary'!I6</f>
        <v>5971.5036349214406</v>
      </c>
      <c r="K6" s="67">
        <f>(I6-J6)/J6</f>
        <v>-2.1598853072470184E-2</v>
      </c>
      <c r="M6" s="26"/>
    </row>
    <row r="7" spans="1:18" ht="18" customHeight="1" thickBot="1" x14ac:dyDescent="0.25">
      <c r="A7" s="56" t="s">
        <v>72</v>
      </c>
      <c r="B7" s="143">
        <f>SUM(B5:B6)</f>
        <v>4707722</v>
      </c>
      <c r="C7" s="107">
        <f t="shared" ref="C7:J7" si="0">SUM(C5:C6)</f>
        <v>6791</v>
      </c>
      <c r="D7" s="107">
        <f t="shared" si="0"/>
        <v>17144584</v>
      </c>
      <c r="E7" s="107">
        <f t="shared" si="0"/>
        <v>21859097</v>
      </c>
      <c r="F7" s="107">
        <f t="shared" si="0"/>
        <v>9915.1196142898898</v>
      </c>
      <c r="G7" s="107">
        <f t="shared" si="0"/>
        <v>11276.094036970841</v>
      </c>
      <c r="H7" s="29">
        <f>(F7-G7)/G7</f>
        <v>-0.1206955545261271</v>
      </c>
      <c r="I7" s="107">
        <f t="shared" si="0"/>
        <v>68696.422462088187</v>
      </c>
      <c r="J7" s="107">
        <f t="shared" si="0"/>
        <v>73020.738517597638</v>
      </c>
      <c r="K7" s="275">
        <f>(I7-J7)/J7</f>
        <v>-5.9220382363940512E-2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1560412</v>
      </c>
      <c r="C10" s="97">
        <f>'Regional Major'!M30</f>
        <v>3437</v>
      </c>
      <c r="D10" s="97">
        <f>Cargo!P21</f>
        <v>13469816</v>
      </c>
      <c r="E10" s="97">
        <f>SUM(B10:D10)</f>
        <v>15033665</v>
      </c>
      <c r="F10" s="97">
        <f>E10*0.00045359237</f>
        <v>6819.1557371360495</v>
      </c>
      <c r="G10" s="97">
        <f>'[1]Cargo Summary'!F10</f>
        <v>7793.9742746496395</v>
      </c>
      <c r="H10" s="3">
        <f>(F10-G10)/G10</f>
        <v>-0.12507335836150302</v>
      </c>
      <c r="I10" s="97">
        <f>+F10+'[2]Cargo Summary'!I10</f>
        <v>52807.756686434739</v>
      </c>
      <c r="J10" s="97">
        <f>'[1]Cargo Summary'!I10</f>
        <v>52657.11094928746</v>
      </c>
      <c r="K10" s="67">
        <f>(I10-J10)/J10</f>
        <v>2.8608811693516837E-3</v>
      </c>
      <c r="M10" s="26"/>
    </row>
    <row r="11" spans="1:18" x14ac:dyDescent="0.2">
      <c r="A11" s="47" t="s">
        <v>16</v>
      </c>
      <c r="B11" s="141">
        <f>'Major Airline Stats'!K34</f>
        <v>1386825</v>
      </c>
      <c r="C11" s="97">
        <f>'Regional Major'!M31</f>
        <v>390</v>
      </c>
      <c r="D11" s="97">
        <f>Cargo!P22</f>
        <v>606825</v>
      </c>
      <c r="E11" s="97">
        <f>SUM(B11:D11)</f>
        <v>1994040</v>
      </c>
      <c r="F11" s="97">
        <f>E11*0.00045359237</f>
        <v>904.48132947479996</v>
      </c>
      <c r="G11" s="97">
        <f>'[1]Cargo Summary'!F11</f>
        <v>1224.2480745918499</v>
      </c>
      <c r="H11" s="26">
        <f>(F11-G11)/G11</f>
        <v>-0.2611944031226322</v>
      </c>
      <c r="I11" s="97">
        <f>+F11+'[2]Cargo Summary'!I11</f>
        <v>8414.7004644464287</v>
      </c>
      <c r="J11" s="97">
        <f>'[1]Cargo Summary'!I11</f>
        <v>8865.44245999335</v>
      </c>
      <c r="K11" s="67">
        <f>(I11-J11)/J11</f>
        <v>-5.0842583162765166E-2</v>
      </c>
      <c r="M11" s="26"/>
    </row>
    <row r="12" spans="1:18" ht="18" customHeight="1" thickBot="1" x14ac:dyDescent="0.25">
      <c r="A12" s="56" t="s">
        <v>73</v>
      </c>
      <c r="B12" s="143">
        <f>SUM(B10:B11)</f>
        <v>2947237</v>
      </c>
      <c r="C12" s="107">
        <f t="shared" ref="C12:J12" si="1">SUM(C10:C11)</f>
        <v>3827</v>
      </c>
      <c r="D12" s="107">
        <f t="shared" si="1"/>
        <v>14076641</v>
      </c>
      <c r="E12" s="107">
        <f t="shared" si="1"/>
        <v>17027705</v>
      </c>
      <c r="F12" s="107">
        <f t="shared" si="1"/>
        <v>7723.6370666108496</v>
      </c>
      <c r="G12" s="107">
        <f t="shared" si="1"/>
        <v>9018.2223492414887</v>
      </c>
      <c r="H12" s="29">
        <f>(F12-G12)/G12</f>
        <v>-0.143552158340776</v>
      </c>
      <c r="I12" s="107">
        <f t="shared" si="1"/>
        <v>61222.457150881164</v>
      </c>
      <c r="J12" s="107">
        <f t="shared" si="1"/>
        <v>61522.553409280808</v>
      </c>
      <c r="K12" s="275">
        <f>(I12-J12)/J12</f>
        <v>-4.8778251514244551E-3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Cargo!P26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Cargo!P27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4637237</v>
      </c>
      <c r="C20" s="97">
        <f t="shared" si="3"/>
        <v>9538</v>
      </c>
      <c r="D20" s="97">
        <f t="shared" si="3"/>
        <v>30614400</v>
      </c>
      <c r="E20" s="97">
        <f>SUM(B20:D20)</f>
        <v>35261175</v>
      </c>
      <c r="F20" s="97">
        <f>E20*0.00045359237</f>
        <v>15994.199937234749</v>
      </c>
      <c r="G20" s="97">
        <f>'[1]Cargo Summary'!F20</f>
        <v>18184.056356267338</v>
      </c>
      <c r="H20" s="3">
        <f>(F20-G20)/G20</f>
        <v>-0.12042727849761807</v>
      </c>
      <c r="I20" s="97">
        <f>+I5+I10+I15</f>
        <v>115661.65314323388</v>
      </c>
      <c r="J20" s="97">
        <f>+J5+J10+J15</f>
        <v>119706.34583196367</v>
      </c>
      <c r="K20" s="67">
        <f>(I20-J20)/J20</f>
        <v>-3.378845674904718E-2</v>
      </c>
      <c r="M20" s="26"/>
    </row>
    <row r="21" spans="1:13" x14ac:dyDescent="0.2">
      <c r="A21" s="47" t="s">
        <v>16</v>
      </c>
      <c r="B21" s="141">
        <f t="shared" si="3"/>
        <v>3017722</v>
      </c>
      <c r="C21" s="98">
        <f t="shared" si="3"/>
        <v>1080</v>
      </c>
      <c r="D21" s="98">
        <f t="shared" si="3"/>
        <v>606825</v>
      </c>
      <c r="E21" s="97">
        <f>SUM(B21:D21)</f>
        <v>3625627</v>
      </c>
      <c r="F21" s="97">
        <f>E21*0.00045359237</f>
        <v>1644.5567436659899</v>
      </c>
      <c r="G21" s="97">
        <f>'[1]Cargo Summary'!F21</f>
        <v>2110.26002994499</v>
      </c>
      <c r="H21" s="3">
        <f>(F21-G21)/G21</f>
        <v>-0.22068526137565145</v>
      </c>
      <c r="I21" s="97">
        <f>+I6+I11+I16</f>
        <v>14257.22646973548</v>
      </c>
      <c r="J21" s="97">
        <f>+J6+J11+J16</f>
        <v>14836.946094914791</v>
      </c>
      <c r="K21" s="67">
        <f>(I21-J21)/J21</f>
        <v>-3.9072705492810486E-2</v>
      </c>
      <c r="M21" s="26"/>
    </row>
    <row r="22" spans="1:13" ht="18" customHeight="1" thickBot="1" x14ac:dyDescent="0.25">
      <c r="A22" s="69" t="s">
        <v>62</v>
      </c>
      <c r="B22" s="144">
        <f>SUM(B20:B21)</f>
        <v>7654959</v>
      </c>
      <c r="C22" s="145">
        <f t="shared" ref="C22:J22" si="4">SUM(C20:C21)</f>
        <v>10618</v>
      </c>
      <c r="D22" s="145">
        <f t="shared" si="4"/>
        <v>31221225</v>
      </c>
      <c r="E22" s="145">
        <f t="shared" si="4"/>
        <v>38886802</v>
      </c>
      <c r="F22" s="145">
        <f t="shared" si="4"/>
        <v>17638.75668090074</v>
      </c>
      <c r="G22" s="145">
        <f t="shared" si="4"/>
        <v>20294.316386212329</v>
      </c>
      <c r="H22" s="281">
        <f>(F22-G22)/G22</f>
        <v>-0.13085238520848816</v>
      </c>
      <c r="I22" s="145">
        <f t="shared" si="4"/>
        <v>129918.87961296937</v>
      </c>
      <c r="J22" s="145">
        <f t="shared" si="4"/>
        <v>134543.29192687845</v>
      </c>
      <c r="K22" s="282">
        <f>(I22-J22)/J22</f>
        <v>-3.437118452863748E-2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July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9"/>
  <sheetViews>
    <sheetView zoomScaleNormal="100" workbookViewId="0">
      <selection activeCell="A7" sqref="A7:A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86" t="s">
        <v>192</v>
      </c>
      <c r="B2" s="487"/>
      <c r="C2" s="388" t="s">
        <v>219</v>
      </c>
      <c r="D2" s="390" t="s">
        <v>202</v>
      </c>
      <c r="E2" s="391" t="s">
        <v>97</v>
      </c>
      <c r="F2" s="392" t="s">
        <v>220</v>
      </c>
      <c r="G2" s="390" t="s">
        <v>203</v>
      </c>
      <c r="H2" s="389" t="s">
        <v>98</v>
      </c>
      <c r="I2" s="391" t="s">
        <v>139</v>
      </c>
      <c r="J2" s="486" t="s">
        <v>188</v>
      </c>
      <c r="K2" s="487"/>
      <c r="L2" s="388" t="s">
        <v>221</v>
      </c>
      <c r="M2" s="390" t="s">
        <v>204</v>
      </c>
      <c r="N2" s="393" t="s">
        <v>98</v>
      </c>
      <c r="O2" s="394" t="s">
        <v>222</v>
      </c>
      <c r="P2" s="394" t="s">
        <v>205</v>
      </c>
      <c r="Q2" s="421" t="s">
        <v>98</v>
      </c>
      <c r="R2" s="391" t="s">
        <v>223</v>
      </c>
    </row>
    <row r="3" spans="1:18" s="9" customFormat="1" ht="13.5" customHeight="1" thickBot="1" x14ac:dyDescent="0.25">
      <c r="A3" s="488">
        <v>43647</v>
      </c>
      <c r="B3" s="489"/>
      <c r="C3" s="490" t="s">
        <v>9</v>
      </c>
      <c r="D3" s="491"/>
      <c r="E3" s="491"/>
      <c r="F3" s="491"/>
      <c r="G3" s="491"/>
      <c r="H3" s="492"/>
      <c r="I3" s="395"/>
      <c r="J3" s="488">
        <f>+A3</f>
        <v>43647</v>
      </c>
      <c r="K3" s="489"/>
      <c r="L3" s="480" t="s">
        <v>189</v>
      </c>
      <c r="M3" s="481"/>
      <c r="N3" s="481"/>
      <c r="O3" s="481"/>
      <c r="P3" s="481"/>
      <c r="Q3" s="481"/>
      <c r="R3" s="482"/>
    </row>
    <row r="4" spans="1:18" x14ac:dyDescent="0.2">
      <c r="A4" s="299"/>
      <c r="B4" s="300"/>
      <c r="C4" s="301"/>
      <c r="D4" s="302"/>
      <c r="E4" s="303"/>
      <c r="F4" s="396"/>
      <c r="G4" s="302"/>
      <c r="H4" s="412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230</v>
      </c>
      <c r="B5" s="40"/>
      <c r="C5" s="307">
        <f>+[3]DHL!$GH$19</f>
        <v>0</v>
      </c>
      <c r="D5" s="150">
        <f>+[3]DHL!$FT$19</f>
        <v>44</v>
      </c>
      <c r="E5" s="309">
        <f>(C5-D5)/D5</f>
        <v>-1</v>
      </c>
      <c r="F5" s="307">
        <f>+SUM([3]DHL!$GB$12:$GH$12)</f>
        <v>0</v>
      </c>
      <c r="G5" s="150">
        <f>+SUM([3]DHL!$FN$12:$FT$12)</f>
        <v>280</v>
      </c>
      <c r="H5" s="308">
        <f>(F5-G5)/G5</f>
        <v>-1</v>
      </c>
      <c r="I5" s="309">
        <f>+F5/$F$32</f>
        <v>0</v>
      </c>
      <c r="J5" s="306" t="s">
        <v>230</v>
      </c>
      <c r="K5" s="40"/>
      <c r="L5" s="307">
        <f>+[3]DHL!$GH$64</f>
        <v>0</v>
      </c>
      <c r="M5" s="150">
        <f>+[3]DHL!$FT$64</f>
        <v>1371398</v>
      </c>
      <c r="N5" s="309">
        <f>(L5-M5)/M5</f>
        <v>-1</v>
      </c>
      <c r="O5" s="307">
        <f>+SUM([3]DHL!$GB$64:$GH$64)</f>
        <v>0</v>
      </c>
      <c r="P5" s="150">
        <f>+SUM([3]DHL!$FN$64:$FT$64)</f>
        <v>8586502</v>
      </c>
      <c r="Q5" s="308">
        <f>(O5-P5)/P5</f>
        <v>-1</v>
      </c>
      <c r="R5" s="309">
        <f>O5/$O$32</f>
        <v>0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231</v>
      </c>
      <c r="B7" s="40"/>
      <c r="C7" s="307">
        <f>+[3]DHL_Kalitta!$GH$19</f>
        <v>44</v>
      </c>
      <c r="D7" s="150">
        <f>+[3]DHL_Kalitta!$FT$19</f>
        <v>0</v>
      </c>
      <c r="E7" s="309" t="e">
        <f>(C7-D7)/D7</f>
        <v>#DIV/0!</v>
      </c>
      <c r="F7" s="307">
        <f>+SUM([3]DHL_Kalitta!$GB$12:$GH$12)</f>
        <v>290</v>
      </c>
      <c r="G7" s="150">
        <f>+SUM([3]DHL_Kalitta!$FN$12:$FT$12)</f>
        <v>0</v>
      </c>
      <c r="H7" s="308" t="e">
        <f>(F7-G7)/G7</f>
        <v>#DIV/0!</v>
      </c>
      <c r="I7" s="309">
        <f>+F7/$F$32</f>
        <v>3.6363636363636362E-2</v>
      </c>
      <c r="J7" s="306" t="s">
        <v>231</v>
      </c>
      <c r="K7" s="40"/>
      <c r="L7" s="307">
        <f>+[3]DHL_Kalitta!$GH$64</f>
        <v>1364245</v>
      </c>
      <c r="M7" s="150">
        <f>+[3]DHL_Kalitta!$FT$64</f>
        <v>0</v>
      </c>
      <c r="N7" s="309" t="e">
        <f>(L7-M7)/M7</f>
        <v>#DIV/0!</v>
      </c>
      <c r="O7" s="307">
        <f>+SUM([3]DHL_Kalitta!$GB$64:$GH$64)</f>
        <v>9040335</v>
      </c>
      <c r="P7" s="150">
        <f>+SUM([3]DHL_Kalitta!$FN$64:$FT$64)</f>
        <v>0</v>
      </c>
      <c r="Q7" s="308" t="e">
        <f>(O7-P7)/P7</f>
        <v>#DIV/0!</v>
      </c>
      <c r="R7" s="309">
        <f>O7/$O$32</f>
        <v>4.3217273709581817E-2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150"/>
      <c r="Q8" s="3"/>
      <c r="R8" s="67"/>
    </row>
    <row r="9" spans="1:18" ht="14.1" customHeight="1" x14ac:dyDescent="0.2">
      <c r="A9" s="306" t="s">
        <v>232</v>
      </c>
      <c r="B9" s="40"/>
      <c r="C9" s="307">
        <f>+[3]DHL_Atlas!$GH$19</f>
        <v>0</v>
      </c>
      <c r="D9" s="150">
        <f>+[3]DHL_Atlas!$FT$19</f>
        <v>0</v>
      </c>
      <c r="E9" s="309" t="e">
        <f>(C9-D9)/D9</f>
        <v>#DIV/0!</v>
      </c>
      <c r="F9" s="307">
        <f>+SUM([3]DHL_Atlas!$GB$12:$GH$12)</f>
        <v>6</v>
      </c>
      <c r="G9" s="150">
        <f>+SUM([3]DHL_Atlas!$FN$12:$FT$12)</f>
        <v>0</v>
      </c>
      <c r="H9" s="308" t="e">
        <f>(F9-G9)/G9</f>
        <v>#DIV/0!</v>
      </c>
      <c r="I9" s="309">
        <f>+F9/$F$32</f>
        <v>7.5235109717868335E-4</v>
      </c>
      <c r="J9" s="306" t="s">
        <v>232</v>
      </c>
      <c r="K9" s="40"/>
      <c r="L9" s="307">
        <f>+[3]DHL_Atlas!$GH$64</f>
        <v>0</v>
      </c>
      <c r="M9" s="150">
        <f>+[3]DHL_Atlas!$FT$64</f>
        <v>0</v>
      </c>
      <c r="N9" s="309" t="e">
        <f>(L9-M9)/M9</f>
        <v>#DIV/0!</v>
      </c>
      <c r="O9" s="307">
        <f>+SUM([3]DHL_Atlas!$GB$64:$GH$64)</f>
        <v>84668</v>
      </c>
      <c r="P9" s="150">
        <f>+SUM([3]DHL_Atlas!$FN$64:$FT$64)</f>
        <v>0</v>
      </c>
      <c r="Q9" s="308" t="e">
        <f>(O9-P9)/P9</f>
        <v>#DIV/0!</v>
      </c>
      <c r="R9" s="309">
        <f>O9/$O$32</f>
        <v>4.0475492671929452E-4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218</v>
      </c>
      <c r="B11" s="40"/>
      <c r="C11" s="307">
        <f>+'[3]Atlas Air'!$GH$19</f>
        <v>64</v>
      </c>
      <c r="D11" s="150">
        <f>+'[3]Atlas Air'!$FT$19</f>
        <v>60</v>
      </c>
      <c r="E11" s="309">
        <f>(C11-D11)/D11</f>
        <v>6.6666666666666666E-2</v>
      </c>
      <c r="F11" s="307">
        <f>+SUM('[3]Atlas Air'!$GB$12:$GH$12)</f>
        <v>418</v>
      </c>
      <c r="G11" s="150">
        <f>+SUM('[3]Atlas Air'!$FN$12:$FT$12)</f>
        <v>114</v>
      </c>
      <c r="H11" s="308">
        <f>(F11-G11)/G11</f>
        <v>2.6666666666666665</v>
      </c>
      <c r="I11" s="309">
        <f>+F11/$F$32</f>
        <v>5.2413793103448278E-2</v>
      </c>
      <c r="J11" s="306" t="s">
        <v>218</v>
      </c>
      <c r="K11" s="40"/>
      <c r="L11" s="307">
        <f>+'[3]Atlas Air'!$GH$64</f>
        <v>2263772</v>
      </c>
      <c r="M11" s="150">
        <f>+'[3]Atlas Air'!$FT$64</f>
        <v>2048234</v>
      </c>
      <c r="N11" s="309">
        <f>(L11-M11)/M11</f>
        <v>0.10523114058257016</v>
      </c>
      <c r="O11" s="307">
        <f>+SUM('[3]Atlas Air'!$GB$64:$GH$64)</f>
        <v>15347356</v>
      </c>
      <c r="P11" s="150">
        <f>+SUM('[3]Atlas Air'!$FN$64:$FT$64)</f>
        <v>3876843</v>
      </c>
      <c r="Q11" s="308">
        <f>(O11-P11)/P11</f>
        <v>2.958725179224436</v>
      </c>
      <c r="R11" s="309">
        <f>O11/$O$32</f>
        <v>7.3367954281604919E-2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150"/>
      <c r="Q12" s="3"/>
      <c r="R12" s="67"/>
    </row>
    <row r="13" spans="1:18" ht="14.1" customHeight="1" x14ac:dyDescent="0.2">
      <c r="A13" s="306" t="s">
        <v>228</v>
      </c>
      <c r="B13" s="40"/>
      <c r="C13" s="307">
        <f>+[3]Encore!$GH$19</f>
        <v>88</v>
      </c>
      <c r="D13" s="150">
        <f>+[3]Encore!$FT$19</f>
        <v>0</v>
      </c>
      <c r="E13" s="309" t="e">
        <f>(C13-D13)/D13</f>
        <v>#DIV/0!</v>
      </c>
      <c r="F13" s="307">
        <f>+SUM([3]Encore!$GB$12:$GH$12)</f>
        <v>595</v>
      </c>
      <c r="G13" s="150">
        <f>+SUM([3]Encore!$FN$12:$FT$12)</f>
        <v>0</v>
      </c>
      <c r="H13" s="308" t="e">
        <f>(F13-G13)/G13</f>
        <v>#DIV/0!</v>
      </c>
      <c r="I13" s="309">
        <f>+F13/$F$32</f>
        <v>7.4608150470219431E-2</v>
      </c>
      <c r="J13" s="306" t="s">
        <v>228</v>
      </c>
      <c r="K13" s="40"/>
      <c r="L13" s="307">
        <f>+[3]Encore!$GH$64</f>
        <v>107773</v>
      </c>
      <c r="M13" s="150">
        <f>+[3]Encore!$FT$64</f>
        <v>0</v>
      </c>
      <c r="N13" s="309" t="e">
        <f>(L13-M13)/M13</f>
        <v>#DIV/0!</v>
      </c>
      <c r="O13" s="307">
        <f>+SUM([3]Encore!$GB$64:$GH$64)</f>
        <v>719924</v>
      </c>
      <c r="P13" s="150">
        <f>+SUM([3]Encore!$FN$64:$FT$64)</f>
        <v>0</v>
      </c>
      <c r="Q13" s="308" t="e">
        <f>(O13-P13)/P13</f>
        <v>#DIV/0!</v>
      </c>
      <c r="R13" s="309">
        <f>O13/$O$32</f>
        <v>3.4415928788144447E-3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150"/>
      <c r="Q14" s="3"/>
      <c r="R14" s="67"/>
    </row>
    <row r="15" spans="1:18" ht="14.1" customHeight="1" x14ac:dyDescent="0.2">
      <c r="A15" s="306" t="s">
        <v>190</v>
      </c>
      <c r="B15" s="40"/>
      <c r="C15" s="307">
        <f>+[3]FedEx!$GH$19</f>
        <v>254</v>
      </c>
      <c r="D15" s="150">
        <f>+[3]FedEx!$FT$19</f>
        <v>212</v>
      </c>
      <c r="E15" s="309">
        <f>(C15-D15)/D15</f>
        <v>0.19811320754716982</v>
      </c>
      <c r="F15" s="307">
        <f>+SUM([3]FedEx!$GB$12:$GH$12)</f>
        <v>1788</v>
      </c>
      <c r="G15" s="150">
        <f>+SUM([3]FedEx!$FN$12:$FT$12)</f>
        <v>1630</v>
      </c>
      <c r="H15" s="308">
        <f t="shared" ref="H15" si="0">(F15-G15)/G15</f>
        <v>9.6932515337423308E-2</v>
      </c>
      <c r="I15" s="309">
        <f>+F15/$F$32</f>
        <v>0.22420062695924764</v>
      </c>
      <c r="J15" s="306" t="s">
        <v>190</v>
      </c>
      <c r="K15" s="40"/>
      <c r="L15" s="307">
        <f>+[3]FedEx!$GH$64</f>
        <v>14617313</v>
      </c>
      <c r="M15" s="150">
        <f>+[3]FedEx!$FT$64</f>
        <v>15931260</v>
      </c>
      <c r="N15" s="309">
        <f>(L15-M15)/M15</f>
        <v>-8.2476025122934407E-2</v>
      </c>
      <c r="O15" s="307">
        <f>+SUM([3]FedEx!$GB$64:$GH$64)</f>
        <v>101127396</v>
      </c>
      <c r="P15" s="150">
        <f>+SUM([3]FedEx!$FN$64:$FT$64)</f>
        <v>117190286</v>
      </c>
      <c r="Q15" s="308">
        <f t="shared" ref="Q15" si="1">(O15-P15)/P15</f>
        <v>-0.13706673606035913</v>
      </c>
      <c r="R15" s="309">
        <f>O15/$O$32</f>
        <v>0.48343898234625926</v>
      </c>
    </row>
    <row r="16" spans="1:18" ht="14.1" customHeight="1" x14ac:dyDescent="0.2">
      <c r="A16" s="306"/>
      <c r="B16" s="40"/>
      <c r="C16" s="307"/>
      <c r="D16" s="150"/>
      <c r="E16" s="309"/>
      <c r="F16" s="307"/>
      <c r="G16" s="150"/>
      <c r="H16" s="308"/>
      <c r="I16" s="309"/>
      <c r="J16" s="306"/>
      <c r="K16" s="40"/>
      <c r="L16" s="310"/>
      <c r="N16" s="67"/>
      <c r="O16" s="310"/>
      <c r="P16" s="2"/>
      <c r="Q16" s="3"/>
      <c r="R16" s="67"/>
    </row>
    <row r="17" spans="1:19" ht="14.1" customHeight="1" x14ac:dyDescent="0.2">
      <c r="A17" s="306" t="s">
        <v>83</v>
      </c>
      <c r="B17" s="40"/>
      <c r="C17" s="307">
        <f>+[3]UPS!$GH$19</f>
        <v>268</v>
      </c>
      <c r="D17" s="150">
        <f>+[3]UPS!$FT$19</f>
        <v>242</v>
      </c>
      <c r="E17" s="309">
        <f>(C17-D17)/D17</f>
        <v>0.10743801652892562</v>
      </c>
      <c r="F17" s="307">
        <f>+SUM([3]UPS!$GB$12:$GH$12)</f>
        <v>1686</v>
      </c>
      <c r="G17" s="150">
        <f>+SUM([3]UPS!$FN$12:$FT$12)</f>
        <v>1420</v>
      </c>
      <c r="H17" s="308">
        <f>(F17-G17)/G17</f>
        <v>0.18732394366197183</v>
      </c>
      <c r="I17" s="309">
        <f>+F17/$F$32</f>
        <v>0.21141065830721004</v>
      </c>
      <c r="J17" s="306" t="s">
        <v>83</v>
      </c>
      <c r="K17" s="40"/>
      <c r="L17" s="307">
        <f>+[3]UPS!$GH$64</f>
        <v>12638065</v>
      </c>
      <c r="M17" s="150">
        <f>+[3]UPS!$FT$64</f>
        <v>11255479</v>
      </c>
      <c r="N17" s="309">
        <f>(L17-M17)/M17</f>
        <v>0.12283670912628418</v>
      </c>
      <c r="O17" s="307">
        <f>+SUM([3]UPS!$GB$64:$GH$64)</f>
        <v>81695601</v>
      </c>
      <c r="P17" s="150">
        <f>+SUM([3]UPS!$FN$64:$FT$64)</f>
        <v>76994819</v>
      </c>
      <c r="Q17" s="308">
        <f>(O17-P17)/P17</f>
        <v>6.1053224892963255E-2</v>
      </c>
      <c r="R17" s="309">
        <f>O17/$O$32</f>
        <v>0.39054538900226443</v>
      </c>
    </row>
    <row r="18" spans="1:19" ht="14.1" customHeight="1" x14ac:dyDescent="0.2">
      <c r="A18" s="306"/>
      <c r="B18" s="40"/>
      <c r="C18" s="307"/>
      <c r="D18" s="150"/>
      <c r="E18" s="309"/>
      <c r="F18" s="307"/>
      <c r="G18" s="150"/>
      <c r="H18" s="308"/>
      <c r="I18" s="309"/>
      <c r="J18" s="306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182</v>
      </c>
      <c r="B19" s="40"/>
      <c r="C19" s="307">
        <f>+[3]IFL!$GH$19</f>
        <v>36</v>
      </c>
      <c r="D19" s="150">
        <f>+[3]IFL!$FT$19</f>
        <v>40</v>
      </c>
      <c r="E19" s="309">
        <f>(C19-D19)/D19</f>
        <v>-0.1</v>
      </c>
      <c r="F19" s="307">
        <f>+SUM([3]IFL!$GB$12:$GH$12)</f>
        <v>231</v>
      </c>
      <c r="G19" s="150">
        <f>+SUM([3]IFL!$FN$12:$FT$12)</f>
        <v>302</v>
      </c>
      <c r="H19" s="308">
        <f>(F19-G19)/G19</f>
        <v>-0.23509933774834438</v>
      </c>
      <c r="I19" s="309">
        <f>+F19/$F$32</f>
        <v>2.8965517241379312E-2</v>
      </c>
      <c r="J19" s="306" t="s">
        <v>182</v>
      </c>
      <c r="K19" s="40"/>
      <c r="L19" s="307">
        <f>+[3]IFL!$GH$64</f>
        <v>48673</v>
      </c>
      <c r="M19" s="150">
        <f>+[3]IFL!$FT$64</f>
        <v>23791</v>
      </c>
      <c r="N19" s="309">
        <f>(L19-M19)/M19</f>
        <v>1.0458576772729182</v>
      </c>
      <c r="O19" s="307">
        <f>+SUM([3]IFL!$GB$64:$GH$64)</f>
        <v>148470</v>
      </c>
      <c r="P19" s="150">
        <f>+SUM([3]IFL!$FN$64:$FT$64)</f>
        <v>147996</v>
      </c>
      <c r="Q19" s="308">
        <f>(O19-P19)/P19</f>
        <v>3.2027892645747182E-3</v>
      </c>
      <c r="R19" s="309">
        <f>O19/$O$32</f>
        <v>7.0976005066865475E-4</v>
      </c>
    </row>
    <row r="20" spans="1:19" ht="14.1" customHeight="1" x14ac:dyDescent="0.2">
      <c r="A20" s="306"/>
      <c r="B20" s="40"/>
      <c r="C20" s="307"/>
      <c r="D20" s="165"/>
      <c r="E20" s="309"/>
      <c r="F20" s="397"/>
      <c r="G20" s="165"/>
      <c r="H20" s="308"/>
      <c r="I20" s="309"/>
      <c r="J20" s="306"/>
      <c r="K20" s="40"/>
      <c r="L20" s="141"/>
      <c r="M20" s="97"/>
      <c r="N20" s="67"/>
      <c r="O20" s="141"/>
      <c r="P20" s="97"/>
      <c r="Q20" s="3"/>
      <c r="R20" s="67"/>
    </row>
    <row r="21" spans="1:19" ht="14.1" customHeight="1" x14ac:dyDescent="0.2">
      <c r="A21" s="306" t="s">
        <v>165</v>
      </c>
      <c r="B21" s="311"/>
      <c r="C21" s="307">
        <f>+'[3]Suburban Air Freight'!$GH$19</f>
        <v>0</v>
      </c>
      <c r="D21" s="150">
        <f>+'[3]Suburban Air Freight'!$FT$19</f>
        <v>0</v>
      </c>
      <c r="E21" s="309" t="e">
        <f>(C21-D21)/D21</f>
        <v>#DIV/0!</v>
      </c>
      <c r="F21" s="307">
        <f>+SUM('[3]Suburban Air Freight'!$GB$12:$GH$12)</f>
        <v>0</v>
      </c>
      <c r="G21" s="150">
        <f>+SUM('[3]Suburban Air Freight'!$FN$12:$FT$12)</f>
        <v>0</v>
      </c>
      <c r="H21" s="308" t="e">
        <f t="shared" ref="H21" si="2">(F21-G21)/G21</f>
        <v>#DIV/0!</v>
      </c>
      <c r="I21" s="309">
        <f>+F21/$F$32</f>
        <v>0</v>
      </c>
      <c r="J21" s="306" t="s">
        <v>165</v>
      </c>
      <c r="K21" s="311"/>
      <c r="L21" s="307">
        <f>+'[3]Suburban Air Freight'!$GH$64</f>
        <v>0</v>
      </c>
      <c r="M21" s="150">
        <f>+'[3]Suburban Air Freight'!$FT$64</f>
        <v>0</v>
      </c>
      <c r="N21" s="309" t="e">
        <f>(L21-M21)/M21</f>
        <v>#DIV/0!</v>
      </c>
      <c r="O21" s="307">
        <f>+SUM('[3]Suburban Air Freight'!$GB$64:$GH$64)</f>
        <v>0</v>
      </c>
      <c r="P21" s="150">
        <f>+SUM('[3]Suburban Air Freight'!$FN$64:$FT$64)</f>
        <v>0</v>
      </c>
      <c r="Q21" s="308" t="e">
        <f t="shared" ref="Q21" si="3">(O21-P21)/P21</f>
        <v>#DIV/0!</v>
      </c>
      <c r="R21" s="309">
        <f>O21/$O$32</f>
        <v>0</v>
      </c>
    </row>
    <row r="22" spans="1:19" ht="14.1" customHeight="1" x14ac:dyDescent="0.2">
      <c r="A22" s="38"/>
      <c r="B22" s="40"/>
      <c r="C22" s="307"/>
      <c r="E22" s="67"/>
      <c r="F22" s="310"/>
      <c r="I22" s="67"/>
      <c r="J22" s="38"/>
      <c r="K22" s="40"/>
      <c r="L22" s="310"/>
      <c r="N22" s="67"/>
      <c r="O22" s="310"/>
      <c r="P22" s="2"/>
      <c r="Q22" s="3"/>
      <c r="R22" s="67"/>
    </row>
    <row r="23" spans="1:19" ht="14.1" customHeight="1" x14ac:dyDescent="0.2">
      <c r="A23" s="306" t="s">
        <v>84</v>
      </c>
      <c r="B23" s="40"/>
      <c r="C23" s="307">
        <f>+[3]Bemidji!$GH$19</f>
        <v>410</v>
      </c>
      <c r="D23" s="150">
        <f>+[3]Bemidji!$FT$19</f>
        <v>536</v>
      </c>
      <c r="E23" s="309">
        <f>(C23-D23)/D23</f>
        <v>-0.23507462686567165</v>
      </c>
      <c r="F23" s="307">
        <f>+SUM([3]Bemidji!$GB$12:$GH$12)</f>
        <v>2706</v>
      </c>
      <c r="G23" s="150">
        <f>+SUM([3]Bemidji!$FN$12:$FT$12)</f>
        <v>3874</v>
      </c>
      <c r="H23" s="308">
        <f t="shared" ref="H23" si="4">(F23-G23)/G23</f>
        <v>-0.30149716055756326</v>
      </c>
      <c r="I23" s="309">
        <f>+F23/$F$32</f>
        <v>0.33931034482758621</v>
      </c>
      <c r="J23" s="306" t="s">
        <v>84</v>
      </c>
      <c r="K23" s="40"/>
      <c r="L23" s="483" t="s">
        <v>193</v>
      </c>
      <c r="M23" s="484"/>
      <c r="N23" s="484"/>
      <c r="O23" s="484"/>
      <c r="P23" s="484"/>
      <c r="Q23" s="484"/>
      <c r="R23" s="485"/>
    </row>
    <row r="24" spans="1:19" ht="14.1" customHeight="1" x14ac:dyDescent="0.2">
      <c r="A24" s="38"/>
      <c r="B24" s="40"/>
      <c r="C24" s="307"/>
      <c r="E24" s="67"/>
      <c r="F24" s="310"/>
      <c r="I24" s="67"/>
      <c r="J24" s="38"/>
      <c r="K24" s="40"/>
      <c r="L24" s="310"/>
      <c r="N24" s="67"/>
      <c r="O24" s="310"/>
      <c r="P24" s="2"/>
      <c r="Q24" s="3"/>
      <c r="R24" s="67"/>
    </row>
    <row r="25" spans="1:19" ht="14.1" customHeight="1" x14ac:dyDescent="0.2">
      <c r="A25" s="306" t="s">
        <v>85</v>
      </c>
      <c r="B25" s="40"/>
      <c r="C25" s="307">
        <f>+'[3]CSA Air'!$GH$19</f>
        <v>0</v>
      </c>
      <c r="D25" s="150">
        <f>+'[3]CSA Air'!$FT$19</f>
        <v>1</v>
      </c>
      <c r="E25" s="309">
        <f>(C25-D25)/D25</f>
        <v>-1</v>
      </c>
      <c r="F25" s="307">
        <f>+SUM('[3]CSA Air'!$GB$12:$GH$12)</f>
        <v>9</v>
      </c>
      <c r="G25" s="150">
        <f>+SUM('[3]CSA Air'!$FN$12:$FT$12)</f>
        <v>7</v>
      </c>
      <c r="H25" s="308">
        <f t="shared" ref="H25" si="5">(F25-G25)/G25</f>
        <v>0.2857142857142857</v>
      </c>
      <c r="I25" s="309">
        <f>+F25/$F$32</f>
        <v>1.1285266457680251E-3</v>
      </c>
      <c r="J25" s="306" t="s">
        <v>85</v>
      </c>
      <c r="K25" s="40"/>
      <c r="L25" s="307">
        <f>+'[3]CSA Air'!$GH$64</f>
        <v>0</v>
      </c>
      <c r="M25" s="150">
        <f>+'[3]CSA Air'!$FT$64</f>
        <v>1371</v>
      </c>
      <c r="N25" s="309">
        <f>(L25-M25)/M25</f>
        <v>-1</v>
      </c>
      <c r="O25" s="307">
        <f>+SUM('[3]CSA Air'!$GB$64:$GH$64)</f>
        <v>9686</v>
      </c>
      <c r="P25" s="150">
        <f>+SUM('[3]CSA Air'!$FN$64:$FT$64)</f>
        <v>4785</v>
      </c>
      <c r="Q25" s="308">
        <f t="shared" ref="Q25" si="6">(O25-P25)/P25</f>
        <v>1.0242424242424242</v>
      </c>
      <c r="R25" s="309">
        <f>O25/$O$32</f>
        <v>4.6303871831188725E-5</v>
      </c>
    </row>
    <row r="26" spans="1:19" ht="14.1" customHeight="1" x14ac:dyDescent="0.2">
      <c r="A26" s="38"/>
      <c r="B26" s="40"/>
      <c r="C26" s="307"/>
      <c r="E26" s="67"/>
      <c r="F26" s="310"/>
      <c r="I26" s="67"/>
      <c r="J26" s="38"/>
      <c r="K26" s="40"/>
      <c r="L26" s="310"/>
      <c r="N26" s="67"/>
      <c r="O26" s="310"/>
      <c r="P26" s="2"/>
      <c r="Q26" s="3"/>
      <c r="R26" s="67"/>
    </row>
    <row r="27" spans="1:19" ht="14.1" customHeight="1" x14ac:dyDescent="0.2">
      <c r="A27" s="306" t="s">
        <v>86</v>
      </c>
      <c r="B27" s="311"/>
      <c r="C27" s="307">
        <f>+'[3]Mountain Cargo'!$GH$19</f>
        <v>42</v>
      </c>
      <c r="D27" s="150">
        <f>+'[3]Mountain Cargo'!$FT$19</f>
        <v>38</v>
      </c>
      <c r="E27" s="309">
        <f>(C27-D27)/D27</f>
        <v>0.10526315789473684</v>
      </c>
      <c r="F27" s="307">
        <f>+SUM('[3]Mountain Cargo'!$GB$12:$GH$12)</f>
        <v>244</v>
      </c>
      <c r="G27" s="150">
        <f>+SUM('[3]Mountain Cargo'!$FN$12:$FT$12)</f>
        <v>278</v>
      </c>
      <c r="H27" s="308">
        <f>(F27-G27)/G27</f>
        <v>-0.1223021582733813</v>
      </c>
      <c r="I27" s="309">
        <f>+F27/$F$32</f>
        <v>3.0595611285266458E-2</v>
      </c>
      <c r="J27" s="306" t="s">
        <v>86</v>
      </c>
      <c r="K27" s="311"/>
      <c r="L27" s="307">
        <f>+'[3]Mountain Cargo'!$GH$64</f>
        <v>181384</v>
      </c>
      <c r="M27" s="150">
        <f>+'[3]Mountain Cargo'!$FT$64</f>
        <v>197910</v>
      </c>
      <c r="N27" s="309">
        <f>(L27-M27)/M27</f>
        <v>-8.350260219291597E-2</v>
      </c>
      <c r="O27" s="307">
        <f>+SUM('[3]Mountain Cargo'!$GB$64:$GH$64)</f>
        <v>980218</v>
      </c>
      <c r="P27" s="150">
        <f>+SUM('[3]Mountain Cargo'!$FN$64:$FT$64)</f>
        <v>846117</v>
      </c>
      <c r="Q27" s="308">
        <f t="shared" ref="Q27" si="7">(O27-P27)/P27</f>
        <v>0.15848990151480233</v>
      </c>
      <c r="R27" s="309">
        <f>O27/$O$32</f>
        <v>4.6859269707437692E-3</v>
      </c>
      <c r="S27" s="353"/>
    </row>
    <row r="28" spans="1:19" ht="14.1" customHeight="1" x14ac:dyDescent="0.2">
      <c r="A28" s="38"/>
      <c r="B28" s="364"/>
      <c r="C28" s="307"/>
      <c r="E28" s="67"/>
      <c r="F28" s="310"/>
      <c r="I28" s="67"/>
      <c r="J28" s="38"/>
      <c r="K28" s="364"/>
      <c r="L28" s="310"/>
      <c r="N28" s="67"/>
      <c r="O28" s="310"/>
      <c r="P28" s="2"/>
      <c r="Q28" s="3"/>
      <c r="R28" s="67"/>
      <c r="S28" s="284"/>
    </row>
    <row r="29" spans="1:19" ht="14.1" customHeight="1" x14ac:dyDescent="0.2">
      <c r="A29" s="306" t="s">
        <v>129</v>
      </c>
      <c r="B29" s="40"/>
      <c r="C29" s="307">
        <f>+'[3]Misc Cargo'!$GH$19</f>
        <v>0</v>
      </c>
      <c r="D29" s="150">
        <f>+'[3]Misc Cargo'!$FT$19</f>
        <v>91</v>
      </c>
      <c r="E29" s="309">
        <f>(C29-D29)/D29</f>
        <v>-1</v>
      </c>
      <c r="F29" s="307">
        <f>+SUM('[3]Misc Cargo'!$GB$12:$GH$12)</f>
        <v>2</v>
      </c>
      <c r="G29" s="150">
        <f>+SUM('[3]Misc Cargo'!$FN$12:$FT$12)</f>
        <v>489</v>
      </c>
      <c r="H29" s="308">
        <f>(F29-G29)/G29</f>
        <v>-0.99591002044989774</v>
      </c>
      <c r="I29" s="309">
        <f>+F29/$F$32</f>
        <v>2.5078369905956113E-4</v>
      </c>
      <c r="J29" s="306" t="s">
        <v>129</v>
      </c>
      <c r="K29" s="40"/>
      <c r="L29" s="307">
        <f>+'[3]Misc Cargo'!$GH$64</f>
        <v>0</v>
      </c>
      <c r="M29" s="150">
        <f>+'[3]Misc Cargo'!$FT$64</f>
        <v>124594</v>
      </c>
      <c r="N29" s="309">
        <f>(L29-M29)/M29</f>
        <v>-1</v>
      </c>
      <c r="O29" s="307">
        <f>+SUM('[3]Misc Cargo'!$GB$64:$GH$64)</f>
        <v>29717</v>
      </c>
      <c r="P29" s="150">
        <f>+SUM('[3]Misc Cargo'!$FN$64:$FT$64)</f>
        <v>714374</v>
      </c>
      <c r="Q29" s="308">
        <f>(O29-P29)/P29</f>
        <v>-0.958401341594179</v>
      </c>
      <c r="R29" s="309">
        <f>O29/$O$32</f>
        <v>1.4206196151222747E-4</v>
      </c>
      <c r="S29" s="398"/>
    </row>
    <row r="30" spans="1:19" ht="14.1" customHeight="1" thickBot="1" x14ac:dyDescent="0.25">
      <c r="A30" s="399"/>
      <c r="B30" s="400"/>
      <c r="C30" s="401"/>
      <c r="D30" s="403"/>
      <c r="E30" s="404"/>
      <c r="F30" s="401"/>
      <c r="G30" s="403"/>
      <c r="H30" s="402"/>
      <c r="I30" s="404"/>
      <c r="J30" s="306"/>
      <c r="K30" s="40"/>
      <c r="L30" s="313"/>
      <c r="M30" s="315"/>
      <c r="N30" s="316"/>
      <c r="O30" s="313"/>
      <c r="P30" s="315"/>
      <c r="Q30" s="314"/>
      <c r="R30" s="400"/>
      <c r="S30" s="398"/>
    </row>
    <row r="31" spans="1:19" ht="13.5" thickBot="1" x14ac:dyDescent="0.25">
      <c r="D31" s="3"/>
      <c r="F31" s="2"/>
      <c r="G31"/>
      <c r="H31"/>
      <c r="I31"/>
      <c r="J31"/>
      <c r="K31"/>
      <c r="M31"/>
      <c r="N31"/>
    </row>
    <row r="32" spans="1:19" ht="15.75" thickBot="1" x14ac:dyDescent="0.3">
      <c r="B32" s="405" t="s">
        <v>191</v>
      </c>
      <c r="C32" s="406">
        <f>+SUM(C5:C29)</f>
        <v>1206</v>
      </c>
      <c r="D32" s="407">
        <f>SUM(D5:D30)</f>
        <v>1264</v>
      </c>
      <c r="E32" s="408">
        <f>(C32-D32)/D32</f>
        <v>-4.588607594936709E-2</v>
      </c>
      <c r="F32" s="406">
        <f>+SUM(F5:F29)</f>
        <v>7975</v>
      </c>
      <c r="G32" s="406">
        <f>+SUM(G5:G29)</f>
        <v>8394</v>
      </c>
      <c r="H32" s="409">
        <f>(F32-G32)/G32</f>
        <v>-4.9916607100309748E-2</v>
      </c>
      <c r="I32" s="420"/>
      <c r="J32"/>
      <c r="K32" s="405" t="s">
        <v>191</v>
      </c>
      <c r="L32" s="406">
        <f>+SUM(L5:L29)</f>
        <v>31221225</v>
      </c>
      <c r="M32" s="410">
        <f>SUM(M5:M30)</f>
        <v>30954037</v>
      </c>
      <c r="N32" s="411">
        <f>(L32-M32)/M32</f>
        <v>8.6317658662745673E-3</v>
      </c>
      <c r="O32" s="406">
        <f>+SUM(O5:O29)</f>
        <v>209183371</v>
      </c>
      <c r="P32" s="406">
        <f>+SUM(P5:P29)</f>
        <v>208361722</v>
      </c>
      <c r="Q32" s="409">
        <f t="shared" ref="Q32" si="8">(O32-P32)/P32</f>
        <v>3.9433778532508004E-3</v>
      </c>
      <c r="R32" s="420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F102" s="195"/>
      <c r="K102"/>
    </row>
    <row r="103" spans="4:14" x14ac:dyDescent="0.2">
      <c r="F103" s="195"/>
      <c r="K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</sheetData>
  <mergeCells count="7">
    <mergeCell ref="L3:R3"/>
    <mergeCell ref="L23:R23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July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2019-08-13T20:15:45Z</cp:lastPrinted>
  <dcterms:created xsi:type="dcterms:W3CDTF">2007-09-24T12:26:24Z</dcterms:created>
  <dcterms:modified xsi:type="dcterms:W3CDTF">2021-02-26T19:53:34Z</dcterms:modified>
</cp:coreProperties>
</file>