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3C8D8272-1223-468A-BFAE-0A9FC807B688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G25" i="17" s="1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H11" i="17" s="1"/>
  <c r="F11" i="17"/>
  <c r="G10" i="17"/>
  <c r="F10" i="17"/>
  <c r="G7" i="17"/>
  <c r="F7" i="17"/>
  <c r="G6" i="17"/>
  <c r="F6" i="17"/>
  <c r="P29" i="17"/>
  <c r="M29" i="17"/>
  <c r="D29" i="17"/>
  <c r="D27" i="17"/>
  <c r="P26" i="17"/>
  <c r="P25" i="17" s="1"/>
  <c r="M26" i="17"/>
  <c r="M25" i="17" s="1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O29" i="17"/>
  <c r="L29" i="17"/>
  <c r="C29" i="17"/>
  <c r="C27" i="17"/>
  <c r="O26" i="17"/>
  <c r="L26" i="17"/>
  <c r="C26" i="17"/>
  <c r="O22" i="17"/>
  <c r="L22" i="17"/>
  <c r="C22" i="17"/>
  <c r="E22" i="17" s="1"/>
  <c r="O21" i="17"/>
  <c r="L21" i="17"/>
  <c r="C21" i="17"/>
  <c r="O20" i="17"/>
  <c r="L20" i="17"/>
  <c r="C20" i="17"/>
  <c r="O19" i="17"/>
  <c r="L19" i="17"/>
  <c r="C19" i="17"/>
  <c r="O16" i="17"/>
  <c r="L16" i="17"/>
  <c r="C16" i="17"/>
  <c r="O15" i="17"/>
  <c r="L15" i="17"/>
  <c r="C15" i="17"/>
  <c r="O14" i="17"/>
  <c r="Q14" i="17" s="1"/>
  <c r="L14" i="17"/>
  <c r="N14" i="17" s="1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J3" i="17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E23" i="8" s="1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P9" i="8" s="1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E27" i="7"/>
  <c r="J27" i="7"/>
  <c r="O27" i="7"/>
  <c r="O26" i="7"/>
  <c r="E26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N28" i="8" l="1"/>
  <c r="N10" i="17"/>
  <c r="N20" i="17"/>
  <c r="Q22" i="17"/>
  <c r="Q12" i="17"/>
  <c r="H26" i="17"/>
  <c r="L5" i="17"/>
  <c r="H15" i="17"/>
  <c r="O6" i="8"/>
  <c r="N12" i="17"/>
  <c r="N22" i="17"/>
  <c r="Q29" i="17"/>
  <c r="D25" i="17"/>
  <c r="E6" i="17"/>
  <c r="C6" i="8"/>
  <c r="C12" i="8" s="1"/>
  <c r="O23" i="8"/>
  <c r="Q6" i="17"/>
  <c r="M23" i="8"/>
  <c r="E14" i="17"/>
  <c r="H29" i="17"/>
  <c r="F28" i="8"/>
  <c r="Q15" i="17"/>
  <c r="N16" i="17"/>
  <c r="G9" i="17"/>
  <c r="Q10" i="17"/>
  <c r="O18" i="17"/>
  <c r="G6" i="8"/>
  <c r="G12" i="8" s="1"/>
  <c r="H23" i="8"/>
  <c r="H6" i="8"/>
  <c r="H12" i="8" s="1"/>
  <c r="K18" i="8"/>
  <c r="I23" i="8"/>
  <c r="G28" i="8"/>
  <c r="O28" i="8"/>
  <c r="N6" i="17"/>
  <c r="C5" i="17"/>
  <c r="Q16" i="17"/>
  <c r="Q11" i="17"/>
  <c r="G18" i="8"/>
  <c r="J23" i="8"/>
  <c r="H28" i="8"/>
  <c r="K28" i="8"/>
  <c r="M5" i="17"/>
  <c r="M18" i="17"/>
  <c r="P5" i="8"/>
  <c r="L6" i="8"/>
  <c r="L12" i="8" s="1"/>
  <c r="E18" i="8"/>
  <c r="M18" i="8"/>
  <c r="K23" i="8"/>
  <c r="N23" i="8"/>
  <c r="I28" i="8"/>
  <c r="L28" i="8"/>
  <c r="P5" i="17"/>
  <c r="E6" i="8"/>
  <c r="E12" i="8" s="1"/>
  <c r="I32" i="8"/>
  <c r="L31" i="8"/>
  <c r="G32" i="8"/>
  <c r="G18" i="17"/>
  <c r="O18" i="8"/>
  <c r="B28" i="8"/>
  <c r="M6" i="8"/>
  <c r="M12" i="8" s="1"/>
  <c r="Q7" i="17"/>
  <c r="I18" i="8"/>
  <c r="M28" i="8"/>
  <c r="O31" i="8"/>
  <c r="J31" i="8"/>
  <c r="M32" i="8"/>
  <c r="N31" i="8"/>
  <c r="F18" i="8"/>
  <c r="N18" i="8"/>
  <c r="C23" i="8"/>
  <c r="J28" i="8"/>
  <c r="O5" i="17"/>
  <c r="E11" i="17"/>
  <c r="E13" i="17"/>
  <c r="E15" i="17"/>
  <c r="E19" i="17"/>
  <c r="N29" i="17"/>
  <c r="P18" i="17"/>
  <c r="K6" i="8"/>
  <c r="K12" i="8" s="1"/>
  <c r="I6" i="8"/>
  <c r="I12" i="8" s="1"/>
  <c r="E32" i="8"/>
  <c r="P9" i="17"/>
  <c r="D18" i="17"/>
  <c r="F25" i="17"/>
  <c r="H25" i="17" s="1"/>
  <c r="N11" i="17"/>
  <c r="Q20" i="17"/>
  <c r="D5" i="17"/>
  <c r="D9" i="17"/>
  <c r="D6" i="8"/>
  <c r="D12" i="8" s="1"/>
  <c r="J18" i="8"/>
  <c r="P21" i="8"/>
  <c r="K31" i="8"/>
  <c r="F32" i="8"/>
  <c r="N32" i="8"/>
  <c r="O9" i="17"/>
  <c r="Q21" i="17"/>
  <c r="Q26" i="17"/>
  <c r="G5" i="17"/>
  <c r="H18" i="8"/>
  <c r="F31" i="8"/>
  <c r="C31" i="8"/>
  <c r="O32" i="8"/>
  <c r="C18" i="17"/>
  <c r="C25" i="17"/>
  <c r="E25" i="17" s="1"/>
  <c r="F6" i="8"/>
  <c r="F12" i="8" s="1"/>
  <c r="N6" i="8"/>
  <c r="N12" i="8" s="1"/>
  <c r="O10" i="8"/>
  <c r="P10" i="8" s="1"/>
  <c r="P17" i="8"/>
  <c r="L18" i="8"/>
  <c r="G31" i="8"/>
  <c r="E31" i="8"/>
  <c r="M33" i="8"/>
  <c r="P27" i="8"/>
  <c r="F5" i="17"/>
  <c r="H5" i="17" s="1"/>
  <c r="B6" i="8"/>
  <c r="B12" i="8" s="1"/>
  <c r="J6" i="8"/>
  <c r="J12" i="8" s="1"/>
  <c r="P16" i="8"/>
  <c r="L32" i="8"/>
  <c r="H13" i="17"/>
  <c r="M9" i="17"/>
  <c r="N7" i="17"/>
  <c r="N13" i="17"/>
  <c r="N15" i="17"/>
  <c r="N19" i="17"/>
  <c r="N21" i="17"/>
  <c r="N26" i="17"/>
  <c r="E26" i="17"/>
  <c r="E10" i="17"/>
  <c r="E12" i="17"/>
  <c r="E16" i="17"/>
  <c r="H20" i="17"/>
  <c r="H22" i="17"/>
  <c r="Q19" i="17"/>
  <c r="E20" i="17"/>
  <c r="L25" i="17"/>
  <c r="N25" i="17" s="1"/>
  <c r="H6" i="17"/>
  <c r="O25" i="17"/>
  <c r="F9" i="17"/>
  <c r="H10" i="17"/>
  <c r="H14" i="17"/>
  <c r="F18" i="17"/>
  <c r="H19" i="17"/>
  <c r="E29" i="17"/>
  <c r="E7" i="17"/>
  <c r="Q13" i="17"/>
  <c r="E21" i="17"/>
  <c r="E27" i="17"/>
  <c r="H7" i="17"/>
  <c r="L9" i="17"/>
  <c r="H12" i="17"/>
  <c r="H16" i="17"/>
  <c r="L18" i="17"/>
  <c r="H21" i="17"/>
  <c r="H27" i="17"/>
  <c r="C9" i="17"/>
  <c r="L23" i="8"/>
  <c r="C28" i="8"/>
  <c r="H32" i="8"/>
  <c r="E28" i="8"/>
  <c r="E33" i="8" s="1"/>
  <c r="M31" i="8"/>
  <c r="C32" i="8"/>
  <c r="P22" i="8"/>
  <c r="F23" i="8"/>
  <c r="C18" i="8"/>
  <c r="G23" i="8"/>
  <c r="N33" i="8"/>
  <c r="P26" i="8"/>
  <c r="H31" i="8"/>
  <c r="J32" i="8"/>
  <c r="B18" i="8"/>
  <c r="I31" i="8"/>
  <c r="B32" i="8"/>
  <c r="K32" i="8"/>
  <c r="B23" i="8"/>
  <c r="B31" i="8"/>
  <c r="P4" i="8"/>
  <c r="P8" i="8"/>
  <c r="N5" i="17" l="1"/>
  <c r="G33" i="8"/>
  <c r="G33" i="17"/>
  <c r="J33" i="8"/>
  <c r="I33" i="8"/>
  <c r="O33" i="8"/>
  <c r="Q18" i="17"/>
  <c r="K33" i="8"/>
  <c r="Q5" i="17"/>
  <c r="N18" i="17"/>
  <c r="M33" i="17"/>
  <c r="O12" i="8"/>
  <c r="P12" i="8" s="1"/>
  <c r="E5" i="17"/>
  <c r="H33" i="8"/>
  <c r="L33" i="8"/>
  <c r="C33" i="8"/>
  <c r="F33" i="8"/>
  <c r="D33" i="17"/>
  <c r="E18" i="17"/>
  <c r="Q9" i="17"/>
  <c r="F33" i="17"/>
  <c r="I20" i="17" s="1"/>
  <c r="E9" i="17"/>
  <c r="C33" i="17"/>
  <c r="P18" i="8"/>
  <c r="P28" i="8"/>
  <c r="P33" i="17"/>
  <c r="P23" i="8"/>
  <c r="P6" i="8"/>
  <c r="N9" i="17"/>
  <c r="O33" i="17"/>
  <c r="Q25" i="17"/>
  <c r="H9" i="17"/>
  <c r="L33" i="17"/>
  <c r="N33" i="17" s="1"/>
  <c r="H18" i="17"/>
  <c r="P31" i="8"/>
  <c r="P32" i="8"/>
  <c r="B33" i="8"/>
  <c r="E33" i="17" l="1"/>
  <c r="P33" i="8"/>
  <c r="I25" i="17"/>
  <c r="I7" i="17"/>
  <c r="I9" i="17"/>
  <c r="I21" i="17"/>
  <c r="H33" i="17"/>
  <c r="I29" i="17"/>
  <c r="I13" i="17"/>
  <c r="I10" i="17"/>
  <c r="I6" i="17"/>
  <c r="I18" i="17"/>
  <c r="I27" i="17"/>
  <c r="I11" i="17"/>
  <c r="I26" i="17"/>
  <c r="I5" i="17"/>
  <c r="I16" i="17"/>
  <c r="I14" i="17"/>
  <c r="I12" i="17"/>
  <c r="I22" i="17"/>
  <c r="I15" i="17"/>
  <c r="I19" i="17"/>
  <c r="R14" i="17"/>
  <c r="R10" i="17"/>
  <c r="R13" i="17"/>
  <c r="R16" i="17"/>
  <c r="R29" i="17"/>
  <c r="R12" i="17"/>
  <c r="R22" i="17"/>
  <c r="R18" i="17"/>
  <c r="R21" i="17"/>
  <c r="Q33" i="17"/>
  <c r="R20" i="17"/>
  <c r="R15" i="17"/>
  <c r="R26" i="17"/>
  <c r="R7" i="17"/>
  <c r="R19" i="17"/>
  <c r="R11" i="17"/>
  <c r="R9" i="17"/>
  <c r="R5" i="17"/>
  <c r="R6" i="17"/>
  <c r="R25" i="17"/>
  <c r="J26" i="7"/>
  <c r="O25" i="7"/>
  <c r="M25" i="7"/>
  <c r="L25" i="7"/>
  <c r="C25" i="7"/>
  <c r="B25" i="7"/>
  <c r="D25" i="7" l="1"/>
  <c r="E33" i="9"/>
  <c r="N25" i="7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M24" i="7"/>
  <c r="L24" i="7"/>
  <c r="J25" i="7"/>
  <c r="E25" i="7"/>
  <c r="E24" i="7"/>
  <c r="C24" i="7"/>
  <c r="B24" i="7"/>
  <c r="X70" i="9" l="1"/>
  <c r="AA70" i="9" s="1"/>
  <c r="V70" i="9"/>
  <c r="V68" i="9" s="1"/>
  <c r="N24" i="7"/>
  <c r="D24" i="7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M23" i="7"/>
  <c r="L23" i="7"/>
  <c r="J24" i="7"/>
  <c r="C23" i="7"/>
  <c r="B23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D23" i="7"/>
  <c r="N23" i="7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D69" i="9" l="1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55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8" i="7"/>
  <c r="P28" i="7" s="1"/>
  <c r="D28" i="7"/>
  <c r="F28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B5" i="5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C19" i="1"/>
  <c r="D16" i="5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D5" i="5"/>
  <c r="G37" i="15"/>
  <c r="L18" i="4"/>
  <c r="M18" i="4" s="1"/>
  <c r="P10" i="16"/>
  <c r="B11" i="16"/>
  <c r="K51" i="2"/>
  <c r="J21" i="3"/>
  <c r="J20" i="2" s="1"/>
  <c r="K20" i="2" s="1"/>
  <c r="G22" i="3"/>
  <c r="H41" i="4"/>
  <c r="D15" i="5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D11" i="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19" i="1"/>
  <c r="B43" i="3"/>
  <c r="C11" i="16"/>
  <c r="P9" i="16"/>
  <c r="B27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C27" i="7" l="1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H45" i="3"/>
  <c r="G45" i="3"/>
  <c r="D45" i="2"/>
  <c r="G23" i="3"/>
  <c r="G42" i="15"/>
  <c r="H21" i="15"/>
  <c r="B42" i="4"/>
  <c r="D7" i="1"/>
  <c r="J17" i="2"/>
  <c r="K17" i="2" s="1"/>
  <c r="J12" i="3"/>
  <c r="J44" i="3"/>
  <c r="E45" i="2"/>
  <c r="E21" i="4"/>
  <c r="D17" i="5"/>
  <c r="F45" i="3"/>
  <c r="F42" i="15"/>
  <c r="D18" i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J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J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J37" i="15"/>
  <c r="J18" i="3"/>
  <c r="L17" i="4"/>
  <c r="M17" i="4" s="1"/>
  <c r="D10" i="5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27" i="7" l="1"/>
  <c r="F27" i="7" s="1"/>
  <c r="F25" i="7"/>
  <c r="F23" i="7"/>
  <c r="B8" i="1"/>
  <c r="F18" i="1"/>
  <c r="J21" i="15"/>
  <c r="D6" i="1"/>
  <c r="C8" i="1"/>
  <c r="C33" i="1" s="1"/>
  <c r="B10" i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J42" i="15"/>
  <c r="J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M27" i="7" s="1"/>
  <c r="B32" i="1"/>
  <c r="B11" i="1"/>
  <c r="L27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H27" i="7" l="1"/>
  <c r="N27" i="7"/>
  <c r="P27" i="7" s="1"/>
  <c r="G27" i="7"/>
  <c r="H25" i="7"/>
  <c r="P25" i="7"/>
  <c r="G25" i="7"/>
  <c r="I25" i="7" s="1"/>
  <c r="K25" i="7" s="1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7" i="7" l="1"/>
  <c r="K27" i="7" s="1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C22" i="7" l="1"/>
  <c r="D22" i="7" l="1"/>
  <c r="F22" i="7" l="1"/>
  <c r="M22" i="7"/>
  <c r="L22" i="7"/>
  <c r="N22" i="7" l="1"/>
  <c r="G22" i="7"/>
  <c r="H22" i="7"/>
  <c r="I22" i="7" l="1"/>
  <c r="P22" i="7"/>
  <c r="K22" i="7" l="1"/>
  <c r="B26" i="7" l="1"/>
  <c r="B33" i="7" l="1"/>
  <c r="C26" i="7" l="1"/>
  <c r="C33" i="7" l="1"/>
  <c r="D26" i="7"/>
  <c r="L26" i="7"/>
  <c r="G26" i="7" l="1"/>
  <c r="L33" i="7"/>
  <c r="F26" i="7"/>
  <c r="D33" i="7"/>
  <c r="F33" i="7" s="1"/>
  <c r="M26" i="7" l="1"/>
  <c r="G33" i="7"/>
  <c r="H26" i="7" l="1"/>
  <c r="M33" i="7"/>
  <c r="N26" i="7"/>
  <c r="P26" i="7" l="1"/>
  <c r="N33" i="7"/>
  <c r="P33" i="7" s="1"/>
  <c r="H33" i="7"/>
  <c r="I26" i="7"/>
  <c r="K26" i="7" l="1"/>
  <c r="I33" i="7"/>
  <c r="K33" i="7" s="1"/>
  <c r="G20" i="1" l="1"/>
  <c r="D33" i="1"/>
  <c r="I16" i="5"/>
  <c r="I20" i="1" l="1"/>
  <c r="G21" i="1"/>
  <c r="I5" i="5"/>
  <c r="G5" i="1"/>
  <c r="I10" i="5"/>
  <c r="I21" i="1" l="1"/>
  <c r="G18" i="1"/>
  <c r="K5" i="5"/>
  <c r="I5" i="1"/>
  <c r="K10" i="5"/>
  <c r="G7" i="1"/>
  <c r="G19" i="1"/>
  <c r="G17" i="1"/>
  <c r="I6" i="5"/>
  <c r="G16" i="1"/>
  <c r="D32" i="1"/>
  <c r="G27" i="1"/>
  <c r="I19" i="1" l="1"/>
  <c r="I7" i="1"/>
  <c r="I18" i="1"/>
  <c r="I17" i="1"/>
  <c r="I7" i="5"/>
  <c r="K7" i="5" s="1"/>
  <c r="D34" i="1"/>
  <c r="E33" i="1" s="1"/>
  <c r="G6" i="1"/>
  <c r="I27" i="1"/>
  <c r="I11" i="5"/>
  <c r="G28" i="1"/>
  <c r="G29" i="1" s="1"/>
  <c r="I29" i="1" s="1"/>
  <c r="G22" i="1"/>
  <c r="I22" i="1" s="1"/>
  <c r="I16" i="1"/>
  <c r="K6" i="5"/>
  <c r="I15" i="5"/>
  <c r="I28" i="1" l="1"/>
  <c r="K11" i="5"/>
  <c r="I12" i="5"/>
  <c r="K12" i="5" s="1"/>
  <c r="I21" i="5"/>
  <c r="K21" i="5" s="1"/>
  <c r="I6" i="1"/>
  <c r="G8" i="1"/>
  <c r="K15" i="5"/>
  <c r="I17" i="5"/>
  <c r="K17" i="5" s="1"/>
  <c r="I20" i="5"/>
  <c r="G10" i="1"/>
  <c r="E32" i="1"/>
  <c r="I10" i="1" l="1"/>
  <c r="I22" i="5"/>
  <c r="K22" i="5" s="1"/>
  <c r="K20" i="5"/>
  <c r="I8" i="1"/>
  <c r="G11" i="1"/>
  <c r="I11" i="1" s="1"/>
</calcChain>
</file>

<file path=xl/sharedStrings.xml><?xml version="1.0" encoding="utf-8"?>
<sst xmlns="http://schemas.openxmlformats.org/spreadsheetml/2006/main" count="681" uniqueCount="242">
  <si>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</si>
  <si>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</si>
  <si>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</si>
  <si>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</si>
  <si>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</si>
  <si>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</si>
  <si>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</si>
  <si>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</si>
  <si>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</si>
  <si>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</si>
  <si>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</si>
  <si>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</si>
  <si>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</si>
  <si>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</si>
  <si>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</si>
  <si>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</si>
  <si>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</si>
  <si>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</si>
  <si>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</si>
  <si>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</si>
  <si>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</si>
  <si>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</si>
  <si>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</si>
  <si>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</si>
  <si>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</si>
  <si>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</si>
  <si>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</si>
  <si>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</si>
  <si>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</si>
  <si>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</si>
  <si>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</si>
  <si>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</si>
  <si>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</si>
  <si>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</si>
  <si>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</si>
  <si>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</si>
  <si>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</si>
  <si>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</si>
  <si>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</si>
  <si>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</si>
  <si>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</si>
  <si>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</si>
  <si>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</si>
  <si>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</si>
  <si>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</si>
  <si>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</si>
  <si>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</si>
  <si>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</si>
  <si>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</si>
  <si>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</si>
  <si>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</si>
  <si>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</si>
  <si>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</si>
  <si>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</si>
  <si>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</si>
  <si>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</si>
  <si>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</si>
  <si>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</si>
  <si>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</si>
  <si>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</si>
  <si>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</si>
  <si>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</si>
  <si>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</si>
  <si>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</si>
  <si>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</si>
  <si>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</si>
  <si>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</si>
  <si>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</si>
  <si>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</si>
  <si>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</si>
  <si>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</si>
  <si>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</si>
  <si>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</si>
  <si>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</si>
  <si>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</si>
  <si>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</si>
  <si>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</si>
  <si>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</si>
  <si>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</si>
  <si>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</si>
  <si>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</si>
  <si>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</si>
  <si>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</si>
  <si>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</si>
  <si>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</si>
  <si>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</si>
  <si>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</si>
  <si>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</si>
  <si>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</si>
  <si>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</si>
  <si>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</si>
  <si>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</si>
  <si>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</si>
  <si>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</si>
  <si>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</si>
  <si>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</si>
  <si>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</si>
  <si>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</si>
  <si>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</si>
  <si>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</si>
  <si>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</si>
  <si>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</si>
  <si>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</si>
  <si>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</si>
  <si>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</si>
  <si>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</si>
  <si>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</si>
  <si>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</si>
  <si>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</si>
  <si>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</si>
  <si>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</si>
  <si>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</si>
  <si>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</si>
  <si>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</si>
  <si>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</si>
  <si>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</si>
  <si>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</si>
  <si>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</si>
  <si>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</si>
  <si>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</si>
  <si>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</si>
  <si>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</si>
  <si>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</si>
  <si>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</si>
  <si>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</si>
  <si>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</si>
  <si>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</si>
  <si>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</si>
  <si>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</si>
  <si>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</si>
  <si>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</si>
  <si>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</si>
  <si>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</si>
  <si>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</si>
  <si>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</si>
  <si>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</si>
  <si>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</si>
  <si>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</si>
  <si>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</si>
  <si>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</si>
  <si>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</si>
  <si>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</si>
  <si>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</si>
  <si>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</si>
  <si>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</si>
  <si>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</si>
  <si>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</si>
  <si>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</si>
  <si>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</si>
  <si>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</si>
  <si>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</si>
  <si>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</si>
  <si>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</si>
  <si>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</si>
  <si>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</si>
  <si>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</si>
  <si>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</si>
  <si>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</si>
  <si>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</si>
  <si>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</si>
  <si>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</si>
  <si>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</si>
  <si>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</si>
  <si>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</si>
  <si>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</si>
  <si>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</si>
  <si>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</si>
  <si>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</si>
  <si>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</si>
  <si>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</si>
  <si>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</si>
  <si>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</si>
  <si>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</si>
  <si>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</si>
  <si>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</si>
  <si>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</si>
  <si>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</si>
  <si>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</si>
  <si>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</si>
  <si>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</si>
  <si>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</si>
  <si>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</si>
  <si>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</si>
  <si>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</si>
  <si>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</si>
  <si>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</si>
  <si>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</si>
  <si>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</si>
  <si>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</si>
  <si>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</si>
  <si>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</si>
  <si>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</si>
  <si>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</si>
  <si>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</si>
  <si>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</si>
  <si>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</si>
  <si>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</si>
  <si>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</si>
  <si>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</si>
  <si>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</si>
  <si>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</si>
  <si>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</si>
  <si>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</si>
  <si>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</si>
  <si>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</si>
  <si>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</si>
  <si>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</si>
  <si>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</si>
  <si>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</si>
  <si>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</si>
  <si>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</si>
  <si>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</si>
  <si>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</si>
  <si>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</si>
  <si>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</si>
  <si>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</si>
  <si>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</si>
  <si>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</si>
  <si>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</si>
  <si>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</si>
  <si>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</si>
  <si>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</si>
  <si>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Belly Cargo/Mail in Pounds</t>
  </si>
  <si>
    <t>Belly Cargo/Mail In Pounds</t>
  </si>
  <si>
    <t>Denver Air</t>
  </si>
  <si>
    <t>Sun Country - Amazon</t>
  </si>
  <si>
    <t>July 2019</t>
  </si>
  <si>
    <t>Air Wisconsin-United</t>
  </si>
  <si>
    <t>MSP Cargo</t>
  </si>
  <si>
    <t>Encore -DHL</t>
  </si>
  <si>
    <t>Kalitta - DHL</t>
  </si>
  <si>
    <t>Southern Air - DHL</t>
  </si>
  <si>
    <t>Swift Air - DHL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</si>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</sst>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6" fillId="3" borderId="17" xfId="0" applyNumberFormat="1" applyFont="1" applyFill="1" applyBorder="1" applyAlignment="1">
      <alignment horizontal="center"/>
    </xf>
    <xf numFmtId="41" fontId="16" fillId="3" borderId="34" xfId="0" applyNumberFormat="1" applyFont="1" applyFill="1" applyBorder="1" applyAlignment="1">
      <alignment horizontal="center"/>
    </xf>
    <xf numFmtId="41" fontId="16" fillId="3" borderId="43" xfId="0" applyNumberFormat="1" applyFont="1" applyFill="1" applyBorder="1" applyAlignment="1">
      <alignment horizontal="center"/>
    </xf>
    <xf numFmtId="41" fontId="16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8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7" fillId="11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63" xfId="0" applyNumberFormat="1" applyFont="1" applyBorder="1"/>
    <xf numFmtId="10" fontId="28" fillId="0" borderId="46" xfId="3" applyNumberFormat="1" applyFont="1" applyBorder="1"/>
    <xf numFmtId="10" fontId="28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0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3" fontId="4" fillId="15" borderId="0" xfId="0" applyNumberFormat="1" applyFont="1" applyFill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1" fontId="0" fillId="0" borderId="9" xfId="0" applyNumberFormat="1" applyBorder="1"/>
    <xf numFmtId="3" fontId="4" fillId="15" borderId="9" xfId="0" applyNumberFormat="1" applyFont="1" applyFill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31" fillId="6" borderId="35" xfId="0" applyFont="1" applyFill="1" applyBorder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3" fontId="4" fillId="0" borderId="48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29" fillId="11" borderId="35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29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ly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3014233</v>
          </cell>
          <cell r="G5">
            <v>17726743</v>
          </cell>
        </row>
        <row r="6">
          <cell r="D6">
            <v>720104</v>
          </cell>
          <cell r="G6">
            <v>4447457</v>
          </cell>
        </row>
        <row r="7">
          <cell r="D7">
            <v>677</v>
          </cell>
          <cell r="G7">
            <v>3685</v>
          </cell>
        </row>
        <row r="10">
          <cell r="D10">
            <v>110015</v>
          </cell>
          <cell r="G10">
            <v>710587</v>
          </cell>
        </row>
        <row r="16">
          <cell r="D16">
            <v>21508</v>
          </cell>
          <cell r="G16">
            <v>131842</v>
          </cell>
        </row>
        <row r="17">
          <cell r="D17">
            <v>12975</v>
          </cell>
          <cell r="G17">
            <v>83461</v>
          </cell>
        </row>
        <row r="18">
          <cell r="D18">
            <v>5</v>
          </cell>
          <cell r="G18">
            <v>50</v>
          </cell>
        </row>
        <row r="19">
          <cell r="D19">
            <v>1206</v>
          </cell>
          <cell r="G19">
            <v>8205</v>
          </cell>
        </row>
        <row r="20">
          <cell r="D20">
            <v>1799</v>
          </cell>
          <cell r="G20">
            <v>11466</v>
          </cell>
        </row>
        <row r="21">
          <cell r="D21">
            <v>74</v>
          </cell>
          <cell r="G21">
            <v>625</v>
          </cell>
        </row>
        <row r="27">
          <cell r="D27">
            <v>15994.199937234749</v>
          </cell>
          <cell r="G27">
            <v>115661.65314323388</v>
          </cell>
        </row>
        <row r="28">
          <cell r="D28">
            <v>1644.5567436659899</v>
          </cell>
          <cell r="G28">
            <v>14257.226469735479</v>
          </cell>
        </row>
        <row r="32">
          <cell r="B32">
            <v>1114327</v>
          </cell>
          <cell r="D32">
            <v>7033323</v>
          </cell>
        </row>
        <row r="33">
          <cell r="B33">
            <v>749271</v>
          </cell>
          <cell r="D33">
            <v>4025129</v>
          </cell>
        </row>
      </sheetData>
      <sheetData sheetId="1"/>
      <sheetData sheetId="2"/>
      <sheetData sheetId="3"/>
      <sheetData sheetId="4"/>
      <sheetData sheetId="5">
        <row r="27">
          <cell r="D27">
            <v>296768</v>
          </cell>
          <cell r="I27">
            <v>3548261</v>
          </cell>
          <cell r="N27">
            <v>3845029</v>
          </cell>
        </row>
      </sheetData>
      <sheetData sheetId="6"/>
      <sheetData sheetId="7">
        <row r="5">
          <cell r="F5">
            <v>9175.0442000987005</v>
          </cell>
          <cell r="I5">
            <v>62853.896456799142</v>
          </cell>
        </row>
        <row r="6">
          <cell r="F6">
            <v>740.07541419119002</v>
          </cell>
          <cell r="I6">
            <v>5842.5260052890508</v>
          </cell>
        </row>
        <row r="10">
          <cell r="F10">
            <v>6819.1557371360495</v>
          </cell>
          <cell r="I10">
            <v>52807.756686434739</v>
          </cell>
        </row>
        <row r="11">
          <cell r="F11">
            <v>904.48132947479996</v>
          </cell>
          <cell r="I11">
            <v>8414.7004644464287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15994.199937234749</v>
          </cell>
        </row>
        <row r="21">
          <cell r="F21">
            <v>1644.5567436659899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6455896</v>
          </cell>
        </row>
        <row r="6">
          <cell r="G6">
            <v>1722360</v>
          </cell>
        </row>
        <row r="7">
          <cell r="G7">
            <v>893</v>
          </cell>
        </row>
        <row r="10">
          <cell r="G10">
            <v>334288</v>
          </cell>
        </row>
        <row r="16">
          <cell r="G16">
            <v>62347</v>
          </cell>
        </row>
        <row r="17">
          <cell r="G17">
            <v>45845</v>
          </cell>
        </row>
        <row r="18">
          <cell r="G18">
            <v>8</v>
          </cell>
        </row>
        <row r="19">
          <cell r="G19">
            <v>7004</v>
          </cell>
        </row>
        <row r="20">
          <cell r="G20">
            <v>5013</v>
          </cell>
        </row>
        <row r="21">
          <cell r="G21">
            <v>400</v>
          </cell>
        </row>
        <row r="27">
          <cell r="G27">
            <v>90660.840099875422</v>
          </cell>
        </row>
        <row r="28">
          <cell r="G28">
            <v>7936.9293531635794</v>
          </cell>
        </row>
        <row r="32">
          <cell r="D32">
            <v>2685491</v>
          </cell>
        </row>
        <row r="33">
          <cell r="D33">
            <v>1353546</v>
          </cell>
        </row>
      </sheetData>
      <sheetData sheetId="1"/>
      <sheetData sheetId="2"/>
      <sheetData sheetId="3"/>
      <sheetData sheetId="4"/>
      <sheetData sheetId="5">
        <row r="26">
          <cell r="B26">
            <v>1529</v>
          </cell>
          <cell r="C26">
            <v>780</v>
          </cell>
          <cell r="L26">
            <v>259405</v>
          </cell>
          <cell r="M26">
            <v>254312</v>
          </cell>
        </row>
      </sheetData>
      <sheetData sheetId="6"/>
      <sheetData sheetId="7">
        <row r="5">
          <cell r="I5">
            <v>49776.996258876039</v>
          </cell>
        </row>
        <row r="6">
          <cell r="I6">
            <v>3067.8538508001998</v>
          </cell>
        </row>
        <row r="10">
          <cell r="I10">
            <v>40883.843840999391</v>
          </cell>
        </row>
        <row r="11">
          <cell r="I11">
            <v>4869.075502363381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 refreshError="1"/>
      <sheetData sheetId="1" refreshError="1"/>
      <sheetData sheetId="2">
        <row r="4">
          <cell r="GV4">
            <v>87</v>
          </cell>
        </row>
        <row r="5">
          <cell r="GV5">
            <v>87</v>
          </cell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</row>
        <row r="22">
          <cell r="GV22">
            <v>127</v>
          </cell>
        </row>
        <row r="23">
          <cell r="GV23">
            <v>131</v>
          </cell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3" refreshError="1"/>
      <sheetData sheetId="4"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5"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</row>
        <row r="33">
          <cell r="GP33">
            <v>2360</v>
          </cell>
          <cell r="GQ33">
            <v>1355</v>
          </cell>
          <cell r="GR33">
            <v>879</v>
          </cell>
        </row>
        <row r="37">
          <cell r="GP37">
            <v>20</v>
          </cell>
          <cell r="GQ37">
            <v>10</v>
          </cell>
          <cell r="GR37">
            <v>5</v>
          </cell>
        </row>
        <row r="38">
          <cell r="GP38">
            <v>22</v>
          </cell>
          <cell r="GQ38">
            <v>8</v>
          </cell>
          <cell r="GR38">
            <v>7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6">
        <row r="4">
          <cell r="GV4">
            <v>63</v>
          </cell>
        </row>
        <row r="5">
          <cell r="GV5">
            <v>63</v>
          </cell>
        </row>
        <row r="8">
          <cell r="GV8">
            <v>1</v>
          </cell>
        </row>
        <row r="9">
          <cell r="GV9">
            <v>1</v>
          </cell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</row>
        <row r="22">
          <cell r="GV22">
            <v>5064</v>
          </cell>
        </row>
        <row r="23">
          <cell r="GV23">
            <v>4996</v>
          </cell>
        </row>
        <row r="27">
          <cell r="GV27">
            <v>270</v>
          </cell>
        </row>
        <row r="28">
          <cell r="GV28">
            <v>263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</row>
        <row r="47">
          <cell r="GV47">
            <v>31400</v>
          </cell>
        </row>
        <row r="48">
          <cell r="GV48">
            <v>128</v>
          </cell>
        </row>
        <row r="52">
          <cell r="GV52">
            <v>14840</v>
          </cell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</row>
      </sheetData>
      <sheetData sheetId="7" refreshError="1"/>
      <sheetData sheetId="8">
        <row r="4">
          <cell r="GV4">
            <v>307</v>
          </cell>
        </row>
        <row r="5">
          <cell r="GV5">
            <v>307</v>
          </cell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</row>
        <row r="22">
          <cell r="GV22">
            <v>32522</v>
          </cell>
        </row>
        <row r="23">
          <cell r="GV23">
            <v>32627</v>
          </cell>
        </row>
        <row r="27">
          <cell r="GV27">
            <v>1261</v>
          </cell>
        </row>
        <row r="28">
          <cell r="GV28">
            <v>1303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</row>
        <row r="47">
          <cell r="GV47">
            <v>25846</v>
          </cell>
        </row>
        <row r="48">
          <cell r="GV48">
            <v>81610</v>
          </cell>
        </row>
        <row r="52">
          <cell r="GV52">
            <v>5265</v>
          </cell>
        </row>
        <row r="53">
          <cell r="GV53">
            <v>66204</v>
          </cell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</row>
      </sheetData>
      <sheetData sheetId="9"/>
      <sheetData sheetId="10">
        <row r="4">
          <cell r="GV4">
            <v>564</v>
          </cell>
        </row>
        <row r="5">
          <cell r="GV5">
            <v>563</v>
          </cell>
        </row>
        <row r="8">
          <cell r="GV8">
            <v>63</v>
          </cell>
        </row>
        <row r="9">
          <cell r="GV9">
            <v>68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U15">
            <v>0</v>
          </cell>
          <cell r="GV15">
            <v>1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U16">
            <v>0</v>
          </cell>
          <cell r="GV16">
            <v>0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</row>
        <row r="22">
          <cell r="GV22">
            <v>53188</v>
          </cell>
        </row>
        <row r="23">
          <cell r="GV23">
            <v>57180</v>
          </cell>
        </row>
        <row r="27">
          <cell r="GV27">
            <v>963</v>
          </cell>
        </row>
        <row r="28">
          <cell r="GV28">
            <v>988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V38">
            <v>4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</row>
        <row r="47">
          <cell r="GV47">
            <v>37586</v>
          </cell>
        </row>
        <row r="48">
          <cell r="GV48">
            <v>172011</v>
          </cell>
        </row>
        <row r="52">
          <cell r="GV52">
            <v>156</v>
          </cell>
        </row>
        <row r="53">
          <cell r="GV53">
            <v>247809</v>
          </cell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</row>
        <row r="70">
          <cell r="GV70">
            <v>57180</v>
          </cell>
        </row>
        <row r="71">
          <cell r="GV71">
            <v>0</v>
          </cell>
        </row>
      </sheetData>
      <sheetData sheetId="11"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1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13">
        <row r="4">
          <cell r="GV4">
            <v>2482</v>
          </cell>
        </row>
        <row r="5">
          <cell r="GV5">
            <v>2479</v>
          </cell>
        </row>
        <row r="8">
          <cell r="GV8">
            <v>1</v>
          </cell>
        </row>
        <row r="9">
          <cell r="GV9">
            <v>3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U16">
            <v>1</v>
          </cell>
          <cell r="GV16">
            <v>2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</row>
        <row r="22">
          <cell r="GV22">
            <v>182913</v>
          </cell>
        </row>
        <row r="23">
          <cell r="GV23">
            <v>183563</v>
          </cell>
        </row>
        <row r="27">
          <cell r="GV27">
            <v>11140</v>
          </cell>
        </row>
        <row r="28">
          <cell r="GV28">
            <v>11177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U33">
            <v>0</v>
          </cell>
          <cell r="GV33">
            <v>50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T37">
            <v>6</v>
          </cell>
          <cell r="GU37">
            <v>7</v>
          </cell>
          <cell r="GV37">
            <v>1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U38">
            <v>1</v>
          </cell>
          <cell r="GV38">
            <v>11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</row>
        <row r="47">
          <cell r="GV47">
            <v>408888</v>
          </cell>
        </row>
        <row r="48">
          <cell r="GV48">
            <v>89789</v>
          </cell>
        </row>
        <row r="52">
          <cell r="GV52">
            <v>162048</v>
          </cell>
        </row>
        <row r="53">
          <cell r="GV53">
            <v>882718</v>
          </cell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</row>
        <row r="70">
          <cell r="GV70">
            <v>95217</v>
          </cell>
        </row>
        <row r="71">
          <cell r="GV71">
            <v>88346</v>
          </cell>
        </row>
        <row r="73">
          <cell r="GV73">
            <v>26</v>
          </cell>
        </row>
        <row r="74">
          <cell r="GV74">
            <v>24</v>
          </cell>
        </row>
      </sheetData>
      <sheetData sheetId="14">
        <row r="4">
          <cell r="GV4">
            <v>54</v>
          </cell>
        </row>
        <row r="5">
          <cell r="GV5">
            <v>54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</row>
        <row r="22">
          <cell r="GV22">
            <v>110</v>
          </cell>
        </row>
        <row r="23">
          <cell r="GV23">
            <v>109</v>
          </cell>
        </row>
        <row r="27">
          <cell r="GV27">
            <v>18</v>
          </cell>
        </row>
        <row r="28">
          <cell r="GV28">
            <v>16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15">
        <row r="4">
          <cell r="GV4">
            <v>31</v>
          </cell>
        </row>
        <row r="5">
          <cell r="GV5">
            <v>31</v>
          </cell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</row>
        <row r="22">
          <cell r="GV22">
            <v>3978</v>
          </cell>
        </row>
        <row r="23">
          <cell r="GV23">
            <v>4577</v>
          </cell>
        </row>
        <row r="27">
          <cell r="GV27">
            <v>59</v>
          </cell>
        </row>
        <row r="28">
          <cell r="GV28">
            <v>56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16" refreshError="1"/>
      <sheetData sheetId="17">
        <row r="15">
          <cell r="GP15">
            <v>4</v>
          </cell>
          <cell r="GR15">
            <v>5</v>
          </cell>
        </row>
        <row r="16">
          <cell r="GP16">
            <v>4</v>
          </cell>
          <cell r="GR16">
            <v>5</v>
          </cell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32">
          <cell r="GP32">
            <v>705</v>
          </cell>
          <cell r="GR32">
            <v>306</v>
          </cell>
        </row>
        <row r="33">
          <cell r="GP33">
            <v>387</v>
          </cell>
          <cell r="GR33">
            <v>660</v>
          </cell>
        </row>
        <row r="37">
          <cell r="GP37">
            <v>11</v>
          </cell>
          <cell r="GR37">
            <v>11</v>
          </cell>
        </row>
        <row r="38">
          <cell r="GP38">
            <v>9</v>
          </cell>
          <cell r="GR38">
            <v>11</v>
          </cell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18">
        <row r="4">
          <cell r="GV4">
            <v>30</v>
          </cell>
        </row>
        <row r="5">
          <cell r="GV5">
            <v>30</v>
          </cell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</row>
        <row r="22">
          <cell r="GV22">
            <v>1137</v>
          </cell>
        </row>
        <row r="23">
          <cell r="GV23">
            <v>1211</v>
          </cell>
        </row>
        <row r="27">
          <cell r="GV27">
            <v>54</v>
          </cell>
        </row>
        <row r="28">
          <cell r="GV28">
            <v>70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19">
        <row r="4">
          <cell r="GV4">
            <v>63</v>
          </cell>
        </row>
        <row r="5">
          <cell r="GV5">
            <v>63</v>
          </cell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</row>
        <row r="22">
          <cell r="GV22">
            <v>4455</v>
          </cell>
        </row>
        <row r="23">
          <cell r="GV23">
            <v>4162</v>
          </cell>
        </row>
        <row r="27">
          <cell r="GV27">
            <v>468</v>
          </cell>
        </row>
        <row r="28">
          <cell r="GV28">
            <v>432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</row>
        <row r="47">
          <cell r="GV47">
            <v>23468</v>
          </cell>
        </row>
        <row r="48">
          <cell r="GV48">
            <v>6474</v>
          </cell>
        </row>
        <row r="52">
          <cell r="GV52">
            <v>27827</v>
          </cell>
        </row>
        <row r="53">
          <cell r="GV53">
            <v>600</v>
          </cell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</row>
      </sheetData>
      <sheetData sheetId="20">
        <row r="15">
          <cell r="GP15">
            <v>16</v>
          </cell>
          <cell r="GQ15">
            <v>16</v>
          </cell>
          <cell r="GR15">
            <v>8</v>
          </cell>
        </row>
        <row r="16">
          <cell r="GP16">
            <v>16</v>
          </cell>
          <cell r="GQ16">
            <v>16</v>
          </cell>
          <cell r="GR16">
            <v>8</v>
          </cell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32">
          <cell r="GP32">
            <v>4308</v>
          </cell>
          <cell r="GQ32">
            <v>3420</v>
          </cell>
          <cell r="GR32">
            <v>1562</v>
          </cell>
        </row>
        <row r="33">
          <cell r="GP33">
            <v>3030</v>
          </cell>
          <cell r="GQ33">
            <v>2577</v>
          </cell>
          <cell r="GR33">
            <v>1071</v>
          </cell>
        </row>
        <row r="37">
          <cell r="GP37">
            <v>12</v>
          </cell>
          <cell r="GQ37">
            <v>10</v>
          </cell>
          <cell r="GR37">
            <v>13</v>
          </cell>
        </row>
        <row r="38">
          <cell r="GP38">
            <v>5</v>
          </cell>
          <cell r="GQ38">
            <v>20</v>
          </cell>
          <cell r="GR38">
            <v>1</v>
          </cell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21" refreshError="1"/>
      <sheetData sheetId="2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</row>
      </sheetData>
      <sheetData sheetId="23">
        <row r="4">
          <cell r="GV4">
            <v>347</v>
          </cell>
        </row>
        <row r="5">
          <cell r="GV5">
            <v>347</v>
          </cell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</row>
        <row r="22">
          <cell r="GV22">
            <v>26896</v>
          </cell>
        </row>
        <row r="23">
          <cell r="GV23">
            <v>26804</v>
          </cell>
        </row>
        <row r="27">
          <cell r="GV27">
            <v>874</v>
          </cell>
        </row>
        <row r="28">
          <cell r="GV28">
            <v>890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</row>
        <row r="47">
          <cell r="GV47">
            <v>230277</v>
          </cell>
        </row>
        <row r="52">
          <cell r="GV52">
            <v>31932</v>
          </cell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</row>
        <row r="70">
          <cell r="GV70">
            <v>26560</v>
          </cell>
        </row>
        <row r="71">
          <cell r="GV71">
            <v>244</v>
          </cell>
        </row>
      </sheetData>
      <sheetData sheetId="24">
        <row r="4">
          <cell r="GV4">
            <v>208</v>
          </cell>
        </row>
        <row r="5">
          <cell r="GV5">
            <v>206</v>
          </cell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</row>
        <row r="22">
          <cell r="GV22">
            <v>24073</v>
          </cell>
        </row>
        <row r="23">
          <cell r="GV23">
            <v>25490</v>
          </cell>
        </row>
        <row r="27">
          <cell r="GV27">
            <v>177</v>
          </cell>
        </row>
        <row r="28">
          <cell r="GV28">
            <v>186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25" refreshError="1"/>
      <sheetData sheetId="26" refreshError="1"/>
      <sheetData sheetId="27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28">
        <row r="4">
          <cell r="GV4">
            <v>1</v>
          </cell>
        </row>
        <row r="5">
          <cell r="GV5">
            <v>1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</row>
        <row r="22">
          <cell r="GV22">
            <v>33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29">
        <row r="4">
          <cell r="GV4">
            <v>8</v>
          </cell>
        </row>
        <row r="5">
          <cell r="GV5">
            <v>9</v>
          </cell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</row>
        <row r="22">
          <cell r="GV22">
            <v>510</v>
          </cell>
        </row>
        <row r="23">
          <cell r="GV23">
            <v>605</v>
          </cell>
        </row>
        <row r="27">
          <cell r="GV27">
            <v>41</v>
          </cell>
        </row>
        <row r="28">
          <cell r="GV28">
            <v>45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</row>
      </sheetData>
      <sheetData sheetId="30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31" refreshError="1"/>
      <sheetData sheetId="32" refreshError="1"/>
      <sheetData sheetId="33" refreshError="1"/>
      <sheetData sheetId="3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35" refreshError="1"/>
      <sheetData sheetId="36"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37" refreshError="1"/>
      <sheetData sheetId="38"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39"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40"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</row>
      </sheetData>
      <sheetData sheetId="41">
        <row r="4">
          <cell r="GV4">
            <v>75</v>
          </cell>
        </row>
        <row r="5">
          <cell r="GV5">
            <v>75</v>
          </cell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</row>
        <row r="22">
          <cell r="GV22">
            <v>3336</v>
          </cell>
        </row>
        <row r="23">
          <cell r="GV23">
            <v>2868</v>
          </cell>
        </row>
        <row r="27">
          <cell r="GV27">
            <v>222</v>
          </cell>
        </row>
        <row r="28">
          <cell r="GV28">
            <v>210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42"/>
      <sheetData sheetId="43" refreshError="1"/>
      <sheetData sheetId="44">
        <row r="4">
          <cell r="GV4">
            <v>1567</v>
          </cell>
        </row>
        <row r="5">
          <cell r="GV5">
            <v>1569</v>
          </cell>
        </row>
        <row r="9">
          <cell r="GV9">
            <v>3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</row>
        <row r="16">
          <cell r="GP16">
            <v>87</v>
          </cell>
          <cell r="GQ16">
            <v>71</v>
          </cell>
          <cell r="GR16">
            <v>65</v>
          </cell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</row>
        <row r="22">
          <cell r="GV22">
            <v>50206</v>
          </cell>
        </row>
        <row r="23">
          <cell r="GV23">
            <v>50185</v>
          </cell>
        </row>
        <row r="27">
          <cell r="GV27">
            <v>2166</v>
          </cell>
        </row>
        <row r="28">
          <cell r="GV28">
            <v>2190</v>
          </cell>
        </row>
        <row r="32">
          <cell r="GP32">
            <v>5276</v>
          </cell>
          <cell r="GQ32">
            <v>4225</v>
          </cell>
          <cell r="GR32">
            <v>1929</v>
          </cell>
        </row>
        <row r="33">
          <cell r="GP33">
            <v>5516</v>
          </cell>
          <cell r="GQ33">
            <v>4340</v>
          </cell>
          <cell r="GR33">
            <v>2321</v>
          </cell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</row>
        <row r="38">
          <cell r="GP38">
            <v>48</v>
          </cell>
          <cell r="GQ38">
            <v>57</v>
          </cell>
          <cell r="GR38">
            <v>34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  <row r="70">
          <cell r="GV70">
            <v>14435</v>
          </cell>
        </row>
        <row r="71">
          <cell r="GV71">
            <v>35750</v>
          </cell>
        </row>
      </sheetData>
      <sheetData sheetId="45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46">
        <row r="4">
          <cell r="GV4">
            <v>135</v>
          </cell>
        </row>
        <row r="5">
          <cell r="GV5">
            <v>135</v>
          </cell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</row>
        <row r="22">
          <cell r="GV22">
            <v>6852</v>
          </cell>
        </row>
        <row r="23">
          <cell r="GV23">
            <v>6887</v>
          </cell>
        </row>
        <row r="27">
          <cell r="GV27">
            <v>386</v>
          </cell>
        </row>
        <row r="28">
          <cell r="GV28">
            <v>341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</row>
        <row r="47">
          <cell r="GV47">
            <v>1447</v>
          </cell>
        </row>
        <row r="52">
          <cell r="GV52">
            <v>515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</row>
      </sheetData>
      <sheetData sheetId="47">
        <row r="4">
          <cell r="GV4">
            <v>97</v>
          </cell>
        </row>
        <row r="5">
          <cell r="GV5">
            <v>96</v>
          </cell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</row>
        <row r="22">
          <cell r="GV22">
            <v>2687</v>
          </cell>
        </row>
        <row r="23">
          <cell r="GV23">
            <v>3474</v>
          </cell>
        </row>
        <row r="27">
          <cell r="GV27">
            <v>320</v>
          </cell>
        </row>
        <row r="28">
          <cell r="GV28">
            <v>420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48">
        <row r="15">
          <cell r="GP15">
            <v>69</v>
          </cell>
          <cell r="GQ15">
            <v>69</v>
          </cell>
          <cell r="GR15">
            <v>57</v>
          </cell>
        </row>
        <row r="16">
          <cell r="GP16">
            <v>69</v>
          </cell>
          <cell r="GQ16">
            <v>69</v>
          </cell>
          <cell r="GR16">
            <v>57</v>
          </cell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</row>
        <row r="33">
          <cell r="GP33">
            <v>3610</v>
          </cell>
          <cell r="GQ33">
            <v>3151</v>
          </cell>
          <cell r="GR33">
            <v>1691</v>
          </cell>
        </row>
        <row r="37">
          <cell r="GP37">
            <v>48</v>
          </cell>
          <cell r="GQ37">
            <v>47</v>
          </cell>
          <cell r="GR37">
            <v>21</v>
          </cell>
        </row>
        <row r="38">
          <cell r="GP38">
            <v>52</v>
          </cell>
          <cell r="GQ38">
            <v>44</v>
          </cell>
          <cell r="GR38">
            <v>20</v>
          </cell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49">
        <row r="4">
          <cell r="GV4">
            <v>1516</v>
          </cell>
        </row>
        <row r="5">
          <cell r="GV5">
            <v>1515</v>
          </cell>
        </row>
        <row r="9">
          <cell r="GV9">
            <v>1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</row>
        <row r="22">
          <cell r="GV22">
            <v>41410</v>
          </cell>
        </row>
        <row r="23">
          <cell r="GV23">
            <v>41519</v>
          </cell>
        </row>
        <row r="27">
          <cell r="GV27">
            <v>2201</v>
          </cell>
        </row>
        <row r="28">
          <cell r="GV28">
            <v>2140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  <row r="70">
          <cell r="GV70">
            <v>12851</v>
          </cell>
        </row>
        <row r="71">
          <cell r="GV71">
            <v>28668</v>
          </cell>
        </row>
        <row r="73">
          <cell r="GV73">
            <v>278</v>
          </cell>
        </row>
        <row r="74">
          <cell r="GV74">
            <v>621</v>
          </cell>
        </row>
      </sheetData>
      <sheetData sheetId="50">
        <row r="4">
          <cell r="GV4">
            <v>88</v>
          </cell>
        </row>
        <row r="5">
          <cell r="GV5">
            <v>88</v>
          </cell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</row>
        <row r="22">
          <cell r="GV22">
            <v>3631</v>
          </cell>
        </row>
        <row r="23">
          <cell r="GV23">
            <v>3978</v>
          </cell>
        </row>
        <row r="27">
          <cell r="GV27">
            <v>434</v>
          </cell>
        </row>
        <row r="28">
          <cell r="GV28">
            <v>395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51"/>
      <sheetData sheetId="5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53"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</row>
      </sheetData>
      <sheetData sheetId="5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55"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56" refreshError="1"/>
      <sheetData sheetId="57" refreshError="1"/>
      <sheetData sheetId="58" refreshError="1"/>
      <sheetData sheetId="59"/>
      <sheetData sheetId="60"/>
      <sheetData sheetId="61">
        <row r="15">
          <cell r="GP15">
            <v>1</v>
          </cell>
        </row>
        <row r="32">
          <cell r="GP32">
            <v>60</v>
          </cell>
        </row>
      </sheetData>
      <sheetData sheetId="62">
        <row r="5">
          <cell r="GV5">
            <v>1</v>
          </cell>
        </row>
        <row r="23">
          <cell r="GV23">
            <v>68</v>
          </cell>
        </row>
      </sheetData>
      <sheetData sheetId="63"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</row>
      </sheetData>
      <sheetData sheetId="64">
        <row r="4">
          <cell r="GV4">
            <v>61</v>
          </cell>
        </row>
        <row r="5">
          <cell r="GV5">
            <v>61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122</v>
          </cell>
        </row>
        <row r="47">
          <cell r="GV47">
            <v>1368444</v>
          </cell>
        </row>
        <row r="52">
          <cell r="GV52">
            <v>796242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2164686</v>
          </cell>
        </row>
      </sheetData>
      <sheetData sheetId="65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6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</row>
      </sheetData>
      <sheetData sheetId="67"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</row>
      </sheetData>
      <sheetData sheetId="68">
        <row r="4">
          <cell r="GV4">
            <v>46</v>
          </cell>
        </row>
        <row r="5">
          <cell r="GV5">
            <v>46</v>
          </cell>
        </row>
        <row r="12">
          <cell r="GV12">
            <v>92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</row>
        <row r="47">
          <cell r="GV47">
            <v>71110</v>
          </cell>
        </row>
        <row r="52">
          <cell r="GV52">
            <v>53609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</row>
      </sheetData>
      <sheetData sheetId="69">
        <row r="4">
          <cell r="GV4">
            <v>1</v>
          </cell>
        </row>
        <row r="5">
          <cell r="GV5">
            <v>1</v>
          </cell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P19">
            <v>8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</row>
        <row r="47">
          <cell r="GV47">
            <v>32355</v>
          </cell>
        </row>
        <row r="52">
          <cell r="GV52">
            <v>4478</v>
          </cell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P64">
            <v>190513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</row>
      </sheetData>
      <sheetData sheetId="70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71">
        <row r="4">
          <cell r="GV4">
            <v>22</v>
          </cell>
        </row>
        <row r="5">
          <cell r="GV5">
            <v>22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</row>
        <row r="47">
          <cell r="GV47">
            <v>705587</v>
          </cell>
        </row>
        <row r="52">
          <cell r="GV52">
            <v>409017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</row>
      </sheetData>
      <sheetData sheetId="72"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73" refreshError="1"/>
      <sheetData sheetId="74">
        <row r="4">
          <cell r="GV4">
            <v>121</v>
          </cell>
        </row>
        <row r="5">
          <cell r="GV5">
            <v>121</v>
          </cell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</row>
        <row r="47">
          <cell r="GV47">
            <v>8621808</v>
          </cell>
        </row>
        <row r="52">
          <cell r="GV52">
            <v>7405114</v>
          </cell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</row>
      </sheetData>
      <sheetData sheetId="75">
        <row r="4">
          <cell r="GV4">
            <v>22</v>
          </cell>
        </row>
        <row r="5">
          <cell r="GV5">
            <v>22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</row>
        <row r="48">
          <cell r="GV48">
            <v>51816</v>
          </cell>
        </row>
        <row r="53">
          <cell r="GV53">
            <v>119437</v>
          </cell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</row>
      </sheetData>
      <sheetData sheetId="76">
        <row r="4">
          <cell r="GV4">
            <v>18</v>
          </cell>
        </row>
        <row r="5">
          <cell r="GV5">
            <v>18</v>
          </cell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</row>
        <row r="47">
          <cell r="GV47">
            <v>71798</v>
          </cell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</row>
      </sheetData>
      <sheetData sheetId="77">
        <row r="4">
          <cell r="GV4">
            <v>130</v>
          </cell>
        </row>
        <row r="5">
          <cell r="GV5">
            <v>130</v>
          </cell>
        </row>
        <row r="15">
          <cell r="GV15">
            <v>19</v>
          </cell>
        </row>
        <row r="16">
          <cell r="GV16">
            <v>19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P19">
            <v>282</v>
          </cell>
          <cell r="GQ19">
            <v>236</v>
          </cell>
          <cell r="GR19">
            <v>252</v>
          </cell>
          <cell r="GS19">
            <v>295</v>
          </cell>
          <cell r="GT19">
            <v>264</v>
          </cell>
          <cell r="GU19">
            <v>272</v>
          </cell>
          <cell r="GV19">
            <v>298</v>
          </cell>
        </row>
        <row r="47">
          <cell r="GV47">
            <v>6908117</v>
          </cell>
        </row>
        <row r="48">
          <cell r="GV48">
            <v>5070</v>
          </cell>
        </row>
        <row r="52">
          <cell r="GV52">
            <v>5547060</v>
          </cell>
        </row>
        <row r="53">
          <cell r="GV53">
            <v>612234</v>
          </cell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</row>
      </sheetData>
      <sheetData sheetId="78" refreshError="1"/>
      <sheetData sheetId="79" refreshError="1"/>
      <sheetData sheetId="80" refreshError="1"/>
      <sheetData sheetId="81">
        <row r="4">
          <cell r="GV4">
            <v>200</v>
          </cell>
        </row>
        <row r="5">
          <cell r="GV5">
            <v>200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</row>
      </sheetData>
      <sheetData sheetId="82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8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</row>
      </sheetData>
      <sheetData sheetId="84">
        <row r="4">
          <cell r="GV4">
            <v>70</v>
          </cell>
        </row>
        <row r="5">
          <cell r="GV5">
            <v>70</v>
          </cell>
        </row>
      </sheetData>
      <sheetData sheetId="85">
        <row r="4">
          <cell r="GV4">
            <v>479</v>
          </cell>
        </row>
        <row r="5">
          <cell r="GV5">
            <v>479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22" sqref="K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1.7109375" bestFit="1" customWidth="1"/>
    <col min="8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7">
        <v>44013</v>
      </c>
      <c r="B2" s="10"/>
      <c r="C2" s="10"/>
      <c r="D2" s="457" t="s">
        <v>213</v>
      </c>
      <c r="E2" s="457" t="s">
        <v>199</v>
      </c>
      <c r="F2" s="5"/>
      <c r="G2" s="5"/>
      <c r="H2" s="5"/>
      <c r="I2" s="5"/>
      <c r="J2" s="5"/>
    </row>
    <row r="3" spans="1:14" ht="13.5" thickBot="1" x14ac:dyDescent="0.25">
      <c r="A3" s="262"/>
      <c r="B3" s="5" t="s">
        <v>0</v>
      </c>
      <c r="C3" s="5" t="s">
        <v>1</v>
      </c>
      <c r="D3" s="458"/>
      <c r="E3" s="459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2">
        <f>'Major Airline Stats'!K4</f>
        <v>334719</v>
      </c>
      <c r="C5" s="10">
        <f>'Major Airline Stats'!K5</f>
        <v>340900</v>
      </c>
      <c r="D5" s="2">
        <f>'Major Airline Stats'!K6</f>
        <v>675619</v>
      </c>
      <c r="E5" s="2">
        <f>'[1]Monthly Summary'!D5</f>
        <v>3014233</v>
      </c>
      <c r="F5" s="3">
        <f>(D5-E5)/E5</f>
        <v>-0.7758570754152051</v>
      </c>
      <c r="G5" s="2">
        <f>+D5+'[2]Monthly Summary'!G5</f>
        <v>7131515</v>
      </c>
      <c r="H5" s="2">
        <f>'[1]Monthly Summary'!G5</f>
        <v>17726743</v>
      </c>
      <c r="I5" s="58">
        <f>(G5-H5)/H5</f>
        <v>-0.59769738862914634</v>
      </c>
      <c r="J5" s="2"/>
    </row>
    <row r="6" spans="1:14" x14ac:dyDescent="0.2">
      <c r="A6" s="43" t="s">
        <v>5</v>
      </c>
      <c r="B6" s="192">
        <f>'Regional Major'!M5</f>
        <v>109700</v>
      </c>
      <c r="C6" s="192">
        <f>'Regional Major'!M6</f>
        <v>110415</v>
      </c>
      <c r="D6" s="2">
        <f>B6+C6</f>
        <v>220115</v>
      </c>
      <c r="E6" s="2">
        <f>'[1]Monthly Summary'!D6</f>
        <v>720104</v>
      </c>
      <c r="F6" s="3">
        <f>(D6-E6)/E6</f>
        <v>-0.69432887471809623</v>
      </c>
      <c r="G6" s="2">
        <f>+D6+'[2]Monthly Summary'!G6</f>
        <v>1942475</v>
      </c>
      <c r="H6" s="2">
        <f>'[1]Monthly Summary'!G6</f>
        <v>4447457</v>
      </c>
      <c r="I6" s="58">
        <f>(G6-H6)/H6</f>
        <v>-0.56323917240796262</v>
      </c>
      <c r="K6" s="2"/>
    </row>
    <row r="7" spans="1:14" x14ac:dyDescent="0.2">
      <c r="A7" s="43" t="s">
        <v>6</v>
      </c>
      <c r="B7" s="2">
        <f>Charter!G5</f>
        <v>0</v>
      </c>
      <c r="C7" s="192">
        <f>Charter!G6</f>
        <v>68</v>
      </c>
      <c r="D7" s="2">
        <f>B7+C7</f>
        <v>68</v>
      </c>
      <c r="E7" s="2">
        <f>'[1]Monthly Summary'!D7</f>
        <v>677</v>
      </c>
      <c r="F7" s="3">
        <f>(D7-E7)/E7</f>
        <v>-0.89955686853766614</v>
      </c>
      <c r="G7" s="2">
        <f>+D7+'[2]Monthly Summary'!G7</f>
        <v>961</v>
      </c>
      <c r="H7" s="2">
        <f>'[1]Monthly Summary'!G7</f>
        <v>3685</v>
      </c>
      <c r="I7" s="58">
        <f>(G7-H7)/H7</f>
        <v>-0.73921302578018999</v>
      </c>
      <c r="K7" s="2"/>
    </row>
    <row r="8" spans="1:14" x14ac:dyDescent="0.2">
      <c r="A8" s="45" t="s">
        <v>7</v>
      </c>
      <c r="B8" s="98">
        <f>SUM(B5:B7)</f>
        <v>444419</v>
      </c>
      <c r="C8" s="98">
        <f>SUM(C5:C7)</f>
        <v>451383</v>
      </c>
      <c r="D8" s="98">
        <f>SUM(D5:D7)</f>
        <v>895802</v>
      </c>
      <c r="E8" s="98">
        <f>SUM(E5:E7)</f>
        <v>3735014</v>
      </c>
      <c r="F8" s="64">
        <f>(D8-E8)/E8</f>
        <v>-0.76016100608993697</v>
      </c>
      <c r="G8" s="98">
        <f>SUM(G5:G7)</f>
        <v>9074951</v>
      </c>
      <c r="H8" s="98">
        <f>SUM(H5:H7)</f>
        <v>22177885</v>
      </c>
      <c r="I8" s="63">
        <f>(G8-H8)/H8</f>
        <v>-0.59081080093976501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3">
        <f>'Major Airline Stats'!K9+'Regional Major'!M10</f>
        <v>21061</v>
      </c>
      <c r="C10" s="193">
        <f>'Major Airline Stats'!K10+'Regional Major'!M11</f>
        <v>21145</v>
      </c>
      <c r="D10" s="84">
        <f>SUM(B10:C10)</f>
        <v>42206</v>
      </c>
      <c r="E10" s="84">
        <f>'[1]Monthly Summary'!D10</f>
        <v>110015</v>
      </c>
      <c r="F10" s="65">
        <f>(D10-E10)/E10</f>
        <v>-0.61636140526291872</v>
      </c>
      <c r="G10" s="84">
        <f>+D10+'[2]Monthly Summary'!G10</f>
        <v>376494</v>
      </c>
      <c r="H10" s="84">
        <f>'[1]Monthly Summary'!G10</f>
        <v>710587</v>
      </c>
      <c r="I10" s="68">
        <f>(G10-H10)/H10</f>
        <v>-0.47016480740570826</v>
      </c>
      <c r="J10" s="140"/>
    </row>
    <row r="11" spans="1:14" ht="15.75" thickBot="1" x14ac:dyDescent="0.3">
      <c r="A11" s="44" t="s">
        <v>13</v>
      </c>
      <c r="B11" s="179">
        <f>B10+B8</f>
        <v>465480</v>
      </c>
      <c r="C11" s="179">
        <f>C10+C8</f>
        <v>472528</v>
      </c>
      <c r="D11" s="179">
        <f>D10+D8</f>
        <v>938008</v>
      </c>
      <c r="E11" s="179">
        <f>E10+E8</f>
        <v>3845029</v>
      </c>
      <c r="F11" s="66">
        <f>(D11-E11)/E11</f>
        <v>-0.75604657338085102</v>
      </c>
      <c r="G11" s="179">
        <f>G8+G10</f>
        <v>9451445</v>
      </c>
      <c r="H11" s="179">
        <f>H8+H10</f>
        <v>22888472</v>
      </c>
      <c r="I11" s="69">
        <f>(G11-H11)/H11</f>
        <v>-0.58706527023734922</v>
      </c>
    </row>
    <row r="12" spans="1:14" ht="15" x14ac:dyDescent="0.25">
      <c r="A12" s="8"/>
      <c r="B12" s="86"/>
      <c r="C12" s="86"/>
      <c r="D12" s="86"/>
      <c r="E12" s="86"/>
      <c r="F12" s="181"/>
      <c r="G12" s="86"/>
      <c r="H12" s="86"/>
      <c r="I12" s="182"/>
      <c r="K12" s="83"/>
    </row>
    <row r="13" spans="1:14" ht="16.5" customHeight="1" x14ac:dyDescent="0.2">
      <c r="B13" s="10"/>
      <c r="C13" s="10"/>
      <c r="D13" s="457" t="s">
        <v>213</v>
      </c>
      <c r="E13" s="457" t="s">
        <v>199</v>
      </c>
      <c r="F13" s="359"/>
      <c r="G13" s="359"/>
      <c r="H13" s="359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8"/>
      <c r="E14" s="459"/>
      <c r="F14" s="359" t="s">
        <v>2</v>
      </c>
      <c r="G14" s="359" t="s">
        <v>214</v>
      </c>
      <c r="H14" s="359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0"/>
    </row>
    <row r="16" spans="1:14" x14ac:dyDescent="0.2">
      <c r="A16" s="43" t="s">
        <v>4</v>
      </c>
      <c r="B16" s="199">
        <f>'Major Airline Stats'!K15+'Major Airline Stats'!K19</f>
        <v>4303</v>
      </c>
      <c r="C16" s="199">
        <f>'Major Airline Stats'!K16+'Major Airline Stats'!K20</f>
        <v>4304</v>
      </c>
      <c r="D16" s="25">
        <f t="shared" ref="D16:D21" si="0">SUM(B16:C16)</f>
        <v>8607</v>
      </c>
      <c r="E16" s="2">
        <f>'[1]Monthly Summary'!D16</f>
        <v>21508</v>
      </c>
      <c r="F16" s="67">
        <f t="shared" ref="F16:F22" si="1">(D16-E16)/E16</f>
        <v>-0.59982332155477036</v>
      </c>
      <c r="G16" s="2">
        <f>+D16+'[2]Monthly Summary'!G16</f>
        <v>70954</v>
      </c>
      <c r="H16" s="2">
        <f>'[1]Monthly Summary'!G16</f>
        <v>131842</v>
      </c>
      <c r="I16" s="171">
        <f t="shared" ref="I16:I22" si="2">(G16-H16)/H16</f>
        <v>-0.46182551842356762</v>
      </c>
      <c r="N16" s="83"/>
    </row>
    <row r="17" spans="1:12" x14ac:dyDescent="0.2">
      <c r="A17" s="43" t="s">
        <v>5</v>
      </c>
      <c r="B17" s="25">
        <f>'Regional Major'!M15+'Regional Major'!M18</f>
        <v>3543</v>
      </c>
      <c r="C17" s="25">
        <f>'Regional Major'!M16+'Regional Major'!M19</f>
        <v>3548</v>
      </c>
      <c r="D17" s="25">
        <f>SUM(B17:C17)</f>
        <v>7091</v>
      </c>
      <c r="E17" s="2">
        <f>'[1]Monthly Summary'!D17</f>
        <v>12975</v>
      </c>
      <c r="F17" s="67">
        <f t="shared" si="1"/>
        <v>-0.45348747591522159</v>
      </c>
      <c r="G17" s="2">
        <f>+D17+'[2]Monthly Summary'!G17</f>
        <v>52936</v>
      </c>
      <c r="H17" s="2">
        <f>'[1]Monthly Summary'!G17</f>
        <v>83461</v>
      </c>
      <c r="I17" s="171">
        <f t="shared" si="2"/>
        <v>-0.36573968679982266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1</v>
      </c>
      <c r="D18" s="25">
        <f t="shared" si="0"/>
        <v>1</v>
      </c>
      <c r="E18" s="2">
        <f>'[1]Monthly Summary'!D18</f>
        <v>5</v>
      </c>
      <c r="F18" s="67">
        <f t="shared" si="1"/>
        <v>-0.8</v>
      </c>
      <c r="G18" s="2">
        <f>+D18+'[2]Monthly Summary'!G18</f>
        <v>9</v>
      </c>
      <c r="H18" s="2">
        <f>'[1]Monthly Summary'!G18</f>
        <v>50</v>
      </c>
      <c r="I18" s="171">
        <f t="shared" si="2"/>
        <v>-0.82</v>
      </c>
    </row>
    <row r="19" spans="1:12" x14ac:dyDescent="0.2">
      <c r="A19" s="43" t="s">
        <v>11</v>
      </c>
      <c r="B19" s="25">
        <f>Cargo!P4</f>
        <v>640</v>
      </c>
      <c r="C19" s="25">
        <f>Cargo!P5</f>
        <v>640</v>
      </c>
      <c r="D19" s="25">
        <f t="shared" si="0"/>
        <v>1280</v>
      </c>
      <c r="E19" s="2">
        <f>'[1]Monthly Summary'!D19</f>
        <v>1206</v>
      </c>
      <c r="F19" s="67">
        <f t="shared" si="1"/>
        <v>6.1359867330016582E-2</v>
      </c>
      <c r="G19" s="2">
        <f>+D19+'[2]Monthly Summary'!G19</f>
        <v>8284</v>
      </c>
      <c r="H19" s="2">
        <f>'[1]Monthly Summary'!G19</f>
        <v>8205</v>
      </c>
      <c r="I19" s="171">
        <f t="shared" si="2"/>
        <v>9.628275441803778E-3</v>
      </c>
    </row>
    <row r="20" spans="1:12" x14ac:dyDescent="0.2">
      <c r="A20" s="43" t="s">
        <v>149</v>
      </c>
      <c r="B20" s="25">
        <f>'[3]General Avation'!$GV$4</f>
        <v>479</v>
      </c>
      <c r="C20" s="25">
        <f>'[3]General Avation'!$GV$5</f>
        <v>479</v>
      </c>
      <c r="D20" s="25">
        <f t="shared" si="0"/>
        <v>958</v>
      </c>
      <c r="E20" s="2">
        <f>'[1]Monthly Summary'!D20</f>
        <v>1799</v>
      </c>
      <c r="F20" s="67">
        <f t="shared" si="1"/>
        <v>-0.46748193440800445</v>
      </c>
      <c r="G20" s="2">
        <f>+D20+'[2]Monthly Summary'!G20</f>
        <v>5971</v>
      </c>
      <c r="H20" s="2">
        <f>'[1]Monthly Summary'!G20</f>
        <v>11466</v>
      </c>
      <c r="I20" s="171">
        <f t="shared" si="2"/>
        <v>-0.47924297924297926</v>
      </c>
    </row>
    <row r="21" spans="1:12" ht="12.75" customHeight="1" x14ac:dyDescent="0.2">
      <c r="A21" s="43" t="s">
        <v>12</v>
      </c>
      <c r="B21" s="11">
        <f>'[3]Military '!$GV$4</f>
        <v>70</v>
      </c>
      <c r="C21" s="11">
        <f>'[3]Military '!$GV$5</f>
        <v>70</v>
      </c>
      <c r="D21" s="11">
        <f t="shared" si="0"/>
        <v>140</v>
      </c>
      <c r="E21" s="84">
        <f>'[1]Monthly Summary'!D21</f>
        <v>74</v>
      </c>
      <c r="F21" s="169">
        <f t="shared" si="1"/>
        <v>0.89189189189189189</v>
      </c>
      <c r="G21" s="84">
        <f>+D21+'[2]Monthly Summary'!G21</f>
        <v>540</v>
      </c>
      <c r="H21" s="84">
        <f>'[1]Monthly Summary'!G21</f>
        <v>625</v>
      </c>
      <c r="I21" s="172">
        <f t="shared" si="2"/>
        <v>-0.13600000000000001</v>
      </c>
    </row>
    <row r="22" spans="1:12" ht="15.75" thickBot="1" x14ac:dyDescent="0.3">
      <c r="A22" s="44" t="s">
        <v>28</v>
      </c>
      <c r="B22" s="180">
        <f>SUM(B16:B21)</f>
        <v>9035</v>
      </c>
      <c r="C22" s="180">
        <f>SUM(C16:C21)</f>
        <v>9042</v>
      </c>
      <c r="D22" s="180">
        <f>SUM(D16:D21)</f>
        <v>18077</v>
      </c>
      <c r="E22" s="180">
        <f>SUM(E16:E21)</f>
        <v>37567</v>
      </c>
      <c r="F22" s="177">
        <f t="shared" si="1"/>
        <v>-0.51880639923336969</v>
      </c>
      <c r="G22" s="180">
        <f>SUM(G16:G21)</f>
        <v>138694</v>
      </c>
      <c r="H22" s="180">
        <f>SUM(H16:H21)</f>
        <v>235649</v>
      </c>
      <c r="I22" s="178">
        <f t="shared" si="2"/>
        <v>-0.41143819833735767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57" t="s">
        <v>213</v>
      </c>
      <c r="E24" s="457" t="s">
        <v>199</v>
      </c>
      <c r="F24" s="359"/>
      <c r="G24" s="359"/>
      <c r="H24" s="359"/>
      <c r="I24" s="5"/>
    </row>
    <row r="25" spans="1:12" ht="13.5" thickBot="1" x14ac:dyDescent="0.25">
      <c r="B25" s="5" t="s">
        <v>0</v>
      </c>
      <c r="C25" s="5" t="s">
        <v>1</v>
      </c>
      <c r="D25" s="458"/>
      <c r="E25" s="459"/>
      <c r="F25" s="359" t="s">
        <v>2</v>
      </c>
      <c r="G25" s="359" t="s">
        <v>214</v>
      </c>
      <c r="H25" s="359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8408.754775660469</v>
      </c>
      <c r="C27" s="13">
        <f>(Cargo!P21+'Major Airline Stats'!K33+'Regional Major'!M30)*0.00045359237</f>
        <v>6558.0852054741099</v>
      </c>
      <c r="D27" s="13">
        <f>(SUM(B27:C27)+('Cargo Summary'!E17*0.00045359237))</f>
        <v>14966.839981134579</v>
      </c>
      <c r="E27" s="2">
        <f>'[1]Monthly Summary'!D27</f>
        <v>15994.199937234749</v>
      </c>
      <c r="F27" s="70">
        <f>(D27-E27)/E27</f>
        <v>-6.4233282072988229E-2</v>
      </c>
      <c r="G27" s="2">
        <f>+D27+'[2]Monthly Summary'!G27</f>
        <v>105627.68008101</v>
      </c>
      <c r="H27" s="2">
        <f>'[1]Monthly Summary'!G27</f>
        <v>115661.65314323388</v>
      </c>
      <c r="I27" s="72">
        <f>(G27-H27)/H27</f>
        <v>-8.6752806911707753E-2</v>
      </c>
    </row>
    <row r="28" spans="1:12" x14ac:dyDescent="0.2">
      <c r="A28" s="38" t="s">
        <v>16</v>
      </c>
      <c r="B28" s="13">
        <f>(Cargo!P17+'Major Airline Stats'!K29+'Regional Major'!M26)*0.00045359237</f>
        <v>184.56582816826</v>
      </c>
      <c r="C28" s="13">
        <f>(Cargo!P22+'Major Airline Stats'!K34+'Regional Major'!M31)*0.00045359237</f>
        <v>874.98058891474</v>
      </c>
      <c r="D28" s="13">
        <f>SUM(B28:C28)</f>
        <v>1059.5464170830001</v>
      </c>
      <c r="E28" s="2">
        <f>'[1]Monthly Summary'!D28</f>
        <v>1644.5567436659899</v>
      </c>
      <c r="F28" s="70">
        <f>(D28-E28)/E28</f>
        <v>-0.35572523042221377</v>
      </c>
      <c r="G28" s="2">
        <f>+D28+'[2]Monthly Summary'!G28</f>
        <v>8996.4757702465795</v>
      </c>
      <c r="H28" s="2">
        <f>'[1]Monthly Summary'!G28</f>
        <v>14257.226469735479</v>
      </c>
      <c r="I28" s="72">
        <f>(G28-H28)/H28</f>
        <v>-0.36898836605114993</v>
      </c>
    </row>
    <row r="29" spans="1:12" ht="15.75" thickBot="1" x14ac:dyDescent="0.3">
      <c r="A29" s="39" t="s">
        <v>62</v>
      </c>
      <c r="B29" s="32">
        <f>SUM(B27:B28)</f>
        <v>8593.3206038287299</v>
      </c>
      <c r="C29" s="32">
        <f>SUM(C27:C28)</f>
        <v>7433.06579438885</v>
      </c>
      <c r="D29" s="32">
        <f>SUM(D27:D28)</f>
        <v>16026.386398217579</v>
      </c>
      <c r="E29" s="32">
        <f>SUM(E27:E28)</f>
        <v>17638.75668090074</v>
      </c>
      <c r="F29" s="71">
        <f>(D29-E29)/E29</f>
        <v>-9.141065392829173E-2</v>
      </c>
      <c r="G29" s="32">
        <f>SUM(G27:G28)</f>
        <v>114624.15585125657</v>
      </c>
      <c r="H29" s="32">
        <f>SUM(H27:H28)</f>
        <v>129918.87961296937</v>
      </c>
      <c r="I29" s="73">
        <f>(G29-H29)/H29</f>
        <v>-0.11772518210806658</v>
      </c>
    </row>
    <row r="30" spans="1:12" ht="4.5" customHeight="1" thickBot="1" x14ac:dyDescent="0.3">
      <c r="A30" s="35"/>
      <c r="B30" s="263"/>
      <c r="C30" s="263"/>
      <c r="D30" s="263"/>
      <c r="E30" s="263"/>
      <c r="F30" s="181"/>
      <c r="G30" s="263"/>
      <c r="H30" s="263"/>
      <c r="I30" s="181"/>
    </row>
    <row r="31" spans="1:12" ht="13.5" thickBot="1" x14ac:dyDescent="0.25">
      <c r="B31" s="456" t="s">
        <v>145</v>
      </c>
      <c r="C31" s="455"/>
      <c r="D31" s="456" t="s">
        <v>152</v>
      </c>
      <c r="E31" s="455"/>
      <c r="F31" s="285"/>
      <c r="G31" s="286"/>
    </row>
    <row r="32" spans="1:12" x14ac:dyDescent="0.2">
      <c r="A32" s="267" t="s">
        <v>146</v>
      </c>
      <c r="B32" s="268">
        <f>C8-B33</f>
        <v>297730</v>
      </c>
      <c r="C32" s="269">
        <f>B32/C8</f>
        <v>0.65959506671717805</v>
      </c>
      <c r="D32" s="270">
        <f>+B32+'[2]Monthly Summary'!$D$32</f>
        <v>2983221</v>
      </c>
      <c r="E32" s="271">
        <f>+D32/D34</f>
        <v>0.66435233229853774</v>
      </c>
      <c r="G32" s="2"/>
      <c r="I32" s="284"/>
    </row>
    <row r="33" spans="1:14" ht="13.5" thickBot="1" x14ac:dyDescent="0.25">
      <c r="A33" s="272" t="s">
        <v>147</v>
      </c>
      <c r="B33" s="273">
        <f>'Major Airline Stats'!K51+'Regional Major'!M45</f>
        <v>153653</v>
      </c>
      <c r="C33" s="274">
        <f>+B33/C8</f>
        <v>0.3404049332828219</v>
      </c>
      <c r="D33" s="275">
        <f>+B33+'[2]Monthly Summary'!$D$33</f>
        <v>1507199</v>
      </c>
      <c r="E33" s="276">
        <f>+D33/D34</f>
        <v>0.3356476677014622</v>
      </c>
      <c r="I33" s="284"/>
    </row>
    <row r="34" spans="1:14" ht="13.5" thickBot="1" x14ac:dyDescent="0.25">
      <c r="B34" s="203"/>
      <c r="D34" s="277">
        <f>SUM(D32:D33)</f>
        <v>4490420</v>
      </c>
    </row>
    <row r="35" spans="1:14" ht="13.5" thickBot="1" x14ac:dyDescent="0.25">
      <c r="B35" s="454" t="s">
        <v>226</v>
      </c>
      <c r="C35" s="455"/>
      <c r="D35" s="456" t="s">
        <v>212</v>
      </c>
      <c r="E35" s="455"/>
    </row>
    <row r="36" spans="1:14" x14ac:dyDescent="0.2">
      <c r="A36" s="267" t="s">
        <v>146</v>
      </c>
      <c r="B36" s="268">
        <f>'[1]Monthly Summary'!$B$32</f>
        <v>1114327</v>
      </c>
      <c r="C36" s="269">
        <f>+B36/B38</f>
        <v>0.597943869868931</v>
      </c>
      <c r="D36" s="270">
        <f>'[1]Monthly Summary'!$D$32</f>
        <v>7033323</v>
      </c>
      <c r="E36" s="271">
        <f>+D36/D38</f>
        <v>0.63601334074606464</v>
      </c>
    </row>
    <row r="37" spans="1:14" ht="13.5" thickBot="1" x14ac:dyDescent="0.25">
      <c r="A37" s="272" t="s">
        <v>147</v>
      </c>
      <c r="B37" s="273">
        <f>'[1]Monthly Summary'!$B$33</f>
        <v>749271</v>
      </c>
      <c r="C37" s="276">
        <f>+B37/B38</f>
        <v>0.40205613013106906</v>
      </c>
      <c r="D37" s="275">
        <f>'[1]Monthly Summary'!$D$33</f>
        <v>4025129</v>
      </c>
      <c r="E37" s="276">
        <f>+D37/D38</f>
        <v>0.36398665925393536</v>
      </c>
      <c r="M37" s="1"/>
    </row>
    <row r="38" spans="1:14" x14ac:dyDescent="0.2">
      <c r="B38" s="289">
        <f>+SUM(B36:B37)</f>
        <v>1863598</v>
      </c>
      <c r="D38" s="277">
        <f>SUM(D36:D37)</f>
        <v>11058452</v>
      </c>
    </row>
    <row r="39" spans="1:14" x14ac:dyDescent="0.2">
      <c r="A39" s="281" t="s">
        <v>148</v>
      </c>
    </row>
    <row r="40" spans="1:14" x14ac:dyDescent="0.2">
      <c r="A40" s="141" t="s">
        <v>150</v>
      </c>
      <c r="I40" s="2"/>
    </row>
    <row r="41" spans="1:14" x14ac:dyDescent="0.2">
      <c r="N41" s="282"/>
    </row>
    <row r="42" spans="1:14" x14ac:dyDescent="0.2">
      <c r="G42" s="2"/>
      <c r="N42" s="282"/>
    </row>
    <row r="43" spans="1:14" x14ac:dyDescent="0.2">
      <c r="B43" s="203"/>
      <c r="J43" s="2"/>
      <c r="N43" s="282"/>
    </row>
    <row r="44" spans="1:14" x14ac:dyDescent="0.2">
      <c r="B44" s="203"/>
      <c r="N44" s="282"/>
    </row>
    <row r="45" spans="1:14" x14ac:dyDescent="0.2">
      <c r="J45" s="2"/>
      <c r="N45" s="282"/>
    </row>
    <row r="46" spans="1:14" x14ac:dyDescent="0.2">
      <c r="B46" s="2"/>
      <c r="F46" s="203"/>
    </row>
    <row r="47" spans="1:14" x14ac:dyDescent="0.2">
      <c r="N47" s="282"/>
    </row>
    <row r="51" spans="12:12" x14ac:dyDescent="0.2">
      <c r="L51" s="28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6" zoomScaleNormal="100" zoomScaleSheetLayoutView="100" workbookViewId="0">
      <selection activeCell="O37" sqref="O3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7">
        <v>44013</v>
      </c>
      <c r="B1" s="304" t="s">
        <v>18</v>
      </c>
      <c r="C1" s="303" t="s">
        <v>195</v>
      </c>
      <c r="D1" s="369" t="s">
        <v>158</v>
      </c>
      <c r="E1" s="303" t="s">
        <v>164</v>
      </c>
      <c r="F1" s="303" t="s">
        <v>163</v>
      </c>
      <c r="G1" s="303" t="s">
        <v>49</v>
      </c>
      <c r="H1" s="303" t="s">
        <v>114</v>
      </c>
      <c r="I1" s="303" t="s">
        <v>194</v>
      </c>
      <c r="J1" s="303" t="s">
        <v>191</v>
      </c>
      <c r="K1" s="303" t="s">
        <v>196</v>
      </c>
      <c r="L1" s="303" t="s">
        <v>162</v>
      </c>
      <c r="M1" s="303" t="s">
        <v>211</v>
      </c>
      <c r="N1" s="303" t="s">
        <v>157</v>
      </c>
      <c r="O1" s="303" t="s">
        <v>140</v>
      </c>
      <c r="P1" s="303" t="s">
        <v>21</v>
      </c>
    </row>
    <row r="2" spans="1:16" ht="15" x14ac:dyDescent="0.25">
      <c r="A2" s="490" t="s">
        <v>141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2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[3]Delta!$GV$32</f>
        <v>256</v>
      </c>
      <c r="C4" s="12">
        <f>'[3]Atlantic Southeast'!$GV$32</f>
        <v>0</v>
      </c>
      <c r="D4" s="12">
        <f>[3]Pinnacle!$GV$32</f>
        <v>0</v>
      </c>
      <c r="E4" s="12">
        <f>'[3]Sky West'!$GV$32</f>
        <v>1035</v>
      </c>
      <c r="F4" s="12">
        <f>'[3]Go Jet'!$GV$32</f>
        <v>0</v>
      </c>
      <c r="G4" s="12">
        <f>'[3]Sun Country'!$GV$32</f>
        <v>0</v>
      </c>
      <c r="H4" s="12">
        <f>[3]Icelandair!$GV$32</f>
        <v>0</v>
      </c>
      <c r="I4" s="12">
        <f>[3]KLM!$GV$32</f>
        <v>0</v>
      </c>
      <c r="J4" s="12">
        <f>'[3]Air Georgian'!$GV$32</f>
        <v>0</v>
      </c>
      <c r="K4" s="12">
        <f>'[3]Sky Regional'!$GV$32</f>
        <v>0</v>
      </c>
      <c r="L4" s="12">
        <f>[3]Condor!$GV$32</f>
        <v>0</v>
      </c>
      <c r="M4" s="12">
        <f>'[3]Aer Lingus'!$GV$32</f>
        <v>0</v>
      </c>
      <c r="N4" s="12">
        <f>'[3]Air France'!$GV$32</f>
        <v>0</v>
      </c>
      <c r="O4" s="12">
        <f>'[3]Charter Misc'!$GV$32+[3]Ryan!$GV$32+[3]Omni!$GV$32</f>
        <v>0</v>
      </c>
      <c r="P4" s="371">
        <f>SUM(B4:O4)</f>
        <v>1291</v>
      </c>
    </row>
    <row r="5" spans="1:16" x14ac:dyDescent="0.2">
      <c r="A5" s="38" t="s">
        <v>31</v>
      </c>
      <c r="B5" s="7">
        <f>[3]Delta!$GV$33</f>
        <v>50</v>
      </c>
      <c r="C5" s="7">
        <f>'[3]Atlantic Southeast'!$GV$33</f>
        <v>0</v>
      </c>
      <c r="D5" s="7">
        <f>[3]Pinnacle!$GV$33</f>
        <v>0</v>
      </c>
      <c r="E5" s="7">
        <f>'[3]Sky West'!$GV$33</f>
        <v>899</v>
      </c>
      <c r="F5" s="7">
        <f>'[3]Go Jet'!$GV$33</f>
        <v>0</v>
      </c>
      <c r="G5" s="7">
        <f>'[3]Sun Country'!$GV$33</f>
        <v>0</v>
      </c>
      <c r="H5" s="7">
        <f>[3]Icelandair!$GV$33</f>
        <v>0</v>
      </c>
      <c r="I5" s="7">
        <f>[3]KLM!$GV$33</f>
        <v>0</v>
      </c>
      <c r="J5" s="7">
        <f>'[3]Air Georgian'!$GV$33</f>
        <v>0</v>
      </c>
      <c r="K5" s="7">
        <f>'[3]Sky Regional'!$GV$33</f>
        <v>0</v>
      </c>
      <c r="L5" s="7">
        <f>[3]Condor!$GV$33</f>
        <v>0</v>
      </c>
      <c r="M5" s="7">
        <f>'[3]Aer Lingus'!$GV$33</f>
        <v>0</v>
      </c>
      <c r="N5" s="7">
        <f>'[3]Air France'!$GV$33</f>
        <v>0</v>
      </c>
      <c r="O5" s="7">
        <f>'[3]Charter Misc'!$GV$33++[3]Ryan!$GV$33+[3]Omni!$GV$33</f>
        <v>0</v>
      </c>
      <c r="P5" s="372">
        <f>SUM(B5:O5)</f>
        <v>949</v>
      </c>
    </row>
    <row r="6" spans="1:16" ht="15" x14ac:dyDescent="0.25">
      <c r="A6" s="36" t="s">
        <v>7</v>
      </c>
      <c r="B6" s="18">
        <f t="shared" ref="B6:O6" si="0">SUM(B4:B5)</f>
        <v>306</v>
      </c>
      <c r="C6" s="18">
        <f t="shared" si="0"/>
        <v>0</v>
      </c>
      <c r="D6" s="18">
        <f t="shared" si="0"/>
        <v>0</v>
      </c>
      <c r="E6" s="18">
        <f t="shared" si="0"/>
        <v>1934</v>
      </c>
      <c r="F6" s="18">
        <f t="shared" ref="F6" si="1">SUM(F4:F5)</f>
        <v>0</v>
      </c>
      <c r="G6" s="18">
        <f t="shared" si="0"/>
        <v>0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3">
        <f>SUM(B6:O6)</f>
        <v>2240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1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1">
        <f>SUM(B8:O8)</f>
        <v>0</v>
      </c>
    </row>
    <row r="9" spans="1:16" x14ac:dyDescent="0.2">
      <c r="A9" s="38" t="s">
        <v>30</v>
      </c>
      <c r="B9" s="12">
        <f>[3]Delta!$GV$37</f>
        <v>1</v>
      </c>
      <c r="C9" s="12">
        <f>'[3]Atlantic Southeast'!$GV$37</f>
        <v>0</v>
      </c>
      <c r="D9" s="12">
        <f>[3]Pinnacle!$GV$37</f>
        <v>0</v>
      </c>
      <c r="E9" s="12">
        <f>'[3]Sky West'!$GV$37</f>
        <v>6</v>
      </c>
      <c r="F9" s="12">
        <f>'[3]Go Jet'!$GV$37</f>
        <v>0</v>
      </c>
      <c r="G9" s="12">
        <f>'[3]Sun Country'!$GV$37</f>
        <v>0</v>
      </c>
      <c r="H9" s="12">
        <f>[3]Icelandair!$GV$37</f>
        <v>0</v>
      </c>
      <c r="I9" s="12">
        <f>[3]KLM!$GV$37</f>
        <v>0</v>
      </c>
      <c r="J9" s="12">
        <f>'[3]Air Georgian'!$GV$37</f>
        <v>0</v>
      </c>
      <c r="K9" s="12">
        <f>'[3]Sky Regional'!$GV$37</f>
        <v>0</v>
      </c>
      <c r="L9" s="12">
        <f>[3]Condor!$GV$37</f>
        <v>0</v>
      </c>
      <c r="M9" s="12">
        <f>'[3]Aer Lingus'!$GV$37</f>
        <v>0</v>
      </c>
      <c r="N9" s="12">
        <f>'[3]Air France'!$GV$37</f>
        <v>0</v>
      </c>
      <c r="O9" s="12">
        <f>'[3]Charter Misc'!$GV$37+[3]Ryan!$GV$37+[3]Omni!$GV$37</f>
        <v>0</v>
      </c>
      <c r="P9" s="371">
        <f>SUM(B9:O9)</f>
        <v>7</v>
      </c>
    </row>
    <row r="10" spans="1:16" x14ac:dyDescent="0.2">
      <c r="A10" s="38" t="s">
        <v>33</v>
      </c>
      <c r="B10" s="7">
        <f>[3]Delta!$GV$38</f>
        <v>11</v>
      </c>
      <c r="C10" s="7">
        <f>'[3]Atlantic Southeast'!$GV$38</f>
        <v>0</v>
      </c>
      <c r="D10" s="7">
        <f>[3]Pinnacle!$GV$38</f>
        <v>0</v>
      </c>
      <c r="E10" s="7">
        <f>'[3]Sky West'!$GV$38</f>
        <v>8</v>
      </c>
      <c r="F10" s="7">
        <f>'[3]Go Jet'!$GV$38</f>
        <v>0</v>
      </c>
      <c r="G10" s="7">
        <f>'[3]Sun Country'!$GV$38</f>
        <v>4</v>
      </c>
      <c r="H10" s="7">
        <f>[3]Icelandair!$GV$38</f>
        <v>0</v>
      </c>
      <c r="I10" s="7">
        <f>[3]KLM!$GV$38</f>
        <v>0</v>
      </c>
      <c r="J10" s="7">
        <f>'[3]Air Georgian'!$GV$38</f>
        <v>0</v>
      </c>
      <c r="K10" s="7">
        <f>'[3]Sky Regional'!$GV$38</f>
        <v>0</v>
      </c>
      <c r="L10" s="7">
        <f>[3]Condor!$GV$38</f>
        <v>0</v>
      </c>
      <c r="M10" s="7">
        <f>'[3]Aer Lingus'!$GV$38</f>
        <v>0</v>
      </c>
      <c r="N10" s="7">
        <f>'[3]Air France'!$GV$38</f>
        <v>0</v>
      </c>
      <c r="O10" s="7">
        <f>'[3]Charter Misc'!$GV$38+[3]Ryan!$GV$38+[3]Omni!$GV$38</f>
        <v>0</v>
      </c>
      <c r="P10" s="372">
        <f>SUM(B10:O10)</f>
        <v>23</v>
      </c>
    </row>
    <row r="11" spans="1:16" ht="15.75" thickBot="1" x14ac:dyDescent="0.3">
      <c r="A11" s="39" t="s">
        <v>34</v>
      </c>
      <c r="B11" s="186">
        <f t="shared" ref="B11:G11" si="5">SUM(B9:B10)</f>
        <v>12</v>
      </c>
      <c r="C11" s="186">
        <f t="shared" si="5"/>
        <v>0</v>
      </c>
      <c r="D11" s="186">
        <f t="shared" si="5"/>
        <v>0</v>
      </c>
      <c r="E11" s="186">
        <f t="shared" si="5"/>
        <v>14</v>
      </c>
      <c r="F11" s="186">
        <f t="shared" ref="F11" si="6">SUM(F9:F10)</f>
        <v>0</v>
      </c>
      <c r="G11" s="186">
        <f t="shared" si="5"/>
        <v>4</v>
      </c>
      <c r="H11" s="186">
        <f t="shared" ref="H11:O11" si="7">SUM(H9:H10)</f>
        <v>0</v>
      </c>
      <c r="I11" s="186">
        <f t="shared" ref="I11" si="8">SUM(I9:I10)</f>
        <v>0</v>
      </c>
      <c r="J11" s="186">
        <f t="shared" si="7"/>
        <v>0</v>
      </c>
      <c r="K11" s="186">
        <f t="shared" ref="K11" si="9">SUM(K9:K10)</f>
        <v>0</v>
      </c>
      <c r="L11" s="186">
        <f t="shared" si="7"/>
        <v>0</v>
      </c>
      <c r="M11" s="186">
        <f t="shared" ref="M11" si="10">SUM(M9:M10)</f>
        <v>0</v>
      </c>
      <c r="N11" s="186">
        <f t="shared" si="7"/>
        <v>0</v>
      </c>
      <c r="O11" s="186">
        <f t="shared" si="7"/>
        <v>0</v>
      </c>
      <c r="P11" s="374">
        <f>SUM(B11:O11)</f>
        <v>30</v>
      </c>
    </row>
    <row r="12" spans="1:16" ht="15" x14ac:dyDescent="0.2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</row>
    <row r="13" spans="1:16" ht="39" thickBot="1" x14ac:dyDescent="0.25">
      <c r="B13" s="304" t="s">
        <v>18</v>
      </c>
      <c r="C13" s="303" t="s">
        <v>195</v>
      </c>
      <c r="D13" s="369" t="s">
        <v>158</v>
      </c>
      <c r="E13" s="303" t="s">
        <v>164</v>
      </c>
      <c r="F13" s="303" t="s">
        <v>163</v>
      </c>
      <c r="G13" s="303" t="s">
        <v>49</v>
      </c>
      <c r="H13" s="303" t="s">
        <v>114</v>
      </c>
      <c r="I13" s="303" t="s">
        <v>194</v>
      </c>
      <c r="J13" s="303" t="s">
        <v>191</v>
      </c>
      <c r="K13" s="303" t="s">
        <v>196</v>
      </c>
      <c r="L13" s="303" t="s">
        <v>162</v>
      </c>
      <c r="M13" s="303" t="s">
        <v>211</v>
      </c>
      <c r="N13" s="303" t="s">
        <v>157</v>
      </c>
      <c r="O13" s="303" t="s">
        <v>140</v>
      </c>
      <c r="P13" s="303" t="s">
        <v>21</v>
      </c>
    </row>
    <row r="14" spans="1:16" ht="15" x14ac:dyDescent="0.25">
      <c r="A14" s="493" t="s">
        <v>142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5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SUM([3]Delta!$GP$32:$GV$32)</f>
        <v>241186</v>
      </c>
      <c r="C16" s="12">
        <f>SUM('[3]Atlantic Southeast'!$GP$32:$GV$32)</f>
        <v>0</v>
      </c>
      <c r="D16" s="12">
        <f>SUM([3]Pinnacle!$GP$32:$GV$32)</f>
        <v>11430</v>
      </c>
      <c r="E16" s="12">
        <f>SUM('[3]Sky West'!$GP$32:$GV$32)</f>
        <v>42083</v>
      </c>
      <c r="F16" s="12">
        <f>SUM('[3]Go Jet'!$GP$32:$GV$32)</f>
        <v>0</v>
      </c>
      <c r="G16" s="12">
        <f>SUM('[3]Sun Country'!$GP$32:$GV$32)</f>
        <v>86037</v>
      </c>
      <c r="H16" s="12">
        <f>SUM([3]Icelandair!$GP$32:$GV$32)</f>
        <v>1011</v>
      </c>
      <c r="I16" s="12">
        <f>SUM([3]KLM!$GP$32:$GV$32)</f>
        <v>9290</v>
      </c>
      <c r="J16" s="12">
        <f>SUM('[3]Air Georgian'!$GP$32:$GV$32)</f>
        <v>0</v>
      </c>
      <c r="K16" s="12">
        <f>SUM('[3]Sky Regional'!$GP$32:$GV$32)</f>
        <v>8489</v>
      </c>
      <c r="L16" s="12">
        <f>SUM([3]Condor!$GP$32:$GV$32)</f>
        <v>0</v>
      </c>
      <c r="M16" s="12">
        <f>SUM('[3]Aer Lingus'!$GP$32:$GV$32)</f>
        <v>5028</v>
      </c>
      <c r="N16" s="12">
        <f>SUM('[3]Air France'!$GP$32:$GV$32)</f>
        <v>0</v>
      </c>
      <c r="O16" s="12">
        <f>SUM('[3]Charter Misc'!$GP$32:$GV$32)+SUM([3]Ryan!$GP$32:$GV$32)+SUM([3]Omni!$GP$32:$GV$32)</f>
        <v>60</v>
      </c>
      <c r="P16" s="371">
        <f>SUM(B16:O16)</f>
        <v>404614</v>
      </c>
    </row>
    <row r="17" spans="1:19" x14ac:dyDescent="0.2">
      <c r="A17" s="38" t="s">
        <v>31</v>
      </c>
      <c r="B17" s="7">
        <f>SUM([3]Delta!$GP$33:$GV$33)</f>
        <v>221404</v>
      </c>
      <c r="C17" s="7">
        <f>SUM('[3]Atlantic Southeast'!$GP$33:$GV$33)</f>
        <v>0</v>
      </c>
      <c r="D17" s="7">
        <f>SUM([3]Pinnacle!$GP$33:$GV$33)</f>
        <v>12177</v>
      </c>
      <c r="E17" s="7">
        <f>SUM('[3]Sky West'!$GP$33:$GV$33)</f>
        <v>43102</v>
      </c>
      <c r="F17" s="7">
        <f>SUM('[3]Go Jet'!$GP$33:$GV$33)</f>
        <v>0</v>
      </c>
      <c r="G17" s="7">
        <f>SUM('[3]Sun Country'!$GP$33:$GV$33)</f>
        <v>78950</v>
      </c>
      <c r="H17" s="7">
        <f>SUM([3]Icelandair!$GP$33:$GV$33)</f>
        <v>1047</v>
      </c>
      <c r="I17" s="7">
        <f>SUM([3]KLM!$GP$33:$GV$33)</f>
        <v>6678</v>
      </c>
      <c r="J17" s="7">
        <f>SUM('[3]Air Georgian'!$GP$33:$GV$33)</f>
        <v>0</v>
      </c>
      <c r="K17" s="7">
        <f>SUM('[3]Sky Regional'!$GP$33:$GV$33)</f>
        <v>8452</v>
      </c>
      <c r="L17" s="7">
        <f>SUM([3]Condor!$GP$33:$GV$33)</f>
        <v>0</v>
      </c>
      <c r="M17" s="7">
        <f>SUM('[3]Aer Lingus'!$GP$33:$GV$33)</f>
        <v>4594</v>
      </c>
      <c r="N17" s="7">
        <f>SUM('[3]Air France'!$GP$33:$GV$33)</f>
        <v>0</v>
      </c>
      <c r="O17" s="7">
        <f>SUM('[3]Charter Misc'!$GP$33:$GV$33)++SUM([3]Ryan!$GP$33:$GV$33)+SUM([3]Omni!$GP$33:$GV$33)</f>
        <v>0</v>
      </c>
      <c r="P17" s="372">
        <f>SUM(B17:O17)</f>
        <v>376404</v>
      </c>
    </row>
    <row r="18" spans="1:19" ht="15" x14ac:dyDescent="0.25">
      <c r="A18" s="36" t="s">
        <v>7</v>
      </c>
      <c r="B18" s="18">
        <f t="shared" ref="B18:O18" si="11">SUM(B16:B17)</f>
        <v>462590</v>
      </c>
      <c r="C18" s="18">
        <f t="shared" si="11"/>
        <v>0</v>
      </c>
      <c r="D18" s="18">
        <f t="shared" si="11"/>
        <v>23607</v>
      </c>
      <c r="E18" s="18">
        <f t="shared" si="11"/>
        <v>85185</v>
      </c>
      <c r="F18" s="18">
        <f t="shared" ref="F18" si="12">SUM(F16:F17)</f>
        <v>0</v>
      </c>
      <c r="G18" s="18">
        <f t="shared" si="11"/>
        <v>164987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60</v>
      </c>
      <c r="P18" s="373">
        <f>SUM(B18:O18)</f>
        <v>781018</v>
      </c>
      <c r="S18" s="203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1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1">
        <f>SUM(B20:O20)</f>
        <v>0</v>
      </c>
    </row>
    <row r="21" spans="1:19" x14ac:dyDescent="0.2">
      <c r="A21" s="38" t="s">
        <v>30</v>
      </c>
      <c r="B21" s="12">
        <f>SUM([3]Delta!$GP$37:$GV$37)</f>
        <v>6542</v>
      </c>
      <c r="C21" s="12">
        <f>SUM('[3]Atlantic Southeast'!$GP$37:$GV$37)</f>
        <v>0</v>
      </c>
      <c r="D21" s="12">
        <f>SUM([3]Pinnacle!$GP$37:$GV$37)</f>
        <v>265</v>
      </c>
      <c r="E21" s="12">
        <f>SUM('[3]Sky West'!$GP$37:$GV$37)</f>
        <v>515</v>
      </c>
      <c r="F21" s="12">
        <f>SUM('[3]Go Jet'!$GP$37:$GV$37)</f>
        <v>0</v>
      </c>
      <c r="G21" s="12">
        <f>SUM('[3]Sun Country'!$GP$37:$GV$37)</f>
        <v>1011</v>
      </c>
      <c r="H21" s="12">
        <f>SUM([3]Icelandair!$GP$37:$GV$37)</f>
        <v>22</v>
      </c>
      <c r="I21" s="12">
        <f>SUM([3]KLM!$GP$37:$GV$37)</f>
        <v>35</v>
      </c>
      <c r="J21" s="12">
        <f>SUM('[3]Air Georgian'!$GP$37:$GV$37)</f>
        <v>0</v>
      </c>
      <c r="K21" s="12">
        <f>SUM('[3]Sky Regional'!$GP$37:$GV$37)</f>
        <v>116</v>
      </c>
      <c r="L21" s="12">
        <f>SUM([3]Condor!$GP$37:$GV$37)</f>
        <v>0</v>
      </c>
      <c r="M21" s="12">
        <f>SUM('[3]Aer Lingus'!$GP$37:$GV$37)</f>
        <v>35</v>
      </c>
      <c r="N21" s="12">
        <f>SUM('[3]Air France'!$GP$37:$GV$37)</f>
        <v>0</v>
      </c>
      <c r="O21" s="12">
        <f>SUM('[3]Charter Misc'!$GP$37:$GV$37)++SUM([3]Ryan!$GP$37:$GV$37)+SUM([3]Omni!$GP$37:$GV$37)</f>
        <v>0</v>
      </c>
      <c r="P21" s="371">
        <f>SUM(B21:O21)</f>
        <v>8541</v>
      </c>
    </row>
    <row r="22" spans="1:19" x14ac:dyDescent="0.2">
      <c r="A22" s="38" t="s">
        <v>33</v>
      </c>
      <c r="B22" s="7">
        <f>SUM([3]Delta!$GP$38:$GV$38)</f>
        <v>5736</v>
      </c>
      <c r="C22" s="7">
        <f>SUM('[3]Atlantic Southeast'!$GP$38:$GV$38)</f>
        <v>0</v>
      </c>
      <c r="D22" s="7">
        <f>SUM([3]Pinnacle!$GP$38:$GV$38)</f>
        <v>139</v>
      </c>
      <c r="E22" s="7">
        <f>SUM('[3]Sky West'!$GP$38:$GV$38)</f>
        <v>509</v>
      </c>
      <c r="F22" s="7">
        <f>SUM('[3]Go Jet'!$GP$38:$GV$38)</f>
        <v>0</v>
      </c>
      <c r="G22" s="7">
        <f>SUM('[3]Sun Country'!$GP$38:$GV$38)</f>
        <v>960</v>
      </c>
      <c r="H22" s="7">
        <f>SUM([3]Icelandair!$GP$38:$GV$38)</f>
        <v>20</v>
      </c>
      <c r="I22" s="7">
        <f>SUM([3]KLM!$GP$38:$GV$38)</f>
        <v>26</v>
      </c>
      <c r="J22" s="7">
        <f>SUM('[3]Air Georgian'!$GP$38:$GV$38)</f>
        <v>0</v>
      </c>
      <c r="K22" s="7">
        <f>SUM('[3]Sky Regional'!$GP$38:$GV$38)</f>
        <v>116</v>
      </c>
      <c r="L22" s="7">
        <f>SUM([3]Condor!$GP$38:$GV$38)</f>
        <v>0</v>
      </c>
      <c r="M22" s="7">
        <f>SUM('[3]Aer Lingus'!$GP$38:$GV$38)</f>
        <v>37</v>
      </c>
      <c r="N22" s="7">
        <f>SUM('[3]Air France'!$GP$38:$GV$38)</f>
        <v>0</v>
      </c>
      <c r="O22" s="7">
        <f>SUM('[3]Charter Misc'!$GP$38:$GV$38)++SUM([3]Ryan!$GP$38:$GV$38)+SUM([3]Omni!$GP$38:$GV$38)</f>
        <v>0</v>
      </c>
      <c r="P22" s="372">
        <f>SUM(B22:O22)</f>
        <v>7543</v>
      </c>
    </row>
    <row r="23" spans="1:19" ht="15.75" thickBot="1" x14ac:dyDescent="0.3">
      <c r="A23" s="39" t="s">
        <v>34</v>
      </c>
      <c r="B23" s="186">
        <f t="shared" ref="B23:O23" si="16">SUM(B21:B22)</f>
        <v>12278</v>
      </c>
      <c r="C23" s="186">
        <f t="shared" si="16"/>
        <v>0</v>
      </c>
      <c r="D23" s="186">
        <f t="shared" si="16"/>
        <v>404</v>
      </c>
      <c r="E23" s="186">
        <f t="shared" si="16"/>
        <v>1024</v>
      </c>
      <c r="F23" s="186">
        <f t="shared" ref="F23" si="17">SUM(F21:F22)</f>
        <v>0</v>
      </c>
      <c r="G23" s="186">
        <f t="shared" si="16"/>
        <v>1971</v>
      </c>
      <c r="H23" s="186">
        <f t="shared" si="16"/>
        <v>42</v>
      </c>
      <c r="I23" s="186">
        <f t="shared" ref="I23" si="18">SUM(I21:I22)</f>
        <v>61</v>
      </c>
      <c r="J23" s="186">
        <f t="shared" si="16"/>
        <v>0</v>
      </c>
      <c r="K23" s="186">
        <f t="shared" ref="K23" si="19">SUM(K21:K22)</f>
        <v>232</v>
      </c>
      <c r="L23" s="186">
        <f t="shared" ref="L23:M23" si="20">SUM(L21:L22)</f>
        <v>0</v>
      </c>
      <c r="M23" s="186">
        <f t="shared" si="20"/>
        <v>72</v>
      </c>
      <c r="N23" s="186">
        <f t="shared" si="16"/>
        <v>0</v>
      </c>
      <c r="O23" s="186">
        <f t="shared" si="16"/>
        <v>0</v>
      </c>
      <c r="P23" s="374">
        <f>SUM(B23:O23)</f>
        <v>16084</v>
      </c>
    </row>
    <row r="25" spans="1:19" ht="39" thickBot="1" x14ac:dyDescent="0.25">
      <c r="B25" s="304" t="s">
        <v>18</v>
      </c>
      <c r="C25" s="303" t="s">
        <v>195</v>
      </c>
      <c r="D25" s="369" t="s">
        <v>158</v>
      </c>
      <c r="E25" s="303" t="s">
        <v>164</v>
      </c>
      <c r="F25" s="303" t="s">
        <v>163</v>
      </c>
      <c r="G25" s="303" t="s">
        <v>49</v>
      </c>
      <c r="H25" s="303" t="s">
        <v>114</v>
      </c>
      <c r="I25" s="303" t="s">
        <v>194</v>
      </c>
      <c r="J25" s="303" t="s">
        <v>191</v>
      </c>
      <c r="K25" s="303" t="s">
        <v>196</v>
      </c>
      <c r="L25" s="303" t="s">
        <v>162</v>
      </c>
      <c r="M25" s="303" t="s">
        <v>211</v>
      </c>
      <c r="N25" s="303" t="s">
        <v>157</v>
      </c>
      <c r="O25" s="303" t="s">
        <v>140</v>
      </c>
      <c r="P25" s="303" t="s">
        <v>21</v>
      </c>
    </row>
    <row r="26" spans="1:19" ht="15" x14ac:dyDescent="0.25">
      <c r="A26" s="496" t="s">
        <v>143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</row>
    <row r="27" spans="1:19" x14ac:dyDescent="0.2">
      <c r="A27" s="38" t="s">
        <v>22</v>
      </c>
      <c r="B27" s="12">
        <f>[3]Delta!$GV$15</f>
        <v>1</v>
      </c>
      <c r="C27" s="12">
        <f>'[3]Atlantic Southeast'!$GV$15</f>
        <v>0</v>
      </c>
      <c r="D27" s="12">
        <f>[3]Pinnacle!$GV$15</f>
        <v>0</v>
      </c>
      <c r="E27" s="12">
        <f>'[3]Sky West'!$GV$15</f>
        <v>56</v>
      </c>
      <c r="F27" s="12">
        <f>'[3]Go Jet'!$GV$15</f>
        <v>0</v>
      </c>
      <c r="G27" s="12">
        <f>'[3]Sun Country'!$GV$15</f>
        <v>1</v>
      </c>
      <c r="H27" s="12">
        <f>[3]Icelandair!$GV$15</f>
        <v>0</v>
      </c>
      <c r="I27" s="12">
        <f>[3]KLM!$GV$15</f>
        <v>0</v>
      </c>
      <c r="J27" s="12">
        <f>'[3]Air Georgian'!$GV$15</f>
        <v>0</v>
      </c>
      <c r="K27" s="12">
        <f>'[3]Sky Regional'!$GV$15</f>
        <v>0</v>
      </c>
      <c r="L27" s="12">
        <f>[3]Condor!$GV$15</f>
        <v>0</v>
      </c>
      <c r="M27" s="12">
        <f>'[3]Aer Lingus'!$GV$15</f>
        <v>0</v>
      </c>
      <c r="N27" s="12">
        <f>'[3]Air France'!$GV$15</f>
        <v>0</v>
      </c>
      <c r="O27" s="12">
        <f>'[3]Charter Misc'!$GV$15+[3]Ryan!$GV$15+[3]Omni!$GV$15</f>
        <v>0</v>
      </c>
      <c r="P27" s="371">
        <f>SUM(B27:O27)</f>
        <v>58</v>
      </c>
    </row>
    <row r="28" spans="1:19" x14ac:dyDescent="0.2">
      <c r="A28" s="38" t="s">
        <v>23</v>
      </c>
      <c r="B28" s="12">
        <f>[3]Delta!$GV$16</f>
        <v>2</v>
      </c>
      <c r="C28" s="12">
        <f>'[3]Atlantic Southeast'!$GV$16</f>
        <v>0</v>
      </c>
      <c r="D28" s="12">
        <f>[3]Pinnacle!$GV$16</f>
        <v>0</v>
      </c>
      <c r="E28" s="12">
        <f>'[3]Sky West'!$GV$16</f>
        <v>56</v>
      </c>
      <c r="F28" s="12">
        <f>'[3]Go Jet'!$GV$16</f>
        <v>0</v>
      </c>
      <c r="G28" s="12">
        <f>'[3]Sun Country'!$GV$16</f>
        <v>0</v>
      </c>
      <c r="H28" s="12">
        <f>[3]Icelandair!$GV$16</f>
        <v>0</v>
      </c>
      <c r="I28" s="12">
        <f>[3]KLM!$GV$16</f>
        <v>0</v>
      </c>
      <c r="J28" s="12">
        <f>'[3]Air Georgian'!$GV$16</f>
        <v>0</v>
      </c>
      <c r="K28" s="12">
        <f>'[3]Sky Regional'!$GV$16</f>
        <v>0</v>
      </c>
      <c r="L28" s="12">
        <f>[3]Condor!$GV$16</f>
        <v>0</v>
      </c>
      <c r="M28" s="12">
        <f>'[3]Aer Lingus'!$GV$16</f>
        <v>0</v>
      </c>
      <c r="N28" s="12">
        <f>'[3]Air France'!$GV$16</f>
        <v>0</v>
      </c>
      <c r="O28" s="12">
        <f>'[3]Charter Misc'!$GV$16+[3]Ryan!$GV$16+[3]Omni!$GV$16</f>
        <v>0</v>
      </c>
      <c r="P28" s="371">
        <f>SUM(B28:O28)</f>
        <v>58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1"/>
    </row>
    <row r="30" spans="1:19" ht="15.75" thickBot="1" x14ac:dyDescent="0.3">
      <c r="A30" s="39" t="s">
        <v>28</v>
      </c>
      <c r="B30" s="260">
        <f t="shared" ref="B30:J30" si="21">SUM(B27:B28)</f>
        <v>3</v>
      </c>
      <c r="C30" s="260">
        <f t="shared" si="21"/>
        <v>0</v>
      </c>
      <c r="D30" s="260">
        <f t="shared" si="21"/>
        <v>0</v>
      </c>
      <c r="E30" s="260">
        <f>SUM(E27:E28)</f>
        <v>112</v>
      </c>
      <c r="F30" s="260">
        <f>SUM(F27:F28)</f>
        <v>0</v>
      </c>
      <c r="G30" s="260">
        <f t="shared" si="21"/>
        <v>1</v>
      </c>
      <c r="H30" s="260">
        <f t="shared" si="21"/>
        <v>0</v>
      </c>
      <c r="I30" s="260">
        <f t="shared" ref="I30" si="22">SUM(I27:I28)</f>
        <v>0</v>
      </c>
      <c r="J30" s="260">
        <f t="shared" si="21"/>
        <v>0</v>
      </c>
      <c r="K30" s="260">
        <f t="shared" ref="K30" si="23">SUM(K27:K28)</f>
        <v>0</v>
      </c>
      <c r="L30" s="260">
        <f>SUM(L27:L28)</f>
        <v>0</v>
      </c>
      <c r="M30" s="260">
        <f>SUM(M27:M28)</f>
        <v>0</v>
      </c>
      <c r="N30" s="260">
        <f>SUM(N27:N28)</f>
        <v>0</v>
      </c>
      <c r="O30" s="260">
        <f>SUM(O27:O28)</f>
        <v>0</v>
      </c>
      <c r="P30" s="417">
        <f>SUM(B30:O30)</f>
        <v>116</v>
      </c>
    </row>
    <row r="31" spans="1:19" ht="15" x14ac:dyDescent="0.25">
      <c r="A31" s="261"/>
    </row>
    <row r="32" spans="1:19" ht="39" thickBot="1" x14ac:dyDescent="0.25">
      <c r="B32" s="304" t="s">
        <v>18</v>
      </c>
      <c r="C32" s="303" t="s">
        <v>195</v>
      </c>
      <c r="D32" s="369" t="s">
        <v>158</v>
      </c>
      <c r="E32" s="303" t="s">
        <v>164</v>
      </c>
      <c r="F32" s="303" t="s">
        <v>163</v>
      </c>
      <c r="G32" s="303" t="s">
        <v>49</v>
      </c>
      <c r="H32" s="303" t="s">
        <v>114</v>
      </c>
      <c r="I32" s="303" t="s">
        <v>194</v>
      </c>
      <c r="J32" s="303" t="s">
        <v>191</v>
      </c>
      <c r="K32" s="303" t="s">
        <v>196</v>
      </c>
      <c r="L32" s="303" t="s">
        <v>162</v>
      </c>
      <c r="M32" s="303" t="s">
        <v>211</v>
      </c>
      <c r="N32" s="303" t="s">
        <v>157</v>
      </c>
      <c r="O32" s="303" t="s">
        <v>140</v>
      </c>
      <c r="P32" s="303" t="s">
        <v>21</v>
      </c>
    </row>
    <row r="33" spans="1:16" ht="15" x14ac:dyDescent="0.25">
      <c r="A33" s="499" t="s">
        <v>144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1"/>
    </row>
    <row r="34" spans="1:16" x14ac:dyDescent="0.2">
      <c r="A34" s="38" t="s">
        <v>22</v>
      </c>
      <c r="B34" s="12">
        <f>SUM([3]Delta!$GP$15:$GV$15)</f>
        <v>1634</v>
      </c>
      <c r="C34" s="12">
        <f>SUM('[3]Atlantic Southeast'!$GP$15:$GV$15)</f>
        <v>0</v>
      </c>
      <c r="D34" s="12">
        <f>SUM([3]Pinnacle!$GP$15:$GV$15)</f>
        <v>230</v>
      </c>
      <c r="E34" s="12">
        <f>SUM('[3]Sky West'!$GP$15:$GV$15)</f>
        <v>937</v>
      </c>
      <c r="F34" s="12">
        <f>SUM('[3]Go Jet'!$GP$15:$GV$15)</f>
        <v>0</v>
      </c>
      <c r="G34" s="12">
        <f>SUM('[3]Sun Country'!$GP$15:$GV$15)</f>
        <v>619</v>
      </c>
      <c r="H34" s="12">
        <f>SUM([3]Icelandair!$GP$15:$GV$15)</f>
        <v>9</v>
      </c>
      <c r="I34" s="12">
        <f>SUM([3]KLM!$GP$15:$GV$15)</f>
        <v>40</v>
      </c>
      <c r="J34" s="12">
        <f>SUM('[3]Air Georgian'!$GP$15:$GV$15)</f>
        <v>0</v>
      </c>
      <c r="K34" s="12">
        <f>SUM('[3]Sky Regional'!$GP$15:$GV$15)</f>
        <v>195</v>
      </c>
      <c r="L34" s="12">
        <f>SUM([3]Condor!$GP$15:$GV$15)</f>
        <v>0</v>
      </c>
      <c r="M34" s="12">
        <f>SUM('[3]Aer Lingus'!$GP$15:$GV$15)</f>
        <v>44</v>
      </c>
      <c r="N34" s="12">
        <f>SUM('[3]Air France'!$GP$15:$GV$15)</f>
        <v>0</v>
      </c>
      <c r="O34" s="12">
        <f>SUM('[3]Charter Misc'!$GP$15:$GV$15)+SUM([3]Ryan!$GP$15:$GV$15)+SUM([3]Omni!$GP$15:$GV$15)</f>
        <v>1</v>
      </c>
      <c r="P34" s="371">
        <f>SUM(B34:O34)</f>
        <v>3709</v>
      </c>
    </row>
    <row r="35" spans="1:16" x14ac:dyDescent="0.2">
      <c r="A35" s="38" t="s">
        <v>23</v>
      </c>
      <c r="B35" s="12">
        <f>SUM([3]Delta!$GP$16:$GV$16)</f>
        <v>1622</v>
      </c>
      <c r="C35" s="12">
        <f>SUM('[3]Atlantic Southeast'!$GP$16:$GV$16)</f>
        <v>0</v>
      </c>
      <c r="D35" s="12">
        <f>SUM([3]Pinnacle!$GP$16:$GV$16)</f>
        <v>223</v>
      </c>
      <c r="E35" s="12">
        <f>SUM('[3]Sky West'!$GP$16:$GV$16)</f>
        <v>936</v>
      </c>
      <c r="F35" s="12">
        <f>SUM('[3]Go Jet'!$GP$16:$GV$16)</f>
        <v>0</v>
      </c>
      <c r="G35" s="12">
        <f>SUM('[3]Sun Country'!$GP$16:$GV$16)</f>
        <v>624</v>
      </c>
      <c r="H35" s="12">
        <f>SUM([3]Icelandair!$GP$16:$GV$16)</f>
        <v>9</v>
      </c>
      <c r="I35" s="12">
        <f>SUM([3]KLM!$GP$16:$GV$16)</f>
        <v>40</v>
      </c>
      <c r="J35" s="12">
        <f>SUM('[3]Air Georgian'!$GP$16:$GV$16)</f>
        <v>0</v>
      </c>
      <c r="K35" s="12">
        <f>SUM('[3]Sky Regional'!$GP$16:$GV$16)</f>
        <v>195</v>
      </c>
      <c r="L35" s="12">
        <f>SUM([3]Condor!$GP$16:$GV$16)</f>
        <v>0</v>
      </c>
      <c r="M35" s="12">
        <f>SUM('[3]Aer Lingus'!$GP$16:$GV$16)</f>
        <v>44</v>
      </c>
      <c r="N35" s="12">
        <f>SUM('[3]Air France'!$GP$16:$GV$16)</f>
        <v>0</v>
      </c>
      <c r="O35" s="12">
        <f>SUM('[3]Charter Misc'!$GP$16:$GV$16)+SUM([3]Ryan!$GP$16:$GV$16)+SUM([3]Omni!$GP$16:$GV$16)</f>
        <v>0</v>
      </c>
      <c r="P35" s="371">
        <f>SUM(B35:O35)</f>
        <v>3693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1"/>
    </row>
    <row r="37" spans="1:16" ht="15.75" thickBot="1" x14ac:dyDescent="0.3">
      <c r="A37" s="39" t="s">
        <v>28</v>
      </c>
      <c r="B37" s="260">
        <f t="shared" ref="B37:J37" si="24">+SUM(B34:B35)</f>
        <v>3256</v>
      </c>
      <c r="C37" s="260">
        <f t="shared" si="24"/>
        <v>0</v>
      </c>
      <c r="D37" s="260">
        <f t="shared" si="24"/>
        <v>453</v>
      </c>
      <c r="E37" s="260">
        <f>+SUM(E34:E35)</f>
        <v>1873</v>
      </c>
      <c r="F37" s="260">
        <f>+SUM(F34:F35)</f>
        <v>0</v>
      </c>
      <c r="G37" s="260">
        <f t="shared" si="24"/>
        <v>1243</v>
      </c>
      <c r="H37" s="260">
        <f t="shared" si="24"/>
        <v>18</v>
      </c>
      <c r="I37" s="260">
        <f t="shared" ref="I37" si="25">+SUM(I34:I35)</f>
        <v>80</v>
      </c>
      <c r="J37" s="260">
        <f t="shared" si="24"/>
        <v>0</v>
      </c>
      <c r="K37" s="260">
        <f t="shared" ref="K37" si="26">+SUM(K34:K35)</f>
        <v>390</v>
      </c>
      <c r="L37" s="260">
        <f>+SUM(L34:L35)</f>
        <v>0</v>
      </c>
      <c r="M37" s="260">
        <f>+SUM(M34:M35)</f>
        <v>88</v>
      </c>
      <c r="N37" s="260">
        <f>+SUM(N34:N35)</f>
        <v>0</v>
      </c>
      <c r="O37" s="260">
        <f>+SUM(O34:O35)</f>
        <v>1</v>
      </c>
      <c r="P37" s="417">
        <f>SUM(B37:O37)</f>
        <v>7402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&amp;"Arial,Bold"July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selection activeCell="C17" sqref="C17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3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3" bestFit="1" customWidth="1"/>
    <col min="12" max="13" width="14" style="2" bestFit="1" customWidth="1"/>
    <col min="14" max="14" width="11.7109375" style="3" customWidth="1"/>
    <col min="15" max="15" width="9.71093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2" t="s">
        <v>133</v>
      </c>
      <c r="B1" s="513"/>
      <c r="C1" s="362" t="s">
        <v>217</v>
      </c>
      <c r="D1" s="363" t="s">
        <v>205</v>
      </c>
      <c r="E1" s="175" t="s">
        <v>96</v>
      </c>
      <c r="F1" s="174" t="s">
        <v>218</v>
      </c>
      <c r="G1" s="363" t="s">
        <v>206</v>
      </c>
      <c r="H1" s="173" t="s">
        <v>97</v>
      </c>
      <c r="I1" s="175" t="s">
        <v>221</v>
      </c>
      <c r="J1" s="518" t="s">
        <v>137</v>
      </c>
      <c r="K1" s="519"/>
      <c r="L1" s="360" t="s">
        <v>219</v>
      </c>
      <c r="M1" s="361" t="s">
        <v>207</v>
      </c>
      <c r="N1" s="230" t="s">
        <v>97</v>
      </c>
      <c r="O1" s="339" t="s">
        <v>220</v>
      </c>
      <c r="P1" s="176" t="s">
        <v>208</v>
      </c>
      <c r="Q1" s="336" t="s">
        <v>97</v>
      </c>
      <c r="R1" s="340" t="s">
        <v>221</v>
      </c>
      <c r="S1" s="502" t="s">
        <v>223</v>
      </c>
      <c r="T1" s="503"/>
      <c r="U1" s="433" t="s">
        <v>219</v>
      </c>
      <c r="V1" s="434" t="s">
        <v>207</v>
      </c>
      <c r="W1" s="435" t="s">
        <v>97</v>
      </c>
      <c r="X1" s="436" t="s">
        <v>220</v>
      </c>
      <c r="Y1" s="437" t="s">
        <v>208</v>
      </c>
      <c r="Z1" s="438" t="s">
        <v>97</v>
      </c>
      <c r="AA1" s="439" t="s">
        <v>221</v>
      </c>
    </row>
    <row r="2" spans="1:27" s="9" customFormat="1" ht="13.5" customHeight="1" thickBot="1" x14ac:dyDescent="0.25">
      <c r="A2" s="514">
        <v>44013</v>
      </c>
      <c r="B2" s="515"/>
      <c r="C2" s="516" t="s">
        <v>9</v>
      </c>
      <c r="D2" s="517"/>
      <c r="E2" s="517"/>
      <c r="F2" s="517"/>
      <c r="G2" s="517"/>
      <c r="H2" s="517"/>
      <c r="I2" s="310"/>
      <c r="J2" s="514">
        <f>+A2</f>
        <v>44013</v>
      </c>
      <c r="K2" s="515"/>
      <c r="L2" s="509" t="s">
        <v>139</v>
      </c>
      <c r="M2" s="510"/>
      <c r="N2" s="510"/>
      <c r="O2" s="510"/>
      <c r="P2" s="510"/>
      <c r="Q2" s="510"/>
      <c r="R2" s="511"/>
      <c r="S2" s="504">
        <f>+J2</f>
        <v>44013</v>
      </c>
      <c r="T2" s="505"/>
      <c r="U2" s="506" t="s">
        <v>222</v>
      </c>
      <c r="V2" s="507"/>
      <c r="W2" s="507"/>
      <c r="X2" s="507"/>
      <c r="Y2" s="507"/>
      <c r="Z2" s="507"/>
      <c r="AA2" s="508"/>
    </row>
    <row r="3" spans="1:27" x14ac:dyDescent="0.2">
      <c r="A3" s="231"/>
      <c r="B3" s="232"/>
      <c r="C3" s="233"/>
      <c r="D3" s="234"/>
      <c r="E3" s="235"/>
      <c r="F3" s="287"/>
      <c r="G3" s="234"/>
      <c r="H3" s="334"/>
      <c r="I3" s="235"/>
      <c r="J3" s="236"/>
      <c r="K3" s="232"/>
      <c r="L3" s="242"/>
      <c r="N3" s="58"/>
      <c r="O3" s="231"/>
      <c r="P3" s="237"/>
      <c r="Q3" s="237"/>
      <c r="R3" s="232"/>
      <c r="S3" s="236"/>
      <c r="T3" s="232"/>
      <c r="U3" s="242"/>
      <c r="V3" s="2"/>
      <c r="W3" s="58"/>
      <c r="X3" s="231"/>
      <c r="Y3" s="237"/>
      <c r="Z3" s="237"/>
      <c r="AA3" s="232"/>
    </row>
    <row r="4" spans="1:27" x14ac:dyDescent="0.2">
      <c r="A4" s="238" t="s">
        <v>211</v>
      </c>
      <c r="B4" s="33"/>
      <c r="C4" s="239">
        <f>'[3]Aer Lingus'!$GV$19</f>
        <v>0</v>
      </c>
      <c r="D4" s="115">
        <f>'[3]Aer Lingus'!$GH$19</f>
        <v>46</v>
      </c>
      <c r="E4" s="241">
        <f>(C4-D4)/D4</f>
        <v>-1</v>
      </c>
      <c r="F4" s="115">
        <f>SUM('[3]Aer Lingus'!$GP$19:$GV$19)</f>
        <v>88</v>
      </c>
      <c r="G4" s="115">
        <f>SUM('[3]Aer Lingus'!$GB$19:$GH$19)</f>
        <v>46</v>
      </c>
      <c r="H4" s="240">
        <f>(F4-G4)/G4</f>
        <v>0.91304347826086951</v>
      </c>
      <c r="I4" s="241">
        <f>F4/$F$70</f>
        <v>7.1030753087416253E-4</v>
      </c>
      <c r="J4" s="238" t="s">
        <v>211</v>
      </c>
      <c r="K4" s="33"/>
      <c r="L4" s="239">
        <f>'[3]Aer Lingus'!$GV$41</f>
        <v>0</v>
      </c>
      <c r="M4" s="115">
        <f>'[3]Aer Lingus'!$GH$41</f>
        <v>6918</v>
      </c>
      <c r="N4" s="241">
        <f>(L4-M4)/M4</f>
        <v>-1</v>
      </c>
      <c r="O4" s="239">
        <f>SUM('[3]Aer Lingus'!$GP$41:$GV$41)</f>
        <v>9622</v>
      </c>
      <c r="P4" s="115">
        <f>SUM('[3]Aer Lingus'!$GB$41:$GH$41)</f>
        <v>6918</v>
      </c>
      <c r="Q4" s="240">
        <f>(O4-P4)/P4</f>
        <v>0.39086441167967623</v>
      </c>
      <c r="R4" s="241">
        <f>O4/$O$70</f>
        <v>1.0603934983397601E-3</v>
      </c>
      <c r="S4" s="238" t="s">
        <v>211</v>
      </c>
      <c r="T4" s="33"/>
      <c r="U4" s="239">
        <f>'[3]Aer Lingus'!$GV$64</f>
        <v>0</v>
      </c>
      <c r="V4" s="115">
        <f>'[3]Aer Lingus'!$GH$64</f>
        <v>6812</v>
      </c>
      <c r="W4" s="241">
        <f>(U4-V4)/V4</f>
        <v>-1</v>
      </c>
      <c r="X4" s="239">
        <f>SUM('[3]Aer Lingus'!$GP$64:$GV$64)</f>
        <v>10341</v>
      </c>
      <c r="Y4" s="115">
        <f>SUM('[3]Aer Lingus'!$GB$64:$GH$64)</f>
        <v>6812</v>
      </c>
      <c r="Z4" s="240">
        <f>(X4-Y4)/Y4</f>
        <v>0.51805637110980618</v>
      </c>
      <c r="AA4" s="241">
        <f>X4/$X$70</f>
        <v>3.1749294966700541E-4</v>
      </c>
    </row>
    <row r="5" spans="1:27" x14ac:dyDescent="0.2">
      <c r="A5" s="31"/>
      <c r="B5" s="33"/>
      <c r="C5" s="242"/>
      <c r="D5" s="364"/>
      <c r="E5" s="58"/>
      <c r="F5" s="365"/>
      <c r="G5" s="364"/>
      <c r="H5" s="366"/>
      <c r="I5" s="58"/>
      <c r="J5" s="367"/>
      <c r="K5" s="33"/>
      <c r="L5" s="242"/>
      <c r="N5" s="58"/>
      <c r="O5" s="31"/>
      <c r="P5" s="368"/>
      <c r="Q5" s="368"/>
      <c r="R5" s="33"/>
      <c r="S5" s="367"/>
      <c r="T5" s="33"/>
      <c r="U5" s="242"/>
      <c r="V5" s="2"/>
      <c r="W5" s="58"/>
      <c r="X5" s="31"/>
      <c r="Y5" s="368"/>
      <c r="Z5" s="368"/>
      <c r="AA5" s="33"/>
    </row>
    <row r="6" spans="1:27" ht="14.1" customHeight="1" x14ac:dyDescent="0.2">
      <c r="A6" s="238" t="s">
        <v>99</v>
      </c>
      <c r="B6" s="33"/>
      <c r="C6" s="239">
        <f>SUM(C7:C9)</f>
        <v>0</v>
      </c>
      <c r="D6" s="115">
        <f>SUM(D7:D9)</f>
        <v>186</v>
      </c>
      <c r="E6" s="241">
        <f>(C6-D6)/D6</f>
        <v>-1</v>
      </c>
      <c r="F6" s="239">
        <f>SUM(F7:F9)</f>
        <v>390</v>
      </c>
      <c r="G6" s="115">
        <f>SUM(G7:G9)</f>
        <v>1164</v>
      </c>
      <c r="H6" s="240">
        <f>(F6-G6)/G6</f>
        <v>-0.66494845360824739</v>
      </c>
      <c r="I6" s="241">
        <f>F6/$F$70</f>
        <v>3.1479538300104933E-3</v>
      </c>
      <c r="J6" s="238" t="s">
        <v>99</v>
      </c>
      <c r="K6" s="33"/>
      <c r="L6" s="239">
        <f>SUM(L7:L9)</f>
        <v>0</v>
      </c>
      <c r="M6" s="115">
        <f>SUM(M7:M9)</f>
        <v>11668</v>
      </c>
      <c r="N6" s="241">
        <f>(L6-M6)/M6</f>
        <v>-1</v>
      </c>
      <c r="O6" s="239">
        <f>SUM(O7:O9)</f>
        <v>16941</v>
      </c>
      <c r="P6" s="115">
        <f>SUM(P7:P9)</f>
        <v>66533</v>
      </c>
      <c r="Q6" s="240">
        <f>(O6-P6)/P6</f>
        <v>-0.74537447582402716</v>
      </c>
      <c r="R6" s="241">
        <f>O6/$O$70</f>
        <v>1.8669846451230385E-3</v>
      </c>
      <c r="S6" s="238" t="s">
        <v>99</v>
      </c>
      <c r="T6" s="33"/>
      <c r="U6" s="239">
        <f>SUM(U7:U9)</f>
        <v>0</v>
      </c>
      <c r="V6" s="115">
        <f>SUM(V7:V9)</f>
        <v>5679</v>
      </c>
      <c r="W6" s="241">
        <f>(U6-V6)/V6</f>
        <v>-1</v>
      </c>
      <c r="X6" s="239">
        <f>SUM(X7:X9)</f>
        <v>4266</v>
      </c>
      <c r="Y6" s="115">
        <f>SUM(Y7:Y9)</f>
        <v>34329</v>
      </c>
      <c r="Z6" s="240">
        <f>(X6-Y6)/Y6</f>
        <v>-0.87573188849078043</v>
      </c>
      <c r="AA6" s="241">
        <f>X6/$X$70</f>
        <v>1.3097620377907796E-4</v>
      </c>
    </row>
    <row r="7" spans="1:27" ht="14.1" customHeight="1" x14ac:dyDescent="0.2">
      <c r="A7" s="238"/>
      <c r="B7" s="295" t="s">
        <v>99</v>
      </c>
      <c r="C7" s="242">
        <f>+[3]AirCanada!$GV$19</f>
        <v>0</v>
      </c>
      <c r="D7" s="2">
        <f>+[3]AirCanada!$GH$19</f>
        <v>0</v>
      </c>
      <c r="E7" s="58" t="e">
        <f>(C7-D7)/D7</f>
        <v>#DIV/0!</v>
      </c>
      <c r="F7" s="192">
        <f>SUM([3]AirCanada!$GP$19:$GV$19)</f>
        <v>0</v>
      </c>
      <c r="G7" s="192">
        <f>SUM([3]AirCanada!$GB$19:$GH$19)</f>
        <v>0</v>
      </c>
      <c r="H7" s="300" t="e">
        <f>(F7-G7)/G7</f>
        <v>#DIV/0!</v>
      </c>
      <c r="I7" s="58">
        <f>F7/$F$70</f>
        <v>0</v>
      </c>
      <c r="J7" s="238"/>
      <c r="K7" s="295" t="s">
        <v>99</v>
      </c>
      <c r="L7" s="299">
        <f>+[3]AirCanada!$GV$41</f>
        <v>0</v>
      </c>
      <c r="M7" s="192">
        <f>+[3]AirCanada!$GH$41</f>
        <v>0</v>
      </c>
      <c r="N7" s="301" t="e">
        <f>(L7-M7)/M7</f>
        <v>#DIV/0!</v>
      </c>
      <c r="O7" s="299">
        <f>SUM([3]AirCanada!$GP$41:$GV$41)</f>
        <v>0</v>
      </c>
      <c r="P7" s="192">
        <f>SUM([3]AirCanada!$GB$41:$GH$41)</f>
        <v>0</v>
      </c>
      <c r="Q7" s="300" t="e">
        <f>(O7-P7)/P7</f>
        <v>#DIV/0!</v>
      </c>
      <c r="R7" s="301">
        <f>O7/$O$70</f>
        <v>0</v>
      </c>
      <c r="S7" s="238"/>
      <c r="T7" s="295" t="s">
        <v>99</v>
      </c>
      <c r="U7" s="299">
        <f>+[3]AirCanada!$GV$64</f>
        <v>0</v>
      </c>
      <c r="V7" s="192">
        <f>+[3]AirCanada!$GH$64</f>
        <v>0</v>
      </c>
      <c r="W7" s="301" t="e">
        <f>(U7-V7)/V7</f>
        <v>#DIV/0!</v>
      </c>
      <c r="X7" s="299">
        <f>SUM([3]AirCanada!$GP$64:$GV$64)</f>
        <v>0</v>
      </c>
      <c r="Y7" s="192">
        <f>SUM([3]AirCanada!$GB$64:$GH$64)</f>
        <v>0</v>
      </c>
      <c r="Z7" s="300" t="e">
        <f>(X7-Y7)/Y7</f>
        <v>#DIV/0!</v>
      </c>
      <c r="AA7" s="301">
        <f>X7/$X$70</f>
        <v>0</v>
      </c>
    </row>
    <row r="8" spans="1:27" ht="14.1" customHeight="1" x14ac:dyDescent="0.2">
      <c r="A8" s="238"/>
      <c r="B8" s="295" t="s">
        <v>165</v>
      </c>
      <c r="C8" s="242">
        <f>'[3]Air Georgian'!$GV$19</f>
        <v>0</v>
      </c>
      <c r="D8" s="2">
        <f>'[3]Air Georgian'!$GH$19</f>
        <v>0</v>
      </c>
      <c r="E8" s="58" t="e">
        <f>(C8-D8)/D8</f>
        <v>#DIV/0!</v>
      </c>
      <c r="F8" s="192">
        <f>SUM('[3]Air Georgian'!$GP$19:$GV$19)</f>
        <v>0</v>
      </c>
      <c r="G8" s="192">
        <f>SUM('[3]Air Georgian'!$GB$19:$GH$19)</f>
        <v>0</v>
      </c>
      <c r="H8" s="300" t="e">
        <f>(F8-G8)/G8</f>
        <v>#DIV/0!</v>
      </c>
      <c r="I8" s="58">
        <f>F8/$F$70</f>
        <v>0</v>
      </c>
      <c r="J8" s="238"/>
      <c r="K8" s="295" t="s">
        <v>165</v>
      </c>
      <c r="L8" s="242">
        <f>'[3]Air Georgian'!$GV$41</f>
        <v>0</v>
      </c>
      <c r="M8" s="2">
        <f>'[3]Air Georgian'!$GH$41</f>
        <v>0</v>
      </c>
      <c r="N8" s="58" t="e">
        <f>(L8-M8)/M8</f>
        <v>#DIV/0!</v>
      </c>
      <c r="O8" s="242">
        <f>SUM('[3]Air Georgian'!$GP$41:$GV$41)</f>
        <v>0</v>
      </c>
      <c r="P8" s="2">
        <f>SUM('[3]Air Georgian'!$GB$41:$GH$41)</f>
        <v>0</v>
      </c>
      <c r="Q8" s="3" t="e">
        <f>(O8-P8)/P8</f>
        <v>#DIV/0!</v>
      </c>
      <c r="R8" s="58">
        <f>O8/$O$70</f>
        <v>0</v>
      </c>
      <c r="S8" s="238"/>
      <c r="T8" s="295" t="s">
        <v>165</v>
      </c>
      <c r="U8" s="242">
        <f>'[3]Air Georgian'!$GV$64</f>
        <v>0</v>
      </c>
      <c r="V8" s="2">
        <f>'[3]Air Georgian'!$GH$64</f>
        <v>0</v>
      </c>
      <c r="W8" s="58" t="e">
        <f>(U8-V8)/V8</f>
        <v>#DIV/0!</v>
      </c>
      <c r="X8" s="242">
        <f>SUM('[3]Air Georgian'!$GP$64:$GV$64)</f>
        <v>0</v>
      </c>
      <c r="Y8" s="2">
        <f>SUM('[3]Air Georgian'!$GB$64:$GH$64)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8"/>
      <c r="B9" s="295" t="s">
        <v>192</v>
      </c>
      <c r="C9" s="242">
        <f>'[3]Sky Regional'!$GV$19</f>
        <v>0</v>
      </c>
      <c r="D9" s="2">
        <f>'[3]Sky Regional'!$GH$19</f>
        <v>186</v>
      </c>
      <c r="E9" s="58">
        <f>(C9-D9)/D9</f>
        <v>-1</v>
      </c>
      <c r="F9" s="192">
        <f>SUM('[3]Sky Regional'!$GP$19:$GV$19)</f>
        <v>390</v>
      </c>
      <c r="G9" s="192">
        <f>SUM('[3]Sky Regional'!$GB$19:$GH$19)</f>
        <v>1164</v>
      </c>
      <c r="H9" s="300">
        <f>(F9-G9)/G9</f>
        <v>-0.66494845360824739</v>
      </c>
      <c r="I9" s="58">
        <f>F9/$F$70</f>
        <v>3.1479538300104933E-3</v>
      </c>
      <c r="J9" s="238"/>
      <c r="K9" s="295" t="s">
        <v>192</v>
      </c>
      <c r="L9" s="242">
        <f>'[3]Sky Regional'!$GV$41</f>
        <v>0</v>
      </c>
      <c r="M9" s="2">
        <f>'[3]Sky Regional'!$GH$41</f>
        <v>11668</v>
      </c>
      <c r="N9" s="58">
        <f>(L9-M9)/M9</f>
        <v>-1</v>
      </c>
      <c r="O9" s="242">
        <f>SUM('[3]Sky Regional'!$GP$41:$GV$41)</f>
        <v>16941</v>
      </c>
      <c r="P9" s="2">
        <f>SUM('[3]Sky Regional'!$GB$41:$GH$41)</f>
        <v>66533</v>
      </c>
      <c r="Q9" s="3">
        <f>(O9-P9)/P9</f>
        <v>-0.74537447582402716</v>
      </c>
      <c r="R9" s="58">
        <f>O9/$O$70</f>
        <v>1.8669846451230385E-3</v>
      </c>
      <c r="S9" s="238"/>
      <c r="T9" s="295" t="s">
        <v>192</v>
      </c>
      <c r="U9" s="242">
        <f>'[3]Sky Regional'!$GV$64</f>
        <v>0</v>
      </c>
      <c r="V9" s="2">
        <f>'[3]Sky Regional'!$GH$64</f>
        <v>5679</v>
      </c>
      <c r="W9" s="58">
        <f>(U9-V9)/V9</f>
        <v>-1</v>
      </c>
      <c r="X9" s="242">
        <f>SUM('[3]Sky Regional'!$GP$64:$GV$64)</f>
        <v>4266</v>
      </c>
      <c r="Y9" s="2">
        <f>SUM('[3]Sky Regional'!$GB$64:$GH$64)</f>
        <v>34329</v>
      </c>
      <c r="Z9" s="3">
        <f>(X9-Y9)/Y9</f>
        <v>-0.87573188849078043</v>
      </c>
      <c r="AA9" s="58">
        <f>X9/$X$70</f>
        <v>1.3097620377907796E-4</v>
      </c>
    </row>
    <row r="10" spans="1:27" ht="14.1" customHeight="1" x14ac:dyDescent="0.2">
      <c r="A10" s="238"/>
      <c r="B10" s="33"/>
      <c r="C10" s="239"/>
      <c r="D10" s="115"/>
      <c r="E10" s="241"/>
      <c r="F10" s="115"/>
      <c r="G10" s="115"/>
      <c r="H10" s="240"/>
      <c r="I10" s="241"/>
      <c r="J10" s="238"/>
      <c r="K10" s="33"/>
      <c r="L10" s="242"/>
      <c r="N10" s="58"/>
      <c r="O10" s="242"/>
      <c r="P10" s="2"/>
      <c r="Q10" s="3"/>
      <c r="R10" s="58"/>
      <c r="S10" s="238"/>
      <c r="T10" s="33"/>
      <c r="U10" s="242"/>
      <c r="V10" s="2"/>
      <c r="W10" s="58"/>
      <c r="X10" s="242"/>
      <c r="Y10" s="2"/>
      <c r="Z10" s="3"/>
      <c r="AA10" s="58"/>
    </row>
    <row r="11" spans="1:27" ht="14.1" customHeight="1" x14ac:dyDescent="0.2">
      <c r="A11" s="238" t="s">
        <v>179</v>
      </c>
      <c r="B11" s="33"/>
      <c r="C11" s="239">
        <f>'[3]Air Choice One'!$GV$19</f>
        <v>174</v>
      </c>
      <c r="D11" s="115">
        <f>'[3]Air Choice One'!$GH$19</f>
        <v>210</v>
      </c>
      <c r="E11" s="241">
        <f>(C11-D11)/D11</f>
        <v>-0.17142857142857143</v>
      </c>
      <c r="F11" s="115">
        <f>SUM('[3]Air Choice One'!$GP$19:$GV$19)</f>
        <v>1252</v>
      </c>
      <c r="G11" s="115">
        <f>SUM('[3]Air Choice One'!$GB$19:$GH$19)</f>
        <v>1394</v>
      </c>
      <c r="H11" s="240">
        <f>(F11-G11)/G11</f>
        <v>-0.10186513629842181</v>
      </c>
      <c r="I11" s="241">
        <f>F11/$F$70</f>
        <v>1.0105738961982403E-2</v>
      </c>
      <c r="J11" s="238" t="s">
        <v>179</v>
      </c>
      <c r="K11" s="33"/>
      <c r="L11" s="239">
        <f>'[3]Air Choice One'!$GV$41</f>
        <v>258</v>
      </c>
      <c r="M11" s="115">
        <f>'[3]Air Choice One'!$GH$41</f>
        <v>1083</v>
      </c>
      <c r="N11" s="241">
        <f>(L11-M11)/M11</f>
        <v>-0.76177285318559562</v>
      </c>
      <c r="O11" s="239">
        <f>SUM('[3]Air Choice One'!$GP$41:$GV$41)</f>
        <v>2637</v>
      </c>
      <c r="P11" s="115">
        <f>SUM('[3]Air Choice One'!$GB$41:$GH$41)</f>
        <v>5998</v>
      </c>
      <c r="Q11" s="240">
        <f>(O11-P11)/P11</f>
        <v>-0.56035345115038349</v>
      </c>
      <c r="R11" s="241">
        <f>O11/$O$70</f>
        <v>2.9061085586384823E-4</v>
      </c>
      <c r="S11" s="238" t="s">
        <v>179</v>
      </c>
      <c r="T11" s="33"/>
      <c r="U11" s="239">
        <f>'[3]Air Choice One'!$GV$64</f>
        <v>0</v>
      </c>
      <c r="V11" s="115">
        <f>'[3]Air Choice One'!$GH$64</f>
        <v>0</v>
      </c>
      <c r="W11" s="241" t="e">
        <f>(U11-V11)/V11</f>
        <v>#DIV/0!</v>
      </c>
      <c r="X11" s="239">
        <f>SUM('[3]Air Choice One'!$GP$64:$GV$64)</f>
        <v>0</v>
      </c>
      <c r="Y11" s="115">
        <f>SUM('[3]Air Choice One'!$GB$64:$GH$64)</f>
        <v>0</v>
      </c>
      <c r="Z11" s="240" t="e">
        <f>(X11-Y11)/Y11</f>
        <v>#DIV/0!</v>
      </c>
      <c r="AA11" s="241">
        <f>X11/$X$70</f>
        <v>0</v>
      </c>
    </row>
    <row r="12" spans="1:27" ht="14.1" customHeight="1" x14ac:dyDescent="0.2">
      <c r="A12" s="238"/>
      <c r="B12" s="33"/>
      <c r="C12" s="239"/>
      <c r="D12" s="115"/>
      <c r="E12" s="241"/>
      <c r="F12" s="115"/>
      <c r="G12" s="115"/>
      <c r="H12" s="240"/>
      <c r="I12" s="241"/>
      <c r="J12" s="238"/>
      <c r="K12" s="33"/>
      <c r="L12" s="242"/>
      <c r="N12" s="58"/>
      <c r="O12" s="242"/>
      <c r="P12" s="2"/>
      <c r="Q12" s="3"/>
      <c r="R12" s="58"/>
      <c r="S12" s="238"/>
      <c r="T12" s="33"/>
      <c r="U12" s="242"/>
      <c r="V12" s="2"/>
      <c r="W12" s="58"/>
      <c r="X12" s="242"/>
      <c r="Y12" s="2"/>
      <c r="Z12" s="3"/>
      <c r="AA12" s="58"/>
    </row>
    <row r="13" spans="1:27" ht="14.1" customHeight="1" x14ac:dyDescent="0.2">
      <c r="A13" s="238" t="s">
        <v>157</v>
      </c>
      <c r="B13" s="33"/>
      <c r="C13" s="239">
        <f>'[3]Air France'!$GV$19</f>
        <v>0</v>
      </c>
      <c r="D13" s="115">
        <f>'[3]Air France'!$GH$19</f>
        <v>62</v>
      </c>
      <c r="E13" s="241">
        <f>(C13-D13)/D13</f>
        <v>-1</v>
      </c>
      <c r="F13" s="115">
        <f>SUM('[3]Air France'!$GP$19:$GV$19)</f>
        <v>0</v>
      </c>
      <c r="G13" s="115">
        <f>SUM('[3]Air France'!$GB$19:$GH$19)</f>
        <v>176</v>
      </c>
      <c r="H13" s="240">
        <f>(F13-G13)/G13</f>
        <v>-1</v>
      </c>
      <c r="I13" s="241">
        <f>F13/$F$70</f>
        <v>0</v>
      </c>
      <c r="J13" s="238" t="s">
        <v>157</v>
      </c>
      <c r="K13" s="33"/>
      <c r="L13" s="239">
        <f>'[3]Air France'!$GV$41</f>
        <v>0</v>
      </c>
      <c r="M13" s="115">
        <f>'[3]Air France'!$GH$41</f>
        <v>16290</v>
      </c>
      <c r="N13" s="241">
        <f>(L13-M13)/M13</f>
        <v>-1</v>
      </c>
      <c r="O13" s="239">
        <f>SUM('[3]Air France'!$GP$41:$GV$41)</f>
        <v>0</v>
      </c>
      <c r="P13" s="115">
        <f>SUM('[3]Air France'!$GB$41:$GH$41)</f>
        <v>44390</v>
      </c>
      <c r="Q13" s="240">
        <f>(O13-P13)/P13</f>
        <v>-1</v>
      </c>
      <c r="R13" s="241">
        <f>O13/$O$70</f>
        <v>0</v>
      </c>
      <c r="S13" s="238" t="s">
        <v>157</v>
      </c>
      <c r="T13" s="33"/>
      <c r="U13" s="239">
        <f>'[3]Air France'!$GV$64</f>
        <v>0</v>
      </c>
      <c r="V13" s="115">
        <f>'[3]Air France'!$GH$64</f>
        <v>300860</v>
      </c>
      <c r="W13" s="241">
        <f>(U13-V13)/V13</f>
        <v>-1</v>
      </c>
      <c r="X13" s="239">
        <f>SUM('[3]Air France'!$GP$64:$GV$64)</f>
        <v>0</v>
      </c>
      <c r="Y13" s="115">
        <f>SUM('[3]Air France'!$GB$64:$GH$64)</f>
        <v>1025306</v>
      </c>
      <c r="Z13" s="240">
        <f>(X13-Y13)/Y13</f>
        <v>-1</v>
      </c>
      <c r="AA13" s="241">
        <f>X13/$X$70</f>
        <v>0</v>
      </c>
    </row>
    <row r="14" spans="1:27" ht="14.1" customHeight="1" x14ac:dyDescent="0.2">
      <c r="A14" s="238"/>
      <c r="B14" s="33"/>
      <c r="C14" s="239"/>
      <c r="D14" s="115"/>
      <c r="E14" s="241"/>
      <c r="F14" s="115"/>
      <c r="G14" s="115"/>
      <c r="H14" s="240"/>
      <c r="I14" s="241"/>
      <c r="J14" s="238"/>
      <c r="K14" s="33"/>
      <c r="L14" s="242"/>
      <c r="N14" s="58"/>
      <c r="O14" s="242"/>
      <c r="P14" s="2"/>
      <c r="Q14" s="3"/>
      <c r="R14" s="58"/>
      <c r="S14" s="238"/>
      <c r="T14" s="33"/>
      <c r="U14" s="242"/>
      <c r="V14" s="2"/>
      <c r="W14" s="58"/>
      <c r="X14" s="242"/>
      <c r="Y14" s="2"/>
      <c r="Z14" s="3"/>
      <c r="AA14" s="58"/>
    </row>
    <row r="15" spans="1:27" ht="14.1" customHeight="1" x14ac:dyDescent="0.2">
      <c r="A15" s="238" t="s">
        <v>129</v>
      </c>
      <c r="B15" s="33"/>
      <c r="C15" s="239">
        <f>SUM(C16:C18)</f>
        <v>128</v>
      </c>
      <c r="D15" s="115">
        <f>SUM(D16:D18)</f>
        <v>314</v>
      </c>
      <c r="E15" s="241">
        <f>(C15-D15)/D15</f>
        <v>-0.59235668789808915</v>
      </c>
      <c r="F15" s="115">
        <f>SUM(F16:F18)</f>
        <v>1006</v>
      </c>
      <c r="G15" s="115">
        <f>SUM(G16:G18)</f>
        <v>1811</v>
      </c>
      <c r="H15" s="240">
        <f>(F15-G15)/G15</f>
        <v>-0.44450579790171174</v>
      </c>
      <c r="I15" s="241">
        <f>F15/$F$70</f>
        <v>8.1201065461296313E-3</v>
      </c>
      <c r="J15" s="238" t="s">
        <v>129</v>
      </c>
      <c r="K15" s="33"/>
      <c r="L15" s="239">
        <f>SUM(L16:L18)</f>
        <v>10060</v>
      </c>
      <c r="M15" s="115">
        <f>SUM(M16:M18)</f>
        <v>34727</v>
      </c>
      <c r="N15" s="241">
        <f>(L15-M15)/M15</f>
        <v>-0.71031186108791433</v>
      </c>
      <c r="O15" s="239">
        <f>SUM(O16:O18)</f>
        <v>68390</v>
      </c>
      <c r="P15" s="115">
        <f>SUM(P16:P18)</f>
        <v>195732</v>
      </c>
      <c r="Q15" s="240">
        <f>(O15-P15)/P15</f>
        <v>-0.65059366889420223</v>
      </c>
      <c r="R15" s="241">
        <f>O15/$O$70</f>
        <v>7.5369269747927866E-3</v>
      </c>
      <c r="S15" s="238" t="s">
        <v>129</v>
      </c>
      <c r="T15" s="33"/>
      <c r="U15" s="239">
        <f>SUM(U16:U18)</f>
        <v>46368</v>
      </c>
      <c r="V15" s="115">
        <f>SUM(V16:V18)</f>
        <v>48368</v>
      </c>
      <c r="W15" s="241">
        <f>(U15-V15)/V15</f>
        <v>-4.1349652662917631E-2</v>
      </c>
      <c r="X15" s="239">
        <f>SUM(X16:X18)</f>
        <v>198564</v>
      </c>
      <c r="Y15" s="115">
        <f>SUM(Y16:Y18)</f>
        <v>300469</v>
      </c>
      <c r="Z15" s="240">
        <f>(X15-Y15)/Y15</f>
        <v>-0.33915312394955888</v>
      </c>
      <c r="AA15" s="241">
        <f>X15/$X$70</f>
        <v>6.0963804330025403E-3</v>
      </c>
    </row>
    <row r="16" spans="1:27" ht="14.1" customHeight="1" x14ac:dyDescent="0.2">
      <c r="A16" s="238"/>
      <c r="B16" s="295" t="s">
        <v>129</v>
      </c>
      <c r="C16" s="299">
        <f>[3]Alaska!$GV$19</f>
        <v>128</v>
      </c>
      <c r="D16" s="192">
        <f>[3]Alaska!$GH$19</f>
        <v>252</v>
      </c>
      <c r="E16" s="301">
        <f>(C16-D16)/D16</f>
        <v>-0.49206349206349204</v>
      </c>
      <c r="F16" s="192">
        <f>SUM([3]Alaska!$GP$19:$GV$19)</f>
        <v>782</v>
      </c>
      <c r="G16" s="192">
        <f>SUM([3]Alaska!$GB$19:$GH$19)</f>
        <v>1257</v>
      </c>
      <c r="H16" s="300">
        <f>(F16-G16)/G16</f>
        <v>-0.37788385043754974</v>
      </c>
      <c r="I16" s="301">
        <f>F16/$F$70</f>
        <v>6.312051012995399E-3</v>
      </c>
      <c r="J16" s="238"/>
      <c r="K16" s="295" t="s">
        <v>129</v>
      </c>
      <c r="L16" s="299">
        <f>[3]Alaska!$GV$41</f>
        <v>10060</v>
      </c>
      <c r="M16" s="192">
        <f>[3]Alaska!$GH$41</f>
        <v>30455</v>
      </c>
      <c r="N16" s="301">
        <f>(L16-M16)/M16</f>
        <v>-0.6696765719914628</v>
      </c>
      <c r="O16" s="299">
        <f>SUM([3]Alaska!$GP$41:$GV$41)</f>
        <v>56031</v>
      </c>
      <c r="P16" s="192">
        <f>SUM([3]Alaska!$GB$41:$GH$41)</f>
        <v>158934</v>
      </c>
      <c r="Q16" s="300">
        <f>(O16-P16)/P16</f>
        <v>-0.64745743516176524</v>
      </c>
      <c r="R16" s="301">
        <f>O16/$O$70</f>
        <v>6.1749021103175115E-3</v>
      </c>
      <c r="S16" s="238"/>
      <c r="T16" s="295" t="s">
        <v>129</v>
      </c>
      <c r="U16" s="299">
        <f>[3]Alaska!$GV$64</f>
        <v>46368</v>
      </c>
      <c r="V16" s="192">
        <f>[3]Alaska!$GH$64</f>
        <v>45481</v>
      </c>
      <c r="W16" s="301">
        <f>(U16-V16)/V16</f>
        <v>1.9502649458015435E-2</v>
      </c>
      <c r="X16" s="299">
        <f>SUM([3]Alaska!$GP$64:$GV$64)</f>
        <v>185657</v>
      </c>
      <c r="Y16" s="192">
        <f>SUM([3]Alaska!$GB$64:$GH$64)</f>
        <v>264749</v>
      </c>
      <c r="Z16" s="300">
        <f>(X16-Y16)/Y16</f>
        <v>-0.2987433380296054</v>
      </c>
      <c r="AA16" s="301">
        <f>X16/$X$70</f>
        <v>5.7001052660600746E-3</v>
      </c>
    </row>
    <row r="17" spans="1:27" ht="14.1" customHeight="1" x14ac:dyDescent="0.2">
      <c r="A17" s="238"/>
      <c r="B17" s="295" t="s">
        <v>98</v>
      </c>
      <c r="C17" s="242">
        <f>'[3]Sky West_AS'!$GV$19</f>
        <v>0</v>
      </c>
      <c r="D17" s="2">
        <f>'[3]Sky West_AS'!$GH$19</f>
        <v>62</v>
      </c>
      <c r="E17" s="58">
        <f>(C17-D17)/D17</f>
        <v>-1</v>
      </c>
      <c r="F17" s="2">
        <f>SUM('[3]Sky West_AS'!$GP$19:$GV$19)</f>
        <v>40</v>
      </c>
      <c r="G17" s="2">
        <f>SUM('[3]Sky West_AS'!$GB$19:$GH$19)</f>
        <v>542</v>
      </c>
      <c r="H17" s="3">
        <f>(F17-G17)/G17</f>
        <v>-0.92619926199261993</v>
      </c>
      <c r="I17" s="58">
        <f>F17/$F$70</f>
        <v>3.228670594882557E-4</v>
      </c>
      <c r="J17" s="238"/>
      <c r="K17" s="295" t="s">
        <v>98</v>
      </c>
      <c r="L17" s="242">
        <f>'[3]Sky West_AS'!$GV$41</f>
        <v>0</v>
      </c>
      <c r="M17" s="2">
        <f>'[3]Sky West_AS'!$GH$41</f>
        <v>4272</v>
      </c>
      <c r="N17" s="58">
        <f>(L17-M17)/M17</f>
        <v>-1</v>
      </c>
      <c r="O17" s="242">
        <f>SUM('[3]Sky West_AS'!$GP$41:$GV$41)</f>
        <v>1379</v>
      </c>
      <c r="P17" s="2">
        <f>SUM('[3]Sky West_AS'!$GB$41:$GH$41)</f>
        <v>35979</v>
      </c>
      <c r="Q17" s="3">
        <f>(O17-P17)/P17</f>
        <v>-0.96167208649489977</v>
      </c>
      <c r="R17" s="301">
        <f>O17/$O$70</f>
        <v>1.5197283664628239E-4</v>
      </c>
      <c r="S17" s="238"/>
      <c r="T17" s="295" t="s">
        <v>98</v>
      </c>
      <c r="U17" s="242">
        <f>'[3]Sky West_AS'!$GV$64</f>
        <v>0</v>
      </c>
      <c r="V17" s="2">
        <f>'[3]Sky West_AS'!$GH$64</f>
        <v>2887</v>
      </c>
      <c r="W17" s="58">
        <f>(U17-V17)/V17</f>
        <v>-1</v>
      </c>
      <c r="X17" s="242">
        <f>SUM('[3]Sky West_AS'!$GP$64:$GV$64)</f>
        <v>286</v>
      </c>
      <c r="Y17" s="2">
        <f>SUM('[3]Sky West_AS'!$GB$64:$GH$64)</f>
        <v>34722</v>
      </c>
      <c r="Z17" s="3">
        <f>(X17-Y17)/Y17</f>
        <v>-0.99176314728414261</v>
      </c>
      <c r="AA17" s="301">
        <f>X17/$X$70</f>
        <v>8.7808706706086023E-6</v>
      </c>
    </row>
    <row r="18" spans="1:27" ht="14.1" customHeight="1" x14ac:dyDescent="0.2">
      <c r="A18" s="238"/>
      <c r="B18" s="295" t="s">
        <v>193</v>
      </c>
      <c r="C18" s="242">
        <f>[3]Horizon_AS!$GV$19</f>
        <v>0</v>
      </c>
      <c r="D18" s="2">
        <f>[3]Horizon_AS!$GH$19</f>
        <v>0</v>
      </c>
      <c r="E18" s="58" t="e">
        <f>(C18-D18)/D18</f>
        <v>#DIV/0!</v>
      </c>
      <c r="F18" s="2">
        <f>SUM([3]Horizon_AS!$GP$19:$GV$19)</f>
        <v>184</v>
      </c>
      <c r="G18" s="2">
        <f>SUM([3]Horizon_AS!$GB$19:$GH$19)</f>
        <v>12</v>
      </c>
      <c r="H18" s="3">
        <f>(F18-G18)/G18</f>
        <v>14.333333333333334</v>
      </c>
      <c r="I18" s="58">
        <f>F18/$F$70</f>
        <v>1.4851884736459763E-3</v>
      </c>
      <c r="J18" s="238"/>
      <c r="K18" s="295" t="s">
        <v>193</v>
      </c>
      <c r="L18" s="242">
        <f>[3]Horizon_AS!$GV$41</f>
        <v>0</v>
      </c>
      <c r="M18" s="2">
        <f>[3]Horizon_AS!$GH$41</f>
        <v>0</v>
      </c>
      <c r="N18" s="58" t="e">
        <f>(L18-M18)/M18</f>
        <v>#DIV/0!</v>
      </c>
      <c r="O18" s="242">
        <f>SUM([3]Horizon_AS!$GP$41:$GV$41)</f>
        <v>10980</v>
      </c>
      <c r="P18" s="2">
        <f>SUM([3]Horizon_AS!$GB$41:$GH$41)</f>
        <v>819</v>
      </c>
      <c r="Q18" s="3">
        <f>(O18-P18)/P18</f>
        <v>12.406593406593407</v>
      </c>
      <c r="R18" s="301">
        <f>O18/$O$70</f>
        <v>1.2100520278289925E-3</v>
      </c>
      <c r="S18" s="238"/>
      <c r="T18" s="295" t="s">
        <v>193</v>
      </c>
      <c r="U18" s="242">
        <f>[3]Horizon_AS!$GV$64</f>
        <v>0</v>
      </c>
      <c r="V18" s="2">
        <f>[3]Horizon_AS!$GH$64</f>
        <v>0</v>
      </c>
      <c r="W18" s="58" t="e">
        <f>(U18-V18)/V18</f>
        <v>#DIV/0!</v>
      </c>
      <c r="X18" s="242">
        <f>SUM([3]Horizon_AS!$GP$64:$GV$64)</f>
        <v>12621</v>
      </c>
      <c r="Y18" s="2">
        <f>SUM([3]Horizon_AS!$GB$64:$GH$64)</f>
        <v>998</v>
      </c>
      <c r="Z18" s="3">
        <f>(X18-Y18)/Y18</f>
        <v>11.646292585170341</v>
      </c>
      <c r="AA18" s="301">
        <f>X18/$X$70</f>
        <v>3.8749429627185725E-4</v>
      </c>
    </row>
    <row r="19" spans="1:27" ht="14.1" customHeight="1" x14ac:dyDescent="0.2">
      <c r="A19" s="238"/>
      <c r="B19" s="33"/>
      <c r="C19" s="239"/>
      <c r="D19" s="125"/>
      <c r="E19" s="241"/>
      <c r="F19" s="125"/>
      <c r="G19" s="125"/>
      <c r="H19" s="240"/>
      <c r="I19" s="241"/>
      <c r="J19" s="238"/>
      <c r="K19" s="33"/>
      <c r="L19" s="108"/>
      <c r="M19" s="83"/>
      <c r="N19" s="58"/>
      <c r="O19" s="108"/>
      <c r="P19" s="83"/>
      <c r="Q19" s="3"/>
      <c r="R19" s="58"/>
      <c r="S19" s="238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8" t="s">
        <v>17</v>
      </c>
      <c r="B20" s="243"/>
      <c r="C20" s="239">
        <f>SUM(C21:C27)</f>
        <v>903</v>
      </c>
      <c r="D20" s="115">
        <f>SUM(D21:D27)</f>
        <v>1709</v>
      </c>
      <c r="E20" s="241">
        <f t="shared" ref="E20:E27" si="0">(C20-D20)/D20</f>
        <v>-0.47162083089526041</v>
      </c>
      <c r="F20" s="239">
        <f>SUM(F21:F27)</f>
        <v>6748</v>
      </c>
      <c r="G20" s="115">
        <f>SUM(G21:G27)</f>
        <v>11302</v>
      </c>
      <c r="H20" s="240">
        <f t="shared" ref="H20:H27" si="1">(F20-G20)/G20</f>
        <v>-0.40293753317996817</v>
      </c>
      <c r="I20" s="241">
        <f t="shared" ref="I20:I27" si="2">F20/$F$70</f>
        <v>5.4467672935668739E-2</v>
      </c>
      <c r="J20" s="238" t="s">
        <v>17</v>
      </c>
      <c r="K20" s="243"/>
      <c r="L20" s="239">
        <f>SUM(L21:L27)</f>
        <v>80036</v>
      </c>
      <c r="M20" s="115">
        <f>SUM(M21:M27)</f>
        <v>182369</v>
      </c>
      <c r="N20" s="241">
        <f t="shared" ref="N20:N27" si="3">(L20-M20)/M20</f>
        <v>-0.56113155196332709</v>
      </c>
      <c r="O20" s="239">
        <f>SUM(O21:O27)</f>
        <v>542337</v>
      </c>
      <c r="P20" s="115">
        <f>SUM(P21:P27)</f>
        <v>1202262</v>
      </c>
      <c r="Q20" s="240">
        <f t="shared" ref="Q20:Q27" si="4">(O20-P20)/P20</f>
        <v>-0.54890281818771613</v>
      </c>
      <c r="R20" s="241">
        <f t="shared" ref="R20:R27" si="5">O20/$O$70</f>
        <v>5.9768304792048484E-2</v>
      </c>
      <c r="S20" s="238" t="s">
        <v>17</v>
      </c>
      <c r="T20" s="243"/>
      <c r="U20" s="239">
        <f>SUM(U21:U27)</f>
        <v>180887</v>
      </c>
      <c r="V20" s="115">
        <f>SUM(V21:V27)</f>
        <v>94238</v>
      </c>
      <c r="W20" s="241">
        <f t="shared" ref="W20:W24" si="6">(U20-V20)/V20</f>
        <v>0.91946985292557137</v>
      </c>
      <c r="X20" s="239">
        <f>SUM(X21:X27)</f>
        <v>1377637</v>
      </c>
      <c r="Y20" s="115">
        <f>SUM(Y21:Y27)</f>
        <v>990034</v>
      </c>
      <c r="Z20" s="240">
        <f t="shared" ref="Z20:Z24" si="7">(X20-Y20)/Y20</f>
        <v>0.39150473620097898</v>
      </c>
      <c r="AA20" s="241">
        <f t="shared" ref="AA20:AA27" si="8">X20/$X$70</f>
        <v>4.2296686461696584E-2</v>
      </c>
    </row>
    <row r="21" spans="1:27" ht="14.1" customHeight="1" x14ac:dyDescent="0.2">
      <c r="A21" s="31"/>
      <c r="B21" s="33" t="s">
        <v>17</v>
      </c>
      <c r="C21" s="242">
        <f>[3]American!$GV$19</f>
        <v>614</v>
      </c>
      <c r="D21" s="2">
        <f>[3]American!$GH$19</f>
        <v>1194</v>
      </c>
      <c r="E21" s="58">
        <f t="shared" si="0"/>
        <v>-0.48576214405360135</v>
      </c>
      <c r="F21" s="2">
        <f>SUM([3]American!$GP$19:$GV$19)</f>
        <v>4227</v>
      </c>
      <c r="G21" s="2">
        <f>SUM([3]American!$GB$19:$GH$19)</f>
        <v>8301</v>
      </c>
      <c r="H21" s="3">
        <f t="shared" si="1"/>
        <v>-0.49078424286230576</v>
      </c>
      <c r="I21" s="58">
        <f t="shared" si="2"/>
        <v>3.4118976511421421E-2</v>
      </c>
      <c r="J21" s="31"/>
      <c r="K21" s="33" t="s">
        <v>17</v>
      </c>
      <c r="L21" s="242">
        <f>[3]American!$GV$41</f>
        <v>65149</v>
      </c>
      <c r="M21" s="2">
        <f>[3]American!$GH$41</f>
        <v>151465</v>
      </c>
      <c r="N21" s="58">
        <f t="shared" si="3"/>
        <v>-0.56987422836959034</v>
      </c>
      <c r="O21" s="242">
        <f>SUM([3]American!$GP$41:$GV$41)</f>
        <v>426180</v>
      </c>
      <c r="P21" s="2">
        <f>SUM([3]American!$GB$41:$GH$41)</f>
        <v>1028487</v>
      </c>
      <c r="Q21" s="3">
        <f t="shared" si="4"/>
        <v>-0.58562431999626641</v>
      </c>
      <c r="R21" s="58">
        <f t="shared" si="5"/>
        <v>4.6967210675788712E-2</v>
      </c>
      <c r="S21" s="31"/>
      <c r="T21" s="33" t="s">
        <v>17</v>
      </c>
      <c r="U21" s="242">
        <f>[3]American!$GV$64</f>
        <v>178925</v>
      </c>
      <c r="V21" s="2">
        <f>[3]American!$GH$64</f>
        <v>92212</v>
      </c>
      <c r="W21" s="58">
        <f t="shared" si="6"/>
        <v>0.94036567908732049</v>
      </c>
      <c r="X21" s="242">
        <f>SUM([3]American!$GP$64:$GV$64)</f>
        <v>1366737</v>
      </c>
      <c r="Y21" s="2">
        <f>SUM([3]American!$GB$64:$GH$64)</f>
        <v>986331</v>
      </c>
      <c r="Z21" s="3">
        <f t="shared" si="7"/>
        <v>0.38567783026184921</v>
      </c>
      <c r="AA21" s="58">
        <f t="shared" si="8"/>
        <v>4.196203090117339E-2</v>
      </c>
    </row>
    <row r="22" spans="1:27" ht="14.1" customHeight="1" x14ac:dyDescent="0.2">
      <c r="A22" s="31"/>
      <c r="B22" s="295" t="s">
        <v>166</v>
      </c>
      <c r="C22" s="242">
        <f>'[3]American Eagle'!$GV$19</f>
        <v>17</v>
      </c>
      <c r="D22" s="2">
        <f>'[3]American Eagle'!$GH$19</f>
        <v>163</v>
      </c>
      <c r="E22" s="58">
        <f t="shared" si="0"/>
        <v>-0.89570552147239269</v>
      </c>
      <c r="F22" s="2">
        <f>SUM('[3]American Eagle'!$GP$19:$GV$19)</f>
        <v>668</v>
      </c>
      <c r="G22" s="2">
        <f>SUM('[3]American Eagle'!$GB$19:$GH$19)</f>
        <v>669</v>
      </c>
      <c r="H22" s="3">
        <f t="shared" si="1"/>
        <v>-1.4947683109118087E-3</v>
      </c>
      <c r="I22" s="58">
        <f t="shared" si="2"/>
        <v>5.3918798934538704E-3</v>
      </c>
      <c r="J22" s="31"/>
      <c r="K22" s="295" t="s">
        <v>166</v>
      </c>
      <c r="L22" s="242">
        <f>'[3]American Eagle'!$GV$41</f>
        <v>1115</v>
      </c>
      <c r="M22" s="2">
        <f>'[3]American Eagle'!$GH$41</f>
        <v>9902</v>
      </c>
      <c r="N22" s="58">
        <f t="shared" si="3"/>
        <v>-0.88739648555847306</v>
      </c>
      <c r="O22" s="242">
        <f>SUM('[3]American Eagle'!$GP$41:$GV$41)</f>
        <v>36751</v>
      </c>
      <c r="P22" s="2">
        <f>SUM('[3]American Eagle'!$GB$41:$GH$41)</f>
        <v>44530</v>
      </c>
      <c r="Q22" s="3">
        <f t="shared" si="4"/>
        <v>-0.17469121940264989</v>
      </c>
      <c r="R22" s="58">
        <f t="shared" si="5"/>
        <v>4.0501477299401921E-3</v>
      </c>
      <c r="S22" s="31"/>
      <c r="T22" s="295" t="s">
        <v>166</v>
      </c>
      <c r="U22" s="242">
        <f>'[3]American Eagle'!$GV$64</f>
        <v>0</v>
      </c>
      <c r="V22" s="2">
        <f>'[3]American Eagle'!$GH$64</f>
        <v>955</v>
      </c>
      <c r="W22" s="58">
        <f t="shared" si="6"/>
        <v>-1</v>
      </c>
      <c r="X22" s="242">
        <f>SUM('[3]American Eagle'!$GP$64:$GV$64)</f>
        <v>5052</v>
      </c>
      <c r="Y22" s="2">
        <f>SUM('[3]American Eagle'!$GB$64:$GH$64)</f>
        <v>1237</v>
      </c>
      <c r="Z22" s="3">
        <f t="shared" si="7"/>
        <v>3.0840743734842362</v>
      </c>
      <c r="AA22" s="58">
        <f t="shared" si="8"/>
        <v>1.5510824695075056E-4</v>
      </c>
    </row>
    <row r="23" spans="1:27" ht="14.1" customHeight="1" x14ac:dyDescent="0.2">
      <c r="A23" s="31"/>
      <c r="B23" s="295" t="s">
        <v>52</v>
      </c>
      <c r="C23" s="242">
        <f>[3]Republic!$GV$19</f>
        <v>270</v>
      </c>
      <c r="D23" s="2">
        <f>[3]Republic!$GH$19</f>
        <v>350</v>
      </c>
      <c r="E23" s="58">
        <f t="shared" si="0"/>
        <v>-0.22857142857142856</v>
      </c>
      <c r="F23" s="2">
        <f>SUM([3]Republic!$GP$19:$GV$19)</f>
        <v>1665</v>
      </c>
      <c r="G23" s="2">
        <f>SUM([3]Republic!$GB$19:$GH$19)</f>
        <v>2330</v>
      </c>
      <c r="H23" s="3">
        <f t="shared" si="1"/>
        <v>-0.28540772532188841</v>
      </c>
      <c r="I23" s="58">
        <f t="shared" si="2"/>
        <v>1.3439341351198644E-2</v>
      </c>
      <c r="J23" s="31"/>
      <c r="K23" s="244" t="s">
        <v>52</v>
      </c>
      <c r="L23" s="242">
        <f>[3]Republic!$GV$41</f>
        <v>13739</v>
      </c>
      <c r="M23" s="2">
        <f>[3]Republic!$GH$41</f>
        <v>20960</v>
      </c>
      <c r="N23" s="58">
        <f t="shared" si="3"/>
        <v>-0.34451335877862593</v>
      </c>
      <c r="O23" s="242">
        <f>SUM([3]Republic!$GP$41:$GV$41)</f>
        <v>69808</v>
      </c>
      <c r="P23" s="2">
        <f>SUM([3]Republic!$GB$41:$GH$41)</f>
        <v>129203</v>
      </c>
      <c r="Q23" s="3">
        <f t="shared" si="4"/>
        <v>-0.45970294807396112</v>
      </c>
      <c r="R23" s="58">
        <f t="shared" si="5"/>
        <v>7.693197810445019E-3</v>
      </c>
      <c r="S23" s="31"/>
      <c r="T23" s="244" t="s">
        <v>52</v>
      </c>
      <c r="U23" s="242">
        <f>[3]Republic!$GV$64</f>
        <v>1962</v>
      </c>
      <c r="V23" s="2">
        <f>[3]Republic!$GH$64</f>
        <v>1071</v>
      </c>
      <c r="W23" s="58">
        <f t="shared" si="6"/>
        <v>0.83193277310924374</v>
      </c>
      <c r="X23" s="242">
        <f>SUM([3]Republic!$GP$64:$GV$64)</f>
        <v>5288</v>
      </c>
      <c r="Y23" s="2">
        <f>SUM([3]Republic!$GB$64:$GH$64)</f>
        <v>2466</v>
      </c>
      <c r="Z23" s="3">
        <f t="shared" si="7"/>
        <v>1.1443633414436334</v>
      </c>
      <c r="AA23" s="58">
        <f t="shared" si="8"/>
        <v>1.6235400037125275E-4</v>
      </c>
    </row>
    <row r="24" spans="1:27" ht="14.1" customHeight="1" x14ac:dyDescent="0.2">
      <c r="A24" s="31"/>
      <c r="B24" s="295" t="s">
        <v>182</v>
      </c>
      <c r="C24" s="242">
        <f>[3]PSA!$GV$19</f>
        <v>0</v>
      </c>
      <c r="D24" s="2">
        <f>[3]PSA!$GH$19</f>
        <v>0</v>
      </c>
      <c r="E24" s="58" t="e">
        <f t="shared" si="0"/>
        <v>#DIV/0!</v>
      </c>
      <c r="F24" s="2">
        <f>SUM([3]PSA!$GP$19:$GV$19)</f>
        <v>0</v>
      </c>
      <c r="G24" s="2">
        <f>SUM([3]PSA!$GB$19:$GH$19)</f>
        <v>0</v>
      </c>
      <c r="H24" s="3" t="e">
        <f t="shared" si="1"/>
        <v>#DIV/0!</v>
      </c>
      <c r="I24" s="58">
        <f t="shared" si="2"/>
        <v>0</v>
      </c>
      <c r="J24" s="31"/>
      <c r="K24" s="295" t="s">
        <v>182</v>
      </c>
      <c r="L24" s="242">
        <f>[3]PSA!$GV$41</f>
        <v>0</v>
      </c>
      <c r="M24" s="2">
        <f>[3]PSA!$GH$41</f>
        <v>0</v>
      </c>
      <c r="N24" s="58" t="e">
        <f t="shared" si="3"/>
        <v>#DIV/0!</v>
      </c>
      <c r="O24" s="242">
        <f>SUM([3]PSA!$GP$41:$GV$41)</f>
        <v>0</v>
      </c>
      <c r="P24" s="2">
        <f>SUM([3]PSA!$GB$41:$GH$41)</f>
        <v>0</v>
      </c>
      <c r="Q24" s="3" t="e">
        <f t="shared" si="4"/>
        <v>#DIV/0!</v>
      </c>
      <c r="R24" s="58">
        <f t="shared" si="5"/>
        <v>0</v>
      </c>
      <c r="S24" s="31"/>
      <c r="T24" s="295" t="s">
        <v>182</v>
      </c>
      <c r="U24" s="242">
        <f>[3]PSA!$GV$64</f>
        <v>0</v>
      </c>
      <c r="V24" s="2">
        <f>[3]PSA!$GH$64</f>
        <v>0</v>
      </c>
      <c r="W24" s="58" t="e">
        <f t="shared" si="6"/>
        <v>#DIV/0!</v>
      </c>
      <c r="X24" s="242">
        <f>SUM([3]PSA!$GP$64:$GV$64)</f>
        <v>0</v>
      </c>
      <c r="Y24" s="2">
        <f>SUM([3]PSA!$GB$64:$GH$64)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5" t="s">
        <v>98</v>
      </c>
      <c r="C25" s="242">
        <f>'[3]Sky West_AA'!$GV$19</f>
        <v>0</v>
      </c>
      <c r="D25" s="2">
        <f>'[3]Sky West_AA'!$GH$19</f>
        <v>0</v>
      </c>
      <c r="E25" s="58" t="e">
        <f>(C25-D25)/D25</f>
        <v>#DIV/0!</v>
      </c>
      <c r="F25" s="2">
        <f>SUM('[3]Sky West_AA'!$GP$19:$GV$19)</f>
        <v>182</v>
      </c>
      <c r="G25" s="2">
        <f>SUM('[3]Sky West_AA'!$GB$19:$GH$19)</f>
        <v>0</v>
      </c>
      <c r="H25" s="3" t="e">
        <f>(F25-G25)/G25</f>
        <v>#DIV/0!</v>
      </c>
      <c r="I25" s="58">
        <f t="shared" si="2"/>
        <v>1.4690451206715634E-3</v>
      </c>
      <c r="J25" s="31"/>
      <c r="K25" s="295" t="s">
        <v>98</v>
      </c>
      <c r="L25" s="242">
        <f>'[3]Sky West_AA'!$GV$41</f>
        <v>0</v>
      </c>
      <c r="M25" s="2">
        <f>'[3]Sky West_AA'!$GH$41</f>
        <v>0</v>
      </c>
      <c r="N25" s="58" t="e">
        <f>(L25-M25)/M25</f>
        <v>#DIV/0!</v>
      </c>
      <c r="O25" s="242">
        <f>SUM('[3]Sky West_AA'!$GP$41:$GV$41)</f>
        <v>9404</v>
      </c>
      <c r="P25" s="2">
        <f>SUM('[3]Sky West_AA'!$GB$41:$GH$41)</f>
        <v>0</v>
      </c>
      <c r="Q25" s="3" t="e">
        <f>(O25-P25)/P25</f>
        <v>#DIV/0!</v>
      </c>
      <c r="R25" s="301">
        <f t="shared" si="5"/>
        <v>1.0363687859475269E-3</v>
      </c>
      <c r="S25" s="31"/>
      <c r="T25" s="295" t="s">
        <v>98</v>
      </c>
      <c r="U25" s="242">
        <f>'[3]Sky West_AA'!$GV$64</f>
        <v>0</v>
      </c>
      <c r="V25" s="2">
        <f>'[3]Sky West_AA'!$GH$64</f>
        <v>0</v>
      </c>
      <c r="W25" s="58" t="e">
        <f>(U25-V25)/V25</f>
        <v>#DIV/0!</v>
      </c>
      <c r="X25" s="242">
        <f>SUM('[3]Sky West_AA'!$GP$64:$GV$64)</f>
        <v>560</v>
      </c>
      <c r="Y25" s="2">
        <f>SUM('[3]Sky West_AA'!$GB$64:$GH$64)</f>
        <v>0</v>
      </c>
      <c r="Z25" s="3" t="e">
        <f>(X25-Y25)/Y25</f>
        <v>#DIV/0!</v>
      </c>
      <c r="AA25" s="301">
        <f t="shared" si="8"/>
        <v>1.7193313201191669E-5</v>
      </c>
    </row>
    <row r="26" spans="1:27" ht="14.1" customHeight="1" x14ac:dyDescent="0.2">
      <c r="A26" s="31"/>
      <c r="B26" s="295" t="s">
        <v>51</v>
      </c>
      <c r="C26" s="242">
        <f>[3]MESA!$GV$19</f>
        <v>0</v>
      </c>
      <c r="D26" s="2">
        <f>[3]MESA!$GH$19</f>
        <v>0</v>
      </c>
      <c r="E26" s="58" t="e">
        <f t="shared" si="0"/>
        <v>#DIV/0!</v>
      </c>
      <c r="F26" s="2">
        <f>SUM([3]MESA!$GP$19:$GV$19)</f>
        <v>0</v>
      </c>
      <c r="G26" s="2">
        <f>SUM([3]MESA!$GB$19:$GH$19)</f>
        <v>0</v>
      </c>
      <c r="H26" s="3" t="e">
        <f t="shared" si="1"/>
        <v>#DIV/0!</v>
      </c>
      <c r="I26" s="58">
        <f t="shared" si="2"/>
        <v>0</v>
      </c>
      <c r="J26" s="31"/>
      <c r="K26" s="295" t="s">
        <v>51</v>
      </c>
      <c r="L26" s="242">
        <f>[3]MESA!$GV$41</f>
        <v>0</v>
      </c>
      <c r="M26" s="2">
        <f>[3]MESA!$GH$41</f>
        <v>0</v>
      </c>
      <c r="N26" s="58" t="e">
        <f t="shared" si="3"/>
        <v>#DIV/0!</v>
      </c>
      <c r="O26" s="242">
        <f>SUM([3]MESA!$GP$41:$GV$41)</f>
        <v>0</v>
      </c>
      <c r="P26" s="2">
        <f>SUM([3]MESA!$GB$41:$GH$41)</f>
        <v>0</v>
      </c>
      <c r="Q26" s="3" t="e">
        <f t="shared" si="4"/>
        <v>#DIV/0!</v>
      </c>
      <c r="R26" s="58">
        <f t="shared" si="5"/>
        <v>0</v>
      </c>
      <c r="S26" s="31"/>
      <c r="T26" s="295" t="s">
        <v>51</v>
      </c>
      <c r="U26" s="242">
        <f>[3]MESA!$GV$64</f>
        <v>0</v>
      </c>
      <c r="V26" s="2">
        <f>[3]MESA!$GH$64</f>
        <v>0</v>
      </c>
      <c r="W26" s="58" t="e">
        <f t="shared" ref="W26:W27" si="9">(U26-V26)/V26</f>
        <v>#DIV/0!</v>
      </c>
      <c r="X26" s="242">
        <f>SUM([3]MESA!$GP$64:$GV$64)</f>
        <v>0</v>
      </c>
      <c r="Y26" s="2">
        <f>SUM([3]MESA!$GB$64:$GH$64)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5" t="s">
        <v>50</v>
      </c>
      <c r="C27" s="242">
        <f>'[3]Air Wisconsin'!$GV$19</f>
        <v>2</v>
      </c>
      <c r="D27" s="2">
        <f>'[3]Air Wisconsin'!$GH$19</f>
        <v>2</v>
      </c>
      <c r="E27" s="58">
        <f t="shared" si="0"/>
        <v>0</v>
      </c>
      <c r="F27" s="2">
        <f>SUM('[3]Air Wisconsin'!$GP$19:$GV$19)</f>
        <v>6</v>
      </c>
      <c r="G27" s="2">
        <f>SUM('[3]Air Wisconsin'!$GB$19:$GH$19)</f>
        <v>2</v>
      </c>
      <c r="H27" s="283">
        <f t="shared" si="1"/>
        <v>2</v>
      </c>
      <c r="I27" s="58">
        <f t="shared" si="2"/>
        <v>4.8430058923238354E-5</v>
      </c>
      <c r="J27" s="31"/>
      <c r="K27" s="244" t="s">
        <v>50</v>
      </c>
      <c r="L27" s="242">
        <f>'[3]Air Wisconsin'!$GV$41</f>
        <v>33</v>
      </c>
      <c r="M27" s="2">
        <f>'[3]Air Wisconsin'!$GH$41</f>
        <v>42</v>
      </c>
      <c r="N27" s="58">
        <f t="shared" si="3"/>
        <v>-0.21428571428571427</v>
      </c>
      <c r="O27" s="242">
        <f>SUM('[3]Air Wisconsin'!$GP$41:$GV$41)</f>
        <v>194</v>
      </c>
      <c r="P27" s="2">
        <f>SUM('[3]Air Wisconsin'!$GB$41:$GH$41)</f>
        <v>42</v>
      </c>
      <c r="Q27" s="3">
        <f t="shared" si="4"/>
        <v>3.6190476190476191</v>
      </c>
      <c r="R27" s="58">
        <f t="shared" si="5"/>
        <v>2.1379789927033201E-5</v>
      </c>
      <c r="S27" s="31"/>
      <c r="T27" s="244" t="s">
        <v>50</v>
      </c>
      <c r="U27" s="242">
        <f>'[3]Air Wisconsin'!$GV$64</f>
        <v>0</v>
      </c>
      <c r="V27" s="2">
        <f>'[3]Air Wisconsin'!$GH$64</f>
        <v>0</v>
      </c>
      <c r="W27" s="58" t="e">
        <f t="shared" si="9"/>
        <v>#DIV/0!</v>
      </c>
      <c r="X27" s="242">
        <f>SUM('[3]Air Wisconsin'!$GP$64:$GV$64)</f>
        <v>0</v>
      </c>
      <c r="Y27" s="2">
        <f>SUM('[3]Air Wisconsin'!$GB$64:$GH$64)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2"/>
      <c r="E28" s="58"/>
      <c r="F28" s="2"/>
      <c r="I28" s="58"/>
      <c r="J28" s="31"/>
      <c r="K28" s="33"/>
      <c r="L28" s="242"/>
      <c r="N28" s="58"/>
      <c r="O28" s="242"/>
      <c r="P28" s="2"/>
      <c r="Q28" s="3"/>
      <c r="R28" s="58"/>
      <c r="S28" s="31"/>
      <c r="T28" s="33"/>
      <c r="U28" s="242"/>
      <c r="V28" s="2"/>
      <c r="W28" s="58"/>
      <c r="X28" s="242"/>
      <c r="Y28" s="2"/>
      <c r="Z28" s="3"/>
      <c r="AA28" s="58"/>
    </row>
    <row r="29" spans="1:27" ht="14.1" customHeight="1" x14ac:dyDescent="0.2">
      <c r="A29" s="238" t="s">
        <v>180</v>
      </c>
      <c r="B29" s="33"/>
      <c r="C29" s="239">
        <f>'[3]Boutique Air'!$GV$19</f>
        <v>0</v>
      </c>
      <c r="D29" s="115">
        <f>'[3]Boutique Air'!$GH$19</f>
        <v>159</v>
      </c>
      <c r="E29" s="241">
        <f>(C29-D29)/D29</f>
        <v>-1</v>
      </c>
      <c r="F29" s="115">
        <f>SUM('[3]Boutique Air'!$GP$19:$GV$19)</f>
        <v>803</v>
      </c>
      <c r="G29" s="115">
        <f>SUM('[3]Boutique Air'!$GB$19:$GH$19)</f>
        <v>995</v>
      </c>
      <c r="H29" s="240">
        <f>(F29-G29)/G29</f>
        <v>-0.19296482412060301</v>
      </c>
      <c r="I29" s="241">
        <f>F29/$F$70</f>
        <v>6.4815562192267334E-3</v>
      </c>
      <c r="J29" s="238" t="s">
        <v>180</v>
      </c>
      <c r="K29" s="33"/>
      <c r="L29" s="239">
        <f>'[3]Boutique Air'!$GV$41</f>
        <v>0</v>
      </c>
      <c r="M29" s="115">
        <f>'[3]Boutique Air'!$GH$41</f>
        <v>876</v>
      </c>
      <c r="N29" s="241">
        <f>(L29-M29)/M29</f>
        <v>-1</v>
      </c>
      <c r="O29" s="239">
        <f>SUM('[3]Boutique Air'!$GP$41:$GV$41)</f>
        <v>2456</v>
      </c>
      <c r="P29" s="115">
        <f>SUM('[3]Boutique Air'!$GB$41:$GH$41)</f>
        <v>4851</v>
      </c>
      <c r="Q29" s="240">
        <f>(O29-P29)/P29</f>
        <v>-0.49371263656977943</v>
      </c>
      <c r="R29" s="241">
        <f>O29/$O$70</f>
        <v>2.7066373227213164E-4</v>
      </c>
      <c r="S29" s="238" t="s">
        <v>180</v>
      </c>
      <c r="T29" s="33"/>
      <c r="U29" s="239">
        <f>'[3]Boutique Air'!$GV$64</f>
        <v>0</v>
      </c>
      <c r="V29" s="115">
        <f>'[3]Boutique Air'!$GH$64</f>
        <v>0</v>
      </c>
      <c r="W29" s="241" t="e">
        <f>(U29-V29)/V29</f>
        <v>#DIV/0!</v>
      </c>
      <c r="X29" s="239">
        <f>SUM('[3]Boutique Air'!$GP$64:$GV$64)</f>
        <v>0</v>
      </c>
      <c r="Y29" s="115">
        <f>SUM('[3]Boutique Air'!$GB$64:$GH$64)</f>
        <v>0</v>
      </c>
      <c r="Z29" s="240" t="e">
        <f>(X29-Y29)/Y29</f>
        <v>#DIV/0!</v>
      </c>
      <c r="AA29" s="241">
        <f>X29/$X$70</f>
        <v>0</v>
      </c>
    </row>
    <row r="30" spans="1:27" ht="14.1" customHeight="1" x14ac:dyDescent="0.2">
      <c r="A30" s="31"/>
      <c r="B30" s="33"/>
      <c r="C30" s="242"/>
      <c r="E30" s="58"/>
      <c r="F30" s="2"/>
      <c r="I30" s="58"/>
      <c r="J30" s="31"/>
      <c r="K30" s="33"/>
      <c r="L30" s="242"/>
      <c r="N30" s="58"/>
      <c r="O30" s="242"/>
      <c r="P30" s="2"/>
      <c r="Q30" s="3"/>
      <c r="R30" s="58"/>
      <c r="S30" s="31"/>
      <c r="T30" s="33"/>
      <c r="U30" s="242"/>
      <c r="V30" s="2"/>
      <c r="W30" s="58"/>
      <c r="X30" s="242"/>
      <c r="Y30" s="2"/>
      <c r="Z30" s="3"/>
      <c r="AA30" s="58"/>
    </row>
    <row r="31" spans="1:27" ht="14.1" customHeight="1" x14ac:dyDescent="0.2">
      <c r="A31" s="238" t="s">
        <v>162</v>
      </c>
      <c r="B31" s="33"/>
      <c r="C31" s="239">
        <f>[3]Condor!$GV$19</f>
        <v>0</v>
      </c>
      <c r="D31" s="115">
        <f>[3]Condor!$GH$19</f>
        <v>34</v>
      </c>
      <c r="E31" s="241">
        <f>(C31-D31)/D31</f>
        <v>-1</v>
      </c>
      <c r="F31" s="115">
        <f>SUM([3]Condor!$GP$19:$GV$19)</f>
        <v>0</v>
      </c>
      <c r="G31" s="115">
        <f>SUM([3]Condor!$GB$19:$GH$19)</f>
        <v>56</v>
      </c>
      <c r="H31" s="240">
        <f>(F31-G31)/G31</f>
        <v>-1</v>
      </c>
      <c r="I31" s="241">
        <f>F31/$F$70</f>
        <v>0</v>
      </c>
      <c r="J31" s="238" t="s">
        <v>162</v>
      </c>
      <c r="K31" s="33"/>
      <c r="L31" s="239">
        <f>[3]Condor!$GV$41</f>
        <v>0</v>
      </c>
      <c r="M31" s="115">
        <f>[3]Condor!$GH$41</f>
        <v>8290</v>
      </c>
      <c r="N31" s="241">
        <f>(L31-M31)/M31</f>
        <v>-1</v>
      </c>
      <c r="O31" s="239">
        <f>SUM([3]Condor!$GP$41:$GV$41)</f>
        <v>0</v>
      </c>
      <c r="P31" s="115">
        <f>SUM([3]Condor!$GB$41:$GH$41)</f>
        <v>13560</v>
      </c>
      <c r="Q31" s="240">
        <f>(O31-P31)/P31</f>
        <v>-1</v>
      </c>
      <c r="R31" s="241">
        <f>O31/$O$70</f>
        <v>0</v>
      </c>
      <c r="S31" s="238" t="s">
        <v>162</v>
      </c>
      <c r="T31" s="33"/>
      <c r="U31" s="239">
        <f>[3]Condor!$GV$64</f>
        <v>0</v>
      </c>
      <c r="V31" s="115">
        <f>[3]Condor!$GH$64</f>
        <v>26265</v>
      </c>
      <c r="W31" s="241">
        <f>(U31-V31)/V31</f>
        <v>-1</v>
      </c>
      <c r="X31" s="239">
        <f>SUM([3]Condor!$GP$64:$GV$64)</f>
        <v>0</v>
      </c>
      <c r="Y31" s="115">
        <f>SUM([3]Condor!$GB$64:$GH$64)</f>
        <v>38622</v>
      </c>
      <c r="Z31" s="240">
        <f>(X31-Y31)/Y31</f>
        <v>-1</v>
      </c>
      <c r="AA31" s="241">
        <f>X31/$X$70</f>
        <v>0</v>
      </c>
    </row>
    <row r="32" spans="1:27" ht="14.1" customHeight="1" x14ac:dyDescent="0.2">
      <c r="A32" s="31"/>
      <c r="B32" s="33"/>
      <c r="C32" s="242"/>
      <c r="E32" s="58"/>
      <c r="F32" s="2"/>
      <c r="I32" s="58"/>
      <c r="J32" s="31"/>
      <c r="K32" s="33"/>
      <c r="L32" s="242"/>
      <c r="N32" s="58"/>
      <c r="O32" s="242"/>
      <c r="P32" s="2"/>
      <c r="Q32" s="3"/>
      <c r="R32" s="58"/>
      <c r="S32" s="31"/>
      <c r="T32" s="33"/>
      <c r="U32" s="242"/>
      <c r="V32" s="2"/>
      <c r="W32" s="58"/>
      <c r="X32" s="242"/>
      <c r="Y32" s="2"/>
      <c r="Z32" s="3"/>
      <c r="AA32" s="58"/>
    </row>
    <row r="33" spans="1:27" ht="14.1" customHeight="1" x14ac:dyDescent="0.2">
      <c r="A33" s="238" t="s">
        <v>224</v>
      </c>
      <c r="B33" s="33"/>
      <c r="C33" s="239">
        <f>'[3]Denver Air'!$GV$19</f>
        <v>108</v>
      </c>
      <c r="D33" s="115">
        <f>'[3]Denver Air'!$GH$19</f>
        <v>0</v>
      </c>
      <c r="E33" s="241" t="e">
        <f>(C33-D33)/D33</f>
        <v>#DIV/0!</v>
      </c>
      <c r="F33" s="115">
        <f>SUM('[3]Denver Air'!$GP$19:$GV$19)</f>
        <v>212</v>
      </c>
      <c r="G33" s="115">
        <f>SUM('[3]Denver Air'!$GB$19:$GH$19)</f>
        <v>0</v>
      </c>
      <c r="H33" s="240" t="e">
        <f>(F33-G33)/G33</f>
        <v>#DIV/0!</v>
      </c>
      <c r="I33" s="241">
        <f>F33/$F$70</f>
        <v>1.7111954152877553E-3</v>
      </c>
      <c r="J33" s="238" t="s">
        <v>224</v>
      </c>
      <c r="K33" s="33"/>
      <c r="L33" s="239">
        <f>'[3]Denver Air'!$GV$41</f>
        <v>219</v>
      </c>
      <c r="M33" s="115">
        <f>'[3]Denver Air'!$GH$41</f>
        <v>0</v>
      </c>
      <c r="N33" s="241" t="e">
        <f>(L33-M33)/M33</f>
        <v>#DIV/0!</v>
      </c>
      <c r="O33" s="239">
        <f>SUM('[3]Denver Air'!$GP$41:$GV$41)</f>
        <v>364</v>
      </c>
      <c r="P33" s="115">
        <f>SUM('[3]Denver Air'!$GB$41:$GH$41)</f>
        <v>0</v>
      </c>
      <c r="Q33" s="240" t="e">
        <f>(O33-P33)/P33</f>
        <v>#DIV/0!</v>
      </c>
      <c r="R33" s="241">
        <f>O33/$O$70</f>
        <v>4.0114657388866422E-5</v>
      </c>
      <c r="S33" s="238" t="s">
        <v>224</v>
      </c>
      <c r="T33" s="33"/>
      <c r="U33" s="239">
        <f>'[3]Denver Air'!$GV$64</f>
        <v>0</v>
      </c>
      <c r="V33" s="115">
        <f>'[3]Denver Air'!$GH$64</f>
        <v>0</v>
      </c>
      <c r="W33" s="241" t="e">
        <f>(U33-V33)/V33</f>
        <v>#DIV/0!</v>
      </c>
      <c r="X33" s="239">
        <f>SUM('[3]Denver Air'!$GP$64:$GV$64)</f>
        <v>0</v>
      </c>
      <c r="Y33" s="115">
        <f>SUM('[3]Denver Air'!$GB$64:$GH$64)</f>
        <v>0</v>
      </c>
      <c r="Z33" s="240" t="e">
        <f>(X33-Y33)/Y33</f>
        <v>#DIV/0!</v>
      </c>
      <c r="AA33" s="241">
        <f>X33/$X$70</f>
        <v>0</v>
      </c>
    </row>
    <row r="34" spans="1:27" ht="14.1" customHeight="1" x14ac:dyDescent="0.2">
      <c r="A34" s="31"/>
      <c r="B34" s="33"/>
      <c r="C34" s="242"/>
      <c r="E34" s="58"/>
      <c r="F34" s="2"/>
      <c r="I34" s="58"/>
      <c r="J34" s="31"/>
      <c r="K34" s="33"/>
      <c r="L34" s="242"/>
      <c r="N34" s="58"/>
      <c r="O34" s="242"/>
      <c r="P34" s="2"/>
      <c r="Q34" s="3"/>
      <c r="R34" s="58"/>
      <c r="S34" s="31"/>
      <c r="T34" s="33"/>
      <c r="U34" s="242"/>
      <c r="V34" s="2"/>
      <c r="W34" s="58"/>
      <c r="X34" s="242"/>
      <c r="Y34" s="2"/>
      <c r="Z34" s="3"/>
      <c r="AA34" s="58"/>
    </row>
    <row r="35" spans="1:27" ht="14.1" customHeight="1" x14ac:dyDescent="0.2">
      <c r="A35" s="238" t="s">
        <v>18</v>
      </c>
      <c r="B35" s="243"/>
      <c r="C35" s="239">
        <f>SUM(C36:C42)</f>
        <v>11251</v>
      </c>
      <c r="D35" s="115">
        <f>SUM(D36:D42)</f>
        <v>25599</v>
      </c>
      <c r="E35" s="241">
        <f t="shared" ref="E35:E42" si="11">(C35-D35)/D35</f>
        <v>-0.56049064416578775</v>
      </c>
      <c r="F35" s="125">
        <f>SUM(F36:F42)</f>
        <v>90474</v>
      </c>
      <c r="G35" s="125">
        <f>SUM(G36:G42)</f>
        <v>158290</v>
      </c>
      <c r="H35" s="240">
        <f>(F35-G35)/G35</f>
        <v>-0.428428833154337</v>
      </c>
      <c r="I35" s="241">
        <f t="shared" ref="I35:I42" si="12">F35/$F$70</f>
        <v>0.73027685850351121</v>
      </c>
      <c r="J35" s="238" t="s">
        <v>18</v>
      </c>
      <c r="K35" s="243"/>
      <c r="L35" s="239">
        <f>SUM(L36:L42)</f>
        <v>552036</v>
      </c>
      <c r="M35" s="115">
        <f>SUM(M36:M42)</f>
        <v>2696231</v>
      </c>
      <c r="N35" s="241">
        <f t="shared" ref="N35:N42" si="13">(L35-M35)/M35</f>
        <v>-0.79525641534423419</v>
      </c>
      <c r="O35" s="239">
        <f>SUM(O36:O42)</f>
        <v>6245199</v>
      </c>
      <c r="P35" s="115">
        <f>SUM(P36:P42)</f>
        <v>15732582</v>
      </c>
      <c r="Q35" s="240">
        <f t="shared" ref="Q35:Q42" si="14">(O35-P35)/P35</f>
        <v>-0.60304042909167743</v>
      </c>
      <c r="R35" s="241">
        <f t="shared" ref="R35:R42" si="15">O35/$O$70</f>
        <v>0.68825279728101973</v>
      </c>
      <c r="S35" s="238" t="s">
        <v>18</v>
      </c>
      <c r="T35" s="243"/>
      <c r="U35" s="239">
        <f>SUM(U36:U42)</f>
        <v>1543443</v>
      </c>
      <c r="V35" s="115">
        <f>SUM(V36:V42)</f>
        <v>5486728</v>
      </c>
      <c r="W35" s="241">
        <f t="shared" ref="W35:W42" si="16">(U35-V35)/V35</f>
        <v>-0.71869518591043702</v>
      </c>
      <c r="X35" s="239">
        <f>SUM(X36:X42)</f>
        <v>25745340</v>
      </c>
      <c r="Y35" s="115">
        <f>SUM(Y36:Y42)</f>
        <v>61882854</v>
      </c>
      <c r="Z35" s="240">
        <f t="shared" ref="Z35:Z38" si="17">(X35-Y35)/Y35</f>
        <v>-0.58396650548793372</v>
      </c>
      <c r="AA35" s="241">
        <f t="shared" ref="AA35:AA42" si="18">X35/$X$70</f>
        <v>0.79044231087708561</v>
      </c>
    </row>
    <row r="36" spans="1:27" ht="14.1" customHeight="1" x14ac:dyDescent="0.2">
      <c r="A36" s="31"/>
      <c r="B36" s="33" t="s">
        <v>18</v>
      </c>
      <c r="C36" s="242">
        <f>[3]Delta!$GV$19</f>
        <v>4968</v>
      </c>
      <c r="D36" s="2">
        <f>[3]Delta!$GH$19</f>
        <v>14255</v>
      </c>
      <c r="E36" s="58">
        <f t="shared" si="11"/>
        <v>-0.65149070501578399</v>
      </c>
      <c r="F36" s="2">
        <f>SUM([3]Delta!$GP$19:$GV$19)</f>
        <v>44234</v>
      </c>
      <c r="G36" s="2">
        <f>SUM([3]Delta!$GB$19:$GH$19)</f>
        <v>85776</v>
      </c>
      <c r="H36" s="3">
        <f t="shared" ref="H36:H42" si="19">(F36-G36)/G36</f>
        <v>-0.48430796493191569</v>
      </c>
      <c r="I36" s="58">
        <f t="shared" si="12"/>
        <v>0.3570425377350876</v>
      </c>
      <c r="J36" s="31"/>
      <c r="K36" s="33" t="s">
        <v>18</v>
      </c>
      <c r="L36" s="242">
        <f>[3]Delta!$GV$41</f>
        <v>366782</v>
      </c>
      <c r="M36" s="2">
        <f>[3]Delta!$GH$41</f>
        <v>2079367</v>
      </c>
      <c r="N36" s="58">
        <f t="shared" si="13"/>
        <v>-0.82360881941475461</v>
      </c>
      <c r="O36" s="242">
        <f>SUM([3]Delta!$GP$41:$GV$41)</f>
        <v>4619317</v>
      </c>
      <c r="P36" s="2">
        <f>SUM([3]Delta!$GB$41:$GH$41)</f>
        <v>11951102</v>
      </c>
      <c r="Q36" s="3">
        <f t="shared" si="14"/>
        <v>-0.6134819199099798</v>
      </c>
      <c r="R36" s="58">
        <f t="shared" si="15"/>
        <v>0.5090723044658414</v>
      </c>
      <c r="S36" s="31"/>
      <c r="T36" s="33" t="s">
        <v>18</v>
      </c>
      <c r="U36" s="242">
        <f>[3]Delta!$GV$64</f>
        <v>1543443</v>
      </c>
      <c r="V36" s="2">
        <f>[3]Delta!$GH$64</f>
        <v>5486702</v>
      </c>
      <c r="W36" s="58">
        <f t="shared" si="16"/>
        <v>-0.71869385288284293</v>
      </c>
      <c r="X36" s="242">
        <f>SUM([3]Delta!$GP$64:$GV$64)</f>
        <v>25745340</v>
      </c>
      <c r="Y36" s="2">
        <f>SUM([3]Delta!$GB$64:$GH$64)</f>
        <v>61882419</v>
      </c>
      <c r="Z36" s="3">
        <f t="shared" si="17"/>
        <v>-0.58396358099705181</v>
      </c>
      <c r="AA36" s="58">
        <f t="shared" si="18"/>
        <v>0.79044231087708561</v>
      </c>
    </row>
    <row r="37" spans="1:27" ht="14.1" customHeight="1" x14ac:dyDescent="0.2">
      <c r="A37" s="31"/>
      <c r="B37" s="244" t="s">
        <v>118</v>
      </c>
      <c r="C37" s="242">
        <f>[3]Compass!$GV$19</f>
        <v>0</v>
      </c>
      <c r="D37" s="2">
        <f>[3]Compass!$GH$19</f>
        <v>0</v>
      </c>
      <c r="E37" s="58" t="e">
        <f t="shared" si="11"/>
        <v>#DIV/0!</v>
      </c>
      <c r="F37" s="2">
        <f>SUM([3]Compass!$GP$19:$GV$19)</f>
        <v>0</v>
      </c>
      <c r="G37" s="2">
        <f>SUM([3]Compass!$GB$19:$GH$19)</f>
        <v>0</v>
      </c>
      <c r="H37" s="3" t="e">
        <f t="shared" si="19"/>
        <v>#DIV/0!</v>
      </c>
      <c r="I37" s="58">
        <f t="shared" si="12"/>
        <v>0</v>
      </c>
      <c r="J37" s="31"/>
      <c r="K37" s="244" t="s">
        <v>118</v>
      </c>
      <c r="L37" s="242">
        <f>[3]Compass!$GV$41</f>
        <v>0</v>
      </c>
      <c r="M37" s="2">
        <f>[3]Compass!$GH$41</f>
        <v>0</v>
      </c>
      <c r="N37" s="58" t="e">
        <f t="shared" si="13"/>
        <v>#DIV/0!</v>
      </c>
      <c r="O37" s="242">
        <f>SUM([3]Compass!$GP$41:$GV$41)</f>
        <v>0</v>
      </c>
      <c r="P37" s="2">
        <f>SUM([3]Compass!$GB$41:$GH$41)</f>
        <v>0</v>
      </c>
      <c r="Q37" s="3" t="e">
        <f t="shared" si="14"/>
        <v>#DIV/0!</v>
      </c>
      <c r="R37" s="58">
        <f t="shared" si="15"/>
        <v>0</v>
      </c>
      <c r="S37" s="31"/>
      <c r="T37" s="244" t="s">
        <v>118</v>
      </c>
      <c r="U37" s="242">
        <f>[3]Compass!$GV$64</f>
        <v>0</v>
      </c>
      <c r="V37" s="2">
        <f>[3]Compass!$GH$64</f>
        <v>0</v>
      </c>
      <c r="W37" s="58" t="e">
        <f t="shared" si="16"/>
        <v>#DIV/0!</v>
      </c>
      <c r="X37" s="242">
        <f>SUM([3]Compass!$GP$64:$GV$64)</f>
        <v>0</v>
      </c>
      <c r="Y37" s="2">
        <f>SUM([3]Compass!$GB$64:$GH$64)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2">
        <f>[3]Pinnacle!$GV$19</f>
        <v>3139</v>
      </c>
      <c r="D38" s="2">
        <f>[3]Pinnacle!$GH$19</f>
        <v>2135</v>
      </c>
      <c r="E38" s="58">
        <f t="shared" si="11"/>
        <v>0.47025761124121779</v>
      </c>
      <c r="F38" s="2">
        <f>SUM([3]Pinnacle!$GP$19:$GV$19)</f>
        <v>14620</v>
      </c>
      <c r="G38" s="2">
        <f>SUM([3]Pinnacle!$GB$19:$GH$19)</f>
        <v>15118</v>
      </c>
      <c r="H38" s="3">
        <f t="shared" si="19"/>
        <v>-3.2940865193808705E-2</v>
      </c>
      <c r="I38" s="58">
        <f t="shared" si="12"/>
        <v>0.11800791024295747</v>
      </c>
      <c r="J38" s="31"/>
      <c r="K38" s="33" t="s">
        <v>159</v>
      </c>
      <c r="L38" s="242">
        <f>[3]Pinnacle!$GV$41</f>
        <v>100391</v>
      </c>
      <c r="M38" s="2">
        <f>[3]Pinnacle!$GH$41</f>
        <v>135365</v>
      </c>
      <c r="N38" s="58">
        <f t="shared" si="13"/>
        <v>-0.25836811583496472</v>
      </c>
      <c r="O38" s="242">
        <f>SUM([3]Pinnacle!$GP$41:$GV$41)</f>
        <v>532977</v>
      </c>
      <c r="P38" s="2">
        <f>SUM([3]Pinnacle!$GB$41:$GH$41)</f>
        <v>931486</v>
      </c>
      <c r="Q38" s="3">
        <f t="shared" si="14"/>
        <v>-0.42782070798702287</v>
      </c>
      <c r="R38" s="58">
        <f t="shared" si="15"/>
        <v>5.8736785030620485E-2</v>
      </c>
      <c r="S38" s="31"/>
      <c r="T38" s="33" t="s">
        <v>159</v>
      </c>
      <c r="U38" s="242">
        <f>[3]Pinnacle!$GV$64</f>
        <v>0</v>
      </c>
      <c r="V38" s="2">
        <f>[3]Pinnacle!$GH$64</f>
        <v>0</v>
      </c>
      <c r="W38" s="58" t="e">
        <f t="shared" si="16"/>
        <v>#DIV/0!</v>
      </c>
      <c r="X38" s="242">
        <f>SUM([3]Pinnacle!$GP$64:$GV$64)</f>
        <v>0</v>
      </c>
      <c r="Y38" s="2">
        <f>SUM([3]Pinnacle!$GB$64:$GH$64)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2">
        <f>'[3]Go Jet'!$GV$19</f>
        <v>0</v>
      </c>
      <c r="D39" s="2">
        <f>'[3]Go Jet'!$GH$19</f>
        <v>90</v>
      </c>
      <c r="E39" s="58">
        <f t="shared" si="11"/>
        <v>-1</v>
      </c>
      <c r="F39" s="2">
        <f>SUM('[3]Go Jet'!$GP$19:$GV$19)</f>
        <v>44</v>
      </c>
      <c r="G39" s="2">
        <f>SUM('[3]Go Jet'!$GB$19:$GH$19)</f>
        <v>1354</v>
      </c>
      <c r="H39" s="3">
        <f>(F39-G39)/G39</f>
        <v>-0.96750369276218606</v>
      </c>
      <c r="I39" s="58">
        <f t="shared" si="12"/>
        <v>3.5515376543708126E-4</v>
      </c>
      <c r="J39" s="31"/>
      <c r="K39" s="33" t="s">
        <v>155</v>
      </c>
      <c r="L39" s="242">
        <f>'[3]Go Jet'!$GV$41</f>
        <v>0</v>
      </c>
      <c r="M39" s="2">
        <f>'[3]Go Jet'!$GH$41</f>
        <v>5755</v>
      </c>
      <c r="N39" s="58">
        <f t="shared" si="13"/>
        <v>-1</v>
      </c>
      <c r="O39" s="242">
        <f>SUM('[3]Go Jet'!$GP$41:$GV$41)</f>
        <v>2644</v>
      </c>
      <c r="P39" s="2">
        <f>SUM('[3]Go Jet'!$GB$41:$GH$41)</f>
        <v>78556</v>
      </c>
      <c r="Q39" s="3">
        <f>(O39-P39)/P39</f>
        <v>-0.96634248179642546</v>
      </c>
      <c r="R39" s="58">
        <f t="shared" si="15"/>
        <v>2.9138229158286486E-4</v>
      </c>
      <c r="S39" s="31"/>
      <c r="T39" s="33" t="s">
        <v>155</v>
      </c>
      <c r="U39" s="242">
        <f>'[3]Go Jet'!$GV$64</f>
        <v>0</v>
      </c>
      <c r="V39" s="2">
        <f>'[3]Go Jet'!$GH$64</f>
        <v>26</v>
      </c>
      <c r="W39" s="58">
        <f t="shared" si="16"/>
        <v>-1</v>
      </c>
      <c r="X39" s="242">
        <f>SUM('[3]Go Jet'!$GP$64:$GV$64)</f>
        <v>0</v>
      </c>
      <c r="Y39" s="2">
        <f>SUM('[3]Go Jet'!$GB$64:$GH$64)</f>
        <v>298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2">
        <f>'[3]Sky West'!$GV$19</f>
        <v>3144</v>
      </c>
      <c r="D40" s="2">
        <f>'[3]Sky West'!$GH$19</f>
        <v>9119</v>
      </c>
      <c r="E40" s="58">
        <f t="shared" si="11"/>
        <v>-0.65522535365719925</v>
      </c>
      <c r="F40" s="2">
        <f>SUM('[3]Sky West'!$GP$19:$GV$19)</f>
        <v>31576</v>
      </c>
      <c r="G40" s="2">
        <f>SUM('[3]Sky West'!$GB$19:$GH$19)</f>
        <v>55720</v>
      </c>
      <c r="H40" s="3">
        <f t="shared" si="19"/>
        <v>-0.43330940416367553</v>
      </c>
      <c r="I40" s="58">
        <f t="shared" si="12"/>
        <v>0.25487125676002909</v>
      </c>
      <c r="J40" s="31"/>
      <c r="K40" s="33" t="s">
        <v>98</v>
      </c>
      <c r="L40" s="242">
        <f>'[3]Sky West'!$GV$41</f>
        <v>84863</v>
      </c>
      <c r="M40" s="2">
        <f>'[3]Sky West'!$GH$41</f>
        <v>475744</v>
      </c>
      <c r="N40" s="58">
        <f t="shared" si="13"/>
        <v>-0.82162045133517181</v>
      </c>
      <c r="O40" s="242">
        <f>SUM('[3]Sky West'!$GP$41:$GV$41)</f>
        <v>1090261</v>
      </c>
      <c r="P40" s="2">
        <f>SUM('[3]Sky West'!$GB$41:$GH$41)</f>
        <v>2754804</v>
      </c>
      <c r="Q40" s="3">
        <f t="shared" si="14"/>
        <v>-0.60423282382340082</v>
      </c>
      <c r="R40" s="58">
        <f t="shared" si="15"/>
        <v>0.12015232549297497</v>
      </c>
      <c r="S40" s="31"/>
      <c r="T40" s="33" t="s">
        <v>98</v>
      </c>
      <c r="U40" s="242">
        <f>'[3]Sky West'!$GV$64</f>
        <v>0</v>
      </c>
      <c r="V40" s="2">
        <f>'[3]Sky West'!$GH$64</f>
        <v>0</v>
      </c>
      <c r="W40" s="58" t="e">
        <f t="shared" si="16"/>
        <v>#DIV/0!</v>
      </c>
      <c r="X40" s="242">
        <f>SUM('[3]Sky West'!$GP$64:$GV$64)</f>
        <v>0</v>
      </c>
      <c r="Y40" s="2">
        <f>SUM('[3]Sky West'!$GB$64:$GH$64)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2">
        <f>'[3]Shuttle America_Delta'!$GV$19</f>
        <v>0</v>
      </c>
      <c r="D41" s="2">
        <f>'[3]Shuttle America_Delta'!$GH$19</f>
        <v>0</v>
      </c>
      <c r="E41" s="58" t="e">
        <f t="shared" si="11"/>
        <v>#DIV/0!</v>
      </c>
      <c r="F41" s="2">
        <f>SUM('[3]Shuttle America_Delta'!$GP$19:$GV$19)</f>
        <v>0</v>
      </c>
      <c r="G41" s="2">
        <f>SUM('[3]Shuttle America_Delta'!$GB$19:$GH$19)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2">
        <f>'[3]Shuttle America_Delta'!$GV$41</f>
        <v>0</v>
      </c>
      <c r="M41" s="2">
        <f>'[3]Shuttle America_Delta'!$GH$41</f>
        <v>0</v>
      </c>
      <c r="N41" s="58" t="e">
        <f t="shared" si="13"/>
        <v>#DIV/0!</v>
      </c>
      <c r="O41" s="242">
        <f>SUM('[3]Shuttle America_Delta'!$GP$41:$GV$41)</f>
        <v>0</v>
      </c>
      <c r="P41" s="2">
        <f>SUM('[3]Shuttle America_Delta'!$GB$41:$GH$41)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2">
        <f>'[3]Shuttle America_Delta'!$GV$64</f>
        <v>0</v>
      </c>
      <c r="V41" s="2">
        <f>'[3]Shuttle America_Delta'!$GH$64</f>
        <v>0</v>
      </c>
      <c r="W41" s="58" t="e">
        <f t="shared" si="16"/>
        <v>#DIV/0!</v>
      </c>
      <c r="X41" s="242">
        <f>SUM('[3]Shuttle America_Delta'!$GP$64:$GV$64)</f>
        <v>0</v>
      </c>
      <c r="Y41" s="2">
        <f>SUM('[3]Shuttle America_Delta'!$GB$64:$GH$64)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5" t="s">
        <v>167</v>
      </c>
      <c r="C42" s="242">
        <f>'[3]Atlantic Southeast'!$GV$19</f>
        <v>0</v>
      </c>
      <c r="D42" s="2">
        <f>'[3]Atlantic Southeast'!$GH$19</f>
        <v>0</v>
      </c>
      <c r="E42" s="58" t="e">
        <f t="shared" si="11"/>
        <v>#DIV/0!</v>
      </c>
      <c r="F42" s="2">
        <f>SUM('[3]Atlantic Southeast'!$GP$19:$GV$19)</f>
        <v>0</v>
      </c>
      <c r="G42" s="2">
        <f>SUM('[3]Atlantic Southeast'!$GB$19:$GH$19)</f>
        <v>0</v>
      </c>
      <c r="H42" s="3" t="e">
        <f t="shared" si="19"/>
        <v>#DIV/0!</v>
      </c>
      <c r="I42" s="58">
        <f t="shared" si="12"/>
        <v>0</v>
      </c>
      <c r="J42" s="31"/>
      <c r="K42" s="295" t="s">
        <v>167</v>
      </c>
      <c r="L42" s="242">
        <f>'[3]Atlantic Southeast'!$GV$41</f>
        <v>0</v>
      </c>
      <c r="M42" s="2">
        <f>'[3]Atlantic Southeast'!$GH$41</f>
        <v>0</v>
      </c>
      <c r="N42" s="58" t="e">
        <f t="shared" si="13"/>
        <v>#DIV/0!</v>
      </c>
      <c r="O42" s="242">
        <f>SUM('[3]Atlantic Southeast'!$GP$41:$GV$41)</f>
        <v>0</v>
      </c>
      <c r="P42" s="2">
        <f>SUM('[3]Atlantic Southeast'!$GB$41:$GH$41)</f>
        <v>0</v>
      </c>
      <c r="Q42" s="3" t="e">
        <f t="shared" si="14"/>
        <v>#DIV/0!</v>
      </c>
      <c r="R42" s="58">
        <f t="shared" si="15"/>
        <v>0</v>
      </c>
      <c r="S42" s="31"/>
      <c r="T42" s="295" t="s">
        <v>167</v>
      </c>
      <c r="U42" s="242">
        <f>'[3]Atlantic Southeast'!$GV$64</f>
        <v>0</v>
      </c>
      <c r="V42" s="2">
        <f>'[3]Atlantic Southeast'!$GH$64</f>
        <v>0</v>
      </c>
      <c r="W42" s="58" t="e">
        <f t="shared" si="16"/>
        <v>#DIV/0!</v>
      </c>
      <c r="X42" s="242">
        <f>SUM('[3]Atlantic Southeast'!$GP$64:$GV$64)</f>
        <v>0</v>
      </c>
      <c r="Y42" s="2">
        <f>SUM('[3]Atlantic Southeast'!$GB$64:$GH$64)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5"/>
      <c r="C43" s="242"/>
      <c r="E43" s="58"/>
      <c r="F43" s="2"/>
      <c r="I43" s="58"/>
      <c r="J43" s="31"/>
      <c r="K43" s="295"/>
      <c r="L43" s="242"/>
      <c r="N43" s="58"/>
      <c r="O43" s="242"/>
      <c r="P43" s="2"/>
      <c r="Q43" s="3"/>
      <c r="R43" s="58"/>
      <c r="S43" s="31"/>
      <c r="T43" s="295"/>
      <c r="U43" s="242"/>
      <c r="V43" s="2"/>
      <c r="W43" s="58"/>
      <c r="X43" s="242"/>
      <c r="Y43" s="2"/>
      <c r="Z43" s="3"/>
      <c r="AA43" s="58"/>
    </row>
    <row r="44" spans="1:27" ht="14.1" customHeight="1" x14ac:dyDescent="0.2">
      <c r="A44" s="238" t="s">
        <v>47</v>
      </c>
      <c r="B44" s="33"/>
      <c r="C44" s="239">
        <f>[3]Frontier!$GV$19</f>
        <v>62</v>
      </c>
      <c r="D44" s="115">
        <f>[3]Frontier!$GH$19</f>
        <v>346</v>
      </c>
      <c r="E44" s="241">
        <f>(C44-D44)/D44</f>
        <v>-0.82080924855491333</v>
      </c>
      <c r="F44" s="115">
        <f>SUM([3]Frontier!$GP$19:$GV$19)</f>
        <v>781</v>
      </c>
      <c r="G44" s="115">
        <f>SUM([3]Frontier!$GB$19:$GH$19)</f>
        <v>1811</v>
      </c>
      <c r="H44" s="240">
        <f>(F44-G44)/G44</f>
        <v>-0.56874654886802867</v>
      </c>
      <c r="I44" s="241">
        <f>F44/$F$70</f>
        <v>6.3039793365081923E-3</v>
      </c>
      <c r="J44" s="238" t="s">
        <v>47</v>
      </c>
      <c r="K44" s="33"/>
      <c r="L44" s="239">
        <f>[3]Frontier!$GV$41</f>
        <v>8555</v>
      </c>
      <c r="M44" s="115">
        <f>[3]Frontier!$GH$41</f>
        <v>54937</v>
      </c>
      <c r="N44" s="241">
        <f>(L44-M44)/M44</f>
        <v>-0.84427617088665197</v>
      </c>
      <c r="O44" s="239">
        <f>SUM([3]Frontier!$GP$41:$GV$41)</f>
        <v>108373</v>
      </c>
      <c r="P44" s="115">
        <f>SUM([3]Frontier!$GB$41:$GH$41)</f>
        <v>295848</v>
      </c>
      <c r="Q44" s="240">
        <f>(O44-P44)/P44</f>
        <v>-0.63368689326951677</v>
      </c>
      <c r="R44" s="241">
        <f>O44/$O$70</f>
        <v>1.1943257596713244E-2</v>
      </c>
      <c r="S44" s="238" t="s">
        <v>47</v>
      </c>
      <c r="T44" s="33"/>
      <c r="U44" s="239">
        <f>[3]Frontier!$GV$64</f>
        <v>0</v>
      </c>
      <c r="V44" s="115">
        <f>[3]Frontier!$GH$64</f>
        <v>0</v>
      </c>
      <c r="W44" s="241" t="e">
        <f>(U44-V44)/V44</f>
        <v>#DIV/0!</v>
      </c>
      <c r="X44" s="239">
        <f>SUM([3]Frontier!$GP$64:$GV$64)</f>
        <v>0</v>
      </c>
      <c r="Y44" s="115">
        <f>SUM([3]Frontier!$GB$64:$GH$64)</f>
        <v>0</v>
      </c>
      <c r="Z44" s="240" t="e">
        <f>(X44-Y44)/Y44</f>
        <v>#DIV/0!</v>
      </c>
      <c r="AA44" s="241">
        <f>X44/$X$70</f>
        <v>0</v>
      </c>
    </row>
    <row r="45" spans="1:27" ht="14.1" customHeight="1" x14ac:dyDescent="0.2">
      <c r="A45" s="238"/>
      <c r="B45" s="33"/>
      <c r="C45" s="239"/>
      <c r="D45" s="115"/>
      <c r="E45" s="241"/>
      <c r="F45" s="115"/>
      <c r="G45" s="115"/>
      <c r="H45" s="240"/>
      <c r="I45" s="241"/>
      <c r="J45" s="238"/>
      <c r="K45" s="33"/>
      <c r="L45" s="242"/>
      <c r="N45" s="58"/>
      <c r="O45" s="242"/>
      <c r="P45" s="2"/>
      <c r="Q45" s="3"/>
      <c r="R45" s="58"/>
      <c r="S45" s="238"/>
      <c r="T45" s="33"/>
      <c r="U45" s="242"/>
      <c r="V45" s="2"/>
      <c r="W45" s="58"/>
      <c r="X45" s="242"/>
      <c r="Y45" s="2"/>
      <c r="Z45" s="3"/>
      <c r="AA45" s="58"/>
    </row>
    <row r="46" spans="1:27" ht="14.1" customHeight="1" x14ac:dyDescent="0.2">
      <c r="A46" s="238" t="s">
        <v>48</v>
      </c>
      <c r="B46" s="33"/>
      <c r="C46" s="239">
        <f>[3]Icelandair!$GV$19</f>
        <v>0</v>
      </c>
      <c r="D46" s="115">
        <f>[3]Icelandair!$GH$19</f>
        <v>62</v>
      </c>
      <c r="E46" s="241">
        <f>(C46-D46)/D46</f>
        <v>-1</v>
      </c>
      <c r="F46" s="115">
        <f>SUM([3]Icelandair!$GP$19:$GV$19)</f>
        <v>18</v>
      </c>
      <c r="G46" s="115">
        <f>SUM([3]Icelandair!$GB$19:$GH$19)</f>
        <v>270</v>
      </c>
      <c r="H46" s="240">
        <f>(F46-G46)/G46</f>
        <v>-0.93333333333333335</v>
      </c>
      <c r="I46" s="241">
        <f>F46/$F$70</f>
        <v>1.4529017676971506E-4</v>
      </c>
      <c r="J46" s="238" t="s">
        <v>48</v>
      </c>
      <c r="K46" s="33"/>
      <c r="L46" s="239">
        <f>[3]Icelandair!$GV$41</f>
        <v>0</v>
      </c>
      <c r="M46" s="115">
        <f>[3]Icelandair!$GH$41</f>
        <v>11245</v>
      </c>
      <c r="N46" s="241">
        <f>(L46-M46)/M46</f>
        <v>-1</v>
      </c>
      <c r="O46" s="239">
        <f>SUM([3]Icelandair!$GP$41:$GV$41)</f>
        <v>2058</v>
      </c>
      <c r="P46" s="115">
        <f>SUM([3]Icelandair!$GB$41:$GH$41)</f>
        <v>47087</v>
      </c>
      <c r="Q46" s="240">
        <f>(O46-P46)/P46</f>
        <v>-0.95629366916558711</v>
      </c>
      <c r="R46" s="241">
        <f>O46/$O$70</f>
        <v>2.2680210139089859E-4</v>
      </c>
      <c r="S46" s="238" t="s">
        <v>48</v>
      </c>
      <c r="T46" s="33"/>
      <c r="U46" s="239">
        <f>[3]Icelandair!$GV$64</f>
        <v>0</v>
      </c>
      <c r="V46" s="115">
        <f>[3]Icelandair!$GH$64</f>
        <v>77734</v>
      </c>
      <c r="W46" s="241">
        <f>(U46-V46)/V46</f>
        <v>-1</v>
      </c>
      <c r="X46" s="239">
        <f>SUM([3]Icelandair!$GP$64:$GV$64)</f>
        <v>2574</v>
      </c>
      <c r="Y46" s="115">
        <f>SUM([3]Icelandair!$GB$64:$GH$64)</f>
        <v>271512</v>
      </c>
      <c r="Z46" s="240">
        <f>(X46-Y46)/Y46</f>
        <v>-0.99051975603288256</v>
      </c>
      <c r="AA46" s="241">
        <f>X46/$X$70</f>
        <v>7.902783603547742E-5</v>
      </c>
    </row>
    <row r="47" spans="1:27" ht="14.1" customHeight="1" x14ac:dyDescent="0.2">
      <c r="A47" s="238"/>
      <c r="B47" s="33"/>
      <c r="C47" s="239"/>
      <c r="D47" s="115"/>
      <c r="E47" s="241"/>
      <c r="F47" s="115"/>
      <c r="G47" s="115"/>
      <c r="H47" s="240"/>
      <c r="I47" s="241"/>
      <c r="J47" s="238"/>
      <c r="K47" s="33"/>
      <c r="L47" s="242"/>
      <c r="N47" s="58"/>
      <c r="O47" s="242"/>
      <c r="P47" s="2"/>
      <c r="Q47" s="3"/>
      <c r="R47" s="58"/>
      <c r="S47" s="238"/>
      <c r="T47" s="33"/>
      <c r="U47" s="242"/>
      <c r="V47" s="2"/>
      <c r="W47" s="58"/>
      <c r="X47" s="242"/>
      <c r="Y47" s="2"/>
      <c r="Z47" s="3"/>
      <c r="AA47" s="58"/>
    </row>
    <row r="48" spans="1:27" ht="14.1" customHeight="1" x14ac:dyDescent="0.2">
      <c r="A48" s="238" t="s">
        <v>201</v>
      </c>
      <c r="B48" s="33"/>
      <c r="C48" s="239">
        <f>'[3]Jet Blue'!$GV$19</f>
        <v>60</v>
      </c>
      <c r="D48" s="115">
        <f>'[3]Jet Blue'!$GH$19</f>
        <v>178</v>
      </c>
      <c r="E48" s="241">
        <f>(C48-D48)/D48</f>
        <v>-0.6629213483146067</v>
      </c>
      <c r="F48" s="115">
        <f>SUM('[3]Jet Blue'!$GP$19:$GV$19)</f>
        <v>557</v>
      </c>
      <c r="G48" s="115">
        <f>SUM('[3]Jet Blue'!$GB$19:$GH$19)</f>
        <v>1196</v>
      </c>
      <c r="H48" s="240">
        <f>(F48-G48)/G48</f>
        <v>-0.53428093645484953</v>
      </c>
      <c r="I48" s="241">
        <f>F48/$F$70</f>
        <v>4.4959238033739609E-3</v>
      </c>
      <c r="J48" s="238" t="s">
        <v>201</v>
      </c>
      <c r="K48" s="33"/>
      <c r="L48" s="239">
        <f>'[3]Jet Blue'!$GV$41</f>
        <v>2348</v>
      </c>
      <c r="M48" s="115">
        <f>'[3]Jet Blue'!$GH$41</f>
        <v>23641</v>
      </c>
      <c r="N48" s="241">
        <f>(L48-M48)/M48</f>
        <v>-0.90068102026141028</v>
      </c>
      <c r="O48" s="239">
        <f>SUM('[3]Jet Blue'!$GP$41:$GV$41)</f>
        <v>31100</v>
      </c>
      <c r="P48" s="115">
        <f>SUM('[3]Jet Blue'!$GB$41:$GH$41)</f>
        <v>133926</v>
      </c>
      <c r="Q48" s="240">
        <f>(O48-P48)/P48</f>
        <v>-0.76778220808506192</v>
      </c>
      <c r="R48" s="241">
        <f>O48/$O$70</f>
        <v>3.4273786944883124E-3</v>
      </c>
      <c r="S48" s="238" t="s">
        <v>201</v>
      </c>
      <c r="T48" s="33"/>
      <c r="U48" s="239">
        <f>'[3]Jet Blue'!$GV$64</f>
        <v>0</v>
      </c>
      <c r="V48" s="115">
        <f>'[3]Jet Blue'!$GH$64</f>
        <v>0</v>
      </c>
      <c r="W48" s="241" t="e">
        <f>(U48-V48)/V48</f>
        <v>#DIV/0!</v>
      </c>
      <c r="X48" s="239">
        <f>SUM('[3]Jet Blue'!$GP$64:$GV$64)</f>
        <v>0</v>
      </c>
      <c r="Y48" s="115">
        <f>SUM('[3]Jet Blue'!$GB$64:$GH$64)</f>
        <v>0</v>
      </c>
      <c r="Z48" s="240" t="e">
        <f>(X48-Y48)/Y48</f>
        <v>#DIV/0!</v>
      </c>
      <c r="AA48" s="241">
        <f>X48/$X$70</f>
        <v>0</v>
      </c>
    </row>
    <row r="49" spans="1:27" ht="14.1" customHeight="1" x14ac:dyDescent="0.2">
      <c r="A49" s="238"/>
      <c r="B49" s="33"/>
      <c r="C49" s="239"/>
      <c r="D49" s="115"/>
      <c r="E49" s="241"/>
      <c r="F49" s="115"/>
      <c r="G49" s="115"/>
      <c r="H49" s="240"/>
      <c r="I49" s="241"/>
      <c r="J49" s="238"/>
      <c r="K49" s="33"/>
      <c r="L49" s="242"/>
      <c r="N49" s="58"/>
      <c r="O49" s="242"/>
      <c r="P49" s="2"/>
      <c r="Q49" s="3"/>
      <c r="R49" s="58"/>
      <c r="S49" s="238"/>
      <c r="T49" s="33"/>
      <c r="U49" s="242"/>
      <c r="V49" s="2"/>
      <c r="W49" s="58"/>
      <c r="X49" s="242"/>
      <c r="Y49" s="2"/>
      <c r="Z49" s="3"/>
      <c r="AA49" s="58"/>
    </row>
    <row r="50" spans="1:27" ht="14.1" customHeight="1" x14ac:dyDescent="0.2">
      <c r="A50" s="238" t="s">
        <v>194</v>
      </c>
      <c r="B50" s="33"/>
      <c r="C50" s="239">
        <f>[3]KLM!$GV$19</f>
        <v>0</v>
      </c>
      <c r="D50" s="115">
        <f>[3]KLM!$GH$19</f>
        <v>32</v>
      </c>
      <c r="E50" s="241">
        <f>(C50-D50)/D50</f>
        <v>-1</v>
      </c>
      <c r="F50" s="115">
        <f>SUM([3]KLM!$GP$19:$GV$19)</f>
        <v>80</v>
      </c>
      <c r="G50" s="115">
        <f>SUM([3]KLM!$GB$19:$GH$19)</f>
        <v>234</v>
      </c>
      <c r="H50" s="240">
        <f>(F50-G50)/G50</f>
        <v>-0.65811965811965811</v>
      </c>
      <c r="I50" s="241">
        <f>F50/$F$70</f>
        <v>6.4573411897651139E-4</v>
      </c>
      <c r="J50" s="238" t="s">
        <v>194</v>
      </c>
      <c r="K50" s="33"/>
      <c r="L50" s="239">
        <f>[3]KLM!$GV$41</f>
        <v>0</v>
      </c>
      <c r="M50" s="115">
        <f>[3]KLM!$GH$41</f>
        <v>7785</v>
      </c>
      <c r="N50" s="241">
        <f>(L50-M50)/M50</f>
        <v>-1</v>
      </c>
      <c r="O50" s="239">
        <f>SUM([3]KLM!$GP$41:$GV$41)</f>
        <v>15968</v>
      </c>
      <c r="P50" s="115">
        <f>SUM([3]KLM!$GB$41:$GH$41)</f>
        <v>53606</v>
      </c>
      <c r="Q50" s="240">
        <f>(O50-P50)/P50</f>
        <v>-0.70212289669066896</v>
      </c>
      <c r="R50" s="241">
        <f>O50/$O$70</f>
        <v>1.7597550801797225E-3</v>
      </c>
      <c r="S50" s="238" t="s">
        <v>194</v>
      </c>
      <c r="T50" s="33"/>
      <c r="U50" s="239">
        <f>[3]KLM!$GV$64</f>
        <v>0</v>
      </c>
      <c r="V50" s="115">
        <f>[3]KLM!$GH$64</f>
        <v>388124</v>
      </c>
      <c r="W50" s="241">
        <f>(U50-V50)/V50</f>
        <v>-1</v>
      </c>
      <c r="X50" s="239">
        <f>SUM([3]KLM!$GP$64:$GV$64)</f>
        <v>818409</v>
      </c>
      <c r="Y50" s="115">
        <f>SUM([3]KLM!$GB$64:$GH$64)</f>
        <v>4001652</v>
      </c>
      <c r="Z50" s="240">
        <f>(X50-Y50)/Y50</f>
        <v>-0.79548221584485612</v>
      </c>
      <c r="AA50" s="241">
        <f>X50/$X$70</f>
        <v>2.5127075470846558E-2</v>
      </c>
    </row>
    <row r="51" spans="1:27" ht="14.1" customHeight="1" x14ac:dyDescent="0.2">
      <c r="A51" s="238"/>
      <c r="B51" s="33"/>
      <c r="C51" s="239"/>
      <c r="D51" s="115"/>
      <c r="E51" s="241"/>
      <c r="F51" s="115"/>
      <c r="G51" s="115"/>
      <c r="H51" s="240"/>
      <c r="I51" s="241"/>
      <c r="J51" s="238"/>
      <c r="K51" s="33"/>
      <c r="L51" s="242"/>
      <c r="N51" s="58"/>
      <c r="O51" s="242"/>
      <c r="P51" s="2"/>
      <c r="Q51" s="3"/>
      <c r="R51" s="58"/>
      <c r="S51" s="238"/>
      <c r="T51" s="33"/>
      <c r="U51" s="242"/>
      <c r="V51" s="2"/>
      <c r="W51" s="58"/>
      <c r="X51" s="242"/>
      <c r="Y51" s="2"/>
      <c r="Z51" s="3"/>
      <c r="AA51" s="58"/>
    </row>
    <row r="52" spans="1:27" ht="14.1" customHeight="1" x14ac:dyDescent="0.2">
      <c r="A52" s="243" t="s">
        <v>130</v>
      </c>
      <c r="C52" s="239">
        <f>[3]Southwest!$GV$19</f>
        <v>694</v>
      </c>
      <c r="D52" s="115">
        <f>[3]Southwest!$GH$19</f>
        <v>1470</v>
      </c>
      <c r="E52" s="241">
        <f>(C52-D52)/D52</f>
        <v>-0.527891156462585</v>
      </c>
      <c r="F52" s="115">
        <f>SUM([3]Southwest!$GP$19:$GV$19)</f>
        <v>5445</v>
      </c>
      <c r="G52" s="115">
        <f>SUM([3]Southwest!$GB$19:$GH$19)</f>
        <v>9497</v>
      </c>
      <c r="H52" s="240">
        <f>(F52-G52)/G52</f>
        <v>-0.42666105085816575</v>
      </c>
      <c r="I52" s="241">
        <f>F52/$F$70</f>
        <v>4.3950278472838805E-2</v>
      </c>
      <c r="J52" s="243" t="s">
        <v>130</v>
      </c>
      <c r="L52" s="239">
        <f>[3]Southwest!$GV$41</f>
        <v>53700</v>
      </c>
      <c r="M52" s="115">
        <f>[3]Southwest!$GH$41</f>
        <v>168704</v>
      </c>
      <c r="N52" s="241">
        <f>(L52-M52)/M52</f>
        <v>-0.68169100910470415</v>
      </c>
      <c r="O52" s="239">
        <f>SUM([3]Southwest!$GP$41:$GV$41)</f>
        <v>428479</v>
      </c>
      <c r="P52" s="115">
        <f>SUM([3]Southwest!$GB$41:$GH$41)</f>
        <v>1094139</v>
      </c>
      <c r="Q52" s="240">
        <f>(O52-P52)/P52</f>
        <v>-0.6083870513709867</v>
      </c>
      <c r="R52" s="241">
        <f>O52/$O$70</f>
        <v>4.7220572206934326E-2</v>
      </c>
      <c r="S52" s="238" t="s">
        <v>130</v>
      </c>
      <c r="T52" s="33"/>
      <c r="U52" s="239">
        <f>[3]Southwest!$GV$64</f>
        <v>262209</v>
      </c>
      <c r="V52" s="115">
        <f>[3]Southwest!$GH$64</f>
        <v>325092</v>
      </c>
      <c r="W52" s="241">
        <f>(U52-V52)/V52</f>
        <v>-0.19343139788121516</v>
      </c>
      <c r="X52" s="239">
        <f>SUM([3]Southwest!$GP$64:$GV$64)</f>
        <v>1735252</v>
      </c>
      <c r="Y52" s="115">
        <f>SUM([3]Southwest!$GB$64:$GH$64)</f>
        <v>2286344</v>
      </c>
      <c r="Z52" s="240">
        <f>(X52-Y52)/Y52</f>
        <v>-0.2410363444870938</v>
      </c>
      <c r="AA52" s="241">
        <f>X52/$X$70</f>
        <v>5.327630556963258E-2</v>
      </c>
    </row>
    <row r="53" spans="1:27" ht="14.1" customHeight="1" x14ac:dyDescent="0.2">
      <c r="A53" s="238"/>
      <c r="B53" s="33"/>
      <c r="C53" s="239"/>
      <c r="D53" s="115"/>
      <c r="E53" s="241"/>
      <c r="F53" s="115"/>
      <c r="G53" s="115"/>
      <c r="H53" s="240"/>
      <c r="I53" s="241"/>
      <c r="J53" s="238"/>
      <c r="K53" s="33"/>
      <c r="L53" s="242"/>
      <c r="N53" s="58"/>
      <c r="O53" s="242"/>
      <c r="P53" s="2"/>
      <c r="Q53" s="3"/>
      <c r="R53" s="58"/>
      <c r="S53" s="238"/>
      <c r="T53" s="33"/>
      <c r="U53" s="242"/>
      <c r="V53" s="2"/>
      <c r="W53" s="58"/>
      <c r="X53" s="242"/>
      <c r="Y53" s="2"/>
      <c r="Z53" s="3"/>
      <c r="AA53" s="58"/>
    </row>
    <row r="54" spans="1:27" ht="14.1" customHeight="1" x14ac:dyDescent="0.2">
      <c r="A54" s="238" t="s">
        <v>156</v>
      </c>
      <c r="B54" s="33"/>
      <c r="C54" s="239">
        <f>[3]Spirit!$GV$19</f>
        <v>414</v>
      </c>
      <c r="D54" s="115">
        <f>[3]Spirit!$GH$19</f>
        <v>610</v>
      </c>
      <c r="E54" s="241">
        <f>(C54-D54)/D54</f>
        <v>-0.32131147540983607</v>
      </c>
      <c r="F54" s="115">
        <f>SUM([3]Spirit!$GP$19:$GV$19)</f>
        <v>2443</v>
      </c>
      <c r="G54" s="115">
        <f>SUM([3]Spirit!$GB$19:$GH$19)</f>
        <v>4594</v>
      </c>
      <c r="H54" s="240">
        <f>(F54-G54)/G54</f>
        <v>-0.46821941663038746</v>
      </c>
      <c r="I54" s="241">
        <f>F54/$F$70</f>
        <v>1.9719105658245216E-2</v>
      </c>
      <c r="J54" s="238" t="s">
        <v>156</v>
      </c>
      <c r="K54" s="33"/>
      <c r="L54" s="239">
        <f>[3]Spirit!$GV$41</f>
        <v>49563</v>
      </c>
      <c r="M54" s="115">
        <f>[3]Spirit!$GH$41</f>
        <v>98358</v>
      </c>
      <c r="N54" s="241">
        <f>(L54-M54)/M54</f>
        <v>-0.49609589458915393</v>
      </c>
      <c r="O54" s="239">
        <f>SUM([3]Spirit!$GP$41:$GV$41)</f>
        <v>307527</v>
      </c>
      <c r="P54" s="115">
        <f>SUM([3]Spirit!$GB$41:$GH$41)</f>
        <v>691144</v>
      </c>
      <c r="Q54" s="240">
        <f>(O54-P54)/P54</f>
        <v>-0.55504641579757619</v>
      </c>
      <c r="R54" s="241">
        <f>O54/$O$70</f>
        <v>3.3891044623148139E-2</v>
      </c>
      <c r="S54" s="238" t="s">
        <v>156</v>
      </c>
      <c r="T54" s="33"/>
      <c r="U54" s="239">
        <f>[3]Spirit!$GV$64</f>
        <v>0</v>
      </c>
      <c r="V54" s="115">
        <f>[3]Spirit!$GH$64</f>
        <v>0</v>
      </c>
      <c r="W54" s="241" t="e">
        <f>(U54-V54)/V54</f>
        <v>#DIV/0!</v>
      </c>
      <c r="X54" s="239">
        <f>SUM([3]Spirit!$GP$64:$GV$64)</f>
        <v>0</v>
      </c>
      <c r="Y54" s="115">
        <f>SUM([3]Spirit!$GB$64:$GH$64)</f>
        <v>0</v>
      </c>
      <c r="Z54" s="240" t="e">
        <f>(X54-Y54)/Y54</f>
        <v>#DIV/0!</v>
      </c>
      <c r="AA54" s="241">
        <f>X54/$X$70</f>
        <v>0</v>
      </c>
    </row>
    <row r="55" spans="1:27" ht="14.1" customHeight="1" x14ac:dyDescent="0.2">
      <c r="A55" s="238"/>
      <c r="B55" s="33"/>
      <c r="C55" s="239"/>
      <c r="D55" s="115"/>
      <c r="E55" s="241"/>
      <c r="F55" s="115"/>
      <c r="G55" s="115"/>
      <c r="H55" s="240"/>
      <c r="I55" s="241"/>
      <c r="J55" s="238"/>
      <c r="K55" s="33"/>
      <c r="L55" s="242"/>
      <c r="N55" s="58"/>
      <c r="O55" s="242"/>
      <c r="P55" s="2"/>
      <c r="Q55" s="3"/>
      <c r="R55" s="58">
        <f>O55/$O$70</f>
        <v>0</v>
      </c>
      <c r="S55" s="238"/>
      <c r="T55" s="33"/>
      <c r="U55" s="242"/>
      <c r="V55" s="2"/>
      <c r="W55" s="58"/>
      <c r="X55" s="242"/>
      <c r="Y55" s="2"/>
      <c r="Z55" s="3"/>
      <c r="AA55" s="58">
        <f>X55/$X$70</f>
        <v>0</v>
      </c>
    </row>
    <row r="56" spans="1:27" ht="14.1" customHeight="1" x14ac:dyDescent="0.2">
      <c r="A56" s="238" t="s">
        <v>49</v>
      </c>
      <c r="B56" s="33"/>
      <c r="C56" s="239">
        <f>'[3]Sun Country'!$GV$19</f>
        <v>1259</v>
      </c>
      <c r="D56" s="115">
        <f>'[3]Sun Country'!$GH$19</f>
        <v>1904</v>
      </c>
      <c r="E56" s="241">
        <f>(C56-D56)/D56</f>
        <v>-0.33876050420168069</v>
      </c>
      <c r="F56" s="115">
        <f>SUM('[3]Sun Country'!$GP$19:$GV$19)</f>
        <v>8222</v>
      </c>
      <c r="G56" s="115">
        <f>SUM('[3]Sun Country'!$GB$19:$GH$19)</f>
        <v>12459</v>
      </c>
      <c r="H56" s="240">
        <f>(F56-G56)/G56</f>
        <v>-0.34007544746769403</v>
      </c>
      <c r="I56" s="241">
        <f>F56/$F$70</f>
        <v>6.6365324077810955E-2</v>
      </c>
      <c r="J56" s="238" t="s">
        <v>49</v>
      </c>
      <c r="K56" s="33"/>
      <c r="L56" s="239">
        <f>'[3]Sun Country'!$GV$41</f>
        <v>110368</v>
      </c>
      <c r="M56" s="115">
        <f>'[3]Sun Country'!$GH$41</f>
        <v>256488</v>
      </c>
      <c r="N56" s="241">
        <f>(L56-M56)/M56</f>
        <v>-0.5696952683946227</v>
      </c>
      <c r="O56" s="239">
        <f>SUM('[3]Sun Country'!$GP$41:$GV$41)</f>
        <v>940477</v>
      </c>
      <c r="P56" s="115">
        <f>SUM('[3]Sun Country'!$GB$41:$GH$41)</f>
        <v>1692265</v>
      </c>
      <c r="Q56" s="240">
        <f>(O56-P56)/P56</f>
        <v>-0.44424957084144623</v>
      </c>
      <c r="R56" s="241">
        <f>O56/$O$70</f>
        <v>0.10364536438766188</v>
      </c>
      <c r="S56" s="238" t="s">
        <v>49</v>
      </c>
      <c r="T56" s="33"/>
      <c r="U56" s="239">
        <f>'[3]Sun Country'!$GV$64</f>
        <v>457562</v>
      </c>
      <c r="V56" s="115">
        <f>'[3]Sun Country'!$GH$64</f>
        <v>794686</v>
      </c>
      <c r="W56" s="241">
        <f>(U56-V56)/V56</f>
        <v>-0.42422290061735074</v>
      </c>
      <c r="X56" s="239">
        <f>SUM('[3]Sun Country'!$GP$64:$GV$64)</f>
        <v>2227382</v>
      </c>
      <c r="Y56" s="115">
        <f>SUM('[3]Sun Country'!$GB$64:$GH$64)</f>
        <v>5401182</v>
      </c>
      <c r="Z56" s="240">
        <f>(X56-Y56)/Y56</f>
        <v>-0.58761211897692023</v>
      </c>
      <c r="AA56" s="241">
        <f>X56/$X$70</f>
        <v>6.838585061552982E-2</v>
      </c>
    </row>
    <row r="57" spans="1:27" ht="14.1" customHeight="1" x14ac:dyDescent="0.2">
      <c r="A57" s="238"/>
      <c r="B57" s="33"/>
      <c r="C57" s="239"/>
      <c r="D57" s="115"/>
      <c r="E57" s="241"/>
      <c r="F57" s="115"/>
      <c r="G57" s="115"/>
      <c r="H57" s="240"/>
      <c r="I57" s="241"/>
      <c r="J57" s="238"/>
      <c r="K57" s="33"/>
      <c r="L57" s="242"/>
      <c r="N57" s="58"/>
      <c r="O57" s="242"/>
      <c r="P57" s="2"/>
      <c r="Q57" s="3"/>
      <c r="R57" s="58"/>
      <c r="S57" s="238"/>
      <c r="T57" s="33"/>
      <c r="U57" s="242"/>
      <c r="V57" s="2"/>
      <c r="W57" s="58"/>
      <c r="X57" s="242"/>
      <c r="Y57" s="2"/>
      <c r="Z57" s="3"/>
      <c r="AA57" s="58"/>
    </row>
    <row r="58" spans="1:27" ht="14.1" customHeight="1" x14ac:dyDescent="0.2">
      <c r="A58" s="238" t="s">
        <v>19</v>
      </c>
      <c r="B58" s="243"/>
      <c r="C58" s="239">
        <f>SUM(C59:C65)</f>
        <v>645</v>
      </c>
      <c r="D58" s="115">
        <f>SUM(D59:D65)</f>
        <v>1562</v>
      </c>
      <c r="E58" s="241">
        <f t="shared" ref="E58:E65" si="21">(C58-D58)/D58</f>
        <v>-0.58706786171574898</v>
      </c>
      <c r="F58" s="115">
        <f>SUM(F59:F65)</f>
        <v>5371</v>
      </c>
      <c r="G58" s="115">
        <f>SUM(G59:G65)</f>
        <v>10008</v>
      </c>
      <c r="H58" s="240">
        <f t="shared" ref="H58:H65" si="22">(F58-G58)/G58</f>
        <v>-0.4633293365307754</v>
      </c>
      <c r="I58" s="241">
        <f t="shared" ref="I58:I65" si="23">F58/$F$70</f>
        <v>4.3352974412785537E-2</v>
      </c>
      <c r="J58" s="238" t="s">
        <v>19</v>
      </c>
      <c r="K58" s="243"/>
      <c r="L58" s="239">
        <f>SUM(L59:L65)</f>
        <v>28591</v>
      </c>
      <c r="M58" s="115">
        <f>SUM(M59:M65)</f>
        <v>154727</v>
      </c>
      <c r="N58" s="241">
        <f t="shared" ref="N58:N65" si="24">(L58-M58)/M58</f>
        <v>-0.81521647805489672</v>
      </c>
      <c r="O58" s="239">
        <f>SUM(O59:O65)</f>
        <v>352062</v>
      </c>
      <c r="P58" s="115">
        <f>SUM(P59:P65)</f>
        <v>893359</v>
      </c>
      <c r="Q58" s="240">
        <f t="shared" ref="Q58:Q65" si="25">(O58-P58)/P58</f>
        <v>-0.60591206894428784</v>
      </c>
      <c r="R58" s="241">
        <f t="shared" ref="R58:R65" si="26">O58/$O$70</f>
        <v>3.8799028872634859E-2</v>
      </c>
      <c r="S58" s="238" t="s">
        <v>19</v>
      </c>
      <c r="T58" s="243"/>
      <c r="U58" s="239">
        <f>SUM(U59:U65)</f>
        <v>58369</v>
      </c>
      <c r="V58" s="115">
        <f>SUM(V59:V65)</f>
        <v>101149</v>
      </c>
      <c r="W58" s="241">
        <f t="shared" ref="W58:W65" si="27">(U58-V58)/V58</f>
        <v>-0.42294041463583426</v>
      </c>
      <c r="X58" s="239">
        <f>SUM(X59:X65)</f>
        <v>451037</v>
      </c>
      <c r="Y58" s="115">
        <f>SUM(Y59:Y65)</f>
        <v>989772</v>
      </c>
      <c r="Z58" s="240">
        <f t="shared" ref="Z58:Z65" si="28">(X58-Y58)/Y58</f>
        <v>-0.54430212210488882</v>
      </c>
      <c r="AA58" s="241">
        <f t="shared" ref="AA58:AA65" si="29">X58/$X$70</f>
        <v>1.3847893582724797E-2</v>
      </c>
    </row>
    <row r="59" spans="1:27" ht="14.1" customHeight="1" x14ac:dyDescent="0.2">
      <c r="A59" s="31"/>
      <c r="B59" s="295" t="s">
        <v>19</v>
      </c>
      <c r="C59" s="242">
        <f>[3]United!$GV$19</f>
        <v>126</v>
      </c>
      <c r="D59" s="2">
        <f>[3]United!$GH$19+[3]Continental!$GH$19</f>
        <v>694</v>
      </c>
      <c r="E59" s="58">
        <f t="shared" si="21"/>
        <v>-0.81844380403458217</v>
      </c>
      <c r="F59" s="2">
        <f>SUM([3]United!$GP$19:$GV$19)</f>
        <v>1810</v>
      </c>
      <c r="G59" s="2">
        <f>SUM([3]United!$GB$19:$GH$19)+SUM([3]Continental!$GB$19:$GH$19)</f>
        <v>3780</v>
      </c>
      <c r="H59" s="3">
        <f t="shared" si="22"/>
        <v>-0.52116402116402116</v>
      </c>
      <c r="I59" s="58">
        <f t="shared" si="23"/>
        <v>1.4609734441843571E-2</v>
      </c>
      <c r="J59" s="31"/>
      <c r="K59" s="295" t="s">
        <v>19</v>
      </c>
      <c r="L59" s="242">
        <f>[3]United!$GV$41</f>
        <v>8617</v>
      </c>
      <c r="M59" s="2">
        <f>[3]United!$GH$41+[3]Continental!$GH$41</f>
        <v>98331</v>
      </c>
      <c r="N59" s="58">
        <f t="shared" si="24"/>
        <v>-0.91236741210808392</v>
      </c>
      <c r="O59" s="242">
        <f>SUM([3]United!$GP$41:$GV$41)</f>
        <v>180926</v>
      </c>
      <c r="P59" s="2">
        <f>SUM([3]United!$GB$41:$GH$41)+SUM([3]Continental!$GB$41:$GH$41)</f>
        <v>504488</v>
      </c>
      <c r="Q59" s="3">
        <f t="shared" si="25"/>
        <v>-0.6413670890090547</v>
      </c>
      <c r="R59" s="58">
        <f t="shared" si="26"/>
        <v>1.9938968414115511E-2</v>
      </c>
      <c r="S59" s="31"/>
      <c r="T59" s="295" t="s">
        <v>19</v>
      </c>
      <c r="U59" s="242">
        <f>[3]United!$GV$64</f>
        <v>58369</v>
      </c>
      <c r="V59" s="2">
        <f>[3]United!$GH$64+[3]Continental!$GH$64</f>
        <v>101149</v>
      </c>
      <c r="W59" s="58">
        <f t="shared" si="27"/>
        <v>-0.42294041463583426</v>
      </c>
      <c r="X59" s="242">
        <f>SUM([3]United!$GP$64:$GV$64)</f>
        <v>451037</v>
      </c>
      <c r="Y59" s="2">
        <f>SUM([3]United!$GB$64:$GH$64)+SUM([3]Continental!$GB$64:$GH$64)</f>
        <v>989772</v>
      </c>
      <c r="Z59" s="3">
        <f t="shared" si="28"/>
        <v>-0.54430212210488882</v>
      </c>
      <c r="AA59" s="58">
        <f t="shared" si="29"/>
        <v>1.3847893582724797E-2</v>
      </c>
    </row>
    <row r="60" spans="1:27" ht="14.1" customHeight="1" x14ac:dyDescent="0.2">
      <c r="A60" s="31"/>
      <c r="B60" s="295" t="s">
        <v>167</v>
      </c>
      <c r="C60" s="242">
        <f>'[3]Continental Express'!$GV$19</f>
        <v>0</v>
      </c>
      <c r="D60" s="2">
        <f>'[3]Continental Express'!$GH$19</f>
        <v>96</v>
      </c>
      <c r="E60" s="58">
        <f t="shared" si="21"/>
        <v>-1</v>
      </c>
      <c r="F60" s="2">
        <f>SUM('[3]Continental Express'!$GP$19:$GV$19)</f>
        <v>236</v>
      </c>
      <c r="G60" s="2">
        <f>SUM('[3]Continental Express'!$GB$19:$GH$19)</f>
        <v>150</v>
      </c>
      <c r="H60" s="3">
        <f t="shared" si="22"/>
        <v>0.57333333333333336</v>
      </c>
      <c r="I60" s="58">
        <f t="shared" si="23"/>
        <v>1.9049156509807087E-3</v>
      </c>
      <c r="J60" s="31"/>
      <c r="K60" s="295" t="s">
        <v>167</v>
      </c>
      <c r="L60" s="242">
        <f>'[3]Continental Express'!$GV$41</f>
        <v>0</v>
      </c>
      <c r="M60" s="2">
        <f>'[3]Continental Express'!$GH$41</f>
        <v>5779</v>
      </c>
      <c r="N60" s="58">
        <f t="shared" si="24"/>
        <v>-1</v>
      </c>
      <c r="O60" s="242">
        <f>SUM('[3]Continental Express'!$GP$41:$GV$41)</f>
        <v>10983</v>
      </c>
      <c r="P60" s="2">
        <f>SUM('[3]Continental Express'!$GB$41:$GH$41)</f>
        <v>7205</v>
      </c>
      <c r="Q60" s="3">
        <f t="shared" si="25"/>
        <v>0.52435808466342815</v>
      </c>
      <c r="R60" s="58">
        <f t="shared" si="26"/>
        <v>1.2103826431371426E-3</v>
      </c>
      <c r="S60" s="31"/>
      <c r="T60" s="295" t="s">
        <v>167</v>
      </c>
      <c r="U60" s="242">
        <f>'[3]Continental Express'!$GV$64</f>
        <v>0</v>
      </c>
      <c r="V60" s="2">
        <f>'[3]Continental Express'!$GH$64</f>
        <v>0</v>
      </c>
      <c r="W60" s="58" t="e">
        <f t="shared" si="27"/>
        <v>#DIV/0!</v>
      </c>
      <c r="X60" s="242">
        <f>SUM('[3]Continental Express'!$GP$64:$GV$64)</f>
        <v>0</v>
      </c>
      <c r="Y60" s="2">
        <f>SUM('[3]Continental Express'!$GB$64:$GH$64)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2">
        <f>'[3]Go Jet_UA'!$GV$19</f>
        <v>0</v>
      </c>
      <c r="D61" s="2">
        <f>'[3]Go Jet_UA'!$GH$19</f>
        <v>0</v>
      </c>
      <c r="E61" s="58" t="e">
        <f t="shared" si="21"/>
        <v>#DIV/0!</v>
      </c>
      <c r="F61" s="2">
        <f>SUM('[3]Go Jet_UA'!$GP$19:$GV$19)</f>
        <v>2</v>
      </c>
      <c r="G61" s="2">
        <f>SUM('[3]Go Jet_UA'!$GB$19:$GH$19)</f>
        <v>40</v>
      </c>
      <c r="H61" s="3">
        <f t="shared" si="22"/>
        <v>-0.95</v>
      </c>
      <c r="I61" s="58">
        <f t="shared" si="23"/>
        <v>1.6143352974412785E-5</v>
      </c>
      <c r="J61" s="31"/>
      <c r="K61" s="33" t="s">
        <v>155</v>
      </c>
      <c r="L61" s="242">
        <f>'[3]Go Jet_UA'!$GV$41</f>
        <v>0</v>
      </c>
      <c r="M61" s="2">
        <f>'[3]Go Jet_UA'!$GH$41</f>
        <v>0</v>
      </c>
      <c r="N61" s="58" t="e">
        <f t="shared" si="24"/>
        <v>#DIV/0!</v>
      </c>
      <c r="O61" s="242">
        <f>SUM('[3]Go Jet_UA'!$GP$41:$GV$41)</f>
        <v>83</v>
      </c>
      <c r="P61" s="2">
        <f>SUM('[3]Go Jet_UA'!$GB$41:$GH$41)</f>
        <v>2380</v>
      </c>
      <c r="Q61" s="3">
        <f t="shared" si="25"/>
        <v>-0.96512605042016808</v>
      </c>
      <c r="R61" s="58">
        <f t="shared" si="26"/>
        <v>9.1470235254832776E-6</v>
      </c>
      <c r="S61" s="31"/>
      <c r="T61" s="33" t="s">
        <v>155</v>
      </c>
      <c r="U61" s="242">
        <f>'[3]Go Jet_UA'!$GV$64</f>
        <v>0</v>
      </c>
      <c r="V61" s="2">
        <f>'[3]Go Jet_UA'!$GH$64</f>
        <v>0</v>
      </c>
      <c r="W61" s="58" t="e">
        <f t="shared" si="27"/>
        <v>#DIV/0!</v>
      </c>
      <c r="X61" s="242">
        <f>SUM('[3]Go Jet_UA'!$GP$64:$GV$64)</f>
        <v>0</v>
      </c>
      <c r="Y61" s="2">
        <f>SUM('[3]Go Jet_UA'!$GB$64:$GH$64)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2">
        <f>[3]MESA_UA!$GV$19</f>
        <v>150</v>
      </c>
      <c r="D62" s="2">
        <f>[3]MESA_UA!$GH$19</f>
        <v>176</v>
      </c>
      <c r="E62" s="58">
        <f t="shared" si="21"/>
        <v>-0.14772727272727273</v>
      </c>
      <c r="F62" s="2">
        <f>SUM([3]MESA_UA!$GP$19:$GV$19)</f>
        <v>960</v>
      </c>
      <c r="G62" s="2">
        <f>SUM([3]MESA_UA!$GB$19:$GH$19)</f>
        <v>1620</v>
      </c>
      <c r="H62" s="3">
        <f>(F62-G62)/G62</f>
        <v>-0.40740740740740738</v>
      </c>
      <c r="I62" s="58">
        <f t="shared" si="23"/>
        <v>7.7488094277181367E-3</v>
      </c>
      <c r="J62" s="31"/>
      <c r="K62" s="33" t="s">
        <v>51</v>
      </c>
      <c r="L62" s="242">
        <f>[3]MESA_UA!$GV$41</f>
        <v>6204</v>
      </c>
      <c r="M62" s="2">
        <f>[3]MESA_UA!$GH$41</f>
        <v>11988</v>
      </c>
      <c r="N62" s="58">
        <f t="shared" si="24"/>
        <v>-0.48248248248248249</v>
      </c>
      <c r="O62" s="242">
        <f>SUM([3]MESA_UA!$GP$41:$GV$41)</f>
        <v>47036</v>
      </c>
      <c r="P62" s="2">
        <f>SUM([3]MESA_UA!$GB$41:$GH$41)</f>
        <v>104122</v>
      </c>
      <c r="Q62" s="3">
        <f t="shared" si="25"/>
        <v>-0.54826069418566681</v>
      </c>
      <c r="R62" s="58">
        <f t="shared" si="26"/>
        <v>5.1836072113811017E-3</v>
      </c>
      <c r="S62" s="31"/>
      <c r="T62" s="33" t="s">
        <v>51</v>
      </c>
      <c r="U62" s="242">
        <f>[3]MESA_UA!$GV$64</f>
        <v>0</v>
      </c>
      <c r="V62" s="2">
        <f>[3]MESA_UA!$GH$64</f>
        <v>0</v>
      </c>
      <c r="W62" s="58" t="e">
        <f t="shared" si="27"/>
        <v>#DIV/0!</v>
      </c>
      <c r="X62" s="242">
        <f>SUM([3]MESA_UA!$GP$64:$GV$64)</f>
        <v>0</v>
      </c>
      <c r="Y62" s="2">
        <f>SUM([3]MESA_UA!$GB$64:$GH$64)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5" t="s">
        <v>52</v>
      </c>
      <c r="C63" s="242">
        <f>[3]Republic_UA!$GV$19</f>
        <v>193</v>
      </c>
      <c r="D63" s="2">
        <f>[3]Republic_UA!$GH$19</f>
        <v>496</v>
      </c>
      <c r="E63" s="58">
        <f t="shared" si="21"/>
        <v>-0.61088709677419351</v>
      </c>
      <c r="F63" s="2">
        <f>SUM([3]Republic_UA!$GP$19:$GV$19)</f>
        <v>1547</v>
      </c>
      <c r="G63" s="2">
        <f>SUM([3]Republic_UA!$GB$19:$GH$19)</f>
        <v>3508</v>
      </c>
      <c r="H63" s="3">
        <f t="shared" ref="H63" si="30">(F63-G63)/G63</f>
        <v>-0.55900798175598632</v>
      </c>
      <c r="I63" s="58">
        <f t="shared" si="23"/>
        <v>1.248688352570829E-2</v>
      </c>
      <c r="J63" s="31"/>
      <c r="K63" s="295" t="s">
        <v>52</v>
      </c>
      <c r="L63" s="242">
        <f>[3]Republic_UA!$GV$41</f>
        <v>6161</v>
      </c>
      <c r="M63" s="2">
        <f>[3]Republic_UA!$GH$41</f>
        <v>32322</v>
      </c>
      <c r="N63" s="58">
        <f t="shared" si="24"/>
        <v>-0.80938679537157354</v>
      </c>
      <c r="O63" s="242">
        <f>SUM([3]Republic_UA!$GP$41:$GV$41)</f>
        <v>71396</v>
      </c>
      <c r="P63" s="2">
        <f>SUM([3]Republic_UA!$GB$41:$GH$41)</f>
        <v>215244</v>
      </c>
      <c r="Q63" s="3">
        <f t="shared" si="25"/>
        <v>-0.6683020200330787</v>
      </c>
      <c r="R63" s="58">
        <f t="shared" si="26"/>
        <v>7.8682035135590848E-3</v>
      </c>
      <c r="S63" s="31"/>
      <c r="T63" s="295" t="s">
        <v>52</v>
      </c>
      <c r="U63" s="242">
        <f>[3]Republic_UA!$GV$64</f>
        <v>0</v>
      </c>
      <c r="V63" s="2">
        <f>[3]Republic_UA!$GH$64</f>
        <v>0</v>
      </c>
      <c r="W63" s="58" t="e">
        <f t="shared" si="27"/>
        <v>#DIV/0!</v>
      </c>
      <c r="X63" s="242">
        <f>SUM([3]Republic_UA!$GP$64:$GV$64)</f>
        <v>0</v>
      </c>
      <c r="Y63" s="2">
        <f>SUM([3]Republic_UA!$GB$64:$GH$64)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2">
        <f>'[3]Sky West_UA'!$GV$19</f>
        <v>176</v>
      </c>
      <c r="D64" s="2">
        <f>'[3]Sky West_UA'!$GH$19+'[3]Sky West_CO'!$GH$19</f>
        <v>100</v>
      </c>
      <c r="E64" s="58">
        <f t="shared" si="21"/>
        <v>0.76</v>
      </c>
      <c r="F64" s="2">
        <f>SUM('[3]Sky West_UA'!$GP$19:$GV$19)</f>
        <v>816</v>
      </c>
      <c r="G64" s="2">
        <f>SUM('[3]Sky West_UA'!$GB$19:$GH$19)+SUM('[3]Sky West_CO'!$GB$19:$GH$19)</f>
        <v>910</v>
      </c>
      <c r="H64" s="3">
        <f t="shared" si="22"/>
        <v>-0.10329670329670329</v>
      </c>
      <c r="I64" s="58">
        <f t="shared" si="23"/>
        <v>6.5864880135604164E-3</v>
      </c>
      <c r="J64" s="31"/>
      <c r="K64" s="33" t="s">
        <v>98</v>
      </c>
      <c r="L64" s="242">
        <f>'[3]Sky West_UA'!$GV$41</f>
        <v>7609</v>
      </c>
      <c r="M64" s="2">
        <f>'[3]Sky West_UA'!$GH$41+'[3]Sky West_CO'!$GH$41</f>
        <v>6307</v>
      </c>
      <c r="N64" s="58">
        <f t="shared" si="24"/>
        <v>0.20643729189789123</v>
      </c>
      <c r="O64" s="242">
        <f>SUM('[3]Sky West_UA'!$GP$41:$GV$41)</f>
        <v>41638</v>
      </c>
      <c r="P64" s="2">
        <f>SUM('[3]Sky West_UA'!$GB$41:$GH$41)+SUM('[3]Sky West_CO'!$GB$41:$GH$41)</f>
        <v>59920</v>
      </c>
      <c r="Q64" s="3">
        <f t="shared" si="25"/>
        <v>-0.30510680907877169</v>
      </c>
      <c r="R64" s="58">
        <f t="shared" si="26"/>
        <v>4.5887200669165384E-3</v>
      </c>
      <c r="S64" s="31"/>
      <c r="T64" s="33" t="s">
        <v>98</v>
      </c>
      <c r="U64" s="242">
        <f>'[3]Sky West_UA'!$GV$64</f>
        <v>0</v>
      </c>
      <c r="V64" s="2">
        <f>'[3]Sky West_UA'!$GH$64+'[3]Sky West_CO'!$GH$64</f>
        <v>0</v>
      </c>
      <c r="W64" s="58" t="e">
        <f t="shared" si="27"/>
        <v>#DIV/0!</v>
      </c>
      <c r="X64" s="242">
        <f>SUM('[3]Sky West_UA'!$GP$64:$GV$64)</f>
        <v>0</v>
      </c>
      <c r="Y64" s="2">
        <f>SUM('[3]Sky West_UA'!$GB$64:$GH$64)+SUM('[3]Sky West_CO'!$GB$64:$GH$64)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4" t="s">
        <v>132</v>
      </c>
      <c r="C65" s="242">
        <f>'[3]Shuttle America'!$GV$19</f>
        <v>0</v>
      </c>
      <c r="D65" s="2">
        <f>'[3]Shuttle America'!$GH$19</f>
        <v>0</v>
      </c>
      <c r="E65" s="58" t="e">
        <f t="shared" si="21"/>
        <v>#DIV/0!</v>
      </c>
      <c r="F65" s="2">
        <f>SUM('[3]Shuttle America'!$GP$19:$GV$19)</f>
        <v>0</v>
      </c>
      <c r="G65" s="2">
        <f>SUM('[3]Shuttle America'!$GB$19:$GH$19)</f>
        <v>0</v>
      </c>
      <c r="H65" s="3" t="e">
        <f t="shared" si="22"/>
        <v>#DIV/0!</v>
      </c>
      <c r="I65" s="58">
        <f t="shared" si="23"/>
        <v>0</v>
      </c>
      <c r="J65" s="31"/>
      <c r="K65" s="244" t="s">
        <v>132</v>
      </c>
      <c r="L65" s="242">
        <f>'[3]Shuttle America'!$GV$41</f>
        <v>0</v>
      </c>
      <c r="M65" s="2">
        <f>'[3]Shuttle America'!$GH$41</f>
        <v>0</v>
      </c>
      <c r="N65" s="58" t="e">
        <f t="shared" si="24"/>
        <v>#DIV/0!</v>
      </c>
      <c r="O65" s="242">
        <f>SUM('[3]Shuttle America'!$GP$41:$GV$41)</f>
        <v>0</v>
      </c>
      <c r="P65" s="2">
        <f>SUM('[3]Shuttle America'!$GB$41:$GH$41)</f>
        <v>0</v>
      </c>
      <c r="Q65" s="3" t="e">
        <f t="shared" si="25"/>
        <v>#DIV/0!</v>
      </c>
      <c r="R65" s="58">
        <f t="shared" si="26"/>
        <v>0</v>
      </c>
      <c r="S65" s="31"/>
      <c r="T65" s="244" t="s">
        <v>132</v>
      </c>
      <c r="U65" s="242">
        <f>'[3]Shuttle America'!$GV$64</f>
        <v>0</v>
      </c>
      <c r="V65" s="2">
        <f>'[3]Shuttle America'!$GH$64</f>
        <v>0</v>
      </c>
      <c r="W65" s="58" t="e">
        <f t="shared" si="27"/>
        <v>#DIV/0!</v>
      </c>
      <c r="X65" s="242">
        <f>SUM('[3]Shuttle America'!$GP$64:$GV$64)</f>
        <v>0</v>
      </c>
      <c r="Y65" s="2">
        <f>SUM('[3]Shuttle America'!$GB$64:$GH$64)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7"/>
      <c r="B66" s="298"/>
      <c r="C66" s="245"/>
      <c r="D66" s="247"/>
      <c r="E66" s="248"/>
      <c r="F66" s="247"/>
      <c r="G66" s="247"/>
      <c r="H66" s="246"/>
      <c r="I66" s="248"/>
      <c r="J66" s="297"/>
      <c r="K66" s="298"/>
      <c r="L66" s="245"/>
      <c r="M66" s="247"/>
      <c r="N66" s="248"/>
      <c r="O66" s="245"/>
      <c r="P66" s="247"/>
      <c r="Q66" s="246"/>
      <c r="R66" s="324"/>
      <c r="S66" s="297"/>
      <c r="T66" s="298"/>
      <c r="U66" s="245"/>
      <c r="V66" s="247"/>
      <c r="W66" s="248"/>
      <c r="X66" s="245"/>
      <c r="Y66" s="247"/>
      <c r="Z66" s="246"/>
      <c r="AA66" s="324"/>
    </row>
    <row r="67" spans="1:27" s="141" customFormat="1" ht="14.1" customHeight="1" thickBot="1" x14ac:dyDescent="0.25">
      <c r="B67" s="140"/>
      <c r="C67" s="115"/>
      <c r="D67" s="115"/>
      <c r="E67" s="240"/>
      <c r="F67" s="296"/>
      <c r="G67" s="115"/>
      <c r="H67" s="240"/>
      <c r="I67" s="240"/>
      <c r="J67" s="249"/>
      <c r="K67" s="140"/>
      <c r="L67" s="250"/>
      <c r="M67" s="251"/>
      <c r="N67" s="249"/>
      <c r="S67" s="249"/>
      <c r="T67" s="140"/>
      <c r="U67" s="250"/>
      <c r="V67" s="251"/>
      <c r="W67" s="249"/>
    </row>
    <row r="68" spans="1:27" ht="14.1" customHeight="1" x14ac:dyDescent="0.2">
      <c r="B68" s="252" t="s">
        <v>134</v>
      </c>
      <c r="C68" s="305">
        <f>+C70-C69</f>
        <v>8607</v>
      </c>
      <c r="D68" s="305">
        <f>+D70-D69</f>
        <v>21508</v>
      </c>
      <c r="E68" s="306">
        <f>(C68-D68)/D68</f>
        <v>-0.59982332155477036</v>
      </c>
      <c r="F68" s="305">
        <f>+F70-F69</f>
        <v>70954</v>
      </c>
      <c r="G68" s="305">
        <f>+G70-G69</f>
        <v>131842</v>
      </c>
      <c r="H68" s="306">
        <f>(F68-G68)/G68</f>
        <v>-0.46182551842356762</v>
      </c>
      <c r="I68" s="346">
        <f>F68/$F$70</f>
        <v>0.5727177334732424</v>
      </c>
      <c r="K68" s="252" t="s">
        <v>134</v>
      </c>
      <c r="L68" s="305">
        <f>+L70-L69</f>
        <v>675619</v>
      </c>
      <c r="M68" s="305">
        <f>+M70-M69</f>
        <v>3014233</v>
      </c>
      <c r="N68" s="306">
        <f>(L68-M68)/M68</f>
        <v>-0.7758570754152051</v>
      </c>
      <c r="O68" s="305">
        <f>+O70-O69</f>
        <v>7131515</v>
      </c>
      <c r="P68" s="305">
        <f>+P70-P69</f>
        <v>17726743</v>
      </c>
      <c r="Q68" s="337">
        <f>(O68-P68)/P68</f>
        <v>-0.59769738862914634</v>
      </c>
      <c r="R68" s="341">
        <f>+O68/O70</f>
        <v>0.78592934310044427</v>
      </c>
      <c r="S68" s="3"/>
      <c r="T68" s="252" t="s">
        <v>134</v>
      </c>
      <c r="U68" s="305">
        <f>+U70-U69</f>
        <v>2546876</v>
      </c>
      <c r="V68" s="305">
        <f>+V70-V69</f>
        <v>7645117</v>
      </c>
      <c r="W68" s="306">
        <f>(U68-V68)/V68</f>
        <v>-0.66686239072600195</v>
      </c>
      <c r="X68" s="305">
        <f>+X70-X69</f>
        <v>32542729</v>
      </c>
      <c r="Y68" s="305">
        <f>+Y70-Y69</f>
        <v>77154701</v>
      </c>
      <c r="Z68" s="337">
        <f>(X68-Y68)/Y68</f>
        <v>-0.57821456660171622</v>
      </c>
      <c r="AA68" s="341">
        <f>+X68/X70</f>
        <v>0.99913809306875523</v>
      </c>
    </row>
    <row r="69" spans="1:27" ht="14.1" customHeight="1" x14ac:dyDescent="0.2">
      <c r="B69" s="140" t="s">
        <v>135</v>
      </c>
      <c r="C69" s="307">
        <f>C65+C42+C40+C38+C37+C41+C22+C64+C61+C39+C60+C62+C27+C26+C23+C17+C8+C63+C24+C25+C9+C18</f>
        <v>7091</v>
      </c>
      <c r="D69" s="307">
        <f>D65+D42+D40+D38+D37+D41+D22+D64+D61+D39+D60+D62+D27+D26+D23+D17+D8+D63+D24+D25+D9+D18</f>
        <v>12975</v>
      </c>
      <c r="E69" s="253">
        <f>(C69-D69)/D69</f>
        <v>-0.45348747591522159</v>
      </c>
      <c r="F69" s="307">
        <f>F65+F42+F40+F38+F37+F41+F22+F64+F61+F39+F60+F62+F27+F26+F23+F17+F8+F63+F24+F25+F9+F18</f>
        <v>52936</v>
      </c>
      <c r="G69" s="307">
        <f>G65+G42+G40+G38+G37+G41+G22+G64+G61+G39+G60+G62+G27+G26+G23+G17+G8+G63+G24+G25+G9+G18</f>
        <v>83461</v>
      </c>
      <c r="H69" s="253">
        <f>(F69-G69)/G69</f>
        <v>-0.36573968679982266</v>
      </c>
      <c r="I69" s="347">
        <f>F69/$F$70</f>
        <v>0.4272822665267576</v>
      </c>
      <c r="K69" s="140" t="s">
        <v>135</v>
      </c>
      <c r="L69" s="307">
        <f>L65+L42+L40+L38+L37+L41+L22+L64+L61+L39+L60+L62+L27+L26+L23+L17+L8+L63+L24+L25+L9+L18</f>
        <v>220115</v>
      </c>
      <c r="M69" s="307">
        <f>M65+M42+M40+M38+M37+M41+M22+M64+M61+M39+M60+M62+M27+M26+M23+M17+M8+M63+M24+M25+M9+M18</f>
        <v>720104</v>
      </c>
      <c r="N69" s="253">
        <f>(L69-M69)/M69</f>
        <v>-0.69432887471809623</v>
      </c>
      <c r="O69" s="307">
        <f>O65+O42+O40+O38+O37+O41+O22+O64+O61+O39+O60+O62+O27+O26+O23+O17+O8+O63+O24+O25+O9+O18</f>
        <v>1942475</v>
      </c>
      <c r="P69" s="307">
        <f>P65+P42+P40+P38+P37+P41+P22+P64+P61+P39+P60+P62+P27+P26+P23+P17+P8+P63+P24+P25+P9+P18</f>
        <v>4447457</v>
      </c>
      <c r="Q69" s="335">
        <f>(O69-P69)/P69</f>
        <v>-0.56323917240796262</v>
      </c>
      <c r="R69" s="342">
        <f>+O69/O70</f>
        <v>0.21407065689955576</v>
      </c>
      <c r="S69" s="3"/>
      <c r="T69" s="140" t="s">
        <v>135</v>
      </c>
      <c r="U69" s="307">
        <f>U65+U42+U40+U38+U37+U41+U22+U64+U61+U39+U60+U62+U27+U26+U23+U17+U8+U63+U24+U25+U9+U18</f>
        <v>1962</v>
      </c>
      <c r="V69" s="307">
        <f>V65+V42+V40+V38+V37+V41+V22+V64+V61+V39+V60+V62+V27+V26+V23+V17+V8+V63+V24+V25+V9+V18</f>
        <v>10618</v>
      </c>
      <c r="W69" s="253">
        <f>(U69-V69)/V69</f>
        <v>-0.81521943868901869</v>
      </c>
      <c r="X69" s="307">
        <f>X65+X42+X40+X38+X37+X41+X22+X64+X61+X39+X60+X62+X27+X26+X23+X17+X8+X63+X24+X25+X9+X18</f>
        <v>28073</v>
      </c>
      <c r="Y69" s="307">
        <f>Y65+Y42+Y40+Y38+Y37+Y41+Y22+Y64+Y61+Y39+Y60+Y62+Y27+Y26+Y23+Y17+Y8+Y63+Y24+Y25+Y9+Y18</f>
        <v>74187</v>
      </c>
      <c r="Z69" s="335">
        <f>(X69-Y69)/Y69</f>
        <v>-0.62159138393519076</v>
      </c>
      <c r="AA69" s="342">
        <f>+X69/X70</f>
        <v>8.6190693124473872E-4</v>
      </c>
    </row>
    <row r="70" spans="1:27" ht="14.1" customHeight="1" thickBot="1" x14ac:dyDescent="0.25">
      <c r="B70" s="140" t="s">
        <v>136</v>
      </c>
      <c r="C70" s="308">
        <f>C58+C56+C52+C46+C44+C35+C20+C15+C6+C54+C31+C29+C11+C50+C13+C48+C4+C33</f>
        <v>15698</v>
      </c>
      <c r="D70" s="308">
        <f>D58+D56+D52+D46+D44+D35+D20+D15+D6+D54+D31+D29+D11+D50+D13+D48+D4+D33</f>
        <v>34483</v>
      </c>
      <c r="E70" s="309">
        <f>(C70-D70)/D70</f>
        <v>-0.54476118667169326</v>
      </c>
      <c r="F70" s="308">
        <f>F58+F56+F52+F46+F44+F35+F20+F15+F6+F54+F31+F29+F11+F50+F13+F48+F4+F33</f>
        <v>123890</v>
      </c>
      <c r="G70" s="308">
        <f>G58+G56+G52+G46+G44+G35+G20+G15+G6+G54+G31+G29+G11+G50+G13+G48+G4+G33</f>
        <v>215303</v>
      </c>
      <c r="H70" s="309">
        <f>(F70-G70)/G70</f>
        <v>-0.42457838488084237</v>
      </c>
      <c r="I70" s="348">
        <f>+H70/H70</f>
        <v>1</v>
      </c>
      <c r="K70" s="140" t="s">
        <v>136</v>
      </c>
      <c r="L70" s="308">
        <f>L58+L56+L52+L46+L44+L35+L20+L15+L6+L54+L31+L29+L11+L50+L13+L48+L4+L33</f>
        <v>895734</v>
      </c>
      <c r="M70" s="308">
        <f>M58+M56+M52+M46+M44+M35+M20+M15+M6+M54+M31+M29+M11+M50+M13+M48+M4+M33</f>
        <v>3734337</v>
      </c>
      <c r="N70" s="309">
        <f>(L70-M70)/M70</f>
        <v>-0.76013573493768771</v>
      </c>
      <c r="O70" s="308">
        <f>O58+O56+O52+O46+O44+O35+O20+O15+O6+O54+O31+O29+O11+O50+O13+O48+O4+O33</f>
        <v>9073990</v>
      </c>
      <c r="P70" s="308">
        <f>P58+P56+P52+P46+P44+P35+P20+P15+P6+P54+P31+P29+P11+P50+P13+P48+P4+P33</f>
        <v>22174200</v>
      </c>
      <c r="Q70" s="338">
        <f>(O70-P70)/P70</f>
        <v>-0.59078613884604636</v>
      </c>
      <c r="R70" s="343">
        <f>+O70/O70</f>
        <v>1</v>
      </c>
      <c r="S70" s="3"/>
      <c r="T70" s="140" t="s">
        <v>136</v>
      </c>
      <c r="U70" s="308">
        <f>U58+U56+U52+U46+U44+U35+U20+U15+U6+U54+U31+U29+U11+U50+U13+U48+U4+U33</f>
        <v>2548838</v>
      </c>
      <c r="V70" s="308">
        <f>V58+V56+V52+V46+V44+V35+V20+V15+V6+V54+V31+V29+V11+V50+V13+V48+V4+V33</f>
        <v>7655735</v>
      </c>
      <c r="W70" s="309">
        <f>(U70-V70)/V70</f>
        <v>-0.6670681521761137</v>
      </c>
      <c r="X70" s="308">
        <f>X58+X56+X52+X46+X44+X35+X20+X15+X6+X54+X31+X29+X11+X50+X13+X48+X4+X33</f>
        <v>32570802</v>
      </c>
      <c r="Y70" s="308">
        <f>Y58+Y56+Y52+Y46+Y44+Y35+Y20+Y15+Y6+Y54+Y31+Y29+Y11+Y50+Y13+Y48+Y4+Y33</f>
        <v>77228888</v>
      </c>
      <c r="Z70" s="338">
        <f>(X70-Y70)/Y70</f>
        <v>-0.57825623489490097</v>
      </c>
      <c r="AA70" s="343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2"/>
      <c r="K142"/>
    </row>
    <row r="143" spans="4:14" x14ac:dyDescent="0.2">
      <c r="F143" s="142"/>
      <c r="K143"/>
    </row>
    <row r="144" spans="4:14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  <row r="4671" spans="6:11" x14ac:dyDescent="0.2">
      <c r="F4671" s="142"/>
      <c r="K4671"/>
    </row>
    <row r="4672" spans="6:11" x14ac:dyDescent="0.2">
      <c r="F4672" s="142"/>
      <c r="K4672"/>
    </row>
    <row r="4673" spans="6:11" x14ac:dyDescent="0.2">
      <c r="F4673" s="142"/>
      <c r="K4673"/>
    </row>
    <row r="4674" spans="6:11" x14ac:dyDescent="0.2">
      <c r="F4674" s="142"/>
      <c r="K4674"/>
    </row>
    <row r="4675" spans="6:11" x14ac:dyDescent="0.2">
      <c r="F4675" s="142"/>
      <c r="K4675"/>
    </row>
    <row r="4676" spans="6:11" x14ac:dyDescent="0.2">
      <c r="F4676" s="142"/>
      <c r="K4676"/>
    </row>
    <row r="4677" spans="6:11" x14ac:dyDescent="0.2">
      <c r="F4677" s="142"/>
      <c r="K4677"/>
    </row>
    <row r="4678" spans="6:11" x14ac:dyDescent="0.2">
      <c r="F4678" s="142"/>
      <c r="K4678"/>
    </row>
    <row r="4679" spans="6:11" x14ac:dyDescent="0.2">
      <c r="F4679" s="142"/>
      <c r="K4679"/>
    </row>
    <row r="4680" spans="6:11" x14ac:dyDescent="0.2">
      <c r="F4680" s="142"/>
      <c r="K4680"/>
    </row>
    <row r="4681" spans="6:11" x14ac:dyDescent="0.2">
      <c r="F4681" s="142"/>
      <c r="K4681"/>
    </row>
    <row r="4682" spans="6:11" x14ac:dyDescent="0.2">
      <c r="F4682" s="142"/>
      <c r="K4682"/>
    </row>
    <row r="4683" spans="6:11" x14ac:dyDescent="0.2">
      <c r="F4683" s="142"/>
      <c r="K4683"/>
    </row>
    <row r="4684" spans="6:11" x14ac:dyDescent="0.2">
      <c r="F4684" s="142"/>
      <c r="K4684"/>
    </row>
    <row r="4685" spans="6:11" x14ac:dyDescent="0.2">
      <c r="F4685" s="142"/>
      <c r="K4685"/>
    </row>
    <row r="4686" spans="6:11" x14ac:dyDescent="0.2">
      <c r="F4686" s="142"/>
      <c r="K4686"/>
    </row>
    <row r="4687" spans="6:11" x14ac:dyDescent="0.2">
      <c r="F4687" s="142"/>
      <c r="K4687"/>
    </row>
    <row r="4688" spans="6:11" x14ac:dyDescent="0.2">
      <c r="F4688" s="142"/>
      <c r="K4688"/>
    </row>
    <row r="4689" spans="6:11" x14ac:dyDescent="0.2">
      <c r="F4689" s="142"/>
      <c r="K4689"/>
    </row>
    <row r="4690" spans="6:11" x14ac:dyDescent="0.2">
      <c r="F4690" s="142"/>
      <c r="K4690"/>
    </row>
    <row r="4691" spans="6:11" x14ac:dyDescent="0.2">
      <c r="F4691" s="142"/>
      <c r="K4691"/>
    </row>
    <row r="4692" spans="6:11" x14ac:dyDescent="0.2">
      <c r="F4692" s="142"/>
      <c r="K4692"/>
    </row>
    <row r="4693" spans="6:11" x14ac:dyDescent="0.2">
      <c r="F4693" s="142"/>
      <c r="K4693"/>
    </row>
    <row r="4694" spans="6:11" x14ac:dyDescent="0.2">
      <c r="F4694" s="142"/>
      <c r="K4694"/>
    </row>
    <row r="4695" spans="6:11" x14ac:dyDescent="0.2">
      <c r="F4695" s="142"/>
      <c r="K4695"/>
    </row>
    <row r="4696" spans="6:11" x14ac:dyDescent="0.2">
      <c r="F4696" s="142"/>
      <c r="K4696"/>
    </row>
    <row r="4697" spans="6:11" x14ac:dyDescent="0.2">
      <c r="F4697" s="142"/>
      <c r="K4697"/>
    </row>
    <row r="4698" spans="6:11" x14ac:dyDescent="0.2">
      <c r="F4698" s="142"/>
      <c r="K4698"/>
    </row>
    <row r="4699" spans="6:11" x14ac:dyDescent="0.2">
      <c r="F4699" s="142"/>
      <c r="K4699"/>
    </row>
    <row r="4700" spans="6:11" x14ac:dyDescent="0.2">
      <c r="F4700" s="142"/>
      <c r="K4700"/>
    </row>
    <row r="4701" spans="6:11" x14ac:dyDescent="0.2">
      <c r="F4701" s="142"/>
      <c r="K4701"/>
    </row>
    <row r="4702" spans="6:11" x14ac:dyDescent="0.2">
      <c r="F4702" s="142"/>
      <c r="K4702"/>
    </row>
    <row r="4703" spans="6:11" x14ac:dyDescent="0.2">
      <c r="F4703" s="142"/>
      <c r="K4703"/>
    </row>
    <row r="4704" spans="6:11" x14ac:dyDescent="0.2">
      <c r="F4704" s="142"/>
      <c r="K4704"/>
    </row>
    <row r="4705" spans="6:11" x14ac:dyDescent="0.2">
      <c r="F4705" s="142"/>
      <c r="K4705"/>
    </row>
    <row r="4706" spans="6:11" x14ac:dyDescent="0.2">
      <c r="F4706" s="142"/>
      <c r="K4706"/>
    </row>
    <row r="4707" spans="6:11" x14ac:dyDescent="0.2">
      <c r="F4707" s="142"/>
      <c r="K4707"/>
    </row>
    <row r="4708" spans="6:11" x14ac:dyDescent="0.2">
      <c r="F4708" s="142"/>
      <c r="K4708"/>
    </row>
    <row r="4709" spans="6:11" x14ac:dyDescent="0.2">
      <c r="F4709" s="142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July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F10" sqref="F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7">
        <v>44013</v>
      </c>
      <c r="B1" s="427" t="s">
        <v>17</v>
      </c>
      <c r="C1" s="427" t="s">
        <v>18</v>
      </c>
      <c r="D1" s="427" t="s">
        <v>19</v>
      </c>
      <c r="E1" s="427" t="s">
        <v>156</v>
      </c>
      <c r="F1" s="304" t="s">
        <v>162</v>
      </c>
      <c r="G1" s="304" t="s">
        <v>157</v>
      </c>
      <c r="H1" s="428" t="s">
        <v>201</v>
      </c>
      <c r="I1" s="350" t="s">
        <v>194</v>
      </c>
      <c r="J1" s="304" t="s">
        <v>20</v>
      </c>
      <c r="K1" s="303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49"/>
      <c r="I2" s="349"/>
      <c r="J2" s="34"/>
      <c r="K2" s="370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[3]American!$GV$22</f>
        <v>32522</v>
      </c>
      <c r="C4" s="12">
        <f>[3]Delta!$GV$22+[3]Delta!$GV$32</f>
        <v>183169</v>
      </c>
      <c r="D4" s="12">
        <f>[3]United!$GV$22</f>
        <v>4455</v>
      </c>
      <c r="E4" s="12">
        <f>[3]Spirit!$GV$22</f>
        <v>24073</v>
      </c>
      <c r="F4" s="12">
        <f>[3]Condor!$GV$22</f>
        <v>0</v>
      </c>
      <c r="G4" s="12">
        <f>'[3]Air France'!$GV$22</f>
        <v>0</v>
      </c>
      <c r="H4" s="12">
        <f>'[3]Jet Blue'!$GV$22</f>
        <v>1137</v>
      </c>
      <c r="I4" s="12">
        <f>[3]KLM!$GV$22+[3]KLM!$GV$32</f>
        <v>0</v>
      </c>
      <c r="J4" s="12">
        <f>'Other Major Airline Stats'!J5</f>
        <v>89363</v>
      </c>
      <c r="K4" s="371">
        <f>SUM(B4:J4)</f>
        <v>334719</v>
      </c>
    </row>
    <row r="5" spans="1:20" x14ac:dyDescent="0.2">
      <c r="A5" s="38" t="s">
        <v>31</v>
      </c>
      <c r="B5" s="7">
        <f>[3]American!$GV$23</f>
        <v>32627</v>
      </c>
      <c r="C5" s="7">
        <f>[3]Delta!$GV$23+[3]Delta!$GV$33</f>
        <v>183613</v>
      </c>
      <c r="D5" s="7">
        <f>[3]United!$GV$23</f>
        <v>4162</v>
      </c>
      <c r="E5" s="7">
        <f>[3]Spirit!$GV$23</f>
        <v>25490</v>
      </c>
      <c r="F5" s="7">
        <f>[3]Condor!$GV$23</f>
        <v>0</v>
      </c>
      <c r="G5" s="7">
        <f>'[3]Air France'!$GV$23</f>
        <v>0</v>
      </c>
      <c r="H5" s="7">
        <f>'[3]Jet Blue'!$GV$23</f>
        <v>1211</v>
      </c>
      <c r="I5" s="7">
        <f>[3]KLM!$GV$23+[3]KLM!$GV$33</f>
        <v>0</v>
      </c>
      <c r="J5" s="7">
        <f>'Other Major Airline Stats'!J6</f>
        <v>93797</v>
      </c>
      <c r="K5" s="372">
        <f>SUM(B5:J5)</f>
        <v>340900</v>
      </c>
      <c r="M5" s="203"/>
      <c r="N5" s="203"/>
      <c r="O5" s="203"/>
      <c r="P5" s="203"/>
      <c r="Q5" s="203"/>
      <c r="R5" s="203"/>
      <c r="S5" s="203"/>
      <c r="T5" s="203"/>
    </row>
    <row r="6" spans="1:20" ht="15" x14ac:dyDescent="0.25">
      <c r="A6" s="36" t="s">
        <v>7</v>
      </c>
      <c r="B6" s="18">
        <f t="shared" ref="B6:J6" si="0">SUM(B4:B5)</f>
        <v>65149</v>
      </c>
      <c r="C6" s="18">
        <f t="shared" si="0"/>
        <v>366782</v>
      </c>
      <c r="D6" s="18">
        <f t="shared" si="0"/>
        <v>8617</v>
      </c>
      <c r="E6" s="18">
        <f t="shared" si="0"/>
        <v>49563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2348</v>
      </c>
      <c r="I6" s="18">
        <f t="shared" si="1"/>
        <v>0</v>
      </c>
      <c r="J6" s="18">
        <f t="shared" si="0"/>
        <v>183160</v>
      </c>
      <c r="K6" s="373">
        <f>SUM(B6:J6)</f>
        <v>675619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1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1">
        <f>SUM(B8:J8)</f>
        <v>0</v>
      </c>
    </row>
    <row r="9" spans="1:20" x14ac:dyDescent="0.2">
      <c r="A9" s="38" t="s">
        <v>30</v>
      </c>
      <c r="B9" s="12">
        <f>[3]American!$GV$27</f>
        <v>1261</v>
      </c>
      <c r="C9" s="12">
        <f>[3]Delta!$GV$27+[3]Delta!$GV$37</f>
        <v>11141</v>
      </c>
      <c r="D9" s="12">
        <f>[3]United!$GV$27</f>
        <v>468</v>
      </c>
      <c r="E9" s="12">
        <f>[3]Spirit!$GV$27</f>
        <v>177</v>
      </c>
      <c r="F9" s="12">
        <f>[3]Condor!$GV$27</f>
        <v>0</v>
      </c>
      <c r="G9" s="12">
        <f>'[3]Air France'!$GV$27</f>
        <v>0</v>
      </c>
      <c r="H9" s="12">
        <f>'[3]Jet Blue'!$GV$27</f>
        <v>54</v>
      </c>
      <c r="I9" s="12">
        <f>[3]KLM!$GV$27+[3]KLM!$GV$37</f>
        <v>0</v>
      </c>
      <c r="J9" s="12">
        <f>'Other Major Airline Stats'!J10</f>
        <v>2184</v>
      </c>
      <c r="K9" s="371">
        <f>SUM(B9:J9)</f>
        <v>15285</v>
      </c>
    </row>
    <row r="10" spans="1:20" x14ac:dyDescent="0.2">
      <c r="A10" s="38" t="s">
        <v>33</v>
      </c>
      <c r="B10" s="7">
        <f>[3]American!$GV$28</f>
        <v>1303</v>
      </c>
      <c r="C10" s="7">
        <f>[3]Delta!$GV$28+[3]Delta!$GV$38</f>
        <v>11188</v>
      </c>
      <c r="D10" s="7">
        <f>[3]United!$GV$28</f>
        <v>432</v>
      </c>
      <c r="E10" s="7">
        <f>[3]Spirit!$GV$28</f>
        <v>186</v>
      </c>
      <c r="F10" s="7">
        <f>[3]Condor!$GV$28</f>
        <v>0</v>
      </c>
      <c r="G10" s="7">
        <f>'[3]Air France'!$GV$28</f>
        <v>0</v>
      </c>
      <c r="H10" s="7">
        <f>'[3]Jet Blue'!$GV$28</f>
        <v>70</v>
      </c>
      <c r="I10" s="7">
        <f>[3]KLM!$GV$28+[3]KLM!$GV$38</f>
        <v>0</v>
      </c>
      <c r="J10" s="7">
        <f>'Other Major Airline Stats'!J11</f>
        <v>2217</v>
      </c>
      <c r="K10" s="372">
        <f>SUM(B10:J10)</f>
        <v>15396</v>
      </c>
    </row>
    <row r="11" spans="1:20" ht="15.75" thickBot="1" x14ac:dyDescent="0.3">
      <c r="A11" s="39" t="s">
        <v>34</v>
      </c>
      <c r="B11" s="186">
        <f t="shared" ref="B11:J11" si="3">SUM(B9:B10)</f>
        <v>2564</v>
      </c>
      <c r="C11" s="186">
        <f t="shared" si="3"/>
        <v>22329</v>
      </c>
      <c r="D11" s="186">
        <f t="shared" si="3"/>
        <v>900</v>
      </c>
      <c r="E11" s="186">
        <f t="shared" si="3"/>
        <v>363</v>
      </c>
      <c r="F11" s="186">
        <f t="shared" ref="F11:I11" si="4">SUM(F9:F10)</f>
        <v>0</v>
      </c>
      <c r="G11" s="186">
        <f t="shared" si="4"/>
        <v>0</v>
      </c>
      <c r="H11" s="186">
        <f t="shared" ref="H11" si="5">SUM(H9:H10)</f>
        <v>124</v>
      </c>
      <c r="I11" s="186">
        <f t="shared" si="4"/>
        <v>0</v>
      </c>
      <c r="J11" s="186">
        <f t="shared" si="3"/>
        <v>4401</v>
      </c>
      <c r="K11" s="374">
        <f>SUM(B11:J11)</f>
        <v>30681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5"/>
    </row>
    <row r="15" spans="1:20" x14ac:dyDescent="0.2">
      <c r="A15" s="38" t="s">
        <v>22</v>
      </c>
      <c r="B15" s="12">
        <f>[3]American!$GV$4</f>
        <v>307</v>
      </c>
      <c r="C15" s="12">
        <f>[3]Delta!$GV$4+[3]Delta!$GV$15</f>
        <v>2483</v>
      </c>
      <c r="D15" s="12">
        <f>[3]United!$GV$4</f>
        <v>63</v>
      </c>
      <c r="E15" s="12">
        <f>[3]Spirit!$GV$4</f>
        <v>208</v>
      </c>
      <c r="F15" s="12">
        <f>[3]Condor!$GV$4</f>
        <v>0</v>
      </c>
      <c r="G15" s="12">
        <f>'[3]Air France'!$GV$4</f>
        <v>0</v>
      </c>
      <c r="H15" s="12">
        <f>'[3]Jet Blue'!$GV$4</f>
        <v>30</v>
      </c>
      <c r="I15" s="12">
        <f>[3]KLM!$GV$4+[3]KLM!$GV$15</f>
        <v>0</v>
      </c>
      <c r="J15" s="12">
        <f>'Other Major Airline Stats'!J16</f>
        <v>1147</v>
      </c>
      <c r="K15" s="371">
        <f>SUM(B15:J15)</f>
        <v>4238</v>
      </c>
    </row>
    <row r="16" spans="1:20" x14ac:dyDescent="0.2">
      <c r="A16" s="38" t="s">
        <v>23</v>
      </c>
      <c r="B16" s="7">
        <f>[3]American!$GV$5</f>
        <v>307</v>
      </c>
      <c r="C16" s="7">
        <f>[3]Delta!$GV$5+[3]Delta!$GV$16</f>
        <v>2481</v>
      </c>
      <c r="D16" s="7">
        <f>[3]United!$GV$5</f>
        <v>63</v>
      </c>
      <c r="E16" s="7">
        <f>[3]Spirit!$GV$5</f>
        <v>206</v>
      </c>
      <c r="F16" s="7">
        <f>[3]Condor!$GV$5</f>
        <v>0</v>
      </c>
      <c r="G16" s="7">
        <f>'[3]Air France'!$GV$5</f>
        <v>0</v>
      </c>
      <c r="H16" s="7">
        <f>'[3]Jet Blue'!$GV$5</f>
        <v>30</v>
      </c>
      <c r="I16" s="7">
        <f>[3]KLM!$GV$5+[3]KLM!$GV$16</f>
        <v>0</v>
      </c>
      <c r="J16" s="7">
        <f>'Other Major Airline Stats'!J17</f>
        <v>1145</v>
      </c>
      <c r="K16" s="372">
        <f>SUM(B16:J16)</f>
        <v>4232</v>
      </c>
    </row>
    <row r="17" spans="1:11" x14ac:dyDescent="0.2">
      <c r="A17" s="38" t="s">
        <v>24</v>
      </c>
      <c r="B17" s="188">
        <f t="shared" ref="B17:J17" si="6">SUM(B15:B16)</f>
        <v>614</v>
      </c>
      <c r="C17" s="187">
        <f t="shared" si="6"/>
        <v>4964</v>
      </c>
      <c r="D17" s="187">
        <f t="shared" si="6"/>
        <v>126</v>
      </c>
      <c r="E17" s="187">
        <f t="shared" si="6"/>
        <v>414</v>
      </c>
      <c r="F17" s="187">
        <f t="shared" ref="F17:I17" si="7">SUM(F15:F16)</f>
        <v>0</v>
      </c>
      <c r="G17" s="187">
        <f t="shared" si="7"/>
        <v>0</v>
      </c>
      <c r="H17" s="187">
        <f t="shared" ref="H17" si="8">SUM(H15:H16)</f>
        <v>60</v>
      </c>
      <c r="I17" s="187">
        <f t="shared" si="7"/>
        <v>0</v>
      </c>
      <c r="J17" s="187">
        <f t="shared" si="6"/>
        <v>2292</v>
      </c>
      <c r="K17" s="376">
        <f>SUM(B17:J17)</f>
        <v>8470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1"/>
    </row>
    <row r="19" spans="1:11" x14ac:dyDescent="0.2">
      <c r="A19" s="38" t="s">
        <v>25</v>
      </c>
      <c r="B19" s="12">
        <f>[3]American!$GV$8</f>
        <v>0</v>
      </c>
      <c r="C19" s="12">
        <f>[3]Delta!$GV$8</f>
        <v>1</v>
      </c>
      <c r="D19" s="12">
        <f>[3]United!$GV$8</f>
        <v>0</v>
      </c>
      <c r="E19" s="12">
        <f>[3]Spirit!$GV$8</f>
        <v>0</v>
      </c>
      <c r="F19" s="12">
        <f>[3]Condor!$GV$8</f>
        <v>0</v>
      </c>
      <c r="G19" s="12">
        <f>'[3]Air France'!$GV$8</f>
        <v>0</v>
      </c>
      <c r="H19" s="12">
        <f>'[3]Jet Blue'!$GV$8</f>
        <v>0</v>
      </c>
      <c r="I19" s="12">
        <f>[3]KLM!$GV$8</f>
        <v>0</v>
      </c>
      <c r="J19" s="12">
        <f>'Other Major Airline Stats'!J20</f>
        <v>64</v>
      </c>
      <c r="K19" s="371">
        <f>SUM(B19:J19)</f>
        <v>65</v>
      </c>
    </row>
    <row r="20" spans="1:11" x14ac:dyDescent="0.2">
      <c r="A20" s="38" t="s">
        <v>26</v>
      </c>
      <c r="B20" s="7">
        <f>[3]American!$GV$9</f>
        <v>0</v>
      </c>
      <c r="C20" s="7">
        <f>[3]Delta!$GV$9</f>
        <v>3</v>
      </c>
      <c r="D20" s="7">
        <f>[3]United!$GV$9</f>
        <v>0</v>
      </c>
      <c r="E20" s="7">
        <f>[3]Spirit!$GV$9</f>
        <v>0</v>
      </c>
      <c r="F20" s="7">
        <f>[3]Condor!$GV$9</f>
        <v>0</v>
      </c>
      <c r="G20" s="7">
        <f>'[3]Air France'!$GV$9</f>
        <v>0</v>
      </c>
      <c r="H20" s="7">
        <f>'[3]Jet Blue'!$GV$9</f>
        <v>0</v>
      </c>
      <c r="I20" s="7">
        <f>[3]KLM!$GV$9</f>
        <v>0</v>
      </c>
      <c r="J20" s="7">
        <f>'Other Major Airline Stats'!J21</f>
        <v>69</v>
      </c>
      <c r="K20" s="372">
        <f>SUM(B20:J20)</f>
        <v>72</v>
      </c>
    </row>
    <row r="21" spans="1:11" x14ac:dyDescent="0.2">
      <c r="A21" s="38" t="s">
        <v>27</v>
      </c>
      <c r="B21" s="188">
        <f t="shared" ref="B21:J21" si="9">SUM(B19:B20)</f>
        <v>0</v>
      </c>
      <c r="C21" s="187">
        <f t="shared" si="9"/>
        <v>4</v>
      </c>
      <c r="D21" s="187">
        <f t="shared" si="9"/>
        <v>0</v>
      </c>
      <c r="E21" s="187">
        <f t="shared" si="9"/>
        <v>0</v>
      </c>
      <c r="F21" s="187">
        <f t="shared" ref="F21:I21" si="10">SUM(F19:F20)</f>
        <v>0</v>
      </c>
      <c r="G21" s="187">
        <f t="shared" si="10"/>
        <v>0</v>
      </c>
      <c r="H21" s="187">
        <f t="shared" ref="H21" si="11">SUM(H19:H20)</f>
        <v>0</v>
      </c>
      <c r="I21" s="187">
        <f t="shared" si="10"/>
        <v>0</v>
      </c>
      <c r="J21" s="187">
        <f t="shared" si="9"/>
        <v>133</v>
      </c>
      <c r="K21" s="377">
        <f>SUM(B21:J21)</f>
        <v>137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1"/>
    </row>
    <row r="23" spans="1:11" ht="15.75" thickBot="1" x14ac:dyDescent="0.3">
      <c r="A23" s="39" t="s">
        <v>28</v>
      </c>
      <c r="B23" s="16">
        <f t="shared" ref="B23:J23" si="12">B17+B21</f>
        <v>614</v>
      </c>
      <c r="C23" s="16">
        <f t="shared" si="12"/>
        <v>4968</v>
      </c>
      <c r="D23" s="16">
        <f t="shared" si="12"/>
        <v>126</v>
      </c>
      <c r="E23" s="16">
        <f>E17+E21</f>
        <v>414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60</v>
      </c>
      <c r="I23" s="16">
        <f t="shared" si="13"/>
        <v>0</v>
      </c>
      <c r="J23" s="16">
        <f t="shared" si="12"/>
        <v>2425</v>
      </c>
      <c r="K23" s="374">
        <f>SUM(B23:J23)</f>
        <v>8607</v>
      </c>
    </row>
    <row r="25" spans="1:11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78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[3]American!$GV$47</f>
        <v>25846</v>
      </c>
      <c r="C28" s="12">
        <f>[3]Delta!$GV$47</f>
        <v>408888</v>
      </c>
      <c r="D28" s="12">
        <f>[3]United!$GV$47</f>
        <v>23468</v>
      </c>
      <c r="E28" s="12">
        <f>[3]Spirit!$GV$47</f>
        <v>0</v>
      </c>
      <c r="F28" s="12">
        <f>[3]Condor!$GV$47</f>
        <v>0</v>
      </c>
      <c r="G28" s="12">
        <f>'[3]Air France'!$GV$47</f>
        <v>0</v>
      </c>
      <c r="H28" s="12">
        <f>'[3]Jet Blue'!$GV$47</f>
        <v>0</v>
      </c>
      <c r="I28" s="12">
        <f>[3]KLM!$GV$47</f>
        <v>0</v>
      </c>
      <c r="J28" s="12">
        <f>'Other Major Airline Stats'!J28</f>
        <v>299263</v>
      </c>
      <c r="K28" s="371">
        <f>SUM(B28:J28)</f>
        <v>757465</v>
      </c>
    </row>
    <row r="29" spans="1:11" x14ac:dyDescent="0.2">
      <c r="A29" s="38" t="s">
        <v>38</v>
      </c>
      <c r="B29" s="7">
        <f>[3]American!$GV$48</f>
        <v>81610</v>
      </c>
      <c r="C29" s="7">
        <f>[3]Delta!$GV$48</f>
        <v>89789</v>
      </c>
      <c r="D29" s="7">
        <f>[3]United!$GV$48</f>
        <v>6474</v>
      </c>
      <c r="E29" s="7">
        <f>[3]Spirit!$GV$48</f>
        <v>0</v>
      </c>
      <c r="F29" s="7">
        <f>[3]Condor!$GV$48</f>
        <v>0</v>
      </c>
      <c r="G29" s="7">
        <f>'[3]Air France'!$GV$48</f>
        <v>0</v>
      </c>
      <c r="H29" s="7">
        <f>'[3]Jet Blue'!$GV$48</f>
        <v>0</v>
      </c>
      <c r="I29" s="7">
        <f>[3]KLM!$GV$48</f>
        <v>0</v>
      </c>
      <c r="J29" s="7">
        <f>'Other Major Airline Stats'!J29</f>
        <v>172139</v>
      </c>
      <c r="K29" s="372">
        <f>SUM(B29:J29)</f>
        <v>350012</v>
      </c>
    </row>
    <row r="30" spans="1:11" x14ac:dyDescent="0.2">
      <c r="A30" s="42" t="s">
        <v>39</v>
      </c>
      <c r="B30" s="188">
        <f t="shared" ref="B30:J30" si="15">SUM(B28:B29)</f>
        <v>107456</v>
      </c>
      <c r="C30" s="188">
        <f t="shared" si="15"/>
        <v>498677</v>
      </c>
      <c r="D30" s="188">
        <f t="shared" si="15"/>
        <v>29942</v>
      </c>
      <c r="E30" s="188">
        <f t="shared" si="15"/>
        <v>0</v>
      </c>
      <c r="F30" s="188">
        <f t="shared" ref="F30:I30" si="16">SUM(F28:F29)</f>
        <v>0</v>
      </c>
      <c r="G30" s="188">
        <f t="shared" si="16"/>
        <v>0</v>
      </c>
      <c r="H30" s="188">
        <f t="shared" ref="H30" si="17">SUM(H28:H29)</f>
        <v>0</v>
      </c>
      <c r="I30" s="188">
        <f t="shared" si="16"/>
        <v>0</v>
      </c>
      <c r="J30" s="188">
        <f t="shared" si="15"/>
        <v>471402</v>
      </c>
      <c r="K30" s="371">
        <f>SUM(B30:J30)</f>
        <v>1107477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1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1">
        <f t="shared" ref="K32:K40" si="18">SUM(B32:J32)</f>
        <v>0</v>
      </c>
    </row>
    <row r="33" spans="1:11" x14ac:dyDescent="0.2">
      <c r="A33" s="38" t="s">
        <v>37</v>
      </c>
      <c r="B33" s="12">
        <f>[3]American!$GV$52</f>
        <v>5265</v>
      </c>
      <c r="C33" s="12">
        <f>[3]Delta!$GV$52</f>
        <v>162048</v>
      </c>
      <c r="D33" s="12">
        <f>[3]United!$GV$52</f>
        <v>27827</v>
      </c>
      <c r="E33" s="12">
        <f>[3]Spirit!$GV$52</f>
        <v>0</v>
      </c>
      <c r="F33" s="12">
        <f>[3]Condor!$GV$52</f>
        <v>0</v>
      </c>
      <c r="G33" s="12">
        <f>'[3]Air France'!$GV$52</f>
        <v>0</v>
      </c>
      <c r="H33" s="12">
        <f>'[3]Jet Blue'!$GV$52</f>
        <v>0</v>
      </c>
      <c r="I33" s="12">
        <f>[3]KLM!$GV$52</f>
        <v>0</v>
      </c>
      <c r="J33" s="12">
        <f>'Other Major Airline Stats'!J33</f>
        <v>46928</v>
      </c>
      <c r="K33" s="371">
        <f t="shared" si="18"/>
        <v>242068</v>
      </c>
    </row>
    <row r="34" spans="1:11" x14ac:dyDescent="0.2">
      <c r="A34" s="38" t="s">
        <v>38</v>
      </c>
      <c r="B34" s="7">
        <f>[3]American!$GV$53</f>
        <v>66204</v>
      </c>
      <c r="C34" s="7">
        <f>[3]Delta!$GV$53</f>
        <v>882718</v>
      </c>
      <c r="D34" s="7">
        <f>[3]United!$GV$53</f>
        <v>600</v>
      </c>
      <c r="E34" s="7">
        <f>[3]Spirit!$GV$53</f>
        <v>0</v>
      </c>
      <c r="F34" s="7">
        <f>[3]Condor!$GV$53</f>
        <v>0</v>
      </c>
      <c r="G34" s="7">
        <f>'[3]Air France'!$GV$53</f>
        <v>0</v>
      </c>
      <c r="H34" s="7">
        <f>'[3]Jet Blue'!$GV$53</f>
        <v>0</v>
      </c>
      <c r="I34" s="7">
        <f>[3]KLM!$GV$53</f>
        <v>0</v>
      </c>
      <c r="J34" s="7">
        <f>'Other Major Airline Stats'!J34</f>
        <v>247809</v>
      </c>
      <c r="K34" s="372">
        <f t="shared" si="18"/>
        <v>1197331</v>
      </c>
    </row>
    <row r="35" spans="1:11" x14ac:dyDescent="0.2">
      <c r="A35" s="42" t="s">
        <v>41</v>
      </c>
      <c r="B35" s="188">
        <f t="shared" ref="B35:J35" si="19">SUM(B33:B34)</f>
        <v>71469</v>
      </c>
      <c r="C35" s="188">
        <f t="shared" si="19"/>
        <v>1044766</v>
      </c>
      <c r="D35" s="188">
        <f t="shared" si="19"/>
        <v>28427</v>
      </c>
      <c r="E35" s="188">
        <f t="shared" si="19"/>
        <v>0</v>
      </c>
      <c r="F35" s="188">
        <f t="shared" ref="F35:I35" si="20">SUM(F33:F34)</f>
        <v>0</v>
      </c>
      <c r="G35" s="188">
        <f t="shared" si="20"/>
        <v>0</v>
      </c>
      <c r="H35" s="188">
        <f t="shared" ref="H35" si="21">SUM(H33:H34)</f>
        <v>0</v>
      </c>
      <c r="I35" s="188">
        <f t="shared" si="20"/>
        <v>0</v>
      </c>
      <c r="J35" s="188">
        <f t="shared" si="19"/>
        <v>294737</v>
      </c>
      <c r="K35" s="371">
        <f t="shared" si="18"/>
        <v>1439399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1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1">
        <f t="shared" si="18"/>
        <v>0</v>
      </c>
    </row>
    <row r="38" spans="1:11" hidden="1" x14ac:dyDescent="0.2">
      <c r="A38" s="38" t="s">
        <v>37</v>
      </c>
      <c r="B38" s="12">
        <f>[3]American!$GV$57</f>
        <v>0</v>
      </c>
      <c r="C38" s="12">
        <f>[3]Delta!$GV$57</f>
        <v>0</v>
      </c>
      <c r="D38" s="12">
        <f>[3]United!$GV$57</f>
        <v>0</v>
      </c>
      <c r="E38" s="12">
        <f>[3]Spirit!$GV$57</f>
        <v>0</v>
      </c>
      <c r="F38" s="12">
        <f>[3]Condor!$GV$57</f>
        <v>0</v>
      </c>
      <c r="G38" s="12">
        <f>'[3]Air France'!$GV$57</f>
        <v>0</v>
      </c>
      <c r="H38" s="12">
        <f>'[3]Jet Blue'!$GV$57</f>
        <v>0</v>
      </c>
      <c r="I38" s="12">
        <f>[3]KLM!$GV$57</f>
        <v>0</v>
      </c>
      <c r="J38" s="12">
        <f>'Other Major Airline Stats'!J38</f>
        <v>0</v>
      </c>
      <c r="K38" s="371">
        <f t="shared" si="18"/>
        <v>0</v>
      </c>
    </row>
    <row r="39" spans="1:11" hidden="1" x14ac:dyDescent="0.2">
      <c r="A39" s="38" t="s">
        <v>38</v>
      </c>
      <c r="B39" s="7">
        <f>[3]American!$GV$58</f>
        <v>0</v>
      </c>
      <c r="C39" s="7">
        <f>[3]Delta!$GV$58</f>
        <v>0</v>
      </c>
      <c r="D39" s="7">
        <f>[3]United!$GV$58</f>
        <v>0</v>
      </c>
      <c r="E39" s="7">
        <f>[3]Spirit!$GV$58</f>
        <v>0</v>
      </c>
      <c r="F39" s="7">
        <f>[3]Condor!$GV$58</f>
        <v>0</v>
      </c>
      <c r="G39" s="7">
        <f>'[3]Air France'!$GV$58</f>
        <v>0</v>
      </c>
      <c r="H39" s="7">
        <f>'[3]Jet Blue'!$GV$58</f>
        <v>0</v>
      </c>
      <c r="I39" s="7">
        <f>[3]KLM!$GV$58</f>
        <v>0</v>
      </c>
      <c r="J39" s="7">
        <f>'Other Major Airline Stats'!J39</f>
        <v>0</v>
      </c>
      <c r="K39" s="372">
        <f t="shared" si="18"/>
        <v>0</v>
      </c>
    </row>
    <row r="40" spans="1:11" hidden="1" x14ac:dyDescent="0.2">
      <c r="A40" s="42" t="s">
        <v>43</v>
      </c>
      <c r="B40" s="188">
        <f t="shared" ref="B40:J40" si="22">SUM(B38:B39)</f>
        <v>0</v>
      </c>
      <c r="C40" s="188">
        <f t="shared" si="22"/>
        <v>0</v>
      </c>
      <c r="D40" s="188">
        <f t="shared" si="22"/>
        <v>0</v>
      </c>
      <c r="E40" s="188">
        <f t="shared" si="22"/>
        <v>0</v>
      </c>
      <c r="F40" s="188">
        <f t="shared" ref="F40:I40" si="23">SUM(F38:F39)</f>
        <v>0</v>
      </c>
      <c r="G40" s="188">
        <f t="shared" si="23"/>
        <v>0</v>
      </c>
      <c r="H40" s="188">
        <f t="shared" ref="H40" si="24">SUM(H38:H39)</f>
        <v>0</v>
      </c>
      <c r="I40" s="188">
        <f t="shared" si="23"/>
        <v>0</v>
      </c>
      <c r="J40" s="188">
        <f t="shared" si="22"/>
        <v>0</v>
      </c>
      <c r="K40" s="371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1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1">
        <f>SUM(B42:J42)</f>
        <v>0</v>
      </c>
    </row>
    <row r="43" spans="1:11" x14ac:dyDescent="0.2">
      <c r="A43" s="38" t="s">
        <v>45</v>
      </c>
      <c r="B43" s="12">
        <f t="shared" ref="B43:J44" si="25">B28+B33+B38</f>
        <v>31111</v>
      </c>
      <c r="C43" s="12">
        <f t="shared" si="25"/>
        <v>570936</v>
      </c>
      <c r="D43" s="12">
        <f t="shared" si="25"/>
        <v>51295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346191</v>
      </c>
      <c r="K43" s="371">
        <f>SUM(B43:J43)</f>
        <v>999533</v>
      </c>
    </row>
    <row r="44" spans="1:11" x14ac:dyDescent="0.2">
      <c r="A44" s="38" t="s">
        <v>38</v>
      </c>
      <c r="B44" s="7">
        <f t="shared" si="25"/>
        <v>147814</v>
      </c>
      <c r="C44" s="7">
        <f t="shared" si="25"/>
        <v>972507</v>
      </c>
      <c r="D44" s="7">
        <f t="shared" si="25"/>
        <v>7074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419948</v>
      </c>
      <c r="K44" s="371">
        <f>SUM(B44:J44)</f>
        <v>1547343</v>
      </c>
    </row>
    <row r="45" spans="1:11" ht="15.75" thickBot="1" x14ac:dyDescent="0.3">
      <c r="A45" s="39" t="s">
        <v>46</v>
      </c>
      <c r="B45" s="189">
        <f t="shared" ref="B45:J45" si="30">SUM(B43:B44)</f>
        <v>178925</v>
      </c>
      <c r="C45" s="189">
        <f t="shared" si="30"/>
        <v>1543443</v>
      </c>
      <c r="D45" s="189">
        <f t="shared" si="30"/>
        <v>58369</v>
      </c>
      <c r="E45" s="189">
        <f t="shared" si="30"/>
        <v>0</v>
      </c>
      <c r="F45" s="189">
        <f t="shared" ref="F45:I45" si="31">SUM(F43:F44)</f>
        <v>0</v>
      </c>
      <c r="G45" s="189">
        <f t="shared" si="31"/>
        <v>0</v>
      </c>
      <c r="H45" s="189">
        <f t="shared" ref="H45" si="32">SUM(H43:H44)</f>
        <v>0</v>
      </c>
      <c r="I45" s="189">
        <f t="shared" si="31"/>
        <v>0</v>
      </c>
      <c r="J45" s="189">
        <f t="shared" si="30"/>
        <v>766139</v>
      </c>
      <c r="K45" s="379">
        <f>SUM(B45:J45)</f>
        <v>2546876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4" t="s">
        <v>122</v>
      </c>
      <c r="C47" s="212">
        <f>[3]Delta!$GV$70+[3]Delta!$GV$73</f>
        <v>95243</v>
      </c>
      <c r="D47" s="200"/>
      <c r="E47" s="200"/>
      <c r="F47" s="200"/>
      <c r="G47" s="200"/>
      <c r="H47" s="200"/>
      <c r="I47" s="200"/>
      <c r="J47" s="200"/>
      <c r="K47" s="201">
        <f>SUM(B47:J47)</f>
        <v>95243</v>
      </c>
    </row>
    <row r="48" spans="1:11" hidden="1" x14ac:dyDescent="0.2">
      <c r="A48" s="255" t="s">
        <v>123</v>
      </c>
      <c r="C48" s="212">
        <f>[3]Delta!$GV$71+[3]Delta!$GV$74</f>
        <v>88370</v>
      </c>
      <c r="D48" s="200"/>
      <c r="E48" s="200"/>
      <c r="F48" s="200"/>
      <c r="G48" s="200"/>
      <c r="H48" s="200"/>
      <c r="I48" s="200"/>
      <c r="J48" s="200"/>
      <c r="K48" s="201">
        <f>SUM(B48:J48)</f>
        <v>88370</v>
      </c>
    </row>
    <row r="49" spans="1:11" hidden="1" x14ac:dyDescent="0.2">
      <c r="A49" s="256" t="s">
        <v>124</v>
      </c>
      <c r="C49" s="213">
        <f>SUM(C47:C48)</f>
        <v>183613</v>
      </c>
      <c r="K49" s="201">
        <f>SUM(B49:J49)</f>
        <v>183613</v>
      </c>
    </row>
    <row r="50" spans="1:11" x14ac:dyDescent="0.2">
      <c r="A50" s="254" t="s">
        <v>122</v>
      </c>
      <c r="B50" s="264"/>
      <c r="C50" s="215">
        <f>[3]Delta!$GV$70+[3]Delta!$GV$73</f>
        <v>95243</v>
      </c>
      <c r="D50" s="264"/>
      <c r="E50" s="215">
        <f>[3]Spirit!$GV$70+[3]Spirit!$GV$73</f>
        <v>0</v>
      </c>
      <c r="F50" s="264"/>
      <c r="G50" s="264"/>
      <c r="H50" s="264"/>
      <c r="I50" s="264"/>
      <c r="J50" s="214">
        <f>'Other Major Airline Stats'!J48</f>
        <v>83740</v>
      </c>
      <c r="K50" s="204">
        <f>SUM(B50:J50)</f>
        <v>178983</v>
      </c>
    </row>
    <row r="51" spans="1:11" x14ac:dyDescent="0.2">
      <c r="A51" s="266" t="s">
        <v>123</v>
      </c>
      <c r="B51" s="264"/>
      <c r="C51" s="215">
        <f>[3]Delta!$GV$71+[3]Delta!$GV$74</f>
        <v>88370</v>
      </c>
      <c r="D51" s="264"/>
      <c r="E51" s="215">
        <f>[3]Spirit!$GV$71+[3]Spirit!$GV$74</f>
        <v>0</v>
      </c>
      <c r="F51" s="264"/>
      <c r="G51" s="264"/>
      <c r="H51" s="264"/>
      <c r="I51" s="264"/>
      <c r="J51" s="214">
        <f>+'Other Major Airline Stats'!J49</f>
        <v>244</v>
      </c>
      <c r="K51" s="204">
        <f>SUM(B51:J51)</f>
        <v>88614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E11" activeCellId="2" sqref="C6 E6 E11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257">
        <v>44013</v>
      </c>
      <c r="B2" s="427" t="s">
        <v>47</v>
      </c>
      <c r="C2" s="429" t="s">
        <v>179</v>
      </c>
      <c r="D2" s="429" t="s">
        <v>211</v>
      </c>
      <c r="E2" s="429" t="s">
        <v>224</v>
      </c>
      <c r="F2" s="427" t="s">
        <v>48</v>
      </c>
      <c r="G2" s="429" t="s">
        <v>130</v>
      </c>
      <c r="H2" s="429" t="s">
        <v>49</v>
      </c>
      <c r="I2" s="429" t="s">
        <v>129</v>
      </c>
      <c r="J2" s="113" t="s">
        <v>61</v>
      </c>
    </row>
    <row r="3" spans="1:13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380"/>
    </row>
    <row r="4" spans="1:13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381"/>
    </row>
    <row r="5" spans="1:13" x14ac:dyDescent="0.2">
      <c r="A5" s="38" t="s">
        <v>30</v>
      </c>
      <c r="B5" s="83">
        <f>[3]Frontier!$GV$22</f>
        <v>3978</v>
      </c>
      <c r="C5" s="83">
        <f>'[3]Air Choice One'!$GV$22</f>
        <v>127</v>
      </c>
      <c r="D5" s="83">
        <f>'[3]Aer Lingus'!$GV$32</f>
        <v>0</v>
      </c>
      <c r="E5" s="83">
        <f>'[3]Denver Air'!$GV$22</f>
        <v>110</v>
      </c>
      <c r="F5" s="83">
        <f>[3]Icelandair!$GV$32</f>
        <v>0</v>
      </c>
      <c r="G5" s="83">
        <f>[3]Southwest!$GV$22</f>
        <v>26896</v>
      </c>
      <c r="H5" s="83">
        <f>'[3]Sun Country'!$GV$22+'[3]Sun Country'!$GV$32</f>
        <v>53188</v>
      </c>
      <c r="I5" s="83">
        <f>[3]Alaska!$GV$22</f>
        <v>5064</v>
      </c>
      <c r="J5" s="382">
        <f>SUM(B5:I5)</f>
        <v>89363</v>
      </c>
      <c r="M5" s="83"/>
    </row>
    <row r="6" spans="1:13" x14ac:dyDescent="0.2">
      <c r="A6" s="38" t="s">
        <v>31</v>
      </c>
      <c r="B6" s="83">
        <f>[3]Frontier!$GV$23</f>
        <v>4577</v>
      </c>
      <c r="C6" s="83">
        <f>'[3]Air Choice One'!$GV$23</f>
        <v>131</v>
      </c>
      <c r="D6" s="83">
        <f>'[3]Aer Lingus'!$GV$33</f>
        <v>0</v>
      </c>
      <c r="E6" s="83">
        <f>'[3]Denver Air'!$GV$23</f>
        <v>109</v>
      </c>
      <c r="F6" s="83">
        <f>[3]Icelandair!$GV$33</f>
        <v>0</v>
      </c>
      <c r="G6" s="83">
        <f>[3]Southwest!$GV$23</f>
        <v>26804</v>
      </c>
      <c r="H6" s="83">
        <f>'[3]Sun Country'!$GV$23+'[3]Sun Country'!$GV$33</f>
        <v>57180</v>
      </c>
      <c r="I6" s="83">
        <f>[3]Alaska!$GV$23</f>
        <v>4996</v>
      </c>
      <c r="J6" s="382">
        <f>SUM(B6:I6)</f>
        <v>93797</v>
      </c>
    </row>
    <row r="7" spans="1:13" ht="15" x14ac:dyDescent="0.25">
      <c r="A7" s="36" t="s">
        <v>7</v>
      </c>
      <c r="B7" s="101">
        <f t="shared" ref="B7:I7" si="0">SUM(B5:B6)</f>
        <v>8555</v>
      </c>
      <c r="C7" s="101">
        <f t="shared" ref="C7:E7" si="1">SUM(C5:C6)</f>
        <v>258</v>
      </c>
      <c r="D7" s="101">
        <f t="shared" si="1"/>
        <v>0</v>
      </c>
      <c r="E7" s="101">
        <f t="shared" si="1"/>
        <v>219</v>
      </c>
      <c r="F7" s="101">
        <f t="shared" si="0"/>
        <v>0</v>
      </c>
      <c r="G7" s="101">
        <f t="shared" si="0"/>
        <v>53700</v>
      </c>
      <c r="H7" s="101">
        <f>SUM(H5:H6)</f>
        <v>110368</v>
      </c>
      <c r="I7" s="101">
        <f t="shared" si="0"/>
        <v>10060</v>
      </c>
      <c r="J7" s="383">
        <f>SUM(B7:I7)</f>
        <v>183160</v>
      </c>
    </row>
    <row r="8" spans="1:13" x14ac:dyDescent="0.2">
      <c r="A8" s="38"/>
      <c r="B8" s="100"/>
      <c r="C8" s="100"/>
      <c r="D8" s="100"/>
      <c r="E8" s="100"/>
      <c r="F8" s="100"/>
      <c r="G8" s="100"/>
      <c r="H8" s="100"/>
      <c r="I8" s="100"/>
      <c r="J8" s="382"/>
    </row>
    <row r="9" spans="1:13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382"/>
    </row>
    <row r="10" spans="1:13" x14ac:dyDescent="0.2">
      <c r="A10" s="38" t="s">
        <v>30</v>
      </c>
      <c r="B10" s="100">
        <f>[3]Frontier!$GV$27</f>
        <v>59</v>
      </c>
      <c r="C10" s="100">
        <f>'[3]Air Choice One'!$GV$27</f>
        <v>0</v>
      </c>
      <c r="D10" s="100">
        <f>'[3]Aer Lingus'!$GV$37</f>
        <v>0</v>
      </c>
      <c r="E10" s="100">
        <f>'[3]Denver Air'!$GV$27</f>
        <v>18</v>
      </c>
      <c r="F10" s="100">
        <f>[3]Icelandair!$GV$37</f>
        <v>0</v>
      </c>
      <c r="G10" s="100">
        <f>[3]Southwest!$GV$27</f>
        <v>874</v>
      </c>
      <c r="H10" s="100">
        <f>'[3]Sun Country'!$GV$27+'[3]Sun Country'!$GV$37</f>
        <v>963</v>
      </c>
      <c r="I10" s="100">
        <f>[3]Alaska!$GV$27</f>
        <v>270</v>
      </c>
      <c r="J10" s="382">
        <f>SUM(B10:I10)</f>
        <v>2184</v>
      </c>
    </row>
    <row r="11" spans="1:13" x14ac:dyDescent="0.2">
      <c r="A11" s="38" t="s">
        <v>33</v>
      </c>
      <c r="B11" s="102">
        <f>[3]Frontier!$GV$28</f>
        <v>56</v>
      </c>
      <c r="C11" s="102">
        <f>'[3]Air Choice One'!$GV$28</f>
        <v>0</v>
      </c>
      <c r="D11" s="102">
        <f>'[3]Aer Lingus'!$GV$38</f>
        <v>0</v>
      </c>
      <c r="E11" s="102">
        <f>'[3]Denver Air'!$GV$28</f>
        <v>16</v>
      </c>
      <c r="F11" s="102">
        <f>[3]Icelandair!$GV$38</f>
        <v>0</v>
      </c>
      <c r="G11" s="102">
        <f>[3]Southwest!$GV$28</f>
        <v>890</v>
      </c>
      <c r="H11" s="102">
        <f>'[3]Sun Country'!$GV$28+'[3]Sun Country'!$GV$38</f>
        <v>992</v>
      </c>
      <c r="I11" s="102">
        <f>[3]Alaska!$GV$28</f>
        <v>263</v>
      </c>
      <c r="J11" s="382">
        <f>SUM(B11:I11)</f>
        <v>2217</v>
      </c>
    </row>
    <row r="12" spans="1:13" ht="15.75" thickBot="1" x14ac:dyDescent="0.3">
      <c r="A12" s="39" t="s">
        <v>34</v>
      </c>
      <c r="B12" s="99">
        <f t="shared" ref="B12:I12" si="2">SUM(B10:B11)</f>
        <v>115</v>
      </c>
      <c r="C12" s="99">
        <f t="shared" ref="C12:E12" si="3">SUM(C10:C11)</f>
        <v>0</v>
      </c>
      <c r="D12" s="99">
        <f t="shared" si="3"/>
        <v>0</v>
      </c>
      <c r="E12" s="99">
        <f t="shared" si="3"/>
        <v>34</v>
      </c>
      <c r="F12" s="99">
        <f t="shared" si="2"/>
        <v>0</v>
      </c>
      <c r="G12" s="99">
        <f t="shared" si="2"/>
        <v>1764</v>
      </c>
      <c r="H12" s="99">
        <f>SUM(H10:H11)</f>
        <v>1955</v>
      </c>
      <c r="I12" s="99">
        <f t="shared" si="2"/>
        <v>533</v>
      </c>
      <c r="J12" s="384">
        <f>SUM(B12:I12)</f>
        <v>4401</v>
      </c>
      <c r="M12" s="83"/>
    </row>
    <row r="13" spans="1:13" ht="15" x14ac:dyDescent="0.25">
      <c r="A13" s="35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3" ht="13.5" thickBot="1" x14ac:dyDescent="0.25"/>
    <row r="15" spans="1:13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385"/>
    </row>
    <row r="16" spans="1:13" x14ac:dyDescent="0.2">
      <c r="A16" s="38" t="s">
        <v>22</v>
      </c>
      <c r="B16" s="83">
        <f>[3]Frontier!$GV$4</f>
        <v>31</v>
      </c>
      <c r="C16" s="76">
        <f>'[3]Air Choice One'!$GV$4</f>
        <v>87</v>
      </c>
      <c r="D16" s="83">
        <f>'[3]Aer Lingus'!$GV$15</f>
        <v>0</v>
      </c>
      <c r="E16" s="76">
        <f>'[3]Denver Air'!$GV$4</f>
        <v>54</v>
      </c>
      <c r="F16" s="83">
        <f>[3]Icelandair!$GV$15</f>
        <v>0</v>
      </c>
      <c r="G16" s="76">
        <f>[3]Southwest!$GV$4</f>
        <v>347</v>
      </c>
      <c r="H16" s="83">
        <f>'[3]Sun Country'!$GV$4+'[3]Sun Country'!$GV$15</f>
        <v>565</v>
      </c>
      <c r="I16" s="83">
        <f>[3]Alaska!$GV$4</f>
        <v>63</v>
      </c>
      <c r="J16" s="382">
        <f>SUM(B16:I16)</f>
        <v>1147</v>
      </c>
    </row>
    <row r="17" spans="1:257" x14ac:dyDescent="0.2">
      <c r="A17" s="38" t="s">
        <v>23</v>
      </c>
      <c r="B17" s="83">
        <f>[3]Frontier!$GV$5</f>
        <v>31</v>
      </c>
      <c r="C17" s="76">
        <f>'[3]Air Choice One'!$GV$5</f>
        <v>87</v>
      </c>
      <c r="D17" s="83">
        <f>'[3]Aer Lingus'!$GV$16</f>
        <v>0</v>
      </c>
      <c r="E17" s="76">
        <f>'[3]Denver Air'!$GV$5</f>
        <v>54</v>
      </c>
      <c r="F17" s="83">
        <f>[3]Icelandair!$GV$16</f>
        <v>0</v>
      </c>
      <c r="G17" s="76">
        <f>[3]Southwest!$GV$5</f>
        <v>347</v>
      </c>
      <c r="H17" s="83">
        <f>'[3]Sun Country'!$GV$5+'[3]Sun Country'!$GV$16</f>
        <v>563</v>
      </c>
      <c r="I17" s="83">
        <f>[3]Alaska!$GV$5</f>
        <v>63</v>
      </c>
      <c r="J17" s="382">
        <f>SUM(B17:I17)</f>
        <v>1145</v>
      </c>
    </row>
    <row r="18" spans="1:257" x14ac:dyDescent="0.2">
      <c r="A18" s="42" t="s">
        <v>24</v>
      </c>
      <c r="B18" s="98">
        <f t="shared" ref="B18:I18" si="4">SUM(B16:B17)</f>
        <v>62</v>
      </c>
      <c r="C18" s="98">
        <f t="shared" ref="C18:E18" si="5">SUM(C16:C17)</f>
        <v>174</v>
      </c>
      <c r="D18" s="98">
        <f t="shared" si="5"/>
        <v>0</v>
      </c>
      <c r="E18" s="98">
        <f t="shared" si="5"/>
        <v>108</v>
      </c>
      <c r="F18" s="98">
        <f t="shared" si="4"/>
        <v>0</v>
      </c>
      <c r="G18" s="98">
        <f t="shared" si="4"/>
        <v>694</v>
      </c>
      <c r="H18" s="98">
        <f t="shared" si="4"/>
        <v>1128</v>
      </c>
      <c r="I18" s="98">
        <f t="shared" si="4"/>
        <v>126</v>
      </c>
      <c r="J18" s="386">
        <f>SUM(B18:I18)</f>
        <v>2292</v>
      </c>
    </row>
    <row r="19" spans="1:257" x14ac:dyDescent="0.2">
      <c r="A19" s="42"/>
      <c r="B19" s="82"/>
      <c r="C19" s="82"/>
      <c r="D19" s="82"/>
      <c r="E19" s="82"/>
      <c r="F19" s="82"/>
      <c r="G19" s="82"/>
      <c r="H19" s="82"/>
      <c r="I19" s="82"/>
      <c r="J19" s="382"/>
    </row>
    <row r="20" spans="1:257" x14ac:dyDescent="0.2">
      <c r="A20" s="38" t="s">
        <v>25</v>
      </c>
      <c r="B20" s="83">
        <f>[3]Frontier!$GV$8</f>
        <v>0</v>
      </c>
      <c r="C20" s="83">
        <f>'[3]Air Choice One'!$GV$8</f>
        <v>0</v>
      </c>
      <c r="D20" s="83">
        <f>'[3]Aer Lingus'!$GV$8</f>
        <v>0</v>
      </c>
      <c r="E20" s="83">
        <f>'[3]Denver Air'!$GV$8</f>
        <v>0</v>
      </c>
      <c r="F20" s="83">
        <f>[3]Icelandair!$GV$8</f>
        <v>0</v>
      </c>
      <c r="G20" s="83">
        <f>[3]Southwest!$GV$8</f>
        <v>0</v>
      </c>
      <c r="H20" s="83">
        <f>'[3]Sun Country'!$GV$8</f>
        <v>63</v>
      </c>
      <c r="I20" s="83">
        <f>[3]Alaska!$GV$8</f>
        <v>1</v>
      </c>
      <c r="J20" s="382">
        <f>SUM(B20:I20)</f>
        <v>64</v>
      </c>
    </row>
    <row r="21" spans="1:257" x14ac:dyDescent="0.2">
      <c r="A21" s="38" t="s">
        <v>26</v>
      </c>
      <c r="B21" s="83">
        <f>[3]Frontier!$GV$9</f>
        <v>0</v>
      </c>
      <c r="C21" s="83">
        <f>'[3]Air Choice One'!$GV$9</f>
        <v>0</v>
      </c>
      <c r="D21" s="83">
        <f>'[3]Aer Lingus'!$GV$9</f>
        <v>0</v>
      </c>
      <c r="E21" s="83">
        <f>'[3]Denver Air'!$GV$9</f>
        <v>0</v>
      </c>
      <c r="F21" s="83">
        <f>[3]Icelandair!$GV$9</f>
        <v>0</v>
      </c>
      <c r="G21" s="83">
        <f>[3]Southwest!$GV$9</f>
        <v>0</v>
      </c>
      <c r="H21" s="83">
        <f>'[3]Sun Country'!$GV$9</f>
        <v>68</v>
      </c>
      <c r="I21" s="83">
        <f>[3]Alaska!$GV$9</f>
        <v>1</v>
      </c>
      <c r="J21" s="382">
        <f>SUM(B21:I21)</f>
        <v>69</v>
      </c>
    </row>
    <row r="22" spans="1:257" x14ac:dyDescent="0.2">
      <c r="A22" s="42" t="s">
        <v>27</v>
      </c>
      <c r="B22" s="98">
        <f t="shared" ref="B22:I22" si="6">SUM(B20:B21)</f>
        <v>0</v>
      </c>
      <c r="C22" s="98">
        <f t="shared" ref="C22:E22" si="7">SUM(C20:C21)</f>
        <v>0</v>
      </c>
      <c r="D22" s="98">
        <f t="shared" si="7"/>
        <v>0</v>
      </c>
      <c r="E22" s="98">
        <f t="shared" si="7"/>
        <v>0</v>
      </c>
      <c r="F22" s="98">
        <f t="shared" si="6"/>
        <v>0</v>
      </c>
      <c r="G22" s="98">
        <f t="shared" si="6"/>
        <v>0</v>
      </c>
      <c r="H22" s="98">
        <f t="shared" si="6"/>
        <v>131</v>
      </c>
      <c r="I22" s="98">
        <f t="shared" si="6"/>
        <v>2</v>
      </c>
      <c r="J22" s="386">
        <f>SUM(B22:I22)</f>
        <v>133</v>
      </c>
    </row>
    <row r="23" spans="1:257" ht="15.75" thickBot="1" x14ac:dyDescent="0.3">
      <c r="A23" s="39" t="s">
        <v>28</v>
      </c>
      <c r="B23" s="99">
        <f t="shared" ref="B23:I23" si="8">B22+B18</f>
        <v>62</v>
      </c>
      <c r="C23" s="99">
        <f t="shared" ref="C23:E23" si="9">C22+C18</f>
        <v>174</v>
      </c>
      <c r="D23" s="99">
        <f t="shared" si="9"/>
        <v>0</v>
      </c>
      <c r="E23" s="99">
        <f t="shared" si="9"/>
        <v>108</v>
      </c>
      <c r="F23" s="99">
        <f t="shared" si="8"/>
        <v>0</v>
      </c>
      <c r="G23" s="99">
        <f t="shared" si="8"/>
        <v>694</v>
      </c>
      <c r="H23" s="99">
        <f t="shared" si="8"/>
        <v>1259</v>
      </c>
      <c r="I23" s="99">
        <f t="shared" si="8"/>
        <v>128</v>
      </c>
      <c r="J23" s="387">
        <f>SUM(B23:I23)</f>
        <v>2425</v>
      </c>
    </row>
    <row r="24" spans="1:25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83"/>
    </row>
    <row r="26" spans="1:257" ht="15.75" thickTop="1" x14ac:dyDescent="0.25">
      <c r="A26" s="41" t="s">
        <v>35</v>
      </c>
      <c r="B26" s="103"/>
      <c r="C26" s="103"/>
      <c r="D26" s="103"/>
      <c r="E26" s="432"/>
      <c r="F26" s="103"/>
      <c r="G26" s="103"/>
      <c r="H26" s="103"/>
      <c r="I26" s="103"/>
      <c r="J26" s="388"/>
    </row>
    <row r="27" spans="1:257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381"/>
    </row>
    <row r="28" spans="1:257" x14ac:dyDescent="0.2">
      <c r="A28" s="38" t="s">
        <v>37</v>
      </c>
      <c r="B28" s="83">
        <f>[3]Frontier!$GV$47</f>
        <v>0</v>
      </c>
      <c r="C28" s="83">
        <f>'[3]Air Choice One'!$GV$47</f>
        <v>0</v>
      </c>
      <c r="D28" s="83">
        <f>'[3]Aer Lingus'!$GV$47</f>
        <v>0</v>
      </c>
      <c r="E28" s="83">
        <f>'[3]Denver Air'!$GV$47</f>
        <v>0</v>
      </c>
      <c r="F28" s="83">
        <f>[3]Icelandair!$GV$47</f>
        <v>0</v>
      </c>
      <c r="G28" s="83">
        <f>[3]Southwest!$GV$47</f>
        <v>230277</v>
      </c>
      <c r="H28" s="83">
        <f>'[3]Sun Country'!$GV$47</f>
        <v>37586</v>
      </c>
      <c r="I28" s="83">
        <f>[3]Alaska!$GV$47</f>
        <v>31400</v>
      </c>
      <c r="J28" s="382">
        <f>SUM(B28:I28)</f>
        <v>299263</v>
      </c>
    </row>
    <row r="29" spans="1:257" x14ac:dyDescent="0.2">
      <c r="A29" s="38" t="s">
        <v>38</v>
      </c>
      <c r="B29" s="83">
        <f>[3]Frontier!$GV$48</f>
        <v>0</v>
      </c>
      <c r="C29" s="83">
        <f>'[3]Air Choice One'!$GV$48</f>
        <v>0</v>
      </c>
      <c r="D29" s="83">
        <f>'[3]Aer Lingus'!$GV$48</f>
        <v>0</v>
      </c>
      <c r="E29" s="83">
        <f>'[3]Denver Air'!$GV$48</f>
        <v>0</v>
      </c>
      <c r="F29" s="83">
        <f>[3]Icelandair!$GV$48</f>
        <v>0</v>
      </c>
      <c r="G29" s="83">
        <f>[3]Southwest!$GV$48</f>
        <v>0</v>
      </c>
      <c r="H29" s="83">
        <f>'[3]Sun Country'!$GV$48</f>
        <v>172011</v>
      </c>
      <c r="I29" s="83">
        <f>[3]Alaska!$GV$48</f>
        <v>128</v>
      </c>
      <c r="J29" s="382">
        <f>SUM(B29:I29)</f>
        <v>172139</v>
      </c>
    </row>
    <row r="30" spans="1:257" x14ac:dyDescent="0.2">
      <c r="A30" s="42" t="s">
        <v>39</v>
      </c>
      <c r="B30" s="105">
        <f t="shared" ref="B30:I30" si="10">SUM(B28:B29)</f>
        <v>0</v>
      </c>
      <c r="C30" s="105">
        <f t="shared" ref="C30:E30" si="11">SUM(C28:C29)</f>
        <v>0</v>
      </c>
      <c r="D30" s="105">
        <f t="shared" si="11"/>
        <v>0</v>
      </c>
      <c r="E30" s="105">
        <f t="shared" si="11"/>
        <v>0</v>
      </c>
      <c r="F30" s="105">
        <f t="shared" si="10"/>
        <v>0</v>
      </c>
      <c r="G30" s="105">
        <f t="shared" si="10"/>
        <v>230277</v>
      </c>
      <c r="H30" s="105">
        <f t="shared" si="10"/>
        <v>209597</v>
      </c>
      <c r="I30" s="105">
        <f t="shared" si="10"/>
        <v>31528</v>
      </c>
      <c r="J30" s="389">
        <f>SUM(B30:I30)</f>
        <v>471402</v>
      </c>
    </row>
    <row r="31" spans="1:257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382"/>
    </row>
    <row r="32" spans="1:257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382"/>
    </row>
    <row r="33" spans="1:10" x14ac:dyDescent="0.2">
      <c r="A33" s="38" t="s">
        <v>37</v>
      </c>
      <c r="B33" s="83">
        <f>[3]Frontier!$GV$52</f>
        <v>0</v>
      </c>
      <c r="C33" s="83">
        <f>'[3]Air Choice One'!$GV$52</f>
        <v>0</v>
      </c>
      <c r="D33" s="83">
        <f>'[3]Aer Lingus'!$GV$52</f>
        <v>0</v>
      </c>
      <c r="E33" s="83">
        <f>'[3]Denver Air'!$GV$52</f>
        <v>0</v>
      </c>
      <c r="F33" s="83">
        <f>[3]Icelandair!$GV$52</f>
        <v>0</v>
      </c>
      <c r="G33" s="83">
        <f>[3]Southwest!$GV$52</f>
        <v>31932</v>
      </c>
      <c r="H33" s="83">
        <f>'[3]Sun Country'!$GV$52</f>
        <v>156</v>
      </c>
      <c r="I33" s="83">
        <f>[3]Alaska!$GV$52</f>
        <v>14840</v>
      </c>
      <c r="J33" s="382">
        <f>SUM(B33:I33)</f>
        <v>46928</v>
      </c>
    </row>
    <row r="34" spans="1:10" x14ac:dyDescent="0.2">
      <c r="A34" s="38" t="s">
        <v>38</v>
      </c>
      <c r="B34" s="83">
        <f>[3]Frontier!$GV$53</f>
        <v>0</v>
      </c>
      <c r="C34" s="83">
        <f>'[3]Air Choice One'!$GV$53</f>
        <v>0</v>
      </c>
      <c r="D34" s="83">
        <f>'[3]Aer Lingus'!$GV$53</f>
        <v>0</v>
      </c>
      <c r="E34" s="83">
        <f>'[3]Denver Air'!$GV$53</f>
        <v>0</v>
      </c>
      <c r="F34" s="83">
        <f>[3]Icelandair!$GV$53</f>
        <v>0</v>
      </c>
      <c r="G34" s="83">
        <f>[3]Southwest!$GV$53</f>
        <v>0</v>
      </c>
      <c r="H34" s="83">
        <f>'[3]Sun Country'!$GV$53</f>
        <v>247809</v>
      </c>
      <c r="I34" s="83">
        <f>[3]Alaska!$GV$53</f>
        <v>0</v>
      </c>
      <c r="J34" s="390">
        <f>SUM(B34:I34)</f>
        <v>247809</v>
      </c>
    </row>
    <row r="35" spans="1:10" x14ac:dyDescent="0.2">
      <c r="A35" s="42" t="s">
        <v>41</v>
      </c>
      <c r="B35" s="98">
        <f t="shared" ref="B35:I35" si="12">SUM(B33:B34)</f>
        <v>0</v>
      </c>
      <c r="C35" s="98">
        <f t="shared" ref="C35:E35" si="13">SUM(C33:C34)</f>
        <v>0</v>
      </c>
      <c r="D35" s="98">
        <f t="shared" si="13"/>
        <v>0</v>
      </c>
      <c r="E35" s="98">
        <f t="shared" si="13"/>
        <v>0</v>
      </c>
      <c r="F35" s="98">
        <f t="shared" si="12"/>
        <v>0</v>
      </c>
      <c r="G35" s="98">
        <f t="shared" si="12"/>
        <v>31932</v>
      </c>
      <c r="H35" s="98">
        <f t="shared" si="12"/>
        <v>247965</v>
      </c>
      <c r="I35" s="98">
        <f t="shared" si="12"/>
        <v>14840</v>
      </c>
      <c r="J35" s="389">
        <f>SUM(B35:I35)</f>
        <v>294737</v>
      </c>
    </row>
    <row r="36" spans="1:10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382"/>
    </row>
    <row r="37" spans="1:10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382"/>
    </row>
    <row r="38" spans="1:10" hidden="1" x14ac:dyDescent="0.2">
      <c r="A38" s="38" t="s">
        <v>37</v>
      </c>
      <c r="B38" s="100">
        <f>[3]Frontier!$GV$57</f>
        <v>0</v>
      </c>
      <c r="C38" s="100">
        <f>'[3]Air Choice One'!$GV$57</f>
        <v>0</v>
      </c>
      <c r="D38" s="100">
        <f>'[3]Aer Lingus'!$GV$57</f>
        <v>0</v>
      </c>
      <c r="E38" s="100">
        <f>'[3]Denver Air'!$GV$57</f>
        <v>0</v>
      </c>
      <c r="F38" s="100">
        <f>[3]Icelandair!$GV$57</f>
        <v>0</v>
      </c>
      <c r="G38" s="100">
        <f>[3]Southwest!$GV$57</f>
        <v>0</v>
      </c>
      <c r="H38" s="100">
        <f>'[3]Sun Country'!$GV$57</f>
        <v>0</v>
      </c>
      <c r="I38" s="100">
        <f>[3]Alaska!$GV$57</f>
        <v>0</v>
      </c>
      <c r="J38" s="382">
        <f>SUM(B38:H38)</f>
        <v>0</v>
      </c>
    </row>
    <row r="39" spans="1:10" hidden="1" x14ac:dyDescent="0.2">
      <c r="A39" s="38" t="s">
        <v>38</v>
      </c>
      <c r="B39" s="102">
        <f>[3]Frontier!$GV$58</f>
        <v>0</v>
      </c>
      <c r="C39" s="102">
        <f>'[3]Air Choice One'!$GV$58</f>
        <v>0</v>
      </c>
      <c r="D39" s="102">
        <f>'[3]Aer Lingus'!$GV$58</f>
        <v>0</v>
      </c>
      <c r="E39" s="102">
        <f>'[3]Denver Air'!$GV$58</f>
        <v>0</v>
      </c>
      <c r="F39" s="102">
        <f>[3]Icelandair!$GV$58</f>
        <v>0</v>
      </c>
      <c r="G39" s="102">
        <f>[3]Southwest!$GV$58</f>
        <v>0</v>
      </c>
      <c r="H39" s="102">
        <f>'[3]Sun Country'!$GV$58</f>
        <v>0</v>
      </c>
      <c r="I39" s="102">
        <f>[3]Alaska!$GV$58</f>
        <v>0</v>
      </c>
      <c r="J39" s="390">
        <f>SUM(B39:H39)</f>
        <v>0</v>
      </c>
    </row>
    <row r="40" spans="1:10" hidden="1" x14ac:dyDescent="0.2">
      <c r="A40" s="42" t="s">
        <v>43</v>
      </c>
      <c r="B40" s="106">
        <f t="shared" ref="B40:I40" si="14">SUM(B38:B39)</f>
        <v>0</v>
      </c>
      <c r="C40" s="106">
        <f t="shared" ref="C40:E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4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382">
        <f>SUM(B40:H40)</f>
        <v>0</v>
      </c>
    </row>
    <row r="41" spans="1:10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382"/>
    </row>
    <row r="42" spans="1:10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382"/>
    </row>
    <row r="43" spans="1:10" x14ac:dyDescent="0.2">
      <c r="A43" s="38" t="s">
        <v>45</v>
      </c>
      <c r="B43" s="100">
        <f t="shared" ref="B43:I43" si="16">B28+B33+B38</f>
        <v>0</v>
      </c>
      <c r="C43" s="100">
        <f t="shared" ref="C43:E43" si="17">C28+C33+C38</f>
        <v>0</v>
      </c>
      <c r="D43" s="100">
        <f t="shared" si="17"/>
        <v>0</v>
      </c>
      <c r="E43" s="100">
        <f t="shared" si="17"/>
        <v>0</v>
      </c>
      <c r="F43" s="100">
        <f t="shared" si="16"/>
        <v>0</v>
      </c>
      <c r="G43" s="100">
        <f t="shared" si="16"/>
        <v>262209</v>
      </c>
      <c r="H43" s="100">
        <f t="shared" si="16"/>
        <v>37742</v>
      </c>
      <c r="I43" s="100">
        <f t="shared" si="16"/>
        <v>46240</v>
      </c>
      <c r="J43" s="382">
        <f>SUM(B43:I43)</f>
        <v>346191</v>
      </c>
    </row>
    <row r="44" spans="1:10" x14ac:dyDescent="0.2">
      <c r="A44" s="38" t="s">
        <v>38</v>
      </c>
      <c r="B44" s="102">
        <f t="shared" ref="B44:I44" si="18">+B39+B34+B29</f>
        <v>0</v>
      </c>
      <c r="C44" s="102">
        <f t="shared" ref="C44:E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8"/>
        <v>0</v>
      </c>
      <c r="G44" s="102">
        <f t="shared" si="18"/>
        <v>0</v>
      </c>
      <c r="H44" s="102">
        <f t="shared" si="18"/>
        <v>419820</v>
      </c>
      <c r="I44" s="102">
        <f t="shared" si="18"/>
        <v>128</v>
      </c>
      <c r="J44" s="382">
        <f>SUM(B44:I44)</f>
        <v>419948</v>
      </c>
    </row>
    <row r="45" spans="1:10" ht="15.75" thickBot="1" x14ac:dyDescent="0.3">
      <c r="A45" s="39" t="s">
        <v>46</v>
      </c>
      <c r="B45" s="107">
        <f t="shared" ref="B45:I45" si="20">B43+B44</f>
        <v>0</v>
      </c>
      <c r="C45" s="107">
        <f t="shared" ref="C45:E45" si="21">C43+C44</f>
        <v>0</v>
      </c>
      <c r="D45" s="107">
        <f t="shared" si="21"/>
        <v>0</v>
      </c>
      <c r="E45" s="107">
        <f t="shared" si="21"/>
        <v>0</v>
      </c>
      <c r="F45" s="107">
        <f t="shared" si="20"/>
        <v>0</v>
      </c>
      <c r="G45" s="107">
        <f t="shared" si="20"/>
        <v>262209</v>
      </c>
      <c r="H45" s="107">
        <f t="shared" si="20"/>
        <v>457562</v>
      </c>
      <c r="I45" s="107">
        <f t="shared" si="20"/>
        <v>46368</v>
      </c>
      <c r="J45" s="391">
        <f>SUM(B45:I45)</f>
        <v>766139</v>
      </c>
    </row>
    <row r="48" spans="1:10" x14ac:dyDescent="0.2">
      <c r="A48" s="254" t="s">
        <v>122</v>
      </c>
      <c r="B48" s="264"/>
      <c r="C48" s="264"/>
      <c r="D48" s="264"/>
      <c r="E48" s="264"/>
      <c r="G48" s="215">
        <f>[3]Southwest!$GV$70+[3]Southwest!$GV$73</f>
        <v>26560</v>
      </c>
      <c r="H48" s="215">
        <f>'[3]Sun Country'!$GV$70+'[3]Sun Country'!$GV$73</f>
        <v>57180</v>
      </c>
      <c r="I48" s="264"/>
      <c r="J48" s="204">
        <f>SUM(B48:I48)</f>
        <v>83740</v>
      </c>
    </row>
    <row r="49" spans="1:10" x14ac:dyDescent="0.2">
      <c r="A49" s="266" t="s">
        <v>123</v>
      </c>
      <c r="B49" s="264"/>
      <c r="C49" s="264"/>
      <c r="D49" s="264"/>
      <c r="E49" s="264"/>
      <c r="G49" s="215">
        <f>[3]Southwest!$GV$71+[3]Southwest!$GV$74</f>
        <v>244</v>
      </c>
      <c r="H49" s="215">
        <f>'[3]Sun Country'!$GV$71+'[3]Sun Country'!$GV$74</f>
        <v>0</v>
      </c>
      <c r="I49" s="264"/>
      <c r="J49" s="204">
        <f>SUM(B49:I49)</f>
        <v>244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July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Q21" sqref="Q2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2"/>
    </row>
    <row r="2" spans="1:13" ht="51.75" thickBot="1" x14ac:dyDescent="0.25">
      <c r="A2" s="257">
        <v>44013</v>
      </c>
      <c r="B2" s="430" t="s">
        <v>158</v>
      </c>
      <c r="C2" s="430" t="s">
        <v>161</v>
      </c>
      <c r="D2" s="430" t="s">
        <v>169</v>
      </c>
      <c r="E2" s="430" t="s">
        <v>168</v>
      </c>
      <c r="F2" s="430" t="s">
        <v>170</v>
      </c>
      <c r="G2" s="430" t="s">
        <v>198</v>
      </c>
      <c r="H2" s="430" t="s">
        <v>174</v>
      </c>
      <c r="I2" s="430" t="s">
        <v>181</v>
      </c>
      <c r="J2" s="430" t="s">
        <v>196</v>
      </c>
      <c r="K2" s="430" t="s">
        <v>173</v>
      </c>
      <c r="L2" s="302" t="s">
        <v>116</v>
      </c>
      <c r="M2" s="398" t="s">
        <v>21</v>
      </c>
    </row>
    <row r="3" spans="1:13" ht="15.75" thickTop="1" x14ac:dyDescent="0.25">
      <c r="A3" s="185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2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3"/>
    </row>
    <row r="5" spans="1:13" x14ac:dyDescent="0.2">
      <c r="A5" s="38" t="s">
        <v>30</v>
      </c>
      <c r="B5" s="78">
        <f>[3]Pinnacle!$GV$22+[3]Pinnacle!$GV$32</f>
        <v>50206</v>
      </c>
      <c r="C5" s="78">
        <f>[3]MESA_UA!$GV$22</f>
        <v>3336</v>
      </c>
      <c r="D5" s="83">
        <f>'[3]Sky West'!$GV$22+'[3]Sky West'!$GV$32</f>
        <v>42445</v>
      </c>
      <c r="E5" s="83">
        <f>'[3]Sky West_UA'!$GV$22</f>
        <v>3631</v>
      </c>
      <c r="F5" s="83">
        <f>'[3]Sky West_AS'!$GV$22</f>
        <v>0</v>
      </c>
      <c r="G5" s="83">
        <f>'[3]Sky West_AA'!$GV$22</f>
        <v>0</v>
      </c>
      <c r="H5" s="83">
        <f>[3]Republic!$GV$22</f>
        <v>6852</v>
      </c>
      <c r="I5" s="83">
        <f>[3]Republic_UA!$GV$22</f>
        <v>2687</v>
      </c>
      <c r="J5" s="83">
        <f>'[3]Sky Regional'!$GV$32</f>
        <v>0</v>
      </c>
      <c r="K5" s="83">
        <f>'[3]American Eagle'!$GV$22</f>
        <v>510</v>
      </c>
      <c r="L5" s="83">
        <f>'Other Regional'!J5</f>
        <v>33</v>
      </c>
      <c r="M5" s="393">
        <f>SUM(B5:L5)</f>
        <v>109700</v>
      </c>
    </row>
    <row r="6" spans="1:13" s="6" customFormat="1" x14ac:dyDescent="0.2">
      <c r="A6" s="38" t="s">
        <v>31</v>
      </c>
      <c r="B6" s="78">
        <f>[3]Pinnacle!$GV$23+[3]Pinnacle!$GV$33</f>
        <v>50185</v>
      </c>
      <c r="C6" s="78">
        <f>[3]MESA_UA!$GV$23</f>
        <v>2868</v>
      </c>
      <c r="D6" s="83">
        <f>'[3]Sky West'!$GV$23+'[3]Sky West'!$GV$33</f>
        <v>42418</v>
      </c>
      <c r="E6" s="83">
        <f>'[3]Sky West_UA'!$GV$23</f>
        <v>3978</v>
      </c>
      <c r="F6" s="83">
        <f>'[3]Sky West_AS'!$GV$23</f>
        <v>0</v>
      </c>
      <c r="G6" s="83">
        <f>'[3]Sky West_AA'!$GV$23</f>
        <v>0</v>
      </c>
      <c r="H6" s="83">
        <f>[3]Republic!$GV$23</f>
        <v>6887</v>
      </c>
      <c r="I6" s="83">
        <f>[3]Republic_UA!$GV$23</f>
        <v>3474</v>
      </c>
      <c r="J6" s="83">
        <f>'[3]Sky Regional'!$GV$33</f>
        <v>0</v>
      </c>
      <c r="K6" s="83">
        <f>'[3]American Eagle'!$GV$23</f>
        <v>605</v>
      </c>
      <c r="L6" s="83">
        <f>'Other Regional'!J6</f>
        <v>0</v>
      </c>
      <c r="M6" s="394">
        <f>SUM(B6:L6)</f>
        <v>110415</v>
      </c>
    </row>
    <row r="7" spans="1:13" ht="15" thickBot="1" x14ac:dyDescent="0.25">
      <c r="A7" s="47" t="s">
        <v>7</v>
      </c>
      <c r="B7" s="91">
        <f>SUM(B5:B6)</f>
        <v>100391</v>
      </c>
      <c r="C7" s="91">
        <f t="shared" ref="C7:L7" si="0">SUM(C5:C6)</f>
        <v>6204</v>
      </c>
      <c r="D7" s="91">
        <f t="shared" si="0"/>
        <v>84863</v>
      </c>
      <c r="E7" s="91">
        <f t="shared" si="0"/>
        <v>7609</v>
      </c>
      <c r="F7" s="91">
        <f t="shared" ref="F7:G7" si="1">SUM(F5:F6)</f>
        <v>0</v>
      </c>
      <c r="G7" s="91">
        <f t="shared" si="1"/>
        <v>0</v>
      </c>
      <c r="H7" s="91">
        <f t="shared" si="0"/>
        <v>13739</v>
      </c>
      <c r="I7" s="91">
        <f t="shared" si="0"/>
        <v>6161</v>
      </c>
      <c r="J7" s="91">
        <f t="shared" si="0"/>
        <v>0</v>
      </c>
      <c r="K7" s="91">
        <f t="shared" si="0"/>
        <v>1115</v>
      </c>
      <c r="L7" s="91">
        <f t="shared" si="0"/>
        <v>33</v>
      </c>
      <c r="M7" s="395">
        <f>SUM(B7:L7)</f>
        <v>220115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6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3"/>
    </row>
    <row r="10" spans="1:13" x14ac:dyDescent="0.2">
      <c r="A10" s="38" t="s">
        <v>30</v>
      </c>
      <c r="B10" s="78">
        <f>[3]Pinnacle!$GV$27+[3]Pinnacle!$GV$37</f>
        <v>2166</v>
      </c>
      <c r="C10" s="78">
        <f>[3]MESA_UA!$GV$27</f>
        <v>222</v>
      </c>
      <c r="D10" s="83">
        <f>'[3]Sky West'!$GV$27+'[3]Sky West'!$GV$37</f>
        <v>2207</v>
      </c>
      <c r="E10" s="83">
        <f>'[3]Sky West_UA'!$GV$27</f>
        <v>434</v>
      </c>
      <c r="F10" s="83">
        <f>'[3]Sky West_AS'!$GV$27</f>
        <v>0</v>
      </c>
      <c r="G10" s="83">
        <f>'[3]Sky West_AA'!$GV$27</f>
        <v>0</v>
      </c>
      <c r="H10" s="83">
        <f>[3]Republic!$GV$27</f>
        <v>386</v>
      </c>
      <c r="I10" s="83">
        <f>[3]Republic_UA!$GV$27</f>
        <v>320</v>
      </c>
      <c r="J10" s="83">
        <f>'[3]Sky Regional'!$GV$37</f>
        <v>0</v>
      </c>
      <c r="K10" s="83">
        <f>'[3]American Eagle'!$GV$27</f>
        <v>41</v>
      </c>
      <c r="L10" s="83">
        <f>'Other Regional'!J10</f>
        <v>0</v>
      </c>
      <c r="M10" s="393">
        <f>SUM(B10:L10)</f>
        <v>5776</v>
      </c>
    </row>
    <row r="11" spans="1:13" x14ac:dyDescent="0.2">
      <c r="A11" s="38" t="s">
        <v>33</v>
      </c>
      <c r="B11" s="78">
        <f>[3]Pinnacle!$GV$28+[3]Pinnacle!$GV$38</f>
        <v>2190</v>
      </c>
      <c r="C11" s="78">
        <f>[3]MESA_UA!$GV$28</f>
        <v>210</v>
      </c>
      <c r="D11" s="83">
        <f>'[3]Sky West'!$GV$28+'[3]Sky West'!$GV$38</f>
        <v>2148</v>
      </c>
      <c r="E11" s="83">
        <f>'[3]Sky West_UA'!$GV$28</f>
        <v>395</v>
      </c>
      <c r="F11" s="83">
        <f>'[3]Sky West_AS'!$GV$28</f>
        <v>0</v>
      </c>
      <c r="G11" s="83">
        <f>'[3]Sky West_AA'!$GV$28</f>
        <v>0</v>
      </c>
      <c r="H11" s="83">
        <f>[3]Republic!$GV$28</f>
        <v>341</v>
      </c>
      <c r="I11" s="83">
        <f>[3]Republic_UA!$GV$28</f>
        <v>420</v>
      </c>
      <c r="J11" s="83">
        <f>'[3]Sky Regional'!$GV$38</f>
        <v>0</v>
      </c>
      <c r="K11" s="83">
        <f>'[3]American Eagle'!$GV$28</f>
        <v>45</v>
      </c>
      <c r="L11" s="83">
        <f>'Other Regional'!J11</f>
        <v>0</v>
      </c>
      <c r="M11" s="394">
        <f>SUM(B11:L11)</f>
        <v>5749</v>
      </c>
    </row>
    <row r="12" spans="1:13" ht="15" thickBot="1" x14ac:dyDescent="0.25">
      <c r="A12" s="48" t="s">
        <v>34</v>
      </c>
      <c r="B12" s="92">
        <f t="shared" ref="B12:L12" si="2">SUM(B10:B11)</f>
        <v>4356</v>
      </c>
      <c r="C12" s="92">
        <f t="shared" si="2"/>
        <v>432</v>
      </c>
      <c r="D12" s="92">
        <f t="shared" si="2"/>
        <v>4355</v>
      </c>
      <c r="E12" s="92">
        <f t="shared" si="2"/>
        <v>829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727</v>
      </c>
      <c r="I12" s="92">
        <f t="shared" si="2"/>
        <v>740</v>
      </c>
      <c r="J12" s="92">
        <f t="shared" si="2"/>
        <v>0</v>
      </c>
      <c r="K12" s="92">
        <f t="shared" si="2"/>
        <v>86</v>
      </c>
      <c r="L12" s="92">
        <f t="shared" si="2"/>
        <v>0</v>
      </c>
      <c r="M12" s="397">
        <f>SUM(B12:L12)</f>
        <v>11525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399">
        <f t="shared" ref="M14" si="4">SUM(B14:L14)</f>
        <v>0</v>
      </c>
    </row>
    <row r="15" spans="1:13" x14ac:dyDescent="0.2">
      <c r="A15" s="38" t="s">
        <v>53</v>
      </c>
      <c r="B15" s="12">
        <f>[3]Pinnacle!$GV$4+[3]Pinnacle!$GV$15</f>
        <v>1567</v>
      </c>
      <c r="C15" s="77">
        <f>[3]MESA_UA!$GV$4</f>
        <v>75</v>
      </c>
      <c r="D15" s="76">
        <f>'[3]Sky West'!$GV$4+'[3]Sky West'!$GV$15</f>
        <v>1572</v>
      </c>
      <c r="E15" s="76">
        <f>'[3]Sky West_UA'!$GV$4</f>
        <v>88</v>
      </c>
      <c r="F15" s="76">
        <f>'[3]Sky West_AS'!$GV$4</f>
        <v>0</v>
      </c>
      <c r="G15" s="76">
        <f>'[3]Sky West_AA'!$GV$4</f>
        <v>0</v>
      </c>
      <c r="H15" s="78">
        <f>[3]Republic!$GV$4</f>
        <v>135</v>
      </c>
      <c r="I15" s="311">
        <f>[3]Republic_UA!$GV$4</f>
        <v>97</v>
      </c>
      <c r="J15" s="311">
        <f>'[3]Sky Regional'!$GV$15</f>
        <v>0</v>
      </c>
      <c r="K15" s="311">
        <f>'[3]American Eagle'!$GV$4</f>
        <v>8</v>
      </c>
      <c r="L15" s="77">
        <f>'Other Regional'!J15</f>
        <v>1</v>
      </c>
      <c r="M15" s="393">
        <f t="shared" ref="M15:M21" si="5">SUM(B15:L15)</f>
        <v>3543</v>
      </c>
    </row>
    <row r="16" spans="1:13" x14ac:dyDescent="0.2">
      <c r="A16" s="38" t="s">
        <v>54</v>
      </c>
      <c r="B16" s="7">
        <f>[3]Pinnacle!$GV$5+[3]Pinnacle!$GV$16</f>
        <v>1569</v>
      </c>
      <c r="C16" s="80">
        <f>[3]MESA_UA!$GV$5</f>
        <v>75</v>
      </c>
      <c r="D16" s="79">
        <f>'[3]Sky West'!$GV$5+'[3]Sky West'!$GV$16</f>
        <v>1571</v>
      </c>
      <c r="E16" s="79">
        <f>'[3]Sky West_UA'!$GV$5</f>
        <v>88</v>
      </c>
      <c r="F16" s="79">
        <f>'[3]Sky West_AS'!$GV$5</f>
        <v>0</v>
      </c>
      <c r="G16" s="79">
        <f>'[3]Sky West_AA'!$GV$5</f>
        <v>0</v>
      </c>
      <c r="H16" s="81">
        <f>[3]Republic!$GV$5</f>
        <v>135</v>
      </c>
      <c r="I16" s="193">
        <f>[3]Republic_UA!$GV$5</f>
        <v>96</v>
      </c>
      <c r="J16" s="193">
        <f>'[3]Sky Regional'!$GV$16</f>
        <v>0</v>
      </c>
      <c r="K16" s="193">
        <f>'[3]American Eagle'!$GV$5</f>
        <v>9</v>
      </c>
      <c r="L16" s="80">
        <f>'Other Regional'!J16</f>
        <v>1</v>
      </c>
      <c r="M16" s="394">
        <f t="shared" si="5"/>
        <v>3544</v>
      </c>
    </row>
    <row r="17" spans="1:13" x14ac:dyDescent="0.2">
      <c r="A17" s="42" t="s">
        <v>55</v>
      </c>
      <c r="B17" s="82">
        <f t="shared" ref="B17:K17" si="6">SUM(B15:B16)</f>
        <v>3136</v>
      </c>
      <c r="C17" s="82">
        <f t="shared" si="6"/>
        <v>150</v>
      </c>
      <c r="D17" s="82">
        <f t="shared" si="6"/>
        <v>3143</v>
      </c>
      <c r="E17" s="82">
        <f>SUM(E15:E16)</f>
        <v>176</v>
      </c>
      <c r="F17" s="82">
        <f>SUM(F15:F16)</f>
        <v>0</v>
      </c>
      <c r="G17" s="82">
        <f>SUM(G15:G16)</f>
        <v>0</v>
      </c>
      <c r="H17" s="82">
        <f>SUM(H15:H16)</f>
        <v>270</v>
      </c>
      <c r="I17" s="82">
        <f t="shared" ref="I17" si="7">SUM(I15:I16)</f>
        <v>193</v>
      </c>
      <c r="J17" s="82">
        <f>SUM(J15:J16)</f>
        <v>0</v>
      </c>
      <c r="K17" s="82">
        <f t="shared" si="6"/>
        <v>17</v>
      </c>
      <c r="L17" s="82">
        <f>SUM(L15:L16)</f>
        <v>2</v>
      </c>
      <c r="M17" s="400">
        <f t="shared" si="5"/>
        <v>7087</v>
      </c>
    </row>
    <row r="18" spans="1:13" x14ac:dyDescent="0.2">
      <c r="A18" s="38" t="s">
        <v>56</v>
      </c>
      <c r="B18" s="83">
        <f>[3]Pinnacle!$GV$8</f>
        <v>0</v>
      </c>
      <c r="C18" s="78">
        <f>[3]MESA_UA!$GV$8</f>
        <v>0</v>
      </c>
      <c r="D18" s="83">
        <f>'[3]Sky West'!$GV$8</f>
        <v>0</v>
      </c>
      <c r="E18" s="83">
        <f>'[3]Sky West_UA'!$GV$8</f>
        <v>0</v>
      </c>
      <c r="F18" s="83">
        <f>'[3]Sky West_AS'!$GV$8</f>
        <v>0</v>
      </c>
      <c r="G18" s="83">
        <f>'[3]Sky West_AA'!$GV$8</f>
        <v>0</v>
      </c>
      <c r="H18" s="83">
        <f>[3]Republic!$GV$8</f>
        <v>0</v>
      </c>
      <c r="I18" s="83">
        <f>[3]Republic_UA!$GV$8</f>
        <v>0</v>
      </c>
      <c r="J18" s="83">
        <f>'[3]Sky Regional'!$GV$8</f>
        <v>0</v>
      </c>
      <c r="K18" s="83">
        <f>'[3]American Eagle'!$GV$8</f>
        <v>0</v>
      </c>
      <c r="L18" s="83">
        <f>'Other Regional'!J18</f>
        <v>0</v>
      </c>
      <c r="M18" s="393">
        <f t="shared" si="5"/>
        <v>0</v>
      </c>
    </row>
    <row r="19" spans="1:13" x14ac:dyDescent="0.2">
      <c r="A19" s="38" t="s">
        <v>57</v>
      </c>
      <c r="B19" s="84">
        <f>[3]Pinnacle!$GV$9</f>
        <v>3</v>
      </c>
      <c r="C19" s="81">
        <f>[3]MESA_UA!$GV$9</f>
        <v>0</v>
      </c>
      <c r="D19" s="84">
        <f>'[3]Sky West'!$GV$9</f>
        <v>1</v>
      </c>
      <c r="E19" s="84">
        <f>'[3]Sky West_UA'!$GV$9</f>
        <v>0</v>
      </c>
      <c r="F19" s="84">
        <f>'[3]Sky West_AS'!$GV$9</f>
        <v>0</v>
      </c>
      <c r="G19" s="84">
        <f>'[3]Sky West_AA'!$GV$9</f>
        <v>0</v>
      </c>
      <c r="H19" s="84">
        <f>[3]Republic!$GV$9</f>
        <v>0</v>
      </c>
      <c r="I19" s="84">
        <f>[3]Republic_UA!$GV$9</f>
        <v>0</v>
      </c>
      <c r="J19" s="84">
        <f>'[3]Sky Regional'!$GV$9</f>
        <v>0</v>
      </c>
      <c r="K19" s="84">
        <f>'[3]American Eagle'!$GV$9</f>
        <v>0</v>
      </c>
      <c r="L19" s="84">
        <f>'Other Regional'!J19</f>
        <v>0</v>
      </c>
      <c r="M19" s="394">
        <f t="shared" si="5"/>
        <v>4</v>
      </c>
    </row>
    <row r="20" spans="1:13" x14ac:dyDescent="0.2">
      <c r="A20" s="42" t="s">
        <v>58</v>
      </c>
      <c r="B20" s="82">
        <f t="shared" ref="B20:L20" si="8">SUM(B18:B19)</f>
        <v>3</v>
      </c>
      <c r="C20" s="82">
        <f t="shared" si="8"/>
        <v>0</v>
      </c>
      <c r="D20" s="82">
        <f t="shared" si="8"/>
        <v>1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0">
        <f t="shared" si="5"/>
        <v>4</v>
      </c>
    </row>
    <row r="21" spans="1:13" ht="15.75" thickBot="1" x14ac:dyDescent="0.3">
      <c r="A21" s="46" t="s">
        <v>28</v>
      </c>
      <c r="B21" s="85">
        <f t="shared" ref="B21:K21" si="10">SUM(B20,B17)</f>
        <v>3139</v>
      </c>
      <c r="C21" s="85">
        <f t="shared" si="10"/>
        <v>150</v>
      </c>
      <c r="D21" s="85">
        <f t="shared" si="10"/>
        <v>3144</v>
      </c>
      <c r="E21" s="85">
        <f t="shared" si="10"/>
        <v>176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270</v>
      </c>
      <c r="I21" s="85">
        <f t="shared" si="10"/>
        <v>193</v>
      </c>
      <c r="J21" s="85">
        <f t="shared" si="10"/>
        <v>0</v>
      </c>
      <c r="K21" s="85">
        <f t="shared" si="10"/>
        <v>17</v>
      </c>
      <c r="L21" s="85">
        <f>SUM(L20,L17)</f>
        <v>2</v>
      </c>
      <c r="M21" s="401">
        <f t="shared" si="5"/>
        <v>7091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2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3"/>
    </row>
    <row r="25" spans="1:13" x14ac:dyDescent="0.2">
      <c r="A25" s="38" t="s">
        <v>37</v>
      </c>
      <c r="B25" s="83">
        <f>[3]Pinnacle!$GV$47</f>
        <v>0</v>
      </c>
      <c r="C25" s="78">
        <f>[3]MESA_UA!$GV$47</f>
        <v>0</v>
      </c>
      <c r="D25" s="83">
        <f>'[3]Sky West'!$GV$47</f>
        <v>0</v>
      </c>
      <c r="E25" s="83">
        <f>'[3]Sky West_UA'!$GV$47</f>
        <v>0</v>
      </c>
      <c r="F25" s="83">
        <f>'[3]Sky West_AS'!$GV$47</f>
        <v>0</v>
      </c>
      <c r="G25" s="83">
        <f>'[3]Sky West_AA'!$GV$47</f>
        <v>0</v>
      </c>
      <c r="H25" s="83">
        <f>[3]Republic!$GV$47</f>
        <v>1447</v>
      </c>
      <c r="I25" s="83">
        <f>[3]Republic_UA!$GV$47</f>
        <v>0</v>
      </c>
      <c r="J25" s="83">
        <f>'[3]Sky Regional'!$GV$47</f>
        <v>0</v>
      </c>
      <c r="K25" s="83">
        <f>'[3]American Eagle'!$GV$47</f>
        <v>0</v>
      </c>
      <c r="L25" s="83">
        <f>'Other Regional'!J25</f>
        <v>0</v>
      </c>
      <c r="M25" s="393">
        <f>SUM(B25:L25)</f>
        <v>1447</v>
      </c>
    </row>
    <row r="26" spans="1:13" x14ac:dyDescent="0.2">
      <c r="A26" s="38" t="s">
        <v>38</v>
      </c>
      <c r="B26" s="83">
        <f>[3]Pinnacle!$GV$48</f>
        <v>0</v>
      </c>
      <c r="C26" s="78">
        <f>[3]MESA_UA!$GV$48</f>
        <v>0</v>
      </c>
      <c r="D26" s="83">
        <f>'[3]Sky West'!$GV$48</f>
        <v>0</v>
      </c>
      <c r="E26" s="83">
        <f>'[3]Sky West_UA'!$GV$48</f>
        <v>0</v>
      </c>
      <c r="F26" s="83">
        <f>'[3]Sky West_AS'!$GV$48</f>
        <v>0</v>
      </c>
      <c r="G26" s="83">
        <f>'[3]Sky West_AA'!$GV$48</f>
        <v>0</v>
      </c>
      <c r="H26" s="83">
        <f>[3]Republic!$GV$48</f>
        <v>0</v>
      </c>
      <c r="I26" s="83">
        <f>[3]Republic_UA!$GV$48</f>
        <v>0</v>
      </c>
      <c r="J26" s="83">
        <f>'[3]Sky Regional'!$GV$48</f>
        <v>0</v>
      </c>
      <c r="K26" s="83">
        <f>'[3]American Eagle'!$GV$48</f>
        <v>0</v>
      </c>
      <c r="L26" s="83">
        <f>'Other Regional'!J26</f>
        <v>0</v>
      </c>
      <c r="M26" s="393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1447</v>
      </c>
      <c r="I27" s="91">
        <f t="shared" si="12"/>
        <v>0</v>
      </c>
      <c r="J27" s="91">
        <f t="shared" si="12"/>
        <v>0</v>
      </c>
      <c r="K27" s="91">
        <f t="shared" si="12"/>
        <v>0</v>
      </c>
      <c r="L27" s="91">
        <f t="shared" si="12"/>
        <v>0</v>
      </c>
      <c r="M27" s="395">
        <f>SUM(B27:L27)</f>
        <v>1447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3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3"/>
    </row>
    <row r="30" spans="1:13" x14ac:dyDescent="0.2">
      <c r="A30" s="38" t="s">
        <v>59</v>
      </c>
      <c r="B30" s="83">
        <f>[3]Pinnacle!$GV$52</f>
        <v>0</v>
      </c>
      <c r="C30" s="78">
        <f>[3]MESA_UA!$GV$52</f>
        <v>0</v>
      </c>
      <c r="D30" s="83">
        <f>'[3]Sky West'!$GV$52</f>
        <v>0</v>
      </c>
      <c r="E30" s="83">
        <f>'[3]Sky West_UA'!$GV$52</f>
        <v>0</v>
      </c>
      <c r="F30" s="83">
        <f>'[3]Sky West_AS'!$GV$52</f>
        <v>0</v>
      </c>
      <c r="G30" s="83">
        <f>'[3]Sky West_AA'!$GV$52</f>
        <v>0</v>
      </c>
      <c r="H30" s="83">
        <f>[3]Republic!$GV$52</f>
        <v>515</v>
      </c>
      <c r="I30" s="83">
        <f>[3]Republic_UA!$GV$52</f>
        <v>0</v>
      </c>
      <c r="J30" s="83">
        <f>'[3]Sky Regional'!$GV$52</f>
        <v>0</v>
      </c>
      <c r="K30" s="83">
        <f>'[3]American Eagle'!$GV$52</f>
        <v>0</v>
      </c>
      <c r="L30" s="83">
        <f>'Other Regional'!J30</f>
        <v>0</v>
      </c>
      <c r="M30" s="393">
        <f t="shared" ref="M30:M37" si="14">SUM(B30:L30)</f>
        <v>515</v>
      </c>
    </row>
    <row r="31" spans="1:13" x14ac:dyDescent="0.2">
      <c r="A31" s="38" t="s">
        <v>60</v>
      </c>
      <c r="B31" s="83">
        <f>[3]Pinnacle!$GV$53</f>
        <v>0</v>
      </c>
      <c r="C31" s="78">
        <f>[3]MESA_UA!$GV$53</f>
        <v>0</v>
      </c>
      <c r="D31" s="83">
        <f>'[3]Sky West'!$GV$53</f>
        <v>0</v>
      </c>
      <c r="E31" s="83">
        <f>'[3]Sky West_UA'!$GV$53</f>
        <v>0</v>
      </c>
      <c r="F31" s="83">
        <f>'[3]Sky West_AS'!$GV$53</f>
        <v>0</v>
      </c>
      <c r="G31" s="83">
        <f>'[3]Sky West_AA'!$GV$53</f>
        <v>0</v>
      </c>
      <c r="H31" s="83">
        <f>[3]Republic!$GV$53</f>
        <v>0</v>
      </c>
      <c r="I31" s="83">
        <f>[3]Republic_UA!$GV$53</f>
        <v>0</v>
      </c>
      <c r="J31" s="83">
        <f>'[3]Sky Regional'!$GV$53</f>
        <v>0</v>
      </c>
      <c r="K31" s="83">
        <f>'[3]American Eagle'!$GV$53</f>
        <v>0</v>
      </c>
      <c r="L31" s="83">
        <f>'Other Regional'!J31</f>
        <v>0</v>
      </c>
      <c r="M31" s="393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515</v>
      </c>
      <c r="I32" s="91">
        <f t="shared" si="15"/>
        <v>0</v>
      </c>
      <c r="J32" s="91">
        <f t="shared" si="15"/>
        <v>0</v>
      </c>
      <c r="K32" s="91">
        <f t="shared" si="15"/>
        <v>0</v>
      </c>
      <c r="L32" s="91">
        <f>SUM(L30:L31)</f>
        <v>0</v>
      </c>
      <c r="M32" s="395">
        <f t="shared" si="14"/>
        <v>515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3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3">
        <f t="shared" si="14"/>
        <v>0</v>
      </c>
    </row>
    <row r="35" spans="1:13" ht="13.5" hidden="1" thickTop="1" x14ac:dyDescent="0.2">
      <c r="A35" s="38" t="s">
        <v>37</v>
      </c>
      <c r="B35" s="83">
        <f>[3]Pinnacle!$GV$57</f>
        <v>0</v>
      </c>
      <c r="C35" s="78">
        <f>[3]MESA_UA!$GV$57</f>
        <v>0</v>
      </c>
      <c r="D35" s="83">
        <f>'[3]Sky West'!$GV$57</f>
        <v>0</v>
      </c>
      <c r="E35" s="83">
        <f>'[3]Sky West_UA'!$GV$57</f>
        <v>0</v>
      </c>
      <c r="F35" s="83">
        <f>'[3]Sky West_AS'!$GV$57</f>
        <v>0</v>
      </c>
      <c r="G35" s="83">
        <f>'[3]Sky West_AA'!$GV$57</f>
        <v>0</v>
      </c>
      <c r="H35" s="83">
        <f>[3]Republic!$GV$57</f>
        <v>0</v>
      </c>
      <c r="I35" s="83">
        <f>[3]Republic!$GV$57</f>
        <v>0</v>
      </c>
      <c r="J35" s="83">
        <f>[3]Republic!$GV$57</f>
        <v>0</v>
      </c>
      <c r="K35" s="83">
        <f>'[3]American Eagle'!$GV$57</f>
        <v>0</v>
      </c>
      <c r="L35" s="83">
        <f>'Other Regional'!J35</f>
        <v>0</v>
      </c>
      <c r="M35" s="393">
        <f t="shared" si="14"/>
        <v>0</v>
      </c>
    </row>
    <row r="36" spans="1:13" ht="13.5" hidden="1" thickTop="1" x14ac:dyDescent="0.2">
      <c r="A36" s="38" t="s">
        <v>38</v>
      </c>
      <c r="B36" s="83">
        <f>[3]Pinnacle!$GV$58</f>
        <v>0</v>
      </c>
      <c r="C36" s="78">
        <f>[3]MESA_UA!$GV$58</f>
        <v>0</v>
      </c>
      <c r="D36" s="83">
        <f>'[3]Sky West'!$GV$58</f>
        <v>0</v>
      </c>
      <c r="E36" s="83">
        <f>'[3]Sky West_UA'!$GV$58</f>
        <v>0</v>
      </c>
      <c r="F36" s="83">
        <f>'[3]Sky West_AS'!$GV$58</f>
        <v>0</v>
      </c>
      <c r="G36" s="83">
        <f>'[3]Sky West_AA'!$GV$58</f>
        <v>0</v>
      </c>
      <c r="H36" s="83">
        <f>[3]Republic!$GV$58</f>
        <v>0</v>
      </c>
      <c r="I36" s="83">
        <f>[3]Republic!$GV$58</f>
        <v>0</v>
      </c>
      <c r="J36" s="83">
        <f>[3]Republic!$GV$58</f>
        <v>0</v>
      </c>
      <c r="K36" s="83">
        <f>'[3]American Eagle'!$GV$58</f>
        <v>0</v>
      </c>
      <c r="L36" s="83">
        <f>'Other Regional'!J36</f>
        <v>0</v>
      </c>
      <c r="M36" s="393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3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3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3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1962</v>
      </c>
      <c r="I40" s="83">
        <f t="shared" si="19"/>
        <v>0</v>
      </c>
      <c r="J40" s="83">
        <f t="shared" si="19"/>
        <v>0</v>
      </c>
      <c r="K40" s="83">
        <f>SUM(K35,K30,K25)</f>
        <v>0</v>
      </c>
      <c r="L40" s="83">
        <f>L35+L30+L25</f>
        <v>0</v>
      </c>
      <c r="M40" s="393">
        <f>SUM(B40:L40)</f>
        <v>1962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3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1962</v>
      </c>
      <c r="I42" s="92">
        <f t="shared" si="19"/>
        <v>0</v>
      </c>
      <c r="J42" s="92">
        <f t="shared" si="19"/>
        <v>0</v>
      </c>
      <c r="K42" s="92">
        <f>SUM(K37,K32,K27)</f>
        <v>0</v>
      </c>
      <c r="L42" s="92">
        <f>SUM(L37,L32,L27)</f>
        <v>0</v>
      </c>
      <c r="M42" s="397">
        <f>SUM(B42:L42)</f>
        <v>1962</v>
      </c>
    </row>
    <row r="44" spans="1:13" x14ac:dyDescent="0.2">
      <c r="A44" s="254" t="s">
        <v>122</v>
      </c>
      <c r="B44" s="214">
        <f>[3]Pinnacle!$GV$70+[3]Pinnacle!$GV$73</f>
        <v>14435</v>
      </c>
      <c r="D44" s="215">
        <f>'[3]Sky West'!$GV$70+'[3]Sky West'!$GV$73</f>
        <v>13129</v>
      </c>
      <c r="E44" s="2"/>
      <c r="F44" s="2"/>
      <c r="G44" s="2"/>
      <c r="L44" s="215">
        <f>+'Other Regional'!J46</f>
        <v>0</v>
      </c>
      <c r="M44" s="204">
        <f>SUM(B44:L44)</f>
        <v>27564</v>
      </c>
    </row>
    <row r="45" spans="1:13" x14ac:dyDescent="0.2">
      <c r="A45" s="266" t="s">
        <v>123</v>
      </c>
      <c r="B45" s="214">
        <f>[3]Pinnacle!$GV$71+[3]Pinnacle!$GV$74</f>
        <v>35750</v>
      </c>
      <c r="D45" s="215">
        <f>'[3]Sky West'!$GV$71+'[3]Sky West'!$GV$74</f>
        <v>29289</v>
      </c>
      <c r="E45" s="2"/>
      <c r="F45" s="2"/>
      <c r="G45" s="2"/>
      <c r="L45" s="215">
        <f>+'Other Regional'!J47</f>
        <v>0</v>
      </c>
      <c r="M45" s="204">
        <f>SUM(B45:L45)</f>
        <v>65039</v>
      </c>
    </row>
    <row r="46" spans="1:13" x14ac:dyDescent="0.2">
      <c r="A46" s="205" t="s">
        <v>124</v>
      </c>
      <c r="B46" s="206">
        <f>SUM(B44:B45)</f>
        <v>50185</v>
      </c>
      <c r="L46" s="2"/>
      <c r="M46" s="192"/>
    </row>
    <row r="47" spans="1:13" x14ac:dyDescent="0.2">
      <c r="A47" s="207"/>
      <c r="B47" s="208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July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E3" sqref="E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x14ac:dyDescent="0.2">
      <c r="A1" s="262"/>
    </row>
    <row r="2" spans="1:10" ht="55.5" customHeight="1" thickBot="1" x14ac:dyDescent="0.25">
      <c r="A2" s="257">
        <v>44013</v>
      </c>
      <c r="B2" s="351" t="s">
        <v>172</v>
      </c>
      <c r="C2" s="351" t="s">
        <v>171</v>
      </c>
      <c r="D2" s="431" t="s">
        <v>197</v>
      </c>
      <c r="E2" s="431" t="s">
        <v>227</v>
      </c>
      <c r="F2" s="431" t="s">
        <v>176</v>
      </c>
      <c r="G2" s="431" t="s">
        <v>175</v>
      </c>
      <c r="H2" s="351" t="s">
        <v>160</v>
      </c>
      <c r="I2" s="351" t="s">
        <v>163</v>
      </c>
      <c r="J2" s="351" t="s">
        <v>21</v>
      </c>
    </row>
    <row r="3" spans="1:10" ht="15" x14ac:dyDescent="0.25">
      <c r="A3" s="185" t="s">
        <v>3</v>
      </c>
      <c r="B3" s="278"/>
      <c r="C3" s="278"/>
      <c r="D3" s="278"/>
      <c r="E3" s="278"/>
      <c r="F3" s="279"/>
      <c r="G3" s="279"/>
      <c r="H3" s="279"/>
      <c r="I3" s="279"/>
      <c r="J3" s="392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3"/>
    </row>
    <row r="5" spans="1:10" x14ac:dyDescent="0.2">
      <c r="A5" s="38" t="s">
        <v>30</v>
      </c>
      <c r="B5" s="78">
        <f>'[3]Shuttle America'!$GV$22</f>
        <v>0</v>
      </c>
      <c r="C5" s="78">
        <f>'[3]Shuttle America_Delta'!$GV$22</f>
        <v>0</v>
      </c>
      <c r="D5" s="311">
        <f>[3]Horizon_AS!$GV$22</f>
        <v>0</v>
      </c>
      <c r="E5" s="311">
        <f>'[3]Air Wisconsin'!$GV$22</f>
        <v>33</v>
      </c>
      <c r="F5" s="78">
        <f>'[3]Atlantic Southeast'!$GV$22+'[3]Atlantic Southeast'!$GV$32</f>
        <v>0</v>
      </c>
      <c r="G5" s="78">
        <f>'[3]Continental Express'!$GV$22</f>
        <v>0</v>
      </c>
      <c r="H5" s="83">
        <f>'[3]Go Jet_UA'!$GV$22</f>
        <v>0</v>
      </c>
      <c r="I5" s="12">
        <f>'[3]Go Jet'!$GV$22+'[3]Go Jet'!$GV$32</f>
        <v>0</v>
      </c>
      <c r="J5" s="393">
        <f>SUM(B5:I5)</f>
        <v>33</v>
      </c>
    </row>
    <row r="6" spans="1:10" s="6" customFormat="1" x14ac:dyDescent="0.2">
      <c r="A6" s="38" t="s">
        <v>31</v>
      </c>
      <c r="B6" s="78">
        <f>'[3]Shuttle America'!$GV$23</f>
        <v>0</v>
      </c>
      <c r="C6" s="78">
        <f>'[3]Shuttle America_Delta'!$GV$23</f>
        <v>0</v>
      </c>
      <c r="D6" s="311">
        <f>[3]Horizon_AS!$GV$23</f>
        <v>0</v>
      </c>
      <c r="E6" s="311">
        <f>'[3]Air Wisconsin'!$GV$23</f>
        <v>0</v>
      </c>
      <c r="F6" s="78">
        <f>'[3]Atlantic Southeast'!$GV$23+'[3]Atlantic Southeast'!$GV$33</f>
        <v>0</v>
      </c>
      <c r="G6" s="78">
        <f>'[3]Continental Express'!$GV$23</f>
        <v>0</v>
      </c>
      <c r="H6" s="83">
        <f>'[3]Go Jet_UA'!$GV$23</f>
        <v>0</v>
      </c>
      <c r="I6" s="7">
        <f>'[3]Go Jet'!$GV$23+'[3]Go Jet'!$GV$33</f>
        <v>0</v>
      </c>
      <c r="J6" s="394">
        <f>SUM(B6:I6)</f>
        <v>0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33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5">
        <f>SUM(B7:I7)</f>
        <v>33</v>
      </c>
    </row>
    <row r="8" spans="1:10" ht="13.5" thickTop="1" x14ac:dyDescent="0.2">
      <c r="A8" s="38"/>
      <c r="B8" s="78"/>
      <c r="C8" s="78"/>
      <c r="D8" s="311"/>
      <c r="E8" s="311"/>
      <c r="F8" s="78"/>
      <c r="G8" s="78"/>
      <c r="H8" s="83"/>
      <c r="I8" s="229"/>
      <c r="J8" s="396"/>
    </row>
    <row r="9" spans="1:10" s="6" customFormat="1" x14ac:dyDescent="0.2">
      <c r="A9" s="38" t="s">
        <v>32</v>
      </c>
      <c r="B9" s="78"/>
      <c r="C9" s="78"/>
      <c r="D9" s="311"/>
      <c r="E9" s="311"/>
      <c r="F9" s="78"/>
      <c r="G9" s="78"/>
      <c r="H9" s="83"/>
      <c r="I9" s="12"/>
      <c r="J9" s="393"/>
    </row>
    <row r="10" spans="1:10" x14ac:dyDescent="0.2">
      <c r="A10" s="38" t="s">
        <v>30</v>
      </c>
      <c r="B10" s="78">
        <f>'[3]Shuttle America'!$GV$27</f>
        <v>0</v>
      </c>
      <c r="C10" s="78">
        <f>'[3]Shuttle America_Delta'!$GV$27</f>
        <v>0</v>
      </c>
      <c r="D10" s="311">
        <f>[3]Horizon_AS!$GV$27</f>
        <v>0</v>
      </c>
      <c r="E10" s="311">
        <f>'[3]Air Wisconsin'!$GV$27</f>
        <v>0</v>
      </c>
      <c r="F10" s="12">
        <f>'[3]Atlantic Southeast'!$GV$27+'[3]Atlantic Southeast'!$GV$37</f>
        <v>0</v>
      </c>
      <c r="G10" s="78">
        <f>'[3]Continental Express'!$GV$27</f>
        <v>0</v>
      </c>
      <c r="H10" s="83">
        <f>'[3]Go Jet_UA'!$GV$27</f>
        <v>0</v>
      </c>
      <c r="I10" s="12">
        <f>'[3]Go Jet'!$GV$27+'[3]Go Jet'!$GV$37</f>
        <v>0</v>
      </c>
      <c r="J10" s="393">
        <f>SUM(B10:I10)</f>
        <v>0</v>
      </c>
    </row>
    <row r="11" spans="1:10" x14ac:dyDescent="0.2">
      <c r="A11" s="38" t="s">
        <v>33</v>
      </c>
      <c r="B11" s="78">
        <f>'[3]Shuttle America'!$GV$28</f>
        <v>0</v>
      </c>
      <c r="C11" s="78">
        <f>'[3]Shuttle America_Delta'!$GV$28</f>
        <v>0</v>
      </c>
      <c r="D11" s="311">
        <f>[3]Horizon_AS!$GV$28</f>
        <v>0</v>
      </c>
      <c r="E11" s="311">
        <f>'[3]Air Wisconsin'!$GV$28</f>
        <v>0</v>
      </c>
      <c r="F11" s="7">
        <f>'[3]Atlantic Southeast'!$GV$28+'[3]Atlantic Southeast'!$GV$38</f>
        <v>0</v>
      </c>
      <c r="G11" s="78">
        <f>'[3]Continental Express'!$GV$28</f>
        <v>0</v>
      </c>
      <c r="H11" s="83">
        <f>'[3]Go Jet_UA'!$GV$28</f>
        <v>0</v>
      </c>
      <c r="I11" s="7">
        <f>'[3]Go Jet'!$GV$28+'[3]Go Jet'!$GV$38</f>
        <v>0</v>
      </c>
      <c r="J11" s="394">
        <f>SUM(B11:I11)</f>
        <v>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7">
        <f>SUM(B12:I12)</f>
        <v>0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399"/>
    </row>
    <row r="15" spans="1:10" x14ac:dyDescent="0.2">
      <c r="A15" s="38" t="s">
        <v>53</v>
      </c>
      <c r="B15" s="76">
        <f>'[3]Shuttle America'!$GV$4</f>
        <v>0</v>
      </c>
      <c r="C15" s="76">
        <f>'[3]Shuttle America_Delta'!$GV$4</f>
        <v>0</v>
      </c>
      <c r="D15" s="312">
        <f>[3]Horizon_AS!$GV$4</f>
        <v>0</v>
      </c>
      <c r="E15" s="312">
        <f>'[3]Air Wisconsin'!$GV$4</f>
        <v>1</v>
      </c>
      <c r="F15" s="77">
        <f>'[3]Atlantic Southeast'!$GV$4+'[3]Atlantic Southeast'!$GV$15</f>
        <v>0</v>
      </c>
      <c r="G15" s="77">
        <f>'[3]Continental Express'!$GV$4</f>
        <v>0</v>
      </c>
      <c r="H15" s="76">
        <f>'[3]Go Jet_UA'!$GV$4</f>
        <v>0</v>
      </c>
      <c r="I15" s="12">
        <f>'[3]Go Jet'!$GV$4+'[3]Go Jet'!$GV$15</f>
        <v>0</v>
      </c>
      <c r="J15" s="393">
        <f t="shared" ref="J15:J21" si="5">SUM(B15:I15)</f>
        <v>1</v>
      </c>
    </row>
    <row r="16" spans="1:10" x14ac:dyDescent="0.2">
      <c r="A16" s="38" t="s">
        <v>54</v>
      </c>
      <c r="B16" s="79">
        <f>'[3]Shuttle America'!$GV$5</f>
        <v>0</v>
      </c>
      <c r="C16" s="79">
        <f>'[3]Shuttle America_Delta'!$GV$5</f>
        <v>0</v>
      </c>
      <c r="D16" s="313">
        <f>[3]Horizon_AS!$GV$5</f>
        <v>0</v>
      </c>
      <c r="E16" s="313">
        <f>'[3]Air Wisconsin'!$GV$5</f>
        <v>1</v>
      </c>
      <c r="F16" s="80">
        <f>'[3]Atlantic Southeast'!$GV$5+'[3]Atlantic Southeast'!$GV$16</f>
        <v>0</v>
      </c>
      <c r="G16" s="80">
        <f>'[3]Continental Express'!$GV$5</f>
        <v>0</v>
      </c>
      <c r="H16" s="79">
        <f>'[3]Go Jet_UA'!$GV$5</f>
        <v>0</v>
      </c>
      <c r="I16" s="7">
        <f>'[3]Go Jet'!$GV$5+'[3]Go Jet'!$GV$16</f>
        <v>0</v>
      </c>
      <c r="J16" s="394">
        <f t="shared" si="5"/>
        <v>1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2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7">
        <f>SUM(I15:I16)</f>
        <v>0</v>
      </c>
      <c r="J17" s="400">
        <f t="shared" si="5"/>
        <v>2</v>
      </c>
    </row>
    <row r="18" spans="1:10" x14ac:dyDescent="0.2">
      <c r="A18" s="38" t="s">
        <v>56</v>
      </c>
      <c r="B18" s="83">
        <f>'[3]Shuttle America'!$GV$8</f>
        <v>0</v>
      </c>
      <c r="C18" s="83">
        <f>'[3]Shuttle America_Delta'!$GV$8</f>
        <v>0</v>
      </c>
      <c r="D18" s="83">
        <f>[3]Horizon_AS!$GV$8</f>
        <v>0</v>
      </c>
      <c r="E18" s="83">
        <f>'[3]Air Wisconsin'!$GV$8</f>
        <v>0</v>
      </c>
      <c r="F18" s="78">
        <f>'[3]Atlantic Southeast'!$GV$8</f>
        <v>0</v>
      </c>
      <c r="G18" s="78">
        <f>'[3]Continental Express'!$GV$8</f>
        <v>0</v>
      </c>
      <c r="H18" s="83">
        <f>'[3]Go Jet_UA'!$GV$8</f>
        <v>0</v>
      </c>
      <c r="I18" s="12">
        <f>'[3]Go Jet'!$GV$8</f>
        <v>0</v>
      </c>
      <c r="J18" s="393">
        <f t="shared" si="5"/>
        <v>0</v>
      </c>
    </row>
    <row r="19" spans="1:10" x14ac:dyDescent="0.2">
      <c r="A19" s="38" t="s">
        <v>57</v>
      </c>
      <c r="B19" s="84">
        <f>'[3]Shuttle America'!$GV$9</f>
        <v>0</v>
      </c>
      <c r="C19" s="84">
        <f>'[3]Shuttle America_Delta'!$GV$9</f>
        <v>0</v>
      </c>
      <c r="D19" s="84">
        <f>[3]Horizon_AS!$GV$9</f>
        <v>0</v>
      </c>
      <c r="E19" s="84">
        <f>'[3]Air Wisconsin'!$GV$9</f>
        <v>0</v>
      </c>
      <c r="F19" s="81">
        <f>'[3]Atlantic Southeast'!$GV$9</f>
        <v>0</v>
      </c>
      <c r="G19" s="81">
        <f>'[3]Continental Express'!$GV$9</f>
        <v>0</v>
      </c>
      <c r="H19" s="84">
        <f>'[3]Go Jet_UA'!$GV$9</f>
        <v>0</v>
      </c>
      <c r="I19" s="7">
        <f>'[3]Go Jet'!$GV$9</f>
        <v>0</v>
      </c>
      <c r="J19" s="394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7">
        <f>SUM(I18:I19)</f>
        <v>0</v>
      </c>
      <c r="J20" s="400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2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1">
        <f t="shared" si="5"/>
        <v>2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2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3"/>
    </row>
    <row r="25" spans="1:10" x14ac:dyDescent="0.2">
      <c r="A25" s="38" t="s">
        <v>37</v>
      </c>
      <c r="B25" s="83">
        <f>'[3]Shuttle America'!$GV$47</f>
        <v>0</v>
      </c>
      <c r="C25" s="83">
        <f>'[3]Shuttle America_Delta'!$GV$47</f>
        <v>0</v>
      </c>
      <c r="D25" s="83">
        <f>[3]Horizon_AS!$GV$47</f>
        <v>0</v>
      </c>
      <c r="E25" s="83">
        <f>'[3]Air Wisconsin'!$GV$47</f>
        <v>0</v>
      </c>
      <c r="F25" s="78">
        <f>'[3]Atlantic Southeast'!$GV$47</f>
        <v>0</v>
      </c>
      <c r="G25" s="78">
        <f>'[3]Continental Express'!$GV$47</f>
        <v>0</v>
      </c>
      <c r="H25" s="83">
        <f>'[3]Go Jet_UA'!$GV$47</f>
        <v>0</v>
      </c>
      <c r="I25" s="83">
        <f>'[3]Go Jet'!$GV$47</f>
        <v>0</v>
      </c>
      <c r="J25" s="393">
        <f>SUM(B25:I25)</f>
        <v>0</v>
      </c>
    </row>
    <row r="26" spans="1:10" x14ac:dyDescent="0.2">
      <c r="A26" s="38" t="s">
        <v>38</v>
      </c>
      <c r="B26" s="83">
        <f>'[3]Shuttle America'!$GV$48</f>
        <v>0</v>
      </c>
      <c r="C26" s="83">
        <f>'[3]Shuttle America_Delta'!$GV$48</f>
        <v>0</v>
      </c>
      <c r="D26" s="83">
        <f>[3]Horizon_AS!$GV$48</f>
        <v>0</v>
      </c>
      <c r="E26" s="83">
        <f>'[3]Air Wisconsin'!$GV$48</f>
        <v>0</v>
      </c>
      <c r="F26" s="78">
        <f>'[3]Atlantic Southeast'!$GV$48</f>
        <v>0</v>
      </c>
      <c r="G26" s="78">
        <f>'[3]Continental Express'!$GV$48</f>
        <v>0</v>
      </c>
      <c r="H26" s="83">
        <f>'[3]Go Jet_UA'!$GV$48</f>
        <v>0</v>
      </c>
      <c r="I26" s="83">
        <f>'[3]Go Jet'!$GV$48</f>
        <v>0</v>
      </c>
      <c r="J26" s="393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5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3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3"/>
    </row>
    <row r="30" spans="1:10" x14ac:dyDescent="0.2">
      <c r="A30" s="38" t="s">
        <v>59</v>
      </c>
      <c r="B30" s="83">
        <f>'[3]Shuttle America'!$GV$52</f>
        <v>0</v>
      </c>
      <c r="C30" s="83">
        <f>'[3]Shuttle America_Delta'!$GV$52</f>
        <v>0</v>
      </c>
      <c r="D30" s="83">
        <f>[3]Horizon_AS!$GV$52</f>
        <v>0</v>
      </c>
      <c r="E30" s="83">
        <f>'[3]Air Wisconsin'!$GV$52</f>
        <v>0</v>
      </c>
      <c r="F30" s="78">
        <f>'[3]Atlantic Southeast'!$GV$52</f>
        <v>0</v>
      </c>
      <c r="G30" s="78">
        <f>'[3]Continental Express'!$GV$52</f>
        <v>0</v>
      </c>
      <c r="H30" s="83">
        <f>'[3]Go Jet_UA'!$GV$52</f>
        <v>0</v>
      </c>
      <c r="I30" s="83">
        <f>'[3]Go Jet'!$GV$52</f>
        <v>0</v>
      </c>
      <c r="J30" s="393">
        <f>SUM(B30:I30)</f>
        <v>0</v>
      </c>
    </row>
    <row r="31" spans="1:10" x14ac:dyDescent="0.2">
      <c r="A31" s="38" t="s">
        <v>60</v>
      </c>
      <c r="B31" s="83">
        <f>'[3]Shuttle America'!$GV$53</f>
        <v>0</v>
      </c>
      <c r="C31" s="83">
        <f>'[3]Shuttle America_Delta'!$GV$53</f>
        <v>0</v>
      </c>
      <c r="D31" s="83">
        <f>[3]Horizon_AS!$GV$53</f>
        <v>0</v>
      </c>
      <c r="E31" s="83">
        <f>'[3]Air Wisconsin'!$GV$53</f>
        <v>0</v>
      </c>
      <c r="F31" s="78">
        <f>'[3]Atlantic Southeast'!$GV$53</f>
        <v>0</v>
      </c>
      <c r="G31" s="78">
        <f>'[3]Continental Express'!$GV$53</f>
        <v>0</v>
      </c>
      <c r="H31" s="83">
        <f>'[3]Go Jet_UA'!$GV$53</f>
        <v>0</v>
      </c>
      <c r="I31" s="83">
        <f>'[3]Go Jet'!$GV$53</f>
        <v>0</v>
      </c>
      <c r="J31" s="393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5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3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3"/>
    </row>
    <row r="35" spans="1:10" ht="13.5" hidden="1" thickTop="1" x14ac:dyDescent="0.2">
      <c r="A35" s="38" t="s">
        <v>37</v>
      </c>
      <c r="B35" s="83">
        <f>'[3]Shuttle America'!$GV$57</f>
        <v>0</v>
      </c>
      <c r="C35" s="83">
        <f>'[3]Shuttle America_Delta'!$GV$57</f>
        <v>0</v>
      </c>
      <c r="D35" s="83">
        <f>[3]Horizon_AS!$GV$57</f>
        <v>0</v>
      </c>
      <c r="E35" s="83">
        <f>'[3]Air Wisconsin'!$GV$57</f>
        <v>0</v>
      </c>
      <c r="F35" s="78">
        <f>'[3]Atlantic Southeast'!$GV$57</f>
        <v>0</v>
      </c>
      <c r="G35" s="78">
        <f>'[3]Continental Express'!$GV$57</f>
        <v>0</v>
      </c>
      <c r="H35" s="83">
        <f>'[3]Go Jet_UA'!$AJ$57</f>
        <v>0</v>
      </c>
      <c r="I35" s="83">
        <f>'[3]Go Jet'!$GV$57</f>
        <v>0</v>
      </c>
      <c r="J35" s="393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3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3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3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3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3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3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7">
        <f>SUM(B42:I42)</f>
        <v>0</v>
      </c>
    </row>
    <row r="43" spans="1:10" ht="4.5" customHeight="1" x14ac:dyDescent="0.2"/>
    <row r="44" spans="1:10" hidden="1" x14ac:dyDescent="0.2">
      <c r="A44" s="216" t="s">
        <v>125</v>
      </c>
      <c r="F44" s="202"/>
      <c r="I44" s="215">
        <f>'[3]Go Jet'!BK$70+'[3]Go Jet'!BK$73</f>
        <v>0</v>
      </c>
      <c r="J44" s="204" t="e">
        <f>SUM(#REF!)</f>
        <v>#REF!</v>
      </c>
    </row>
    <row r="45" spans="1:10" hidden="1" x14ac:dyDescent="0.2">
      <c r="A45" s="216" t="s">
        <v>126</v>
      </c>
      <c r="F45" s="219"/>
      <c r="I45" s="215">
        <f>'[3]Go Jet'!BK$71+'[3]Go Jet'!BK$74</f>
        <v>0</v>
      </c>
      <c r="J45" s="204" t="e">
        <f>SUM(#REF!)</f>
        <v>#REF!</v>
      </c>
    </row>
    <row r="46" spans="1:10" x14ac:dyDescent="0.2">
      <c r="A46" s="254" t="s">
        <v>122</v>
      </c>
      <c r="C46" s="215">
        <f>'[3]Shuttle America_Delta'!$GV$70+'[3]Shuttle America_Delta'!$GV$73</f>
        <v>0</v>
      </c>
      <c r="D46" s="2"/>
      <c r="F46" s="215">
        <f>'[3]Atlantic Southeast'!$GV$70+'[3]Atlantic Southeast'!$GV$73</f>
        <v>0</v>
      </c>
      <c r="I46" s="215">
        <f>'[3]Go Jet'!$GV$70+'[3]Go Jet'!$GV$73</f>
        <v>0</v>
      </c>
      <c r="J46" s="265">
        <f>SUM(B46:I46)</f>
        <v>0</v>
      </c>
    </row>
    <row r="47" spans="1:10" x14ac:dyDescent="0.2">
      <c r="A47" s="266" t="s">
        <v>123</v>
      </c>
      <c r="C47" s="215">
        <f>'[3]Shuttle America_Delta'!$GV$71+'[3]Shuttle America_Delta'!$GV$74</f>
        <v>0</v>
      </c>
      <c r="D47" s="2"/>
      <c r="F47" s="215">
        <f>'[3]Atlantic Southeast'!$GV$71+'[3]Atlantic Southeast'!$GV$74</f>
        <v>0</v>
      </c>
      <c r="I47" s="215">
        <f>'[3]Go Jet'!$GV$71+'[3]Go Jet'!$GV$74</f>
        <v>0</v>
      </c>
      <c r="J47" s="265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July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7" zoomScale="115" zoomScaleNormal="115" workbookViewId="0">
      <selection activeCell="M10" sqref="M1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7">
        <v>44013</v>
      </c>
      <c r="B2" s="357" t="s">
        <v>117</v>
      </c>
      <c r="C2" s="357" t="s">
        <v>153</v>
      </c>
      <c r="D2" s="358" t="s">
        <v>78</v>
      </c>
      <c r="E2" s="358" t="s">
        <v>154</v>
      </c>
      <c r="F2" s="357" t="s">
        <v>131</v>
      </c>
      <c r="G2" s="303" t="s">
        <v>79</v>
      </c>
    </row>
    <row r="3" spans="1:17" x14ac:dyDescent="0.2">
      <c r="A3" s="184" t="s">
        <v>3</v>
      </c>
      <c r="B3" s="121"/>
      <c r="C3" s="120"/>
      <c r="D3" s="120"/>
      <c r="E3" s="120"/>
      <c r="F3" s="120"/>
      <c r="G3" s="404"/>
    </row>
    <row r="4" spans="1:17" x14ac:dyDescent="0.2">
      <c r="A4" s="38" t="s">
        <v>29</v>
      </c>
      <c r="B4" s="290"/>
      <c r="C4" s="119"/>
      <c r="D4" s="119"/>
      <c r="E4" s="119"/>
      <c r="F4" s="119"/>
      <c r="G4" s="405"/>
    </row>
    <row r="5" spans="1:17" x14ac:dyDescent="0.2">
      <c r="A5" s="38" t="s">
        <v>30</v>
      </c>
      <c r="B5" s="290">
        <f>'[3]Charter Misc'!$GV$22</f>
        <v>0</v>
      </c>
      <c r="C5" s="119">
        <f>[3]Ryan!$GV$22</f>
        <v>0</v>
      </c>
      <c r="D5" s="119">
        <f>'[3]Charter Misc'!$GV$32</f>
        <v>0</v>
      </c>
      <c r="E5" s="119">
        <f>[3]Omni!$GV$32</f>
        <v>0</v>
      </c>
      <c r="F5" s="119">
        <f>[3]Xtra!$GV$32+[3]Xtra!$GV$22</f>
        <v>0</v>
      </c>
      <c r="G5" s="406">
        <f>SUM(B5:F5)</f>
        <v>0</v>
      </c>
    </row>
    <row r="6" spans="1:17" x14ac:dyDescent="0.2">
      <c r="A6" s="38" t="s">
        <v>31</v>
      </c>
      <c r="B6" s="291">
        <f>'[3]Charter Misc'!$GV$23</f>
        <v>68</v>
      </c>
      <c r="C6" s="122">
        <f>[3]Ryan!$GV$23</f>
        <v>0</v>
      </c>
      <c r="D6" s="122">
        <f>'[3]Charter Misc'!$GV$33</f>
        <v>0</v>
      </c>
      <c r="E6" s="122">
        <f>[3]Omni!$GV$33+[3]Omni!$GV$23</f>
        <v>0</v>
      </c>
      <c r="F6" s="122">
        <f>[3]Xtra!$GV$33+[3]Xtra!$GV$23</f>
        <v>0</v>
      </c>
      <c r="G6" s="407">
        <f>SUM(B6:F6)</f>
        <v>68</v>
      </c>
    </row>
    <row r="7" spans="1:17" ht="15.75" thickBot="1" x14ac:dyDescent="0.3">
      <c r="A7" s="118" t="s">
        <v>7</v>
      </c>
      <c r="B7" s="292">
        <f>SUM(B5:B6)</f>
        <v>68</v>
      </c>
      <c r="C7" s="194">
        <f>SUM(C5:C6)</f>
        <v>0</v>
      </c>
      <c r="D7" s="194">
        <f>SUM(D5:D6)</f>
        <v>0</v>
      </c>
      <c r="E7" s="194">
        <f>SUM(E5:E6)</f>
        <v>0</v>
      </c>
      <c r="F7" s="194">
        <f>SUM(F5:F6)</f>
        <v>0</v>
      </c>
      <c r="G7" s="408">
        <f>SUM(B7:F7)</f>
        <v>68</v>
      </c>
    </row>
    <row r="8" spans="1:17" ht="13.5" thickBot="1" x14ac:dyDescent="0.25">
      <c r="G8" s="38"/>
    </row>
    <row r="9" spans="1:17" x14ac:dyDescent="0.2">
      <c r="A9" s="116" t="s">
        <v>9</v>
      </c>
      <c r="B9" s="293"/>
      <c r="C9" s="23"/>
      <c r="D9" s="23"/>
      <c r="E9" s="23"/>
      <c r="F9" s="23"/>
      <c r="G9" s="409"/>
    </row>
    <row r="10" spans="1:17" x14ac:dyDescent="0.2">
      <c r="A10" s="117" t="s">
        <v>80</v>
      </c>
      <c r="B10" s="290">
        <f>'[3]Charter Misc'!$GV$4</f>
        <v>0</v>
      </c>
      <c r="C10" s="119">
        <f>[3]Ryan!$GV$4</f>
        <v>0</v>
      </c>
      <c r="D10" s="119">
        <f>'[3]Charter Misc'!$GV$15</f>
        <v>0</v>
      </c>
      <c r="E10" s="119">
        <f>[3]Omni!$GV$15+[3]Omni!$GV$4+[3]Omni!$GV$8</f>
        <v>0</v>
      </c>
      <c r="F10" s="119">
        <f>[3]Xtra!$GV$15+[3]Xtra!$GV$4+[3]Omni!$GV$8</f>
        <v>0</v>
      </c>
      <c r="G10" s="407">
        <f>SUM(B10:F10)</f>
        <v>0</v>
      </c>
    </row>
    <row r="11" spans="1:17" x14ac:dyDescent="0.2">
      <c r="A11" s="117" t="s">
        <v>81</v>
      </c>
      <c r="B11" s="290">
        <f>'[3]Charter Misc'!$GV$5</f>
        <v>1</v>
      </c>
      <c r="C11" s="119">
        <f>[3]Ryan!$GV$5</f>
        <v>0</v>
      </c>
      <c r="D11" s="119">
        <f>'[3]Charter Misc'!$GV$16</f>
        <v>0</v>
      </c>
      <c r="E11" s="119">
        <f>[3]Omni!$GV$16+[3]Omni!$GV$5+[3]Omni!$GV$9</f>
        <v>0</v>
      </c>
      <c r="F11" s="119">
        <f>[3]Xtra!$GV$16+[3]Xtra!$GV$5+[3]Omni!$GV$9</f>
        <v>0</v>
      </c>
      <c r="G11" s="407">
        <f>SUM(B11:F11)</f>
        <v>1</v>
      </c>
    </row>
    <row r="12" spans="1:17" ht="15.75" thickBot="1" x14ac:dyDescent="0.3">
      <c r="A12" s="183" t="s">
        <v>28</v>
      </c>
      <c r="B12" s="294">
        <f>SUM(B10:B11)</f>
        <v>1</v>
      </c>
      <c r="C12" s="195">
        <f>SUM(C10:C11)</f>
        <v>0</v>
      </c>
      <c r="D12" s="195">
        <f>SUM(D10:D11)</f>
        <v>0</v>
      </c>
      <c r="E12" s="195">
        <f>SUM(E10:E11)</f>
        <v>0</v>
      </c>
      <c r="F12" s="195">
        <f>SUM(F10:F11)</f>
        <v>0</v>
      </c>
      <c r="G12" s="410">
        <f>SUM(B12:F12)</f>
        <v>1</v>
      </c>
      <c r="Q12" s="83"/>
    </row>
    <row r="17" spans="1:16" x14ac:dyDescent="0.2">
      <c r="B17" s="460" t="s">
        <v>151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2"/>
    </row>
    <row r="18" spans="1:16" ht="13.5" thickBot="1" x14ac:dyDescent="0.25">
      <c r="A18" s="210"/>
      <c r="E18" s="140"/>
      <c r="G18" s="140"/>
      <c r="H18" s="140"/>
      <c r="L18" s="144"/>
      <c r="N18" s="4"/>
    </row>
    <row r="19" spans="1:16" ht="13.5" customHeight="1" thickBot="1" x14ac:dyDescent="0.25">
      <c r="A19" s="280"/>
      <c r="B19" s="463" t="s">
        <v>119</v>
      </c>
      <c r="C19" s="464"/>
      <c r="D19" s="464"/>
      <c r="E19" s="465"/>
      <c r="G19" s="463" t="s">
        <v>120</v>
      </c>
      <c r="H19" s="466"/>
      <c r="I19" s="466"/>
      <c r="J19" s="467"/>
      <c r="L19" s="468" t="s">
        <v>121</v>
      </c>
      <c r="M19" s="469"/>
      <c r="N19" s="469"/>
      <c r="O19" s="470"/>
    </row>
    <row r="20" spans="1:16" ht="13.5" thickBot="1" x14ac:dyDescent="0.25">
      <c r="A20" s="147" t="s">
        <v>100</v>
      </c>
      <c r="B20" s="418" t="s">
        <v>101</v>
      </c>
      <c r="C20" s="426" t="s">
        <v>102</v>
      </c>
      <c r="D20" s="5" t="s">
        <v>215</v>
      </c>
      <c r="E20" s="5" t="s">
        <v>202</v>
      </c>
      <c r="F20" s="153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3" t="s">
        <v>97</v>
      </c>
      <c r="L20" s="152" t="s">
        <v>101</v>
      </c>
      <c r="M20" s="146" t="s">
        <v>102</v>
      </c>
      <c r="N20" s="5" t="s">
        <v>215</v>
      </c>
      <c r="O20" s="5" t="s">
        <v>202</v>
      </c>
      <c r="P20" s="153" t="s">
        <v>97</v>
      </c>
    </row>
    <row r="21" spans="1:16" ht="14.1" customHeight="1" x14ac:dyDescent="0.2">
      <c r="A21" s="156" t="s">
        <v>103</v>
      </c>
      <c r="B21" s="419">
        <f>+[4]Charter!$B$21</f>
        <v>154018</v>
      </c>
      <c r="C21" s="420">
        <f>+[4]Charter!$C$21</f>
        <v>145053</v>
      </c>
      <c r="D21" s="355">
        <f t="shared" ref="D21:D32" si="0">SUM(B21:C21)</f>
        <v>299071</v>
      </c>
      <c r="E21" s="356">
        <f>[5]Charter!$D$21</f>
        <v>266711</v>
      </c>
      <c r="F21" s="228">
        <f t="shared" ref="F21:F32" si="1">(D21-E21)/E21</f>
        <v>0.12132982891594273</v>
      </c>
      <c r="G21" s="224">
        <f t="shared" ref="G21:H23" si="2">L21-B21</f>
        <v>1288852</v>
      </c>
      <c r="H21" s="225">
        <f t="shared" si="2"/>
        <v>1327520</v>
      </c>
      <c r="I21" s="225">
        <f t="shared" ref="I21:I26" si="3">SUM(G21:H21)</f>
        <v>2616372</v>
      </c>
      <c r="J21" s="226">
        <f>[5]Charter!$I$21</f>
        <v>2470130</v>
      </c>
      <c r="K21" s="157">
        <f t="shared" ref="K21:K32" si="4">(I21-J21)/J21</f>
        <v>5.9204171440369532E-2</v>
      </c>
      <c r="L21" s="224">
        <f>+[4]Charter!$L$21</f>
        <v>1442870</v>
      </c>
      <c r="M21" s="225">
        <f>+[4]Charter!$M$21</f>
        <v>1472573</v>
      </c>
      <c r="N21" s="225">
        <f t="shared" ref="N21:N32" si="5">SUM(L21:M21)</f>
        <v>2915443</v>
      </c>
      <c r="O21" s="226">
        <f>[5]Charter!$N$21</f>
        <v>2736841</v>
      </c>
      <c r="P21" s="157">
        <f>(N21-O21)/O21</f>
        <v>6.5258449431296883E-2</v>
      </c>
    </row>
    <row r="22" spans="1:16" ht="14.1" customHeight="1" x14ac:dyDescent="0.2">
      <c r="A22" s="158" t="s">
        <v>104</v>
      </c>
      <c r="B22" s="421">
        <f>+[6]Charter!$B$22</f>
        <v>152114</v>
      </c>
      <c r="C22" s="422">
        <f>+[6]Charter!$C$22</f>
        <v>153672</v>
      </c>
      <c r="D22" s="423">
        <f t="shared" ref="D22" si="6">SUM(B22:C22)</f>
        <v>305786</v>
      </c>
      <c r="E22" s="352">
        <f>[7]Charter!$D22</f>
        <v>274882</v>
      </c>
      <c r="F22" s="223">
        <f t="shared" si="1"/>
        <v>0.11242642297422166</v>
      </c>
      <c r="G22" s="353">
        <f t="shared" si="2"/>
        <v>1270024</v>
      </c>
      <c r="H22" s="354">
        <f t="shared" si="2"/>
        <v>1284803</v>
      </c>
      <c r="I22" s="354">
        <f t="shared" si="3"/>
        <v>2554827</v>
      </c>
      <c r="J22" s="227">
        <f>[7]Charter!$I22</f>
        <v>2350129</v>
      </c>
      <c r="K22" s="160">
        <f t="shared" si="4"/>
        <v>8.7100750639645744E-2</v>
      </c>
      <c r="L22" s="353">
        <f>+[6]Charter!$L$22</f>
        <v>1422138</v>
      </c>
      <c r="M22" s="354">
        <f>+[6]Charter!$M$22</f>
        <v>1438475</v>
      </c>
      <c r="N22" s="354">
        <f t="shared" ref="N22" si="7">SUM(L22:M22)</f>
        <v>2860613</v>
      </c>
      <c r="O22" s="227">
        <f>[7]Charter!$N22</f>
        <v>2625011</v>
      </c>
      <c r="P22" s="159">
        <f t="shared" ref="P22:P32" si="8">(N22-O22)/O22</f>
        <v>8.9752766750310756E-2</v>
      </c>
    </row>
    <row r="23" spans="1:16" ht="14.1" customHeight="1" x14ac:dyDescent="0.2">
      <c r="A23" s="158" t="s">
        <v>105</v>
      </c>
      <c r="B23" s="421">
        <f>+[8]Charter!$B$23</f>
        <v>102884</v>
      </c>
      <c r="C23" s="422">
        <f>+[8]Charter!$C$23</f>
        <v>82442</v>
      </c>
      <c r="D23" s="423">
        <f t="shared" ref="D23" si="9">SUM(B23:C23)</f>
        <v>185326</v>
      </c>
      <c r="E23" s="352">
        <f>[9]Charter!$D23</f>
        <v>366937</v>
      </c>
      <c r="F23" s="159">
        <f t="shared" si="1"/>
        <v>-0.49493782311404955</v>
      </c>
      <c r="G23" s="353">
        <f t="shared" si="2"/>
        <v>853906</v>
      </c>
      <c r="H23" s="354">
        <f t="shared" si="2"/>
        <v>748879</v>
      </c>
      <c r="I23" s="354">
        <f t="shared" si="3"/>
        <v>1602785</v>
      </c>
      <c r="J23" s="227">
        <f>[9]Charter!$I23</f>
        <v>3170467</v>
      </c>
      <c r="K23" s="160">
        <f t="shared" si="4"/>
        <v>-0.49446406475765242</v>
      </c>
      <c r="L23" s="353">
        <f>+[8]Charter!$L$23</f>
        <v>956790</v>
      </c>
      <c r="M23" s="354">
        <f>+[8]Charter!$M$23</f>
        <v>831321</v>
      </c>
      <c r="N23" s="354">
        <f t="shared" ref="N23" si="10">SUM(L23:M23)</f>
        <v>1788111</v>
      </c>
      <c r="O23" s="227">
        <f>[9]Charter!$N23</f>
        <v>3537404</v>
      </c>
      <c r="P23" s="159">
        <f t="shared" si="8"/>
        <v>-0.49451320799094478</v>
      </c>
    </row>
    <row r="24" spans="1:16" ht="14.1" customHeight="1" x14ac:dyDescent="0.2">
      <c r="A24" s="158" t="s">
        <v>106</v>
      </c>
      <c r="B24" s="421">
        <f>+[10]Charter!$B$24</f>
        <v>347</v>
      </c>
      <c r="C24" s="422">
        <f>+[10]Charter!$C$24</f>
        <v>541</v>
      </c>
      <c r="D24" s="423">
        <f t="shared" ref="D24" si="11">SUM(B24:C24)</f>
        <v>888</v>
      </c>
      <c r="E24" s="352">
        <f>[11]Charter!$D24</f>
        <v>249952</v>
      </c>
      <c r="F24" s="159">
        <f t="shared" si="1"/>
        <v>-0.99644731788503393</v>
      </c>
      <c r="G24" s="353">
        <f t="shared" ref="G24" si="12">L24-B24</f>
        <v>80644</v>
      </c>
      <c r="H24" s="354">
        <f t="shared" ref="H24" si="13">M24-C24</f>
        <v>69951</v>
      </c>
      <c r="I24" s="354">
        <f t="shared" si="3"/>
        <v>150595</v>
      </c>
      <c r="J24" s="227">
        <f>[11]Charter!$I24</f>
        <v>2886078</v>
      </c>
      <c r="K24" s="160">
        <f t="shared" si="4"/>
        <v>-0.94782019058389966</v>
      </c>
      <c r="L24" s="353">
        <f>+[10]Charter!$L$24</f>
        <v>80991</v>
      </c>
      <c r="M24" s="354">
        <f>+[10]Charter!$M$24</f>
        <v>70492</v>
      </c>
      <c r="N24" s="354">
        <f t="shared" ref="N24" si="14">SUM(L24:M24)</f>
        <v>151483</v>
      </c>
      <c r="O24" s="227">
        <f>[11]Charter!$N24</f>
        <v>3136030</v>
      </c>
      <c r="P24" s="159">
        <f t="shared" si="8"/>
        <v>-0.95169593403124331</v>
      </c>
    </row>
    <row r="25" spans="1:16" ht="14.1" customHeight="1" x14ac:dyDescent="0.2">
      <c r="A25" s="145" t="s">
        <v>76</v>
      </c>
      <c r="B25" s="421">
        <f>+[12]Charter!$B$25</f>
        <v>965</v>
      </c>
      <c r="C25" s="422">
        <f>+[12]Charter!$C$25</f>
        <v>487</v>
      </c>
      <c r="D25" s="423">
        <f t="shared" ref="D25" si="15">SUM(B25:C25)</f>
        <v>1452</v>
      </c>
      <c r="E25" s="352">
        <f>[13]Charter!$D25</f>
        <v>253273</v>
      </c>
      <c r="F25" s="148">
        <f t="shared" si="1"/>
        <v>-0.99426705570668805</v>
      </c>
      <c r="G25" s="353">
        <f t="shared" ref="G25" si="16">L25-B25</f>
        <v>144345</v>
      </c>
      <c r="H25" s="354">
        <f t="shared" ref="H25" si="17">M25-C25</f>
        <v>138273</v>
      </c>
      <c r="I25" s="354">
        <f t="shared" si="3"/>
        <v>282618</v>
      </c>
      <c r="J25" s="227">
        <f>[13]Charter!$I25</f>
        <v>3087539</v>
      </c>
      <c r="K25" s="154">
        <f t="shared" si="4"/>
        <v>-0.90846496190007642</v>
      </c>
      <c r="L25" s="353">
        <f>+[12]Charter!$L$25</f>
        <v>145310</v>
      </c>
      <c r="M25" s="354">
        <f>+[12]Charter!$M$25</f>
        <v>138760</v>
      </c>
      <c r="N25" s="354">
        <f t="shared" ref="N25" si="18">SUM(L25:M25)</f>
        <v>284070</v>
      </c>
      <c r="O25" s="227">
        <f>[13]Charter!$N25</f>
        <v>3340812</v>
      </c>
      <c r="P25" s="148">
        <f t="shared" si="8"/>
        <v>-0.91496977381546762</v>
      </c>
    </row>
    <row r="26" spans="1:16" ht="14.1" customHeight="1" x14ac:dyDescent="0.2">
      <c r="A26" s="158" t="s">
        <v>107</v>
      </c>
      <c r="B26" s="421">
        <f>+[2]Charter!$B$26</f>
        <v>1529</v>
      </c>
      <c r="C26" s="422">
        <f>+[2]Charter!$C$26</f>
        <v>780</v>
      </c>
      <c r="D26" s="423">
        <f t="shared" ref="D26:D27" si="19">SUM(B26:C26)</f>
        <v>2309</v>
      </c>
      <c r="E26" s="352">
        <f>[14]Charter!$D26</f>
        <v>288101</v>
      </c>
      <c r="F26" s="159">
        <f t="shared" si="1"/>
        <v>-0.99198544954720735</v>
      </c>
      <c r="G26" s="353">
        <f t="shared" ref="G26" si="20">L26-B26</f>
        <v>257876</v>
      </c>
      <c r="H26" s="354">
        <f t="shared" ref="H26" si="21">M26-C26</f>
        <v>253532</v>
      </c>
      <c r="I26" s="354">
        <f t="shared" si="3"/>
        <v>511408</v>
      </c>
      <c r="J26" s="227">
        <f>[14]Charter!$I26</f>
        <v>3379244</v>
      </c>
      <c r="K26" s="160">
        <f t="shared" si="4"/>
        <v>-0.84866200842555317</v>
      </c>
      <c r="L26" s="353">
        <f>+[2]Charter!$L$26</f>
        <v>259405</v>
      </c>
      <c r="M26" s="354">
        <f>+[2]Charter!$M$26</f>
        <v>254312</v>
      </c>
      <c r="N26" s="354">
        <f t="shared" ref="N26" si="22">SUM(L26:M26)</f>
        <v>513717</v>
      </c>
      <c r="O26" s="227">
        <f>[14]Charter!$N26</f>
        <v>3667345</v>
      </c>
      <c r="P26" s="159">
        <f t="shared" si="8"/>
        <v>-0.85992127819989661</v>
      </c>
    </row>
    <row r="27" spans="1:16" ht="14.1" customHeight="1" x14ac:dyDescent="0.2">
      <c r="A27" s="145" t="s">
        <v>108</v>
      </c>
      <c r="B27" s="424">
        <f>'Intl Detail'!$P$4+'Intl Detail'!$P$9</f>
        <v>1298</v>
      </c>
      <c r="C27" s="425">
        <f>'Intl Detail'!$P$5+'Intl Detail'!$P$10</f>
        <v>972</v>
      </c>
      <c r="D27" s="423">
        <f t="shared" si="19"/>
        <v>2270</v>
      </c>
      <c r="E27" s="352">
        <f>[1]Charter!$D27</f>
        <v>296768</v>
      </c>
      <c r="F27" s="148">
        <f t="shared" si="1"/>
        <v>-0.99235092732370067</v>
      </c>
      <c r="G27" s="353">
        <f t="shared" ref="G27" si="23">L27-B27</f>
        <v>464182</v>
      </c>
      <c r="H27" s="354">
        <f t="shared" ref="H27" si="24">M27-C27</f>
        <v>471556</v>
      </c>
      <c r="I27" s="354">
        <f t="shared" ref="I27" si="25">SUM(G27:H27)</f>
        <v>935738</v>
      </c>
      <c r="J27" s="227">
        <f>[1]Charter!$I27</f>
        <v>3548261</v>
      </c>
      <c r="K27" s="154">
        <f t="shared" si="4"/>
        <v>-0.73628264662605147</v>
      </c>
      <c r="L27" s="353">
        <f>'Monthly Summary'!$B$11</f>
        <v>465480</v>
      </c>
      <c r="M27" s="354">
        <f>'Monthly Summary'!$C$11</f>
        <v>472528</v>
      </c>
      <c r="N27" s="354">
        <f t="shared" ref="N27" si="26">SUM(L27:M27)</f>
        <v>938008</v>
      </c>
      <c r="O27" s="227">
        <f>[1]Charter!$N27</f>
        <v>3845029</v>
      </c>
      <c r="P27" s="148">
        <f t="shared" si="8"/>
        <v>-0.75604657338085102</v>
      </c>
    </row>
    <row r="28" spans="1:16" ht="14.1" customHeight="1" x14ac:dyDescent="0.2">
      <c r="A28" s="158" t="s">
        <v>109</v>
      </c>
      <c r="B28" s="220"/>
      <c r="C28" s="222"/>
      <c r="D28" s="221">
        <f t="shared" si="0"/>
        <v>0</v>
      </c>
      <c r="E28" s="227"/>
      <c r="F28" s="159" t="e">
        <f t="shared" si="1"/>
        <v>#DIV/0!</v>
      </c>
      <c r="G28" s="220"/>
      <c r="H28" s="222"/>
      <c r="I28" s="221">
        <f t="shared" ref="I28:I32" si="27">SUM(G28:H28)</f>
        <v>0</v>
      </c>
      <c r="J28" s="227"/>
      <c r="K28" s="160" t="e">
        <f t="shared" si="4"/>
        <v>#DIV/0!</v>
      </c>
      <c r="L28" s="220"/>
      <c r="M28" s="222"/>
      <c r="N28" s="221">
        <f t="shared" si="5"/>
        <v>0</v>
      </c>
      <c r="O28" s="227"/>
      <c r="P28" s="159" t="e">
        <f t="shared" si="8"/>
        <v>#DIV/0!</v>
      </c>
    </row>
    <row r="29" spans="1:16" ht="14.1" customHeight="1" x14ac:dyDescent="0.2">
      <c r="A29" s="145" t="s">
        <v>110</v>
      </c>
      <c r="B29" s="220"/>
      <c r="C29" s="222"/>
      <c r="D29" s="221">
        <f t="shared" si="0"/>
        <v>0</v>
      </c>
      <c r="E29" s="227"/>
      <c r="F29" s="148" t="e">
        <f t="shared" si="1"/>
        <v>#DIV/0!</v>
      </c>
      <c r="G29" s="220"/>
      <c r="H29" s="222"/>
      <c r="I29" s="221">
        <f t="shared" si="27"/>
        <v>0</v>
      </c>
      <c r="J29" s="227"/>
      <c r="K29" s="154" t="e">
        <f t="shared" si="4"/>
        <v>#DIV/0!</v>
      </c>
      <c r="L29" s="220"/>
      <c r="M29" s="222"/>
      <c r="N29" s="221">
        <f t="shared" si="5"/>
        <v>0</v>
      </c>
      <c r="O29" s="227"/>
      <c r="P29" s="148" t="e">
        <f t="shared" si="8"/>
        <v>#DIV/0!</v>
      </c>
    </row>
    <row r="30" spans="1:16" ht="14.1" customHeight="1" x14ac:dyDescent="0.2">
      <c r="A30" s="158" t="s">
        <v>111</v>
      </c>
      <c r="B30" s="220"/>
      <c r="C30" s="222"/>
      <c r="D30" s="221">
        <f>SUM(B30:C30)</f>
        <v>0</v>
      </c>
      <c r="E30" s="227"/>
      <c r="F30" s="159" t="e">
        <f t="shared" si="1"/>
        <v>#DIV/0!</v>
      </c>
      <c r="G30" s="220"/>
      <c r="H30" s="222"/>
      <c r="I30" s="221">
        <f>SUM(G30:H30)</f>
        <v>0</v>
      </c>
      <c r="J30" s="227"/>
      <c r="K30" s="160" t="e">
        <f t="shared" si="4"/>
        <v>#DIV/0!</v>
      </c>
      <c r="L30" s="220"/>
      <c r="M30" s="222"/>
      <c r="N30" s="221">
        <f>SUM(L30:M30)</f>
        <v>0</v>
      </c>
      <c r="O30" s="227"/>
      <c r="P30" s="159" t="e">
        <f t="shared" si="8"/>
        <v>#DIV/0!</v>
      </c>
    </row>
    <row r="31" spans="1:16" ht="14.1" customHeight="1" x14ac:dyDescent="0.2">
      <c r="A31" s="145" t="s">
        <v>112</v>
      </c>
      <c r="B31" s="220"/>
      <c r="C31" s="222"/>
      <c r="D31" s="221">
        <f>SUM(B31:C31)</f>
        <v>0</v>
      </c>
      <c r="E31" s="227"/>
      <c r="F31" s="148" t="e">
        <f t="shared" si="1"/>
        <v>#DIV/0!</v>
      </c>
      <c r="G31" s="220"/>
      <c r="H31" s="222"/>
      <c r="I31" s="221">
        <f t="shared" si="27"/>
        <v>0</v>
      </c>
      <c r="J31" s="227"/>
      <c r="K31" s="154" t="e">
        <f t="shared" si="4"/>
        <v>#DIV/0!</v>
      </c>
      <c r="L31" s="220"/>
      <c r="M31" s="222"/>
      <c r="N31" s="221">
        <f>SUM(L31:M31)</f>
        <v>0</v>
      </c>
      <c r="O31" s="227"/>
      <c r="P31" s="148" t="e">
        <f t="shared" si="8"/>
        <v>#DIV/0!</v>
      </c>
    </row>
    <row r="32" spans="1:16" ht="14.1" customHeight="1" x14ac:dyDescent="0.2">
      <c r="A32" s="161" t="s">
        <v>113</v>
      </c>
      <c r="B32" s="220"/>
      <c r="C32" s="222"/>
      <c r="D32" s="104">
        <f t="shared" si="0"/>
        <v>0</v>
      </c>
      <c r="E32" s="227"/>
      <c r="F32" s="162" t="e">
        <f t="shared" si="1"/>
        <v>#DIV/0!</v>
      </c>
      <c r="G32" s="163"/>
      <c r="H32" s="104"/>
      <c r="I32" s="104">
        <f t="shared" si="27"/>
        <v>0</v>
      </c>
      <c r="J32" s="227"/>
      <c r="K32" s="162" t="e">
        <f t="shared" si="4"/>
        <v>#DIV/0!</v>
      </c>
      <c r="L32" s="220"/>
      <c r="M32" s="222"/>
      <c r="N32" s="104">
        <f t="shared" si="5"/>
        <v>0</v>
      </c>
      <c r="O32" s="227"/>
      <c r="P32" s="162" t="e">
        <f t="shared" si="8"/>
        <v>#DIV/0!</v>
      </c>
    </row>
    <row r="33" spans="1:16" ht="13.5" thickBot="1" x14ac:dyDescent="0.25">
      <c r="A33" s="155" t="s">
        <v>77</v>
      </c>
      <c r="B33" s="164">
        <f>SUM(B21:B32)</f>
        <v>413155</v>
      </c>
      <c r="C33" s="165">
        <f>SUM(C21:C32)</f>
        <v>383947</v>
      </c>
      <c r="D33" s="165">
        <f>SUM(D21:D32)</f>
        <v>797102</v>
      </c>
      <c r="E33" s="166">
        <f>SUM(E21:E32)</f>
        <v>1996624</v>
      </c>
      <c r="F33" s="150">
        <f>(D33-E33)/E33</f>
        <v>-0.60077510838295045</v>
      </c>
      <c r="G33" s="167">
        <f>SUM(G21:G32)</f>
        <v>4359829</v>
      </c>
      <c r="H33" s="165">
        <f>SUM(H21:H32)</f>
        <v>4294514</v>
      </c>
      <c r="I33" s="165">
        <f>SUM(I21:I32)</f>
        <v>8654343</v>
      </c>
      <c r="J33" s="168">
        <f>SUM(J21:J32)</f>
        <v>20891848</v>
      </c>
      <c r="K33" s="151">
        <f>(I33-J33)/J33</f>
        <v>-0.58575502751120911</v>
      </c>
      <c r="L33" s="167">
        <f>SUM(L21:L32)</f>
        <v>4772984</v>
      </c>
      <c r="M33" s="165">
        <f>SUM(M21:M32)</f>
        <v>4678461</v>
      </c>
      <c r="N33" s="165">
        <f>SUM(N21:N32)</f>
        <v>9451445</v>
      </c>
      <c r="O33" s="166">
        <f>SUM(O21:O32)</f>
        <v>22888472</v>
      </c>
      <c r="P33" s="149">
        <f>(N33-O33)/O33</f>
        <v>-0.58706527023734922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July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R16" sqref="R1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1" t="s">
        <v>228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3"/>
    </row>
    <row r="2" spans="1:20" s="21" customFormat="1" ht="39" customHeight="1" thickBot="1" x14ac:dyDescent="0.25">
      <c r="A2" s="441">
        <v>44044</v>
      </c>
      <c r="B2" s="303" t="s">
        <v>204</v>
      </c>
      <c r="C2" s="303" t="s">
        <v>177</v>
      </c>
      <c r="D2" s="358" t="s">
        <v>84</v>
      </c>
      <c r="E2" s="303" t="s">
        <v>229</v>
      </c>
      <c r="F2" s="357" t="s">
        <v>209</v>
      </c>
      <c r="G2" s="304" t="s">
        <v>82</v>
      </c>
      <c r="H2" s="357" t="s">
        <v>178</v>
      </c>
      <c r="I2" s="303" t="s">
        <v>230</v>
      </c>
      <c r="J2" s="357" t="s">
        <v>86</v>
      </c>
      <c r="K2" s="303" t="s">
        <v>231</v>
      </c>
      <c r="L2" s="303" t="s">
        <v>232</v>
      </c>
      <c r="M2" s="303" t="s">
        <v>225</v>
      </c>
      <c r="N2" s="304" t="s">
        <v>83</v>
      </c>
      <c r="O2" s="357" t="s">
        <v>128</v>
      </c>
      <c r="P2" s="357" t="s">
        <v>21</v>
      </c>
    </row>
    <row r="3" spans="1:20" ht="15" x14ac:dyDescent="0.25">
      <c r="A3" s="127" t="s">
        <v>9</v>
      </c>
      <c r="B3" s="442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1"/>
      <c r="R3" s="322"/>
      <c r="S3" s="322"/>
      <c r="T3" s="322"/>
    </row>
    <row r="4" spans="1:20" x14ac:dyDescent="0.2">
      <c r="A4" s="31" t="s">
        <v>53</v>
      </c>
      <c r="B4" s="163">
        <f>'[3]Atlas Air'!$GV$4</f>
        <v>0</v>
      </c>
      <c r="C4" s="104">
        <f>[3]DHL!$GV$4+[3]DHL_Atlas!$GV$4+[3]DHL_Atlas!$GV$8+[3]DHL_Atlas!$GV$15</f>
        <v>0</v>
      </c>
      <c r="D4" s="83">
        <f>[3]Bemidji!$GV$4</f>
        <v>200</v>
      </c>
      <c r="E4" s="104">
        <f>[3]DHL_Encore!$GV$4+[3]DHL_Encore!$GV$15</f>
        <v>46</v>
      </c>
      <c r="F4" s="104">
        <f>[3]Encore!$GV$4+[3]Encore!$GV$15</f>
        <v>0</v>
      </c>
      <c r="G4" s="104">
        <f>[3]FedEx!$GV$4+[3]FedEx!$GV$15</f>
        <v>121</v>
      </c>
      <c r="H4" s="104">
        <f>[3]IFL!$GV$4+[3]IFL!$GV$15</f>
        <v>18</v>
      </c>
      <c r="I4" s="104">
        <f>[3]DHL_Kalitta!$GV$4+[3]DHL_Kalitta!$GV$15</f>
        <v>1</v>
      </c>
      <c r="J4" s="83">
        <f>'[3]Mountain Cargo'!$GV$4</f>
        <v>22</v>
      </c>
      <c r="K4" s="104">
        <f>[3]DHL_Southair!$GV$4+[3]DHL_Southair!$GV$15</f>
        <v>0</v>
      </c>
      <c r="L4" s="104">
        <f>[3]DHL_Swift!$GV$4+[3]DHL_Swift!$GV$15</f>
        <v>22</v>
      </c>
      <c r="M4" s="104">
        <f>+'[3]Sun Country Cargo'!$GV$4+'[3]Sun Country Cargo'!$GV$8+'[3]Sun Country Cargo'!$GV$15</f>
        <v>61</v>
      </c>
      <c r="N4" s="104">
        <f>[3]UPS!$GV$4+[3]UPS!$GV$15</f>
        <v>149</v>
      </c>
      <c r="O4" s="83">
        <f>'[3]Misc Cargo'!$GV$4</f>
        <v>0</v>
      </c>
      <c r="P4" s="412">
        <f>SUM(B4:O4)</f>
        <v>640</v>
      </c>
      <c r="R4" s="322"/>
      <c r="S4" s="322"/>
      <c r="T4" s="192"/>
    </row>
    <row r="5" spans="1:20" x14ac:dyDescent="0.2">
      <c r="A5" s="31" t="s">
        <v>54</v>
      </c>
      <c r="B5" s="443">
        <f>'[3]Atlas Air'!$GV$5</f>
        <v>0</v>
      </c>
      <c r="C5" s="126">
        <f>[3]DHL!$GV$5+[3]DHL_Atlas!$GV$5+[3]DHL_Atlas!$GV$9+[3]DHL_Atlas!$GV$16</f>
        <v>0</v>
      </c>
      <c r="D5" s="84">
        <f>[3]Bemidji!$GV$5</f>
        <v>200</v>
      </c>
      <c r="E5" s="126">
        <f>[3]DHL_Encore!$GV$5</f>
        <v>46</v>
      </c>
      <c r="F5" s="126">
        <f>[3]Encore!$GV$5</f>
        <v>0</v>
      </c>
      <c r="G5" s="126">
        <f>[3]FedEx!$GV$5</f>
        <v>121</v>
      </c>
      <c r="H5" s="126">
        <f>[3]IFL!$GV$5</f>
        <v>18</v>
      </c>
      <c r="I5" s="126">
        <f>[3]DHL_Kalitta!$GV$5</f>
        <v>1</v>
      </c>
      <c r="J5" s="84">
        <f>'[3]Mountain Cargo'!$GV$5</f>
        <v>22</v>
      </c>
      <c r="K5" s="126">
        <f>[3]DHL_Southair!$GV$5</f>
        <v>0</v>
      </c>
      <c r="L5" s="126">
        <f>[3]DHL_Swift!$GV$5</f>
        <v>22</v>
      </c>
      <c r="M5" s="126">
        <f>+'[3]Sun Country Cargo'!$GV$5+'[3]Sun Country Cargo'!$GV$9+'[3]Sun Country Cargo'!$GV$16</f>
        <v>61</v>
      </c>
      <c r="N5" s="126">
        <f>[3]UPS!$GV$5+[3]UPS!$GV$16</f>
        <v>149</v>
      </c>
      <c r="O5" s="84">
        <f>'[3]Misc Cargo'!$GV$5</f>
        <v>0</v>
      </c>
      <c r="P5" s="412">
        <f t="shared" ref="P5:P10" si="0">SUM(B5:O5)</f>
        <v>640</v>
      </c>
      <c r="R5" s="322"/>
      <c r="S5" s="322"/>
      <c r="T5" s="192"/>
    </row>
    <row r="6" spans="1:20" s="123" customFormat="1" x14ac:dyDescent="0.2">
      <c r="A6" s="129" t="s">
        <v>55</v>
      </c>
      <c r="B6" s="444">
        <f t="shared" ref="B6:O6" si="1">SUM(B4:B5)</f>
        <v>0</v>
      </c>
      <c r="C6" s="130">
        <f t="shared" si="1"/>
        <v>0</v>
      </c>
      <c r="D6" s="82">
        <f t="shared" si="1"/>
        <v>400</v>
      </c>
      <c r="E6" s="130">
        <f t="shared" si="1"/>
        <v>92</v>
      </c>
      <c r="F6" s="130">
        <f t="shared" si="1"/>
        <v>0</v>
      </c>
      <c r="G6" s="130">
        <f t="shared" si="1"/>
        <v>242</v>
      </c>
      <c r="H6" s="130">
        <f t="shared" si="1"/>
        <v>36</v>
      </c>
      <c r="I6" s="130">
        <f t="shared" si="1"/>
        <v>2</v>
      </c>
      <c r="J6" s="82">
        <f t="shared" si="1"/>
        <v>44</v>
      </c>
      <c r="K6" s="130">
        <f t="shared" si="1"/>
        <v>0</v>
      </c>
      <c r="L6" s="130">
        <f t="shared" si="1"/>
        <v>44</v>
      </c>
      <c r="M6" s="130">
        <f t="shared" si="1"/>
        <v>122</v>
      </c>
      <c r="N6" s="130">
        <f t="shared" si="1"/>
        <v>298</v>
      </c>
      <c r="O6" s="82">
        <f t="shared" si="1"/>
        <v>0</v>
      </c>
      <c r="P6" s="412">
        <f t="shared" si="0"/>
        <v>1280</v>
      </c>
      <c r="T6" s="264"/>
    </row>
    <row r="7" spans="1:20" x14ac:dyDescent="0.2">
      <c r="A7" s="31"/>
      <c r="B7" s="163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2"/>
      <c r="R7" s="300"/>
      <c r="S7" s="322"/>
      <c r="T7" s="192"/>
    </row>
    <row r="8" spans="1:20" x14ac:dyDescent="0.2">
      <c r="A8" s="31" t="s">
        <v>56</v>
      </c>
      <c r="B8" s="163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Cargo'!$GV$8</f>
        <v>0</v>
      </c>
      <c r="P8" s="412">
        <f t="shared" si="0"/>
        <v>0</v>
      </c>
      <c r="R8" s="322"/>
      <c r="S8" s="322"/>
      <c r="T8" s="192"/>
    </row>
    <row r="9" spans="1:20" ht="15" x14ac:dyDescent="0.25">
      <c r="A9" s="31" t="s">
        <v>57</v>
      </c>
      <c r="B9" s="443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Cargo'!$GV$9</f>
        <v>0</v>
      </c>
      <c r="P9" s="412">
        <f t="shared" si="0"/>
        <v>0</v>
      </c>
      <c r="R9" s="322"/>
      <c r="S9" s="8"/>
      <c r="T9" s="192"/>
    </row>
    <row r="10" spans="1:20" s="123" customFormat="1" x14ac:dyDescent="0.2">
      <c r="A10" s="129" t="s">
        <v>58</v>
      </c>
      <c r="B10" s="444">
        <f t="shared" ref="B10:O10" si="2">SUM(B8:B9)</f>
        <v>0</v>
      </c>
      <c r="C10" s="130">
        <f t="shared" si="2"/>
        <v>0</v>
      </c>
      <c r="D10" s="82">
        <f t="shared" si="2"/>
        <v>0</v>
      </c>
      <c r="E10" s="130">
        <f t="shared" si="2"/>
        <v>0</v>
      </c>
      <c r="F10" s="130">
        <f t="shared" si="2"/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82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82">
        <f t="shared" si="2"/>
        <v>0</v>
      </c>
      <c r="P10" s="412">
        <f t="shared" si="0"/>
        <v>0</v>
      </c>
      <c r="T10" s="264"/>
    </row>
    <row r="11" spans="1:20" x14ac:dyDescent="0.2">
      <c r="A11" s="31"/>
      <c r="B11" s="163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1"/>
      <c r="R11" s="322"/>
      <c r="S11" s="322"/>
      <c r="T11" s="192"/>
    </row>
    <row r="12" spans="1:20" ht="18" customHeight="1" thickBot="1" x14ac:dyDescent="0.25">
      <c r="A12" s="131" t="s">
        <v>28</v>
      </c>
      <c r="B12" s="445">
        <f t="shared" ref="B12:O12" si="3">B6+B10</f>
        <v>0</v>
      </c>
      <c r="C12" s="132">
        <f t="shared" si="3"/>
        <v>0</v>
      </c>
      <c r="D12" s="133">
        <f t="shared" si="3"/>
        <v>400</v>
      </c>
      <c r="E12" s="132">
        <f t="shared" si="3"/>
        <v>92</v>
      </c>
      <c r="F12" s="132">
        <f t="shared" si="3"/>
        <v>0</v>
      </c>
      <c r="G12" s="132">
        <f t="shared" si="3"/>
        <v>242</v>
      </c>
      <c r="H12" s="132">
        <f t="shared" si="3"/>
        <v>36</v>
      </c>
      <c r="I12" s="132">
        <f t="shared" si="3"/>
        <v>2</v>
      </c>
      <c r="J12" s="133">
        <f t="shared" si="3"/>
        <v>44</v>
      </c>
      <c r="K12" s="132">
        <f t="shared" si="3"/>
        <v>0</v>
      </c>
      <c r="L12" s="132">
        <f t="shared" si="3"/>
        <v>44</v>
      </c>
      <c r="M12" s="132">
        <f t="shared" si="3"/>
        <v>122</v>
      </c>
      <c r="N12" s="132">
        <f t="shared" si="3"/>
        <v>298</v>
      </c>
      <c r="O12" s="133">
        <f t="shared" si="3"/>
        <v>0</v>
      </c>
      <c r="P12" s="414">
        <f>SUM(B12:O12)</f>
        <v>1280</v>
      </c>
      <c r="R12" s="322"/>
      <c r="S12" s="322"/>
      <c r="T12" s="192"/>
    </row>
    <row r="13" spans="1:20" ht="18" customHeight="1" thickBot="1" x14ac:dyDescent="0.25">
      <c r="A13" s="114"/>
      <c r="B13" s="446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2"/>
      <c r="S13" s="322"/>
      <c r="T13" s="192"/>
    </row>
    <row r="14" spans="1:20" ht="15" x14ac:dyDescent="0.25">
      <c r="A14" s="134" t="s">
        <v>93</v>
      </c>
      <c r="B14" s="447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5"/>
      <c r="R14" s="322"/>
      <c r="S14" s="322"/>
      <c r="T14" s="192"/>
    </row>
    <row r="15" spans="1:20" x14ac:dyDescent="0.2">
      <c r="A15" s="136" t="s">
        <v>94</v>
      </c>
      <c r="B15" s="163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2"/>
      <c r="S15" s="322"/>
      <c r="T15" s="192"/>
    </row>
    <row r="16" spans="1:20" x14ac:dyDescent="0.2">
      <c r="A16" s="31" t="s">
        <v>37</v>
      </c>
      <c r="B16" s="163">
        <f>'[3]Atlas Air'!$GV$47</f>
        <v>0</v>
      </c>
      <c r="C16" s="104">
        <f>[3]DHL!$GV$47+[3]DHL_Atlas!$GV$47</f>
        <v>0</v>
      </c>
      <c r="D16" s="474" t="s">
        <v>87</v>
      </c>
      <c r="E16" s="104">
        <f>[3]DHL_Encore!$GV$47</f>
        <v>71110</v>
      </c>
      <c r="F16" s="104">
        <f>[3]Encore!$GV$47</f>
        <v>0</v>
      </c>
      <c r="G16" s="104">
        <f>[3]FedEx!$GV$47</f>
        <v>8621808</v>
      </c>
      <c r="H16" s="104">
        <f>[3]IFL!$GV$47</f>
        <v>71798</v>
      </c>
      <c r="I16" s="104">
        <f>[3]DHL_Kalitta!$GV$47</f>
        <v>32355</v>
      </c>
      <c r="J16" s="83">
        <f>'[3]Mountain Cargo'!$GV$47</f>
        <v>0</v>
      </c>
      <c r="K16" s="104">
        <f>[3]DHL_Southair!$GV$47</f>
        <v>0</v>
      </c>
      <c r="L16" s="104">
        <f>[3]DHL_Swift!$GV$47</f>
        <v>705587</v>
      </c>
      <c r="M16" s="104">
        <f>+'[3]Sun Country Cargo'!$GV$47</f>
        <v>1368444</v>
      </c>
      <c r="N16" s="104">
        <f>[3]UPS!$GV$47</f>
        <v>6908117</v>
      </c>
      <c r="O16" s="83">
        <f>'[3]Misc Cargo'!$GV$47</f>
        <v>0</v>
      </c>
      <c r="P16" s="412">
        <f>SUM(B16:C16)+SUM(E16:O16)</f>
        <v>17779219</v>
      </c>
      <c r="R16" s="322"/>
      <c r="S16" s="322"/>
      <c r="T16" s="192"/>
    </row>
    <row r="17" spans="1:20" x14ac:dyDescent="0.2">
      <c r="A17" s="31" t="s">
        <v>38</v>
      </c>
      <c r="B17" s="163">
        <f>'[3]Atlas Air'!$GV$48</f>
        <v>0</v>
      </c>
      <c r="C17" s="104">
        <f>[3]DHL!$GV$48</f>
        <v>0</v>
      </c>
      <c r="D17" s="475"/>
      <c r="E17" s="104">
        <f>[3]DHL_Encore!$GV$48</f>
        <v>0</v>
      </c>
      <c r="F17" s="104">
        <f>[3]Encore!$GV$48</f>
        <v>0</v>
      </c>
      <c r="G17" s="104">
        <f>[3]FedEx!$GV$48</f>
        <v>0</v>
      </c>
      <c r="H17" s="104">
        <f>[3]IFL!$GV$48</f>
        <v>0</v>
      </c>
      <c r="I17" s="104">
        <f>[3]DHL_Kalitta!$GV$48</f>
        <v>0</v>
      </c>
      <c r="J17" s="83">
        <f>'[3]Mountain Cargo'!$GV$48</f>
        <v>51816</v>
      </c>
      <c r="K17" s="104">
        <f>[3]DHL_Southair!$GV$48</f>
        <v>0</v>
      </c>
      <c r="L17" s="104">
        <f>[3]DHL_Swift!$GV$48</f>
        <v>0</v>
      </c>
      <c r="M17" s="104">
        <f>+'[3]Sun Country Cargo'!$GV$48</f>
        <v>0</v>
      </c>
      <c r="N17" s="104">
        <f>[3]UPS!$GV$48</f>
        <v>5070</v>
      </c>
      <c r="O17" s="83">
        <f>'[3]Misc Cargo'!$GV$48</f>
        <v>0</v>
      </c>
      <c r="P17" s="412">
        <f>SUM(B17:C17)+SUM(E17:O17)</f>
        <v>56886</v>
      </c>
      <c r="R17" s="322"/>
      <c r="S17" s="322"/>
      <c r="T17" s="192"/>
    </row>
    <row r="18" spans="1:20" ht="18" customHeight="1" x14ac:dyDescent="0.2">
      <c r="A18" s="137" t="s">
        <v>39</v>
      </c>
      <c r="B18" s="448">
        <f>SUM(B16:B17)</f>
        <v>0</v>
      </c>
      <c r="C18" s="196">
        <f>SUM(C16:C17)</f>
        <v>0</v>
      </c>
      <c r="D18" s="475"/>
      <c r="E18" s="196">
        <f>SUM(E16:E17)</f>
        <v>71110</v>
      </c>
      <c r="F18" s="196">
        <f>SUM(F16:F17)</f>
        <v>0</v>
      </c>
      <c r="G18" s="196">
        <f>SUM(G16:G17)</f>
        <v>8621808</v>
      </c>
      <c r="H18" s="196">
        <f>SUM(H16:H17)</f>
        <v>71798</v>
      </c>
      <c r="I18" s="196">
        <f t="shared" ref="I18:O18" si="4">SUM(I16:I17)</f>
        <v>32355</v>
      </c>
      <c r="J18" s="197">
        <f t="shared" si="4"/>
        <v>51816</v>
      </c>
      <c r="K18" s="196">
        <f t="shared" si="4"/>
        <v>0</v>
      </c>
      <c r="L18" s="196">
        <f t="shared" si="4"/>
        <v>705587</v>
      </c>
      <c r="M18" s="196">
        <f t="shared" si="4"/>
        <v>1368444</v>
      </c>
      <c r="N18" s="196">
        <f t="shared" si="4"/>
        <v>6913187</v>
      </c>
      <c r="O18" s="197">
        <f t="shared" si="4"/>
        <v>0</v>
      </c>
      <c r="P18" s="416">
        <f>SUM(B18:C18)+SUM(E18:O18)</f>
        <v>17836105</v>
      </c>
      <c r="R18" s="322"/>
      <c r="S18" s="322"/>
      <c r="T18" s="192"/>
    </row>
    <row r="19" spans="1:20" x14ac:dyDescent="0.2">
      <c r="A19" s="31"/>
      <c r="B19" s="163"/>
      <c r="C19" s="104"/>
      <c r="D19" s="475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2"/>
      <c r="R19" s="300"/>
      <c r="S19" s="322"/>
      <c r="T19" s="192"/>
    </row>
    <row r="20" spans="1:20" x14ac:dyDescent="0.2">
      <c r="A20" s="136" t="s">
        <v>88</v>
      </c>
      <c r="B20" s="163"/>
      <c r="C20" s="104"/>
      <c r="D20" s="475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2"/>
      <c r="R20" s="300"/>
      <c r="S20" s="322"/>
      <c r="T20" s="192"/>
    </row>
    <row r="21" spans="1:20" x14ac:dyDescent="0.2">
      <c r="A21" s="31" t="s">
        <v>59</v>
      </c>
      <c r="B21" s="163">
        <f>'[3]Atlas Air'!$GV$52</f>
        <v>0</v>
      </c>
      <c r="C21" s="104">
        <f>[3]DHL!$GV$52+[3]DHL_Atlas!$GV$52</f>
        <v>0</v>
      </c>
      <c r="D21" s="475"/>
      <c r="E21" s="104">
        <f>[3]DHL_Encore!$GV$52</f>
        <v>53609</v>
      </c>
      <c r="F21" s="104">
        <f>[3]Encore!$GV$52</f>
        <v>0</v>
      </c>
      <c r="G21" s="104">
        <f>[3]FedEx!$GV$52</f>
        <v>7405114</v>
      </c>
      <c r="H21" s="104">
        <f>[3]IFL!$GV$52</f>
        <v>0</v>
      </c>
      <c r="I21" s="104">
        <f>[3]DHL_Kalitta!$GV$52</f>
        <v>4478</v>
      </c>
      <c r="J21" s="83">
        <f>'[3]Mountain Cargo'!$GV$52</f>
        <v>0</v>
      </c>
      <c r="K21" s="104">
        <f>[3]DHL_Southair!$GV$52</f>
        <v>0</v>
      </c>
      <c r="L21" s="104">
        <f>[3]DHL_Swift!$GV$52</f>
        <v>409017</v>
      </c>
      <c r="M21" s="104">
        <f>+'[3]Sun Country Cargo'!$GV$52</f>
        <v>796242</v>
      </c>
      <c r="N21" s="104">
        <f>[3]UPS!$GV$52</f>
        <v>5547060</v>
      </c>
      <c r="O21" s="83">
        <f>'[3]Misc Cargo'!$GV$52</f>
        <v>0</v>
      </c>
      <c r="P21" s="412">
        <f t="shared" ref="P21:P23" si="5">SUM(B21:C21)+SUM(E21:O21)</f>
        <v>14215520</v>
      </c>
      <c r="R21" s="322"/>
      <c r="S21" s="322"/>
      <c r="T21" s="192"/>
    </row>
    <row r="22" spans="1:20" x14ac:dyDescent="0.2">
      <c r="A22" s="31" t="s">
        <v>60</v>
      </c>
      <c r="B22" s="163">
        <f>'[3]Atlas Air'!$GV$53</f>
        <v>0</v>
      </c>
      <c r="C22" s="104">
        <f>[3]DHL!$GV$53</f>
        <v>0</v>
      </c>
      <c r="D22" s="475"/>
      <c r="E22" s="104">
        <f>[3]DHL_Encore!$GV$53</f>
        <v>0</v>
      </c>
      <c r="F22" s="104">
        <f>[3]Encore!$GV$53</f>
        <v>0</v>
      </c>
      <c r="G22" s="104">
        <f>[3]FedEx!$GV$53</f>
        <v>0</v>
      </c>
      <c r="H22" s="104">
        <f>[3]IFL!$GV$53</f>
        <v>0</v>
      </c>
      <c r="I22" s="104">
        <f>[3]DHL_Kalitta!$GV$53</f>
        <v>0</v>
      </c>
      <c r="J22" s="83">
        <f>'[3]Mountain Cargo'!$GV$53</f>
        <v>119437</v>
      </c>
      <c r="K22" s="104">
        <f>[3]DHL_Southair!$GV$53</f>
        <v>0</v>
      </c>
      <c r="L22" s="104">
        <f>[3]DHL_Swift!$GV$53</f>
        <v>0</v>
      </c>
      <c r="M22" s="104">
        <f>+'[3]Sun Country Cargo'!$GV$53</f>
        <v>0</v>
      </c>
      <c r="N22" s="104">
        <f>[3]UPS!$GV$53</f>
        <v>612234</v>
      </c>
      <c r="O22" s="83">
        <f>'[3]Misc Cargo'!$GV$53</f>
        <v>0</v>
      </c>
      <c r="P22" s="412">
        <f t="shared" si="5"/>
        <v>731671</v>
      </c>
      <c r="R22" s="322"/>
      <c r="S22" s="322"/>
      <c r="T22" s="192"/>
    </row>
    <row r="23" spans="1:20" ht="18" customHeight="1" x14ac:dyDescent="0.2">
      <c r="A23" s="137" t="s">
        <v>41</v>
      </c>
      <c r="B23" s="448">
        <f>SUM(B21:B22)</f>
        <v>0</v>
      </c>
      <c r="C23" s="196">
        <f>SUM(C21:C22)</f>
        <v>0</v>
      </c>
      <c r="D23" s="475"/>
      <c r="E23" s="196">
        <f t="shared" ref="E23:O23" si="6">SUM(E21:E22)</f>
        <v>53609</v>
      </c>
      <c r="F23" s="196">
        <f t="shared" si="6"/>
        <v>0</v>
      </c>
      <c r="G23" s="196">
        <f t="shared" si="6"/>
        <v>7405114</v>
      </c>
      <c r="H23" s="196">
        <f t="shared" si="6"/>
        <v>0</v>
      </c>
      <c r="I23" s="196">
        <f t="shared" si="6"/>
        <v>4478</v>
      </c>
      <c r="J23" s="197">
        <f t="shared" si="6"/>
        <v>119437</v>
      </c>
      <c r="K23" s="196">
        <f t="shared" si="6"/>
        <v>0</v>
      </c>
      <c r="L23" s="196">
        <f t="shared" si="6"/>
        <v>409017</v>
      </c>
      <c r="M23" s="196">
        <f t="shared" si="6"/>
        <v>796242</v>
      </c>
      <c r="N23" s="196">
        <f t="shared" si="6"/>
        <v>6159294</v>
      </c>
      <c r="O23" s="197">
        <f t="shared" si="6"/>
        <v>0</v>
      </c>
      <c r="P23" s="416">
        <f t="shared" si="5"/>
        <v>14947191</v>
      </c>
      <c r="R23" s="322"/>
      <c r="S23" s="322"/>
      <c r="T23" s="192"/>
    </row>
    <row r="24" spans="1:20" x14ac:dyDescent="0.2">
      <c r="A24" s="31"/>
      <c r="B24" s="163"/>
      <c r="C24" s="104"/>
      <c r="D24" s="475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2"/>
      <c r="R24" s="322"/>
      <c r="S24" s="322"/>
      <c r="T24" s="192"/>
    </row>
    <row r="25" spans="1:20" x14ac:dyDescent="0.2">
      <c r="A25" s="136" t="s">
        <v>95</v>
      </c>
      <c r="B25" s="163"/>
      <c r="C25" s="104"/>
      <c r="D25" s="475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2"/>
      <c r="R25" s="322"/>
      <c r="S25" s="322"/>
      <c r="T25" s="192"/>
    </row>
    <row r="26" spans="1:20" x14ac:dyDescent="0.2">
      <c r="A26" s="31" t="s">
        <v>59</v>
      </c>
      <c r="B26" s="163">
        <f>'[3]Atlas Air'!$GV$57</f>
        <v>0</v>
      </c>
      <c r="C26" s="104">
        <f>[3]DHL!$GV$57</f>
        <v>0</v>
      </c>
      <c r="D26" s="475"/>
      <c r="E26" s="104">
        <f>[3]DHL_Encore!$GV$57</f>
        <v>0</v>
      </c>
      <c r="F26" s="104">
        <f>[3]Encore!$GV$57</f>
        <v>0</v>
      </c>
      <c r="G26" s="104">
        <f>[3]FedEx!$GV$57</f>
        <v>0</v>
      </c>
      <c r="H26" s="104">
        <f>[3]IFL!$GV$57</f>
        <v>0</v>
      </c>
      <c r="I26" s="104">
        <f>[3]DHL_Kalitta!$GV$57</f>
        <v>0</v>
      </c>
      <c r="J26" s="83">
        <f>'[3]Mountain Cargo'!$GV$57</f>
        <v>0</v>
      </c>
      <c r="K26" s="104">
        <f>[3]DHL_Southair!$GV$57</f>
        <v>0</v>
      </c>
      <c r="L26" s="104">
        <f>[3]DHL_Swift!$GV$57</f>
        <v>0</v>
      </c>
      <c r="M26" s="104">
        <f>+'[3]Sun Country Cargo'!$GV$57</f>
        <v>0</v>
      </c>
      <c r="N26" s="104">
        <f>[3]UPS!$GV$57</f>
        <v>0</v>
      </c>
      <c r="O26" s="83">
        <f>'[3]Misc Cargo'!$GV$57</f>
        <v>0</v>
      </c>
      <c r="P26" s="412">
        <f t="shared" ref="P26:P28" si="7">SUM(B26:C26)+SUM(E26:O26)</f>
        <v>0</v>
      </c>
      <c r="R26" s="322"/>
      <c r="S26" s="322"/>
      <c r="T26" s="322"/>
    </row>
    <row r="27" spans="1:20" x14ac:dyDescent="0.2">
      <c r="A27" s="31" t="s">
        <v>60</v>
      </c>
      <c r="B27" s="163">
        <f>'[3]Atlas Air'!$GV$58</f>
        <v>0</v>
      </c>
      <c r="C27" s="104">
        <f>[3]DHL!$GV$58</f>
        <v>0</v>
      </c>
      <c r="D27" s="475"/>
      <c r="E27" s="104">
        <f>[3]DHL_Encore!$GV$58</f>
        <v>0</v>
      </c>
      <c r="F27" s="104">
        <f>[3]Encore!$GV$58</f>
        <v>0</v>
      </c>
      <c r="G27" s="104">
        <f>[3]FedEx!$GV$58</f>
        <v>0</v>
      </c>
      <c r="H27" s="104">
        <f>[3]IFL!$GV$58</f>
        <v>0</v>
      </c>
      <c r="I27" s="104">
        <f>[3]DHL_Kalitta!$GV$58</f>
        <v>0</v>
      </c>
      <c r="J27" s="83">
        <f>'[3]Mountain Cargo'!$GV$58</f>
        <v>0</v>
      </c>
      <c r="K27" s="104">
        <f>[3]DHL_Southair!$GV$58</f>
        <v>0</v>
      </c>
      <c r="L27" s="104">
        <f>[3]DHL_Swift!$GV$58</f>
        <v>0</v>
      </c>
      <c r="M27" s="104">
        <f>+'[3]Sun Country Cargo'!$GV$58</f>
        <v>0</v>
      </c>
      <c r="N27" s="104">
        <f>[3]UPS!$GV$58</f>
        <v>0</v>
      </c>
      <c r="O27" s="83">
        <f>'[3]Misc Cargo'!$GV$58</f>
        <v>0</v>
      </c>
      <c r="P27" s="412">
        <f t="shared" si="7"/>
        <v>0</v>
      </c>
      <c r="R27" s="322"/>
      <c r="S27" s="322"/>
      <c r="T27" s="192"/>
    </row>
    <row r="28" spans="1:20" ht="18" customHeight="1" x14ac:dyDescent="0.2">
      <c r="A28" s="137" t="s">
        <v>43</v>
      </c>
      <c r="B28" s="448">
        <f>SUM(B26:B27)</f>
        <v>0</v>
      </c>
      <c r="C28" s="196">
        <f>SUM(C26:C27)</f>
        <v>0</v>
      </c>
      <c r="D28" s="475"/>
      <c r="E28" s="196">
        <f t="shared" ref="E28:O28" si="8">SUM(E26:E27)</f>
        <v>0</v>
      </c>
      <c r="F28" s="196">
        <f t="shared" si="8"/>
        <v>0</v>
      </c>
      <c r="G28" s="196">
        <f t="shared" si="8"/>
        <v>0</v>
      </c>
      <c r="H28" s="196">
        <f t="shared" si="8"/>
        <v>0</v>
      </c>
      <c r="I28" s="196">
        <f t="shared" si="8"/>
        <v>0</v>
      </c>
      <c r="J28" s="197">
        <f t="shared" si="8"/>
        <v>0</v>
      </c>
      <c r="K28" s="196">
        <f t="shared" si="8"/>
        <v>0</v>
      </c>
      <c r="L28" s="196">
        <f t="shared" si="8"/>
        <v>0</v>
      </c>
      <c r="M28" s="196">
        <f t="shared" si="8"/>
        <v>0</v>
      </c>
      <c r="N28" s="196">
        <f t="shared" si="8"/>
        <v>0</v>
      </c>
      <c r="O28" s="197">
        <f t="shared" si="8"/>
        <v>0</v>
      </c>
      <c r="P28" s="416">
        <f t="shared" si="7"/>
        <v>0</v>
      </c>
      <c r="R28" s="322"/>
      <c r="S28" s="322"/>
      <c r="T28" s="322"/>
    </row>
    <row r="29" spans="1:20" x14ac:dyDescent="0.2">
      <c r="A29" s="31"/>
      <c r="B29" s="163"/>
      <c r="C29" s="104"/>
      <c r="D29" s="475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2"/>
      <c r="R29" s="322"/>
      <c r="S29" s="322"/>
      <c r="T29" s="322"/>
    </row>
    <row r="30" spans="1:20" x14ac:dyDescent="0.2">
      <c r="A30" s="138" t="s">
        <v>44</v>
      </c>
      <c r="B30" s="163"/>
      <c r="C30" s="104"/>
      <c r="D30" s="475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2"/>
      <c r="R30" s="322"/>
      <c r="S30" s="322"/>
      <c r="T30" s="322"/>
    </row>
    <row r="31" spans="1:20" x14ac:dyDescent="0.2">
      <c r="A31" s="31" t="s">
        <v>89</v>
      </c>
      <c r="B31" s="163">
        <f>B26+B21+B16</f>
        <v>0</v>
      </c>
      <c r="C31" s="104">
        <f t="shared" ref="C31:O33" si="9">C26+C21+C16</f>
        <v>0</v>
      </c>
      <c r="D31" s="475"/>
      <c r="E31" s="104">
        <f t="shared" ref="E31:M33" si="10">E26+E21+E16</f>
        <v>124719</v>
      </c>
      <c r="F31" s="104">
        <f t="shared" si="10"/>
        <v>0</v>
      </c>
      <c r="G31" s="104">
        <f t="shared" si="10"/>
        <v>16026922</v>
      </c>
      <c r="H31" s="104">
        <f t="shared" si="10"/>
        <v>71798</v>
      </c>
      <c r="I31" s="104">
        <f t="shared" si="10"/>
        <v>36833</v>
      </c>
      <c r="J31" s="83">
        <f>J26+J21+J16</f>
        <v>0</v>
      </c>
      <c r="K31" s="104">
        <f t="shared" si="10"/>
        <v>0</v>
      </c>
      <c r="L31" s="104">
        <f t="shared" si="10"/>
        <v>1114604</v>
      </c>
      <c r="M31" s="104">
        <f t="shared" si="10"/>
        <v>2164686</v>
      </c>
      <c r="N31" s="104">
        <f t="shared" si="9"/>
        <v>12455177</v>
      </c>
      <c r="O31" s="83">
        <f>O26+O21+O16</f>
        <v>0</v>
      </c>
      <c r="P31" s="412">
        <f t="shared" ref="P31:P32" si="11">SUM(B31:C31)+SUM(E31:O31)</f>
        <v>31994739</v>
      </c>
    </row>
    <row r="32" spans="1:20" x14ac:dyDescent="0.2">
      <c r="A32" s="31" t="s">
        <v>60</v>
      </c>
      <c r="B32" s="163">
        <f>B27+B22+B17</f>
        <v>0</v>
      </c>
      <c r="C32" s="104">
        <f t="shared" si="9"/>
        <v>0</v>
      </c>
      <c r="D32" s="476"/>
      <c r="E32" s="104">
        <f t="shared" si="10"/>
        <v>0</v>
      </c>
      <c r="F32" s="104">
        <f t="shared" si="10"/>
        <v>0</v>
      </c>
      <c r="G32" s="104">
        <f t="shared" si="10"/>
        <v>0</v>
      </c>
      <c r="H32" s="104">
        <f t="shared" si="10"/>
        <v>0</v>
      </c>
      <c r="I32" s="104">
        <f t="shared" si="10"/>
        <v>0</v>
      </c>
      <c r="J32" s="83">
        <f>J27+J22+J17</f>
        <v>171253</v>
      </c>
      <c r="K32" s="104">
        <f t="shared" si="10"/>
        <v>0</v>
      </c>
      <c r="L32" s="104">
        <f t="shared" si="10"/>
        <v>0</v>
      </c>
      <c r="M32" s="104">
        <f t="shared" si="10"/>
        <v>0</v>
      </c>
      <c r="N32" s="104">
        <f t="shared" si="9"/>
        <v>617304</v>
      </c>
      <c r="O32" s="83">
        <f>O27+O22+O17</f>
        <v>0</v>
      </c>
      <c r="P32" s="413">
        <f t="shared" si="11"/>
        <v>788557</v>
      </c>
    </row>
    <row r="33" spans="1:16" ht="18" customHeight="1" thickBot="1" x14ac:dyDescent="0.25">
      <c r="A33" s="131" t="s">
        <v>46</v>
      </c>
      <c r="B33" s="445">
        <f>B28+B23+B18</f>
        <v>0</v>
      </c>
      <c r="C33" s="132">
        <f>C28+C23+C18</f>
        <v>0</v>
      </c>
      <c r="D33" s="198">
        <f>D28+D23+D18</f>
        <v>0</v>
      </c>
      <c r="E33" s="132">
        <f>E28+E23+E18</f>
        <v>124719</v>
      </c>
      <c r="F33" s="132">
        <f>F28+F23+F18</f>
        <v>0</v>
      </c>
      <c r="G33" s="132">
        <f t="shared" si="10"/>
        <v>16026922</v>
      </c>
      <c r="H33" s="132">
        <f t="shared" si="10"/>
        <v>71798</v>
      </c>
      <c r="I33" s="132">
        <f t="shared" si="10"/>
        <v>36833</v>
      </c>
      <c r="J33" s="133">
        <f>J28+J23+J18</f>
        <v>171253</v>
      </c>
      <c r="K33" s="132">
        <f t="shared" si="10"/>
        <v>0</v>
      </c>
      <c r="L33" s="132">
        <f t="shared" si="10"/>
        <v>1114604</v>
      </c>
      <c r="M33" s="132">
        <f t="shared" si="9"/>
        <v>2164686</v>
      </c>
      <c r="N33" s="132">
        <f t="shared" si="9"/>
        <v>13072481</v>
      </c>
      <c r="O33" s="133">
        <f t="shared" si="9"/>
        <v>0</v>
      </c>
      <c r="P33" s="414">
        <f>SUM(B33:C33)+SUM(E33:O33)</f>
        <v>32783296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0" orientation="landscape" r:id="rId1"/>
  <headerFooter alignWithMargins="0">
    <oddHeader>&amp;L
Schedule 7
&amp;CMinneapolis-St. Paul International Airport
&amp;"Arial,Bold"Cargo
July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8" sqref="D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7">
        <v>44013</v>
      </c>
      <c r="B2" s="50" t="s">
        <v>63</v>
      </c>
      <c r="C2" s="50" t="s">
        <v>64</v>
      </c>
      <c r="D2" s="50" t="s">
        <v>65</v>
      </c>
      <c r="E2" s="209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757465</v>
      </c>
      <c r="C5" s="83">
        <f>'Regional Major'!M25</f>
        <v>1447</v>
      </c>
      <c r="D5" s="83">
        <f>Cargo!P16</f>
        <v>17779219</v>
      </c>
      <c r="E5" s="83">
        <f>SUM(B5:D5)</f>
        <v>18538131</v>
      </c>
      <c r="F5" s="83">
        <f>E5*0.00045359237</f>
        <v>8408.754775660469</v>
      </c>
      <c r="G5" s="83">
        <f>'[1]Cargo Summary'!F5</f>
        <v>9175.0442000987005</v>
      </c>
      <c r="H5" s="70">
        <f>(F5-G5)/G5</f>
        <v>-8.3518880969531251E-2</v>
      </c>
      <c r="I5" s="83">
        <f>+F5+'[2]Cargo Summary'!I5</f>
        <v>58185.751034536508</v>
      </c>
      <c r="J5" s="83">
        <f>'[1]Cargo Summary'!I5</f>
        <v>62853.896456799142</v>
      </c>
      <c r="K5" s="58">
        <f>(I5-J5)/J5</f>
        <v>-7.4269785731918031E-2</v>
      </c>
      <c r="M5" s="19"/>
    </row>
    <row r="6" spans="1:18" x14ac:dyDescent="0.2">
      <c r="A6" s="38" t="s">
        <v>16</v>
      </c>
      <c r="B6" s="108">
        <f>'Major Airline Stats'!K29</f>
        <v>350012</v>
      </c>
      <c r="C6" s="83">
        <f>'Regional Major'!M26</f>
        <v>0</v>
      </c>
      <c r="D6" s="83">
        <f>Cargo!P17</f>
        <v>56886</v>
      </c>
      <c r="E6" s="83">
        <f>SUM(B6:D6)</f>
        <v>406898</v>
      </c>
      <c r="F6" s="83">
        <f>E6*0.00045359237</f>
        <v>184.56582816826</v>
      </c>
      <c r="G6" s="83">
        <f>'[1]Cargo Summary'!F6</f>
        <v>740.07541419119002</v>
      </c>
      <c r="H6" s="3">
        <f>(F6-G6)/G6</f>
        <v>-0.75061213407559646</v>
      </c>
      <c r="I6" s="83">
        <f>+F6+'[2]Cargo Summary'!I6</f>
        <v>3252.4196789684597</v>
      </c>
      <c r="J6" s="83">
        <f>'[1]Cargo Summary'!I6</f>
        <v>5842.5260052890508</v>
      </c>
      <c r="K6" s="58">
        <f>(I6-J6)/J6</f>
        <v>-0.4433196059334355</v>
      </c>
      <c r="M6" s="19"/>
    </row>
    <row r="7" spans="1:18" ht="18" customHeight="1" thickBot="1" x14ac:dyDescent="0.25">
      <c r="A7" s="47" t="s">
        <v>72</v>
      </c>
      <c r="B7" s="110">
        <f>SUM(B5:B6)</f>
        <v>1107477</v>
      </c>
      <c r="C7" s="91">
        <f t="shared" ref="C7:J7" si="0">SUM(C5:C6)</f>
        <v>1447</v>
      </c>
      <c r="D7" s="91">
        <f t="shared" si="0"/>
        <v>17836105</v>
      </c>
      <c r="E7" s="91">
        <f t="shared" si="0"/>
        <v>18945029</v>
      </c>
      <c r="F7" s="91">
        <f t="shared" si="0"/>
        <v>8593.3206038287299</v>
      </c>
      <c r="G7" s="91">
        <f t="shared" si="0"/>
        <v>9915.1196142898898</v>
      </c>
      <c r="H7" s="22">
        <f>(F7-G7)/G7</f>
        <v>-0.13331145380799581</v>
      </c>
      <c r="I7" s="91">
        <f t="shared" si="0"/>
        <v>61438.170713504966</v>
      </c>
      <c r="J7" s="91">
        <f t="shared" si="0"/>
        <v>68696.422462088187</v>
      </c>
      <c r="K7" s="211">
        <f>(I7-J7)/J7</f>
        <v>-0.10565691033749051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242068</v>
      </c>
      <c r="C10" s="83">
        <f>'Regional Major'!M30</f>
        <v>515</v>
      </c>
      <c r="D10" s="83">
        <f>Cargo!P21</f>
        <v>14215520</v>
      </c>
      <c r="E10" s="83">
        <f>SUM(B10:D10)</f>
        <v>14458103</v>
      </c>
      <c r="F10" s="83">
        <f>E10*0.00045359237</f>
        <v>6558.0852054741099</v>
      </c>
      <c r="G10" s="83">
        <f>'[1]Cargo Summary'!F10</f>
        <v>6819.1557371360495</v>
      </c>
      <c r="H10" s="3">
        <f>(F10-G10)/G10</f>
        <v>-3.8284875976682946E-2</v>
      </c>
      <c r="I10" s="83">
        <f>+F10+'[2]Cargo Summary'!I10</f>
        <v>47441.929046473502</v>
      </c>
      <c r="J10" s="83">
        <f>'[1]Cargo Summary'!I10</f>
        <v>52807.756686434739</v>
      </c>
      <c r="K10" s="58">
        <f>(I10-J10)/J10</f>
        <v>-0.10161059618235234</v>
      </c>
      <c r="M10" s="19"/>
    </row>
    <row r="11" spans="1:18" x14ac:dyDescent="0.2">
      <c r="A11" s="38" t="s">
        <v>16</v>
      </c>
      <c r="B11" s="108">
        <f>'Major Airline Stats'!K34</f>
        <v>1197331</v>
      </c>
      <c r="C11" s="83">
        <f>'Regional Major'!M31</f>
        <v>0</v>
      </c>
      <c r="D11" s="83">
        <f>Cargo!P22</f>
        <v>731671</v>
      </c>
      <c r="E11" s="83">
        <f>SUM(B11:D11)</f>
        <v>1929002</v>
      </c>
      <c r="F11" s="83">
        <f>E11*0.00045359237</f>
        <v>874.98058891474</v>
      </c>
      <c r="G11" s="83">
        <f>'[1]Cargo Summary'!F11</f>
        <v>904.48132947479996</v>
      </c>
      <c r="H11" s="19">
        <f>(F11-G11)/G11</f>
        <v>-3.2616196264869272E-2</v>
      </c>
      <c r="I11" s="83">
        <f>+F11+'[2]Cargo Summary'!I11</f>
        <v>5744.0560912781211</v>
      </c>
      <c r="J11" s="83">
        <f>'[1]Cargo Summary'!I11</f>
        <v>8414.7004644464287</v>
      </c>
      <c r="K11" s="58">
        <f>(I11-J11)/J11</f>
        <v>-0.31737842415808432</v>
      </c>
      <c r="M11" s="19"/>
    </row>
    <row r="12" spans="1:18" ht="18" customHeight="1" thickBot="1" x14ac:dyDescent="0.25">
      <c r="A12" s="47" t="s">
        <v>73</v>
      </c>
      <c r="B12" s="110">
        <f>SUM(B10:B11)</f>
        <v>1439399</v>
      </c>
      <c r="C12" s="91">
        <f t="shared" ref="C12:J12" si="1">SUM(C10:C11)</f>
        <v>515</v>
      </c>
      <c r="D12" s="91">
        <f t="shared" si="1"/>
        <v>14947191</v>
      </c>
      <c r="E12" s="91">
        <f t="shared" si="1"/>
        <v>16387105</v>
      </c>
      <c r="F12" s="91">
        <f t="shared" si="1"/>
        <v>7433.06579438885</v>
      </c>
      <c r="G12" s="91">
        <f t="shared" si="1"/>
        <v>7723.6370666108496</v>
      </c>
      <c r="H12" s="22">
        <f>(F12-G12)/G12</f>
        <v>-3.7621041708204316E-2</v>
      </c>
      <c r="I12" s="91">
        <f t="shared" si="1"/>
        <v>53185.985137751624</v>
      </c>
      <c r="J12" s="91">
        <f t="shared" si="1"/>
        <v>61222.457150881164</v>
      </c>
      <c r="K12" s="211">
        <f>(I12-J12)/J12</f>
        <v>-0.13126673425282265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1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D21" si="3">B15+B10+B5</f>
        <v>999533</v>
      </c>
      <c r="C20" s="83">
        <f t="shared" si="3"/>
        <v>1962</v>
      </c>
      <c r="D20" s="83">
        <f t="shared" si="3"/>
        <v>31994739</v>
      </c>
      <c r="E20" s="83">
        <f>SUM(B20:D20)</f>
        <v>32996234</v>
      </c>
      <c r="F20" s="83">
        <f>E20*0.00045359237</f>
        <v>14966.839981134579</v>
      </c>
      <c r="G20" s="83">
        <f>'[1]Cargo Summary'!F20</f>
        <v>15994.199937234749</v>
      </c>
      <c r="H20" s="3">
        <f>(F20-G20)/G20</f>
        <v>-6.4233282072988229E-2</v>
      </c>
      <c r="I20" s="83">
        <f>+I5+I10+I15</f>
        <v>105627.68008101001</v>
      </c>
      <c r="J20" s="83">
        <f>+J5+J10+J15</f>
        <v>115661.65314323388</v>
      </c>
      <c r="K20" s="58">
        <f>(I20-J20)/J20</f>
        <v>-8.6752806911707628E-2</v>
      </c>
      <c r="M20" s="19"/>
    </row>
    <row r="21" spans="1:13" x14ac:dyDescent="0.2">
      <c r="A21" s="38" t="s">
        <v>16</v>
      </c>
      <c r="B21" s="108">
        <f t="shared" si="3"/>
        <v>1547343</v>
      </c>
      <c r="C21" s="84">
        <f t="shared" si="3"/>
        <v>0</v>
      </c>
      <c r="D21" s="84">
        <f t="shared" si="3"/>
        <v>788557</v>
      </c>
      <c r="E21" s="83">
        <f>SUM(B21:D21)</f>
        <v>2335900</v>
      </c>
      <c r="F21" s="83">
        <f>E21*0.00045359237</f>
        <v>1059.5464170830001</v>
      </c>
      <c r="G21" s="83">
        <f>'[1]Cargo Summary'!F21</f>
        <v>1644.5567436659899</v>
      </c>
      <c r="H21" s="3">
        <f>(F21-G21)/G21</f>
        <v>-0.35572523042221377</v>
      </c>
      <c r="I21" s="83">
        <f>+I6+I11+I16</f>
        <v>8996.4757702465813</v>
      </c>
      <c r="J21" s="83">
        <f>+J6+J11+J16</f>
        <v>14257.22646973548</v>
      </c>
      <c r="K21" s="58">
        <f>(I21-J21)/J21</f>
        <v>-0.36898836605114987</v>
      </c>
      <c r="M21" s="19"/>
    </row>
    <row r="22" spans="1:13" ht="18" customHeight="1" thickBot="1" x14ac:dyDescent="0.25">
      <c r="A22" s="60" t="s">
        <v>62</v>
      </c>
      <c r="B22" s="111">
        <f>SUM(B20:B21)</f>
        <v>2546876</v>
      </c>
      <c r="C22" s="112">
        <f t="shared" ref="C22:J22" si="4">SUM(C20:C21)</f>
        <v>1962</v>
      </c>
      <c r="D22" s="112">
        <f t="shared" si="4"/>
        <v>32783296</v>
      </c>
      <c r="E22" s="112">
        <f t="shared" si="4"/>
        <v>35332134</v>
      </c>
      <c r="F22" s="112">
        <f t="shared" si="4"/>
        <v>16026.386398217579</v>
      </c>
      <c r="G22" s="112">
        <f t="shared" si="4"/>
        <v>17638.75668090074</v>
      </c>
      <c r="H22" s="217">
        <f>(F22-G22)/G22</f>
        <v>-9.141065392829173E-2</v>
      </c>
      <c r="I22" s="112">
        <f t="shared" si="4"/>
        <v>114624.1558512566</v>
      </c>
      <c r="J22" s="112">
        <f t="shared" si="4"/>
        <v>129918.87961296937</v>
      </c>
      <c r="K22" s="218">
        <f>(I22-J22)/J22</f>
        <v>-0.11772518210806636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July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D14" sqref="D1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3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2"/>
      <c r="K1"/>
    </row>
    <row r="2" spans="1:18" s="9" customFormat="1" ht="26.25" thickBot="1" x14ac:dyDescent="0.25">
      <c r="A2" s="483" t="s">
        <v>187</v>
      </c>
      <c r="B2" s="484"/>
      <c r="C2" s="314" t="s">
        <v>217</v>
      </c>
      <c r="D2" s="316" t="s">
        <v>205</v>
      </c>
      <c r="E2" s="317" t="s">
        <v>96</v>
      </c>
      <c r="F2" s="318" t="s">
        <v>218</v>
      </c>
      <c r="G2" s="316" t="s">
        <v>206</v>
      </c>
      <c r="H2" s="315" t="s">
        <v>97</v>
      </c>
      <c r="I2" s="317" t="s">
        <v>138</v>
      </c>
      <c r="J2" s="483" t="s">
        <v>183</v>
      </c>
      <c r="K2" s="484"/>
      <c r="L2" s="314" t="s">
        <v>219</v>
      </c>
      <c r="M2" s="316" t="s">
        <v>207</v>
      </c>
      <c r="N2" s="319" t="s">
        <v>97</v>
      </c>
      <c r="O2" s="320" t="s">
        <v>220</v>
      </c>
      <c r="P2" s="320" t="s">
        <v>208</v>
      </c>
      <c r="Q2" s="345" t="s">
        <v>97</v>
      </c>
      <c r="R2" s="317" t="s">
        <v>138</v>
      </c>
    </row>
    <row r="3" spans="1:18" s="9" customFormat="1" ht="13.5" customHeight="1" thickBot="1" x14ac:dyDescent="0.25">
      <c r="A3" s="485">
        <v>44013</v>
      </c>
      <c r="B3" s="486"/>
      <c r="C3" s="487" t="s">
        <v>9</v>
      </c>
      <c r="D3" s="488"/>
      <c r="E3" s="488"/>
      <c r="F3" s="488"/>
      <c r="G3" s="488"/>
      <c r="H3" s="489"/>
      <c r="I3" s="440"/>
      <c r="J3" s="485">
        <f>+A3</f>
        <v>44013</v>
      </c>
      <c r="K3" s="486"/>
      <c r="L3" s="480" t="s">
        <v>184</v>
      </c>
      <c r="M3" s="481"/>
      <c r="N3" s="481"/>
      <c r="O3" s="481"/>
      <c r="P3" s="481"/>
      <c r="Q3" s="481"/>
      <c r="R3" s="482"/>
    </row>
    <row r="4" spans="1:18" x14ac:dyDescent="0.2">
      <c r="A4" s="231"/>
      <c r="B4" s="232"/>
      <c r="C4" s="233"/>
      <c r="D4" s="234"/>
      <c r="E4" s="235"/>
      <c r="F4" s="321"/>
      <c r="G4" s="234"/>
      <c r="H4" s="334"/>
      <c r="I4" s="235"/>
      <c r="J4" s="236"/>
      <c r="K4" s="232"/>
      <c r="L4" s="242"/>
      <c r="N4" s="58"/>
      <c r="O4" s="31"/>
      <c r="R4" s="33"/>
    </row>
    <row r="5" spans="1:18" x14ac:dyDescent="0.2">
      <c r="A5" s="238" t="s">
        <v>233</v>
      </c>
      <c r="B5" s="33"/>
      <c r="C5" s="449">
        <f>SUM(C6:C7)</f>
        <v>122</v>
      </c>
      <c r="D5" s="449">
        <f>SUM(D6:D7)</f>
        <v>64</v>
      </c>
      <c r="E5" s="450">
        <f>(C5-D5)/D5</f>
        <v>0.90625</v>
      </c>
      <c r="F5" s="449">
        <f>SUM(F6:F7)</f>
        <v>560</v>
      </c>
      <c r="G5" s="449">
        <f>SUM(G6:G7)</f>
        <v>422</v>
      </c>
      <c r="H5" s="451">
        <f>(F5-G5)/G5</f>
        <v>0.32701421800947866</v>
      </c>
      <c r="I5" s="450">
        <f>+F5/$F$33</f>
        <v>6.7600193143408982E-2</v>
      </c>
      <c r="J5" s="238" t="s">
        <v>233</v>
      </c>
      <c r="K5" s="33"/>
      <c r="L5" s="449">
        <f>SUM(L6:L7)</f>
        <v>2164686</v>
      </c>
      <c r="M5" s="449">
        <f>SUM(M6:M7)</f>
        <v>2263772</v>
      </c>
      <c r="N5" s="450">
        <f>(L5-M5)/M5</f>
        <v>-4.3770309024053662E-2</v>
      </c>
      <c r="O5" s="449">
        <f>SUM(O6:O7)</f>
        <v>17293920</v>
      </c>
      <c r="P5" s="449">
        <f>SUM(P6:P7)</f>
        <v>15347356</v>
      </c>
      <c r="Q5" s="451">
        <f>(O5-P5)/P5</f>
        <v>0.1268338337886995</v>
      </c>
      <c r="R5" s="450">
        <f>O5/$O$33</f>
        <v>7.8561517157382771E-2</v>
      </c>
    </row>
    <row r="6" spans="1:18" x14ac:dyDescent="0.2">
      <c r="A6" s="31"/>
      <c r="B6" s="295" t="s">
        <v>234</v>
      </c>
      <c r="C6" s="299">
        <f>+'[3]Atlas Air'!$GV$19</f>
        <v>0</v>
      </c>
      <c r="D6" s="192">
        <f>+'[3]Atlas Air'!$GH$19</f>
        <v>64</v>
      </c>
      <c r="E6" s="301">
        <f>(C6-D6)/D6</f>
        <v>-1</v>
      </c>
      <c r="F6" s="299">
        <f>+SUM('[3]Atlas Air'!$GP$19:$GV$19)</f>
        <v>276</v>
      </c>
      <c r="G6" s="192">
        <f>+SUM('[3]Atlas Air'!$GB$19:$GH$19)</f>
        <v>422</v>
      </c>
      <c r="H6" s="300">
        <f>(F6-G6)/G6</f>
        <v>-0.34597156398104267</v>
      </c>
      <c r="I6" s="301">
        <f>+F6/$F$33</f>
        <v>3.3317238049251567E-2</v>
      </c>
      <c r="J6" s="31"/>
      <c r="K6" s="295" t="s">
        <v>234</v>
      </c>
      <c r="L6" s="299">
        <f>+'[3]Atlas Air'!$GV$64</f>
        <v>0</v>
      </c>
      <c r="M6" s="192">
        <f>+'[3]Atlas Air'!$GH$64</f>
        <v>2263772</v>
      </c>
      <c r="N6" s="301">
        <f>(L6-M6)/M6</f>
        <v>-1</v>
      </c>
      <c r="O6" s="192">
        <f>+SUM('[3]Atlas Air'!$GP$64:$GV$64)</f>
        <v>12339789</v>
      </c>
      <c r="P6" s="192">
        <f>+SUM('[3]Atlas Air'!$GB$64:$GH$64)</f>
        <v>15347356</v>
      </c>
      <c r="Q6" s="300">
        <f>(O6-P6)/P6</f>
        <v>-0.19596645832676327</v>
      </c>
      <c r="R6" s="301">
        <f>O6/$O$33</f>
        <v>5.6056264007349581E-2</v>
      </c>
    </row>
    <row r="7" spans="1:18" x14ac:dyDescent="0.2">
      <c r="A7" s="31"/>
      <c r="B7" s="295" t="s">
        <v>49</v>
      </c>
      <c r="C7" s="299">
        <f>+'[3]Sun Country Cargo'!$GV$19</f>
        <v>122</v>
      </c>
      <c r="D7" s="192">
        <f>+'[3]Sun Country Cargo'!$GH$19</f>
        <v>0</v>
      </c>
      <c r="E7" s="301" t="e">
        <f>(C7-D7)/D7</f>
        <v>#DIV/0!</v>
      </c>
      <c r="F7" s="299">
        <f>+SUM('[3]Sun Country Cargo'!$GP$19:$GV$19)</f>
        <v>284</v>
      </c>
      <c r="G7" s="192">
        <f>+SUM('[3]Sun Country Cargo'!$GB$19:$GH$19)</f>
        <v>0</v>
      </c>
      <c r="H7" s="300" t="e">
        <f>(F7-G7)/G7</f>
        <v>#DIV/0!</v>
      </c>
      <c r="I7" s="301">
        <f>+F7/$F$33</f>
        <v>3.4282955094157415E-2</v>
      </c>
      <c r="J7" s="31"/>
      <c r="K7" s="295" t="s">
        <v>49</v>
      </c>
      <c r="L7" s="299">
        <f>+'[3]Sun Country Cargo'!$GV$64</f>
        <v>2164686</v>
      </c>
      <c r="M7" s="192">
        <f>+'[3]Sun Country Cargo'!$GH$64</f>
        <v>0</v>
      </c>
      <c r="N7" s="301" t="e">
        <f>(L7-M7)/M7</f>
        <v>#DIV/0!</v>
      </c>
      <c r="O7" s="192">
        <f>+SUM('[3]Sun Country Cargo'!$GP$64:$GV$64)</f>
        <v>4954131</v>
      </c>
      <c r="P7" s="192">
        <f>+SUM('[3]Sun Country Cargo'!$GB$64:$GH$64)</f>
        <v>0</v>
      </c>
      <c r="Q7" s="300" t="e">
        <f>(O7-P7)/P7</f>
        <v>#DIV/0!</v>
      </c>
      <c r="R7" s="301">
        <f>O7/$O$33</f>
        <v>2.250525315003318E-2</v>
      </c>
    </row>
    <row r="8" spans="1:18" x14ac:dyDescent="0.2">
      <c r="A8" s="31"/>
      <c r="B8" s="33"/>
      <c r="F8" s="452"/>
      <c r="I8" s="58"/>
      <c r="J8" s="367"/>
      <c r="K8" s="33"/>
      <c r="N8" s="58"/>
      <c r="R8" s="33"/>
    </row>
    <row r="9" spans="1:18" ht="14.1" customHeight="1" x14ac:dyDescent="0.2">
      <c r="A9" s="238" t="s">
        <v>235</v>
      </c>
      <c r="B9" s="33"/>
      <c r="C9" s="449">
        <f>SUM(C10:C16)</f>
        <v>138</v>
      </c>
      <c r="D9" s="449">
        <f>SUM(D10:D16)</f>
        <v>132</v>
      </c>
      <c r="E9" s="450">
        <f>(C9-D9)/D9</f>
        <v>4.5454545454545456E-2</v>
      </c>
      <c r="F9" s="449">
        <f>SUM(F10:F16)</f>
        <v>903</v>
      </c>
      <c r="G9" s="449">
        <f>SUM(G10:G16)</f>
        <v>893</v>
      </c>
      <c r="H9" s="451">
        <f>(F9-G9)/G9</f>
        <v>1.1198208286674132E-2</v>
      </c>
      <c r="I9" s="450">
        <f>+F9/$F$33</f>
        <v>0.10900531144374698</v>
      </c>
      <c r="J9" s="238" t="s">
        <v>235</v>
      </c>
      <c r="K9" s="33"/>
      <c r="L9" s="449">
        <f>SUM(L10:L16)</f>
        <v>1276156</v>
      </c>
      <c r="M9" s="449">
        <f>SUM(M10:M16)</f>
        <v>1472018</v>
      </c>
      <c r="N9" s="450">
        <f t="shared" ref="N9:N16" si="0">(L9-M9)/M9</f>
        <v>-0.133056796859821</v>
      </c>
      <c r="O9" s="449">
        <f>SUM(O10:O16)</f>
        <v>9891487</v>
      </c>
      <c r="P9" s="449">
        <f>SUM(P10:P16)</f>
        <v>9844927</v>
      </c>
      <c r="Q9" s="451">
        <f t="shared" ref="Q9:Q16" si="1">(O9-P9)/P9</f>
        <v>4.7293392830642621E-3</v>
      </c>
      <c r="R9" s="450">
        <f t="shared" ref="R9:R16" si="2">O9/$O$33</f>
        <v>4.4934302093598708E-2</v>
      </c>
    </row>
    <row r="10" spans="1:18" ht="14.1" customHeight="1" x14ac:dyDescent="0.2">
      <c r="A10" s="238"/>
      <c r="B10" s="295" t="s">
        <v>236</v>
      </c>
      <c r="C10" s="299">
        <f>+[3]Airborne!$GV$19</f>
        <v>0</v>
      </c>
      <c r="D10" s="192">
        <f>+[3]Airborne!$GH$19</f>
        <v>0</v>
      </c>
      <c r="E10" s="301" t="e">
        <f>(C10-D10)/D10</f>
        <v>#DIV/0!</v>
      </c>
      <c r="F10" s="299">
        <f>+SUM([3]Airborne!$GP$19:$GV$19)</f>
        <v>0</v>
      </c>
      <c r="G10" s="192">
        <f>+SUM([3]Airborne!$GB$19:$GH$19)</f>
        <v>2</v>
      </c>
      <c r="H10" s="300">
        <f>(F10-G10)/G10</f>
        <v>-1</v>
      </c>
      <c r="I10" s="301">
        <f t="shared" ref="I10" si="3">+F10/$F$33</f>
        <v>0</v>
      </c>
      <c r="J10" s="238"/>
      <c r="K10" s="295" t="s">
        <v>236</v>
      </c>
      <c r="L10" s="299">
        <f>+[3]Airborne!$GV$64</f>
        <v>0</v>
      </c>
      <c r="M10" s="192">
        <f>+[3]Airborne!$GH$64</f>
        <v>0</v>
      </c>
      <c r="N10" s="301" t="e">
        <f t="shared" si="0"/>
        <v>#DIV/0!</v>
      </c>
      <c r="O10" s="299">
        <f>+SUM([3]Airborne!$GP$64:$GV$64)</f>
        <v>0</v>
      </c>
      <c r="P10" s="192">
        <f>+SUM([3]Airborne!$GB$64:$GH$64)</f>
        <v>0</v>
      </c>
      <c r="Q10" s="300" t="e">
        <f t="shared" si="1"/>
        <v>#DIV/0!</v>
      </c>
      <c r="R10" s="301">
        <f t="shared" si="2"/>
        <v>0</v>
      </c>
    </row>
    <row r="11" spans="1:18" ht="14.1" customHeight="1" x14ac:dyDescent="0.2">
      <c r="A11" s="238"/>
      <c r="B11" s="33" t="s">
        <v>234</v>
      </c>
      <c r="C11" s="299">
        <f>+[3]DHL_Atlas!$GV$19</f>
        <v>0</v>
      </c>
      <c r="D11" s="192">
        <f>+[3]DHL_Atlas!$GH$19</f>
        <v>0</v>
      </c>
      <c r="E11" s="301" t="e">
        <f t="shared" ref="E11:E16" si="4">(C11-D11)/D11</f>
        <v>#DIV/0!</v>
      </c>
      <c r="F11" s="299">
        <f>+SUM([3]DHL_Atlas!$GP$19:$GV$19)</f>
        <v>6</v>
      </c>
      <c r="G11" s="192">
        <f>+SUM([3]DHL_Atlas!$GB$19:$GH$19)</f>
        <v>6</v>
      </c>
      <c r="H11" s="300">
        <f t="shared" ref="H11:H16" si="5">(F11-G11)/G11</f>
        <v>0</v>
      </c>
      <c r="I11" s="301">
        <f>+F11/$F$33</f>
        <v>7.2428778367938191E-4</v>
      </c>
      <c r="J11" s="238"/>
      <c r="K11" s="33" t="s">
        <v>234</v>
      </c>
      <c r="L11" s="299">
        <f>+[3]DHL_Atlas!$GV$64</f>
        <v>0</v>
      </c>
      <c r="M11" s="192">
        <f>+[3]DHL_Atlas!$GH$64</f>
        <v>0</v>
      </c>
      <c r="N11" s="301" t="e">
        <f t="shared" si="0"/>
        <v>#DIV/0!</v>
      </c>
      <c r="O11" s="299">
        <f>+SUM([3]DHL_Atlas!$GP$64:$GV$64)</f>
        <v>186366</v>
      </c>
      <c r="P11" s="192">
        <f>+SUM([3]DHL_Atlas!$GB$64:$GH$64)</f>
        <v>84668</v>
      </c>
      <c r="Q11" s="300">
        <f t="shared" si="1"/>
        <v>1.2011385647470119</v>
      </c>
      <c r="R11" s="301">
        <f t="shared" si="2"/>
        <v>8.4660942727575916E-4</v>
      </c>
    </row>
    <row r="12" spans="1:18" ht="14.1" customHeight="1" x14ac:dyDescent="0.2">
      <c r="A12" s="238"/>
      <c r="B12" s="33" t="s">
        <v>237</v>
      </c>
      <c r="C12" s="299">
        <f>+[3]DHL!$GV$19</f>
        <v>0</v>
      </c>
      <c r="D12" s="192">
        <f>+[3]DHL!$GH$19</f>
        <v>0</v>
      </c>
      <c r="E12" s="301" t="e">
        <f t="shared" si="4"/>
        <v>#DIV/0!</v>
      </c>
      <c r="F12" s="299">
        <f>+SUM([3]DHL!$GP$19:$GV$19)</f>
        <v>163</v>
      </c>
      <c r="G12" s="192">
        <f>+SUM([3]DHL!$GB$19:$GH$19)</f>
        <v>0</v>
      </c>
      <c r="H12" s="300" t="e">
        <f t="shared" si="5"/>
        <v>#DIV/0!</v>
      </c>
      <c r="I12" s="301">
        <f>+F12/$F$33</f>
        <v>1.9676484789956542E-2</v>
      </c>
      <c r="J12" s="238"/>
      <c r="K12" s="33" t="s">
        <v>237</v>
      </c>
      <c r="L12" s="299">
        <f>+[3]DHL!$GV$64</f>
        <v>0</v>
      </c>
      <c r="M12" s="192">
        <f>+[3]DHL!$GH$64</f>
        <v>0</v>
      </c>
      <c r="N12" s="301" t="e">
        <f t="shared" si="0"/>
        <v>#DIV/0!</v>
      </c>
      <c r="O12" s="299">
        <f>+SUM([3]DHL!$GP$64:$GV$64)</f>
        <v>5299897</v>
      </c>
      <c r="P12" s="192">
        <f>+SUM([3]DHL!$GB$64:$GH$64)</f>
        <v>0</v>
      </c>
      <c r="Q12" s="300" t="e">
        <f t="shared" si="1"/>
        <v>#DIV/0!</v>
      </c>
      <c r="R12" s="301">
        <f t="shared" si="2"/>
        <v>2.4075972890927069E-2</v>
      </c>
    </row>
    <row r="13" spans="1:18" ht="14.1" customHeight="1" x14ac:dyDescent="0.2">
      <c r="A13" s="238"/>
      <c r="B13" s="33" t="s">
        <v>210</v>
      </c>
      <c r="C13" s="299">
        <f>+[3]Encore!$GV$19+[3]DHL_Encore!$GV$12</f>
        <v>92</v>
      </c>
      <c r="D13" s="192">
        <f>+[3]Encore!$GH$19+[3]DHL_Encore!$GH$19</f>
        <v>88</v>
      </c>
      <c r="E13" s="301">
        <f t="shared" si="4"/>
        <v>4.5454545454545456E-2</v>
      </c>
      <c r="F13" s="299">
        <f>+SUM([3]Encore!$GP$19:$GV$19)+SUM([3]DHL_Encore!$GP$19:$GV$19)</f>
        <v>602</v>
      </c>
      <c r="G13" s="192">
        <f>+SUM([3]Encore!$GB$19:$GH$19)+SUM([3]DHL_Encore!$GB$19:$GH$19)</f>
        <v>595</v>
      </c>
      <c r="H13" s="300">
        <f t="shared" si="5"/>
        <v>1.1764705882352941E-2</v>
      </c>
      <c r="I13" s="301">
        <f t="shared" ref="I13:I16" si="6">+F13/$F$33</f>
        <v>7.2670207629164651E-2</v>
      </c>
      <c r="J13" s="238"/>
      <c r="K13" s="33" t="s">
        <v>210</v>
      </c>
      <c r="L13" s="299">
        <f>+[3]Encore!$GV$64+[3]DHL_Encore!$GV$64</f>
        <v>124719</v>
      </c>
      <c r="M13" s="192">
        <f>+[3]Encore!$GH$64+[3]DHL_Encore!$GH$64</f>
        <v>107773</v>
      </c>
      <c r="N13" s="301">
        <f t="shared" si="0"/>
        <v>0.15723789817486755</v>
      </c>
      <c r="O13" s="299">
        <f>+SUM([3]Encore!$GP$64:$GV$64)+SUM([3]DHL_Encore!$GP$64:$GV$64)</f>
        <v>851898</v>
      </c>
      <c r="P13" s="192">
        <f>+SUM([3]Encore!$GB$64:$GH$64)+SUM([3]DHL_Encore!$GB$64:$GH$64)</f>
        <v>719924</v>
      </c>
      <c r="Q13" s="300">
        <f t="shared" si="1"/>
        <v>0.1833165723048544</v>
      </c>
      <c r="R13" s="301">
        <f t="shared" si="2"/>
        <v>3.869938067444516E-3</v>
      </c>
    </row>
    <row r="14" spans="1:18" ht="14.1" customHeight="1" x14ac:dyDescent="0.2">
      <c r="A14" s="238"/>
      <c r="B14" s="33" t="s">
        <v>238</v>
      </c>
      <c r="C14" s="299">
        <f>+[3]DHL_Kalitta!$GV$19</f>
        <v>2</v>
      </c>
      <c r="D14" s="192">
        <f>+[3]DHL_Kalitta!$GH$19</f>
        <v>44</v>
      </c>
      <c r="E14" s="301">
        <f t="shared" si="4"/>
        <v>-0.95454545454545459</v>
      </c>
      <c r="F14" s="299">
        <f>+SUM([3]DHL_Kalitta!$GP$19:$GV$19)</f>
        <v>10</v>
      </c>
      <c r="G14" s="192">
        <f>+SUM([3]DHL_Kalitta!$GB$19:$GH$19)</f>
        <v>290</v>
      </c>
      <c r="H14" s="300">
        <f t="shared" si="5"/>
        <v>-0.96551724137931039</v>
      </c>
      <c r="I14" s="301">
        <f>+F14/$F$33</f>
        <v>1.2071463061323032E-3</v>
      </c>
      <c r="J14" s="238"/>
      <c r="K14" s="33" t="s">
        <v>238</v>
      </c>
      <c r="L14" s="299">
        <f>+[3]DHL_Kalitta!$GV$64</f>
        <v>36833</v>
      </c>
      <c r="M14" s="192">
        <f>+[3]DHL_Kalitta!$GH$64</f>
        <v>1364245</v>
      </c>
      <c r="N14" s="301">
        <f t="shared" si="0"/>
        <v>-0.9730011838049617</v>
      </c>
      <c r="O14" s="299">
        <f>+SUM([3]DHL_Kalitta!$GP$64:$GV$64)</f>
        <v>227346</v>
      </c>
      <c r="P14" s="192">
        <f>+SUM([3]DHL_Kalitta!$GB$64:$GH$64)</f>
        <v>9040335</v>
      </c>
      <c r="Q14" s="300">
        <f t="shared" si="1"/>
        <v>-0.9748520381158442</v>
      </c>
      <c r="R14" s="301">
        <f t="shared" si="2"/>
        <v>1.0327702845660406E-3</v>
      </c>
    </row>
    <row r="15" spans="1:18" ht="14.1" customHeight="1" x14ac:dyDescent="0.2">
      <c r="A15" s="238"/>
      <c r="B15" s="33" t="s">
        <v>239</v>
      </c>
      <c r="C15" s="299">
        <f>+[3]DHL_Southair!$GV$19</f>
        <v>0</v>
      </c>
      <c r="D15" s="192">
        <f>+[3]DHL_Southair!$GH$19</f>
        <v>0</v>
      </c>
      <c r="E15" s="301" t="e">
        <f t="shared" si="4"/>
        <v>#DIV/0!</v>
      </c>
      <c r="F15" s="299">
        <f>+SUM([3]DHL_Southair!$GP$19:$GV$19)</f>
        <v>0</v>
      </c>
      <c r="G15" s="192">
        <f>+SUM([3]DHL_Southair!$GB$19:$GH$19)</f>
        <v>0</v>
      </c>
      <c r="H15" s="300" t="e">
        <f t="shared" si="5"/>
        <v>#DIV/0!</v>
      </c>
      <c r="I15" s="301">
        <f>+F15/$F$33</f>
        <v>0</v>
      </c>
      <c r="J15" s="238"/>
      <c r="K15" s="33" t="s">
        <v>239</v>
      </c>
      <c r="L15" s="299">
        <f>+[3]DHL_Southair!$GV$64</f>
        <v>0</v>
      </c>
      <c r="M15" s="192">
        <f>+[3]DHL_Southair!$GH$64</f>
        <v>0</v>
      </c>
      <c r="N15" s="301" t="e">
        <f t="shared" si="0"/>
        <v>#DIV/0!</v>
      </c>
      <c r="O15" s="299">
        <f>+SUM([3]DHL_Southair!$GP$64:$GV$64)</f>
        <v>0</v>
      </c>
      <c r="P15" s="192">
        <f>+SUM([3]DHL_Southair!$GB$64:$GH$64)</f>
        <v>0</v>
      </c>
      <c r="Q15" s="300" t="e">
        <f t="shared" si="1"/>
        <v>#DIV/0!</v>
      </c>
      <c r="R15" s="301">
        <f t="shared" si="2"/>
        <v>0</v>
      </c>
    </row>
    <row r="16" spans="1:18" ht="14.1" customHeight="1" x14ac:dyDescent="0.2">
      <c r="A16" s="238"/>
      <c r="B16" s="33" t="s">
        <v>240</v>
      </c>
      <c r="C16" s="299">
        <f>+[3]DHL_Swift!$GV$19</f>
        <v>44</v>
      </c>
      <c r="D16" s="192">
        <f>+[3]DHL_Swift!$GH$19</f>
        <v>0</v>
      </c>
      <c r="E16" s="301" t="e">
        <f t="shared" si="4"/>
        <v>#DIV/0!</v>
      </c>
      <c r="F16" s="299">
        <f>+SUM([3]DHL_Swift!$GP$19:$GV$19)</f>
        <v>122</v>
      </c>
      <c r="G16" s="192">
        <f>+SUM([3]DHL_Swift!$GB$19:$GH$19)</f>
        <v>0</v>
      </c>
      <c r="H16" s="300" t="e">
        <f t="shared" si="5"/>
        <v>#DIV/0!</v>
      </c>
      <c r="I16" s="301">
        <f t="shared" si="6"/>
        <v>1.47271849348141E-2</v>
      </c>
      <c r="J16" s="238"/>
      <c r="K16" s="33" t="s">
        <v>240</v>
      </c>
      <c r="L16" s="299">
        <f>+[3]DHL_Swift!$GV$64</f>
        <v>1114604</v>
      </c>
      <c r="M16" s="192">
        <f>+[3]DHL_Swift!$GH$64</f>
        <v>0</v>
      </c>
      <c r="N16" s="301" t="e">
        <f t="shared" si="0"/>
        <v>#DIV/0!</v>
      </c>
      <c r="O16" s="299">
        <f>+SUM([3]DHL_Swift!$GP$64:$GV$64)</f>
        <v>3325980</v>
      </c>
      <c r="P16" s="192">
        <f>+SUM([3]DHL_Swift!$GB$64:$GH$64)</f>
        <v>0</v>
      </c>
      <c r="Q16" s="300" t="e">
        <f t="shared" si="1"/>
        <v>#DIV/0!</v>
      </c>
      <c r="R16" s="301">
        <f t="shared" si="2"/>
        <v>1.5109011423385324E-2</v>
      </c>
    </row>
    <row r="17" spans="1:19" ht="14.1" customHeight="1" x14ac:dyDescent="0.2">
      <c r="A17" s="238"/>
      <c r="B17" s="33"/>
      <c r="C17" s="239"/>
      <c r="D17" s="115"/>
      <c r="E17" s="241"/>
      <c r="F17" s="239"/>
      <c r="G17" s="115"/>
      <c r="H17" s="240"/>
      <c r="I17" s="241"/>
      <c r="J17" s="238"/>
      <c r="K17" s="33"/>
      <c r="L17" s="242"/>
      <c r="N17" s="58"/>
      <c r="O17" s="242"/>
      <c r="P17" s="115"/>
      <c r="Q17" s="3"/>
      <c r="R17" s="58"/>
    </row>
    <row r="18" spans="1:19" ht="14.1" customHeight="1" x14ac:dyDescent="0.2">
      <c r="A18" s="238" t="s">
        <v>185</v>
      </c>
      <c r="B18" s="33"/>
      <c r="C18" s="453">
        <f>SUM(C19:C22)</f>
        <v>322</v>
      </c>
      <c r="D18" s="449">
        <f>SUM(D19:D22)</f>
        <v>332</v>
      </c>
      <c r="E18" s="450">
        <f>(C18-D18)/D18</f>
        <v>-3.0120481927710843E-2</v>
      </c>
      <c r="F18" s="453">
        <f>SUM(F19:F22)</f>
        <v>2161</v>
      </c>
      <c r="G18" s="449">
        <f>SUM(G19:G22)</f>
        <v>2272</v>
      </c>
      <c r="H18" s="451">
        <f t="shared" ref="H18:H19" si="7">(F18-G18)/G18</f>
        <v>-4.8855633802816899E-2</v>
      </c>
      <c r="I18" s="450">
        <f>+F18/$F$33</f>
        <v>0.26086431675519073</v>
      </c>
      <c r="J18" s="238" t="s">
        <v>185</v>
      </c>
      <c r="K18" s="33"/>
      <c r="L18" s="453">
        <f>SUM(L19:L22)</f>
        <v>16269973</v>
      </c>
      <c r="M18" s="449">
        <f>SUM(M19:M22)</f>
        <v>14847370</v>
      </c>
      <c r="N18" s="450">
        <f>(L18-M18)/M18</f>
        <v>9.5815151100834689E-2</v>
      </c>
      <c r="O18" s="453">
        <f>SUM(O19:O22)</f>
        <v>111126171</v>
      </c>
      <c r="P18" s="449">
        <f>SUM(P19:P22)</f>
        <v>102265770</v>
      </c>
      <c r="Q18" s="451">
        <f t="shared" ref="Q18:Q20" si="8">(O18-P18)/P18</f>
        <v>8.6640925893385443E-2</v>
      </c>
      <c r="R18" s="450">
        <f>O18/$O$33</f>
        <v>0.50481559933495423</v>
      </c>
    </row>
    <row r="19" spans="1:19" x14ac:dyDescent="0.2">
      <c r="A19" s="31"/>
      <c r="B19" s="295" t="s">
        <v>185</v>
      </c>
      <c r="C19" s="299">
        <f>+[3]FedEx!$GV$19</f>
        <v>242</v>
      </c>
      <c r="D19" s="192">
        <f>+[3]FedEx!$GH$19</f>
        <v>254</v>
      </c>
      <c r="E19" s="301">
        <f>(C19-D19)/D19</f>
        <v>-4.7244094488188976E-2</v>
      </c>
      <c r="F19" s="299">
        <f>+SUM([3]FedEx!$GP$19:$GV$19)</f>
        <v>1634</v>
      </c>
      <c r="G19" s="192">
        <f>+SUM([3]FedEx!$GB$19:$GH$19)</f>
        <v>1788</v>
      </c>
      <c r="H19" s="300">
        <f t="shared" si="7"/>
        <v>-8.612975391498881E-2</v>
      </c>
      <c r="I19" s="301">
        <f>+F19/$F$33</f>
        <v>0.19724770642201836</v>
      </c>
      <c r="J19" s="238"/>
      <c r="K19" s="295" t="s">
        <v>185</v>
      </c>
      <c r="L19" s="299">
        <f>+[3]FedEx!$GV$64</f>
        <v>16026922</v>
      </c>
      <c r="M19" s="192">
        <f>+[3]FedEx!$GH$64</f>
        <v>14617313</v>
      </c>
      <c r="N19" s="301">
        <f>(L19-M19)/M19</f>
        <v>9.6434207846544717E-2</v>
      </c>
      <c r="O19" s="299">
        <f>+SUM([3]FedEx!$GP$64:$GV$64)</f>
        <v>109071513</v>
      </c>
      <c r="P19" s="192">
        <f>+SUM([3]FedEx!$GB$64:$GH$64)</f>
        <v>101127396</v>
      </c>
      <c r="Q19" s="300">
        <f t="shared" si="8"/>
        <v>7.8555538006733608E-2</v>
      </c>
      <c r="R19" s="301">
        <f>O19/$O$33</f>
        <v>0.49548185373421394</v>
      </c>
    </row>
    <row r="20" spans="1:19" x14ac:dyDescent="0.2">
      <c r="A20" s="31"/>
      <c r="B20" s="295" t="s">
        <v>241</v>
      </c>
      <c r="C20" s="299">
        <f>+'[3]Mountain Cargo'!$GV$19</f>
        <v>44</v>
      </c>
      <c r="D20" s="192">
        <f>+'[3]Mountain Cargo'!$GH$19</f>
        <v>42</v>
      </c>
      <c r="E20" s="301">
        <f>(C20-D20)/D20</f>
        <v>4.7619047619047616E-2</v>
      </c>
      <c r="F20" s="299">
        <f>+SUM('[3]Mountain Cargo'!$GP$19:$GV$19)</f>
        <v>302</v>
      </c>
      <c r="G20" s="192">
        <f>+SUM('[3]Mountain Cargo'!$GB$19:$GH$19)</f>
        <v>244</v>
      </c>
      <c r="H20" s="300">
        <f>(F20-G20)/G20</f>
        <v>0.23770491803278687</v>
      </c>
      <c r="I20" s="301">
        <f>+F20/$F$33</f>
        <v>3.6455818445195555E-2</v>
      </c>
      <c r="J20" s="367"/>
      <c r="K20" s="295" t="s">
        <v>241</v>
      </c>
      <c r="L20" s="299">
        <f>+'[3]Mountain Cargo'!$GV$64</f>
        <v>171253</v>
      </c>
      <c r="M20" s="192">
        <f>+'[3]Mountain Cargo'!$GH$64</f>
        <v>181384</v>
      </c>
      <c r="N20" s="301">
        <f>(L20-M20)/M20</f>
        <v>-5.5853879063202931E-2</v>
      </c>
      <c r="O20" s="299">
        <f>+SUM('[3]Mountain Cargo'!$GP$64:$GV$64)</f>
        <v>1709286</v>
      </c>
      <c r="P20" s="192">
        <f>+SUM('[3]Mountain Cargo'!$GB$64:$GH$64)</f>
        <v>980218</v>
      </c>
      <c r="Q20" s="300">
        <f t="shared" si="8"/>
        <v>0.74378148534305633</v>
      </c>
      <c r="R20" s="301">
        <f>O20/$O$33</f>
        <v>7.7648156933693554E-3</v>
      </c>
    </row>
    <row r="21" spans="1:19" x14ac:dyDescent="0.2">
      <c r="A21" s="31"/>
      <c r="B21" s="295" t="s">
        <v>178</v>
      </c>
      <c r="C21" s="299">
        <f>+[3]IFL!$GV$19</f>
        <v>36</v>
      </c>
      <c r="D21" s="192">
        <f>+[3]IFL!$GH$19</f>
        <v>36</v>
      </c>
      <c r="E21" s="301">
        <f>(C21-D21)/D21</f>
        <v>0</v>
      </c>
      <c r="F21" s="299">
        <f>+SUM([3]IFL!$GP$19:$GV$19)</f>
        <v>225</v>
      </c>
      <c r="G21" s="192">
        <f>+SUM([3]IFL!$GB$19:$GH$19)</f>
        <v>231</v>
      </c>
      <c r="H21" s="300">
        <f>(F21-G21)/G21</f>
        <v>-2.5974025974025976E-2</v>
      </c>
      <c r="I21" s="301">
        <f>+F21/$F$33</f>
        <v>2.7160791887976824E-2</v>
      </c>
      <c r="J21" s="367"/>
      <c r="K21" s="295" t="s">
        <v>178</v>
      </c>
      <c r="L21" s="299">
        <f>+[3]IFL!$GV$64</f>
        <v>71798</v>
      </c>
      <c r="M21" s="192">
        <f>+[3]IFL!$GH$64</f>
        <v>48673</v>
      </c>
      <c r="N21" s="301">
        <f>(L21-M21)/M21</f>
        <v>0.4751094035707682</v>
      </c>
      <c r="O21" s="299">
        <f>+SUM([3]IFL!$GP$64:$GV$64)</f>
        <v>345372</v>
      </c>
      <c r="P21" s="192">
        <f>+SUM([3]IFL!$GB$64:$GH$64)</f>
        <v>148470</v>
      </c>
      <c r="Q21" s="300">
        <f>(O21-P21)/P21</f>
        <v>1.3262073146090119</v>
      </c>
      <c r="R21" s="301">
        <f>O21/$O$33</f>
        <v>1.568929907370891E-3</v>
      </c>
    </row>
    <row r="22" spans="1:19" ht="14.1" customHeight="1" x14ac:dyDescent="0.2">
      <c r="A22" s="238"/>
      <c r="B22" s="295" t="s">
        <v>85</v>
      </c>
      <c r="C22" s="299">
        <f>+'[3]CSA Air'!$GV$19</f>
        <v>0</v>
      </c>
      <c r="D22" s="192">
        <f>+'[3]CSA Air'!$GH$19</f>
        <v>0</v>
      </c>
      <c r="E22" s="301" t="e">
        <f>(C22-D22)/D22</f>
        <v>#DIV/0!</v>
      </c>
      <c r="F22" s="299">
        <f>+SUM('[3]CSA Air'!$GP$19:$GV$19)</f>
        <v>0</v>
      </c>
      <c r="G22" s="192">
        <f>+SUM('[3]CSA Air'!$GB$19:$GH$19)</f>
        <v>9</v>
      </c>
      <c r="H22" s="300">
        <f t="shared" ref="H22" si="9">(F22-G22)/G22</f>
        <v>-1</v>
      </c>
      <c r="I22" s="301">
        <f>+F22/$F$33</f>
        <v>0</v>
      </c>
      <c r="J22" s="238"/>
      <c r="K22" s="295" t="s">
        <v>85</v>
      </c>
      <c r="L22" s="299">
        <f>+'[3]CSA Air'!$GV$64</f>
        <v>0</v>
      </c>
      <c r="M22" s="192">
        <f>+'[3]CSA Air'!$GH$64</f>
        <v>0</v>
      </c>
      <c r="N22" s="301" t="e">
        <f>(L22-M22)/M22</f>
        <v>#DIV/0!</v>
      </c>
      <c r="O22" s="299">
        <f>+SUM('[3]CSA Air'!$GP$64:$GV$64)</f>
        <v>0</v>
      </c>
      <c r="P22" s="192">
        <f>+SUM('[3]CSA Air'!$GB$64:$GH$64)</f>
        <v>9686</v>
      </c>
      <c r="Q22" s="300">
        <f t="shared" ref="Q22" si="10">(O22-P22)/P22</f>
        <v>-1</v>
      </c>
      <c r="R22" s="301">
        <f>O22/$O$33</f>
        <v>0</v>
      </c>
    </row>
    <row r="23" spans="1:19" ht="14.1" customHeight="1" x14ac:dyDescent="0.2">
      <c r="A23" s="238"/>
      <c r="B23" s="33"/>
      <c r="C23" s="239"/>
      <c r="D23" s="115"/>
      <c r="E23" s="241"/>
      <c r="F23" s="239"/>
      <c r="G23" s="115"/>
      <c r="H23" s="240"/>
      <c r="I23" s="241"/>
      <c r="J23" s="238"/>
      <c r="K23" s="33"/>
      <c r="L23" s="242"/>
      <c r="N23" s="58"/>
      <c r="O23" s="242"/>
      <c r="P23" s="115"/>
      <c r="Q23" s="3"/>
      <c r="R23" s="58"/>
    </row>
    <row r="24" spans="1:19" ht="14.1" customHeight="1" x14ac:dyDescent="0.2">
      <c r="A24" s="238"/>
      <c r="B24" s="33"/>
      <c r="C24" s="239"/>
      <c r="D24" s="115"/>
      <c r="E24" s="241"/>
      <c r="F24" s="239"/>
      <c r="G24" s="115"/>
      <c r="H24" s="240"/>
      <c r="I24" s="241"/>
      <c r="J24" s="238"/>
      <c r="K24" s="33"/>
      <c r="L24" s="242"/>
      <c r="N24" s="58"/>
      <c r="O24" s="242"/>
      <c r="P24" s="2"/>
      <c r="Q24" s="3"/>
      <c r="R24" s="58"/>
    </row>
    <row r="25" spans="1:19" ht="14.1" customHeight="1" x14ac:dyDescent="0.2">
      <c r="A25" s="238" t="s">
        <v>83</v>
      </c>
      <c r="B25" s="33"/>
      <c r="C25" s="449">
        <f>SUM(C26:C27)</f>
        <v>698</v>
      </c>
      <c r="D25" s="449">
        <f>SUM(D26:D27)</f>
        <v>678</v>
      </c>
      <c r="E25" s="450">
        <f>(C25-D25)/D25</f>
        <v>2.9498525073746312E-2</v>
      </c>
      <c r="F25" s="449">
        <f>SUM(F26:F27)</f>
        <v>4651</v>
      </c>
      <c r="G25" s="449">
        <f>SUM(G26:G27)</f>
        <v>4620</v>
      </c>
      <c r="H25" s="451">
        <f>(F25-G25)/G25</f>
        <v>6.7099567099567102E-3</v>
      </c>
      <c r="I25" s="450">
        <f>+F25/$F$33</f>
        <v>0.56144374698213428</v>
      </c>
      <c r="J25" s="238" t="s">
        <v>83</v>
      </c>
      <c r="K25" s="33"/>
      <c r="L25" s="449">
        <f>SUM(L26:L27)</f>
        <v>13072481</v>
      </c>
      <c r="M25" s="449">
        <f>SUM(M26:M27)</f>
        <v>12638065</v>
      </c>
      <c r="N25" s="450">
        <f>(L25-M25)/M25</f>
        <v>3.4373616530695164E-2</v>
      </c>
      <c r="O25" s="449">
        <f>SUM(O26:O27)</f>
        <v>81555932</v>
      </c>
      <c r="P25" s="449">
        <f>SUM(P26:P27)</f>
        <v>81695601</v>
      </c>
      <c r="Q25" s="451">
        <f>(O25-P25)/P25</f>
        <v>-1.7096269357269309E-3</v>
      </c>
      <c r="R25" s="450">
        <f>O25/$O$33</f>
        <v>0.37048614490551257</v>
      </c>
    </row>
    <row r="26" spans="1:19" ht="14.1" customHeight="1" x14ac:dyDescent="0.2">
      <c r="A26" s="238"/>
      <c r="B26" s="295" t="s">
        <v>83</v>
      </c>
      <c r="C26" s="299">
        <f>+[3]UPS!$GV$19</f>
        <v>298</v>
      </c>
      <c r="D26" s="192">
        <f>+[3]UPS!$GH$19</f>
        <v>268</v>
      </c>
      <c r="E26" s="301">
        <f>(C26-D26)/D26</f>
        <v>0.11194029850746269</v>
      </c>
      <c r="F26" s="299">
        <f>+SUM([3]UPS!$GP$19:$GV$19)</f>
        <v>1899</v>
      </c>
      <c r="G26" s="192">
        <f>+SUM([3]UPS!$GB$19:$GH$19)</f>
        <v>1914</v>
      </c>
      <c r="H26" s="300">
        <f>(F26-G26)/G26</f>
        <v>-7.8369905956112845E-3</v>
      </c>
      <c r="I26" s="301">
        <f>+F26/$F$33</f>
        <v>0.22923708353452438</v>
      </c>
      <c r="J26" s="238"/>
      <c r="K26" s="295" t="s">
        <v>83</v>
      </c>
      <c r="L26" s="299">
        <f>+[3]UPS!$GV$64</f>
        <v>13072481</v>
      </c>
      <c r="M26" s="192">
        <f>+[3]UPS!$GH$64</f>
        <v>12638065</v>
      </c>
      <c r="N26" s="301">
        <f>(L26-M26)/M26</f>
        <v>3.4373616530695164E-2</v>
      </c>
      <c r="O26" s="299">
        <f>+SUM([3]UPS!$GP$64:$GV$64)</f>
        <v>81555932</v>
      </c>
      <c r="P26" s="192">
        <f>+SUM([3]UPS!$GB$64:$GH$64)</f>
        <v>81695601</v>
      </c>
      <c r="Q26" s="300">
        <f>(O26-P26)/P26</f>
        <v>-1.7096269357269309E-3</v>
      </c>
      <c r="R26" s="301">
        <f>O26/$O$33</f>
        <v>0.37048614490551257</v>
      </c>
    </row>
    <row r="27" spans="1:19" ht="14.1" customHeight="1" x14ac:dyDescent="0.2">
      <c r="A27" s="238"/>
      <c r="B27" s="295" t="s">
        <v>84</v>
      </c>
      <c r="C27" s="299">
        <f>+[3]Bemidji!$GV$19</f>
        <v>400</v>
      </c>
      <c r="D27" s="192">
        <f>+[3]Bemidji!$GH$19</f>
        <v>410</v>
      </c>
      <c r="E27" s="301">
        <f>(C27-D27)/D27</f>
        <v>-2.4390243902439025E-2</v>
      </c>
      <c r="F27" s="299">
        <f>+SUM([3]Bemidji!$GP$19:$GV$19)</f>
        <v>2752</v>
      </c>
      <c r="G27" s="192">
        <f>+SUM([3]Bemidji!$GB$19:$GH$19)</f>
        <v>2706</v>
      </c>
      <c r="H27" s="300">
        <f t="shared" ref="H27" si="11">(F27-G27)/G27</f>
        <v>1.6999260901699925E-2</v>
      </c>
      <c r="I27" s="301">
        <f>+F27/$F$33</f>
        <v>0.33220666344760985</v>
      </c>
      <c r="J27" s="238"/>
      <c r="K27" s="295" t="s">
        <v>84</v>
      </c>
      <c r="L27" s="477" t="s">
        <v>188</v>
      </c>
      <c r="M27" s="478"/>
      <c r="N27" s="478"/>
      <c r="O27" s="478"/>
      <c r="P27" s="478"/>
      <c r="Q27" s="478"/>
      <c r="R27" s="479"/>
    </row>
    <row r="28" spans="1:19" ht="14.1" customHeight="1" x14ac:dyDescent="0.2">
      <c r="A28" s="31"/>
      <c r="B28" s="33"/>
      <c r="C28" s="239"/>
      <c r="E28" s="58"/>
      <c r="F28" s="242"/>
      <c r="I28" s="58"/>
      <c r="J28" s="31"/>
      <c r="K28" s="33"/>
      <c r="L28" s="242"/>
      <c r="N28" s="58"/>
      <c r="O28" s="242"/>
      <c r="P28" s="2"/>
      <c r="Q28" s="3"/>
      <c r="R28" s="58"/>
    </row>
    <row r="29" spans="1:19" ht="14.1" customHeight="1" x14ac:dyDescent="0.2">
      <c r="A29" s="238" t="s">
        <v>128</v>
      </c>
      <c r="B29" s="33"/>
      <c r="C29" s="453">
        <f>+'[3]Misc Cargo'!$GV$19</f>
        <v>0</v>
      </c>
      <c r="D29" s="449">
        <f>+'[3]Misc Cargo'!$GH$19</f>
        <v>0</v>
      </c>
      <c r="E29" s="450" t="e">
        <f>(C29-D29)/D29</f>
        <v>#DIV/0!</v>
      </c>
      <c r="F29" s="453">
        <f>+SUM('[3]Misc Cargo'!$GP$19:$GV$19)</f>
        <v>9</v>
      </c>
      <c r="G29" s="449">
        <f>+SUM('[3]Misc Cargo'!$GB$19:$GH$19)</f>
        <v>2</v>
      </c>
      <c r="H29" s="451">
        <f>(F29-G29)/G29</f>
        <v>3.5</v>
      </c>
      <c r="I29" s="450">
        <f>+F29/$F$33</f>
        <v>1.0864316755190729E-3</v>
      </c>
      <c r="J29" s="238" t="s">
        <v>128</v>
      </c>
      <c r="K29" s="33"/>
      <c r="L29" s="453">
        <f>+'[3]Misc Cargo'!$GV$64</f>
        <v>0</v>
      </c>
      <c r="M29" s="449">
        <f>+'[3]Misc Cargo'!$GH$64</f>
        <v>0</v>
      </c>
      <c r="N29" s="450" t="e">
        <f>(L29-M29)/M29</f>
        <v>#DIV/0!</v>
      </c>
      <c r="O29" s="453">
        <f>+SUM('[3]Misc Cargo'!$GP$64:$GV$64)</f>
        <v>264695</v>
      </c>
      <c r="P29" s="449">
        <f>+SUM('[3]Misc Cargo'!$GB$64:$GH$64)</f>
        <v>29717</v>
      </c>
      <c r="Q29" s="451">
        <f>(O29-P29)/P29</f>
        <v>7.9071911700373523</v>
      </c>
      <c r="R29" s="450">
        <f>O29/$O$33</f>
        <v>1.2024365085517587E-3</v>
      </c>
      <c r="S29" s="322"/>
    </row>
    <row r="30" spans="1:19" ht="14.1" customHeight="1" x14ac:dyDescent="0.2">
      <c r="A30" s="31"/>
      <c r="B30" s="33"/>
      <c r="C30" s="239"/>
      <c r="E30" s="58"/>
      <c r="F30" s="242"/>
      <c r="I30" s="58"/>
      <c r="J30" s="31"/>
      <c r="K30" s="33"/>
      <c r="L30" s="242"/>
      <c r="N30" s="58"/>
      <c r="O30" s="242"/>
      <c r="P30" s="2"/>
      <c r="Q30" s="3"/>
      <c r="R30" s="58"/>
    </row>
    <row r="31" spans="1:19" ht="14.1" customHeight="1" thickBot="1" x14ac:dyDescent="0.25">
      <c r="A31" s="323"/>
      <c r="B31" s="324"/>
      <c r="C31" s="325"/>
      <c r="D31" s="327"/>
      <c r="E31" s="328"/>
      <c r="F31" s="325"/>
      <c r="G31" s="327"/>
      <c r="H31" s="326"/>
      <c r="I31" s="328"/>
      <c r="J31" s="238"/>
      <c r="K31" s="33"/>
      <c r="L31" s="245"/>
      <c r="M31" s="247"/>
      <c r="N31" s="248"/>
      <c r="O31" s="245"/>
      <c r="P31" s="247"/>
      <c r="Q31" s="246"/>
      <c r="R31" s="324"/>
      <c r="S31" s="322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29" t="s">
        <v>186</v>
      </c>
      <c r="C33" s="330">
        <f>+C29+C25+C18+C9+C5</f>
        <v>1280</v>
      </c>
      <c r="D33" s="330">
        <f>+D29+D25+D18+D9+D5</f>
        <v>1206</v>
      </c>
      <c r="E33" s="331">
        <f>(C33-D33)/D33</f>
        <v>6.1359867330016582E-2</v>
      </c>
      <c r="F33" s="330">
        <f>+F29+F25+F18+F9+F5</f>
        <v>8284</v>
      </c>
      <c r="G33" s="330">
        <f>+G29+G25+G18+G9+G5</f>
        <v>8209</v>
      </c>
      <c r="H33" s="332">
        <f>(F33-G33)/G33</f>
        <v>9.1363138019247159E-3</v>
      </c>
      <c r="I33" s="344"/>
      <c r="J33"/>
      <c r="K33" s="329" t="s">
        <v>186</v>
      </c>
      <c r="L33" s="330">
        <f>+L29+L25+L18+L9+L5</f>
        <v>32783296</v>
      </c>
      <c r="M33" s="330">
        <f>+M29+M25+M18+M9+M5</f>
        <v>31221225</v>
      </c>
      <c r="N33" s="333">
        <f>(L33-M33)/M33</f>
        <v>5.003234178031131E-2</v>
      </c>
      <c r="O33" s="330">
        <f>+O29+O25+O18+O9+O5</f>
        <v>220132205</v>
      </c>
      <c r="P33" s="330">
        <f>+P29+P25+P18+P9+P5</f>
        <v>209183371</v>
      </c>
      <c r="Q33" s="332">
        <f t="shared" ref="Q33" si="12">(O33-P33)/P33</f>
        <v>5.2340843096940051E-2</v>
      </c>
      <c r="R33" s="344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2"/>
      <c r="K103"/>
    </row>
    <row r="104" spans="4:14" x14ac:dyDescent="0.2">
      <c r="F104" s="142"/>
      <c r="K104"/>
    </row>
    <row r="105" spans="4:14" x14ac:dyDescent="0.2">
      <c r="F105" s="142"/>
      <c r="K105"/>
    </row>
    <row r="106" spans="4:14" x14ac:dyDescent="0.2">
      <c r="F106" s="142"/>
      <c r="K106"/>
    </row>
    <row r="107" spans="4:14" x14ac:dyDescent="0.2">
      <c r="F107" s="142"/>
      <c r="K107"/>
    </row>
    <row r="108" spans="4:14" x14ac:dyDescent="0.2">
      <c r="F108" s="142"/>
      <c r="K108"/>
    </row>
    <row r="109" spans="4:14" x14ac:dyDescent="0.2">
      <c r="F109" s="142"/>
      <c r="K109"/>
    </row>
    <row r="110" spans="4:14" x14ac:dyDescent="0.2">
      <c r="F110" s="142"/>
      <c r="K110"/>
    </row>
    <row r="111" spans="4:14" x14ac:dyDescent="0.2">
      <c r="F111" s="142"/>
      <c r="K111"/>
    </row>
    <row r="112" spans="4:14" x14ac:dyDescent="0.2">
      <c r="F112" s="142"/>
      <c r="K112"/>
    </row>
    <row r="113" spans="6:11" x14ac:dyDescent="0.2">
      <c r="F113" s="142"/>
      <c r="K113"/>
    </row>
    <row r="114" spans="6:11" x14ac:dyDescent="0.2">
      <c r="F114" s="142"/>
      <c r="K114"/>
    </row>
    <row r="115" spans="6:11" x14ac:dyDescent="0.2">
      <c r="F115" s="142"/>
      <c r="K115"/>
    </row>
    <row r="116" spans="6:11" x14ac:dyDescent="0.2">
      <c r="F116" s="142"/>
      <c r="K116"/>
    </row>
    <row r="117" spans="6:11" x14ac:dyDescent="0.2">
      <c r="F117" s="142"/>
      <c r="K117"/>
    </row>
    <row r="118" spans="6:11" x14ac:dyDescent="0.2">
      <c r="F118" s="142"/>
      <c r="K118"/>
    </row>
    <row r="119" spans="6:11" x14ac:dyDescent="0.2">
      <c r="F119" s="142"/>
      <c r="K119"/>
    </row>
    <row r="120" spans="6:11" x14ac:dyDescent="0.2">
      <c r="F120" s="142"/>
      <c r="K120"/>
    </row>
    <row r="121" spans="6:11" x14ac:dyDescent="0.2">
      <c r="F121" s="142"/>
      <c r="K121"/>
    </row>
    <row r="122" spans="6:11" x14ac:dyDescent="0.2">
      <c r="F122" s="142"/>
      <c r="K122"/>
    </row>
    <row r="123" spans="6:11" x14ac:dyDescent="0.2">
      <c r="F123" s="142"/>
      <c r="K123"/>
    </row>
    <row r="124" spans="6:11" x14ac:dyDescent="0.2">
      <c r="F124" s="142"/>
      <c r="K124"/>
    </row>
    <row r="125" spans="6:11" x14ac:dyDescent="0.2">
      <c r="F125" s="142"/>
      <c r="K125"/>
    </row>
    <row r="126" spans="6:11" x14ac:dyDescent="0.2">
      <c r="F126" s="142"/>
      <c r="K126"/>
    </row>
    <row r="127" spans="6:11" x14ac:dyDescent="0.2">
      <c r="F127" s="142"/>
      <c r="K127"/>
    </row>
    <row r="128" spans="6:11" x14ac:dyDescent="0.2">
      <c r="F128" s="142"/>
      <c r="K128"/>
    </row>
    <row r="129" spans="6:11" x14ac:dyDescent="0.2">
      <c r="F129" s="142"/>
      <c r="K129"/>
    </row>
    <row r="130" spans="6:11" x14ac:dyDescent="0.2">
      <c r="F130" s="142"/>
      <c r="K130"/>
    </row>
    <row r="131" spans="6:11" x14ac:dyDescent="0.2">
      <c r="F131" s="142"/>
      <c r="K131"/>
    </row>
    <row r="132" spans="6:11" x14ac:dyDescent="0.2">
      <c r="F132" s="142"/>
      <c r="K132"/>
    </row>
    <row r="133" spans="6:11" x14ac:dyDescent="0.2">
      <c r="F133" s="142"/>
      <c r="K133"/>
    </row>
    <row r="134" spans="6:11" x14ac:dyDescent="0.2">
      <c r="F134" s="142"/>
      <c r="K134"/>
    </row>
    <row r="135" spans="6:11" x14ac:dyDescent="0.2">
      <c r="F135" s="142"/>
      <c r="K135"/>
    </row>
    <row r="136" spans="6:11" x14ac:dyDescent="0.2">
      <c r="F136" s="142"/>
      <c r="K136"/>
    </row>
    <row r="137" spans="6:11" x14ac:dyDescent="0.2">
      <c r="F137" s="142"/>
      <c r="K137"/>
    </row>
    <row r="138" spans="6:11" x14ac:dyDescent="0.2">
      <c r="F138" s="142"/>
      <c r="K138"/>
    </row>
    <row r="139" spans="6:11" x14ac:dyDescent="0.2">
      <c r="F139" s="142"/>
      <c r="K139"/>
    </row>
    <row r="140" spans="6:11" x14ac:dyDescent="0.2">
      <c r="F140" s="142"/>
      <c r="K140"/>
    </row>
    <row r="141" spans="6:11" x14ac:dyDescent="0.2">
      <c r="F141" s="142"/>
      <c r="K141"/>
    </row>
    <row r="142" spans="6:11" x14ac:dyDescent="0.2">
      <c r="F142" s="142"/>
      <c r="K142"/>
    </row>
    <row r="143" spans="6:11" x14ac:dyDescent="0.2">
      <c r="F143" s="142"/>
      <c r="K143"/>
    </row>
    <row r="144" spans="6:11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July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2020-04-09T16:45:55Z</cp:lastPrinted>
  <dcterms:created xsi:type="dcterms:W3CDTF">2007-09-24T12:26:24Z</dcterms:created>
  <dcterms:modified xsi:type="dcterms:W3CDTF">2021-02-24T18:12:37Z</dcterms:modified>
</cp:coreProperties>
</file>