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9694B14D-3AA0-419E-BCFD-062F8079E853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6" l="1"/>
  <c r="J35" i="16"/>
  <c r="J29" i="16"/>
  <c r="J28" i="16"/>
  <c r="J23" i="16"/>
  <c r="J22" i="16"/>
  <c r="J18" i="16"/>
  <c r="J17" i="16"/>
  <c r="J10" i="16"/>
  <c r="J9" i="16"/>
  <c r="J5" i="16"/>
  <c r="J4" i="16"/>
  <c r="B21" i="1"/>
  <c r="Y57" i="9" l="1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I4" i="16"/>
  <c r="H4" i="16"/>
  <c r="G4" i="16"/>
  <c r="F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27" i="7"/>
  <c r="J27" i="7"/>
  <c r="E27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H6" i="7" l="1"/>
  <c r="H5" i="7"/>
  <c r="L5" i="15"/>
  <c r="W57" i="9"/>
  <c r="N57" i="9"/>
  <c r="Q57" i="9"/>
  <c r="Z57" i="9"/>
  <c r="F12" i="7"/>
  <c r="F7" i="7"/>
  <c r="E57" i="9"/>
  <c r="H57" i="9"/>
  <c r="O26" i="7" l="1"/>
  <c r="J26" i="7"/>
  <c r="E26" i="7"/>
  <c r="E25" i="7"/>
  <c r="O25" i="7"/>
  <c r="J25" i="7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O24" i="7"/>
  <c r="M23" i="7"/>
  <c r="L23" i="7"/>
  <c r="J24" i="7"/>
  <c r="B23" i="7"/>
  <c r="C23" i="7"/>
  <c r="E24" i="7"/>
  <c r="E61" i="9" l="1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C27" i="7" l="1"/>
  <c r="B27" i="7"/>
  <c r="H18" i="8"/>
  <c r="H31" i="8"/>
  <c r="H32" i="8"/>
  <c r="H28" i="8"/>
  <c r="D27" i="7" l="1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K18" i="3" s="1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B33" i="1" l="1"/>
  <c r="F31" i="7"/>
  <c r="K22" i="3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F7" i="1" l="1"/>
  <c r="F18" i="1"/>
  <c r="L21" i="15"/>
  <c r="F22" i="7"/>
  <c r="F32" i="7"/>
  <c r="F30" i="7"/>
  <c r="F29" i="7"/>
  <c r="F28" i="7"/>
  <c r="F27" i="7"/>
  <c r="B6" i="5"/>
  <c r="B7" i="5" s="1"/>
  <c r="B28" i="1"/>
  <c r="B10" i="5"/>
  <c r="B12" i="5" s="1"/>
  <c r="C27" i="1"/>
  <c r="B27" i="1"/>
  <c r="K6" i="2"/>
  <c r="D5" i="1" s="1"/>
  <c r="B8" i="1"/>
  <c r="D6" i="1"/>
  <c r="C8" i="1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22" i="1"/>
  <c r="D16" i="1"/>
  <c r="C7" i="5"/>
  <c r="E5" i="5"/>
  <c r="F5" i="5" s="1"/>
  <c r="C33" i="1" l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C11" i="1"/>
  <c r="M27" i="7" s="1"/>
  <c r="B11" i="1"/>
  <c r="L27" i="7" s="1"/>
  <c r="D28" i="1"/>
  <c r="B22" i="1"/>
  <c r="B29" i="1"/>
  <c r="C12" i="5"/>
  <c r="C21" i="5"/>
  <c r="E11" i="5"/>
  <c r="F11" i="5" s="1"/>
  <c r="C29" i="1"/>
  <c r="F16" i="1"/>
  <c r="D22" i="1"/>
  <c r="F22" i="1" s="1"/>
  <c r="D22" i="5"/>
  <c r="F15" i="5"/>
  <c r="E17" i="5"/>
  <c r="D27" i="1" s="1"/>
  <c r="F17" i="1"/>
  <c r="H27" i="7" l="1"/>
  <c r="N27" i="7"/>
  <c r="P27" i="7" s="1"/>
  <c r="G27" i="7"/>
  <c r="H22" i="7"/>
  <c r="N23" i="7"/>
  <c r="G22" i="7"/>
  <c r="N21" i="7"/>
  <c r="P31" i="7"/>
  <c r="P29" i="7"/>
  <c r="B22" i="5"/>
  <c r="C32" i="1"/>
  <c r="H6" i="5"/>
  <c r="F28" i="1"/>
  <c r="F10" i="1"/>
  <c r="E7" i="5"/>
  <c r="E21" i="5"/>
  <c r="F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I27" i="7" l="1"/>
  <c r="K27" i="7" s="1"/>
  <c r="I22" i="7"/>
  <c r="K22" i="7" s="1"/>
  <c r="K31" i="7"/>
  <c r="P32" i="7"/>
  <c r="K30" i="7"/>
  <c r="P30" i="7"/>
  <c r="K29" i="7"/>
  <c r="K28" i="7"/>
  <c r="P28" i="7"/>
  <c r="P22" i="7"/>
  <c r="P23" i="7"/>
  <c r="H21" i="5"/>
  <c r="E22" i="5"/>
  <c r="F22" i="5"/>
  <c r="H22" i="5" s="1"/>
  <c r="H20" i="5"/>
  <c r="K32" i="7" l="1"/>
  <c r="I21" i="7" l="1"/>
  <c r="P21" i="7"/>
  <c r="K21" i="7" l="1"/>
  <c r="D23" i="7"/>
  <c r="I23" i="7" l="1"/>
  <c r="F23" i="7"/>
  <c r="K23" i="7" l="1"/>
  <c r="C26" i="7" l="1"/>
  <c r="B26" i="7"/>
  <c r="D26" i="7" s="1"/>
  <c r="F26" i="7" s="1"/>
  <c r="M26" i="7" l="1"/>
  <c r="H26" i="7" s="1"/>
  <c r="L26" i="7" l="1"/>
  <c r="G26" i="7" l="1"/>
  <c r="I26" i="7" s="1"/>
  <c r="K26" i="7" s="1"/>
  <c r="N26" i="7"/>
  <c r="P26" i="7" s="1"/>
  <c r="C25" i="7" l="1"/>
  <c r="B25" i="7"/>
  <c r="D25" i="7" s="1"/>
  <c r="F25" i="7" s="1"/>
  <c r="L25" i="7" l="1"/>
  <c r="G25" i="7" s="1"/>
  <c r="M25" i="7" l="1"/>
  <c r="N25" i="7" l="1"/>
  <c r="P25" i="7" s="1"/>
  <c r="H25" i="7"/>
  <c r="I25" i="7" s="1"/>
  <c r="K25" i="7" s="1"/>
  <c r="C24" i="7" l="1"/>
  <c r="C33" i="7" s="1"/>
  <c r="B24" i="7"/>
  <c r="B33" i="7" s="1"/>
  <c r="D24" i="7" l="1"/>
  <c r="F24" i="7" s="1"/>
  <c r="D33" i="7" l="1"/>
  <c r="F33" i="7" s="1"/>
  <c r="D33" i="1"/>
  <c r="I16" i="5"/>
  <c r="G20" i="1" l="1"/>
  <c r="G21" i="1"/>
  <c r="G5" i="1"/>
  <c r="G16" i="1"/>
  <c r="I5" i="5"/>
  <c r="I21" i="1" l="1"/>
  <c r="I20" i="1"/>
  <c r="G18" i="1"/>
  <c r="I5" i="1"/>
  <c r="G19" i="1"/>
  <c r="I16" i="1"/>
  <c r="K5" i="5"/>
  <c r="G7" i="1"/>
  <c r="D32" i="1"/>
  <c r="I10" i="5"/>
  <c r="I15" i="5"/>
  <c r="G27" i="1"/>
  <c r="L24" i="7" l="1"/>
  <c r="I18" i="1"/>
  <c r="I19" i="1"/>
  <c r="I7" i="1"/>
  <c r="K10" i="5"/>
  <c r="M24" i="7"/>
  <c r="G17" i="1"/>
  <c r="G24" i="7"/>
  <c r="L33" i="7"/>
  <c r="G6" i="1"/>
  <c r="I27" i="1"/>
  <c r="D34" i="1"/>
  <c r="E33" i="1" s="1"/>
  <c r="I17" i="5"/>
  <c r="K17" i="5" s="1"/>
  <c r="K15" i="5"/>
  <c r="I6" i="5"/>
  <c r="I20" i="5"/>
  <c r="N24" i="7" l="1"/>
  <c r="N33" i="7" s="1"/>
  <c r="P33" i="7" s="1"/>
  <c r="P24" i="7"/>
  <c r="I11" i="5"/>
  <c r="G10" i="1"/>
  <c r="E32" i="1"/>
  <c r="G33" i="7"/>
  <c r="I17" i="1"/>
  <c r="G22" i="1"/>
  <c r="I22" i="1" s="1"/>
  <c r="K20" i="5"/>
  <c r="G28" i="1"/>
  <c r="H24" i="7"/>
  <c r="H33" i="7" s="1"/>
  <c r="M33" i="7"/>
  <c r="I6" i="1"/>
  <c r="G8" i="1"/>
  <c r="K6" i="5"/>
  <c r="I7" i="5"/>
  <c r="K7" i="5" s="1"/>
  <c r="I10" i="1" l="1"/>
  <c r="I21" i="5"/>
  <c r="I24" i="7"/>
  <c r="I28" i="1"/>
  <c r="G29" i="1"/>
  <c r="I29" i="1" s="1"/>
  <c r="K11" i="5"/>
  <c r="I12" i="5"/>
  <c r="K12" i="5" s="1"/>
  <c r="I8" i="1"/>
  <c r="G11" i="1"/>
  <c r="I11" i="1" s="1"/>
  <c r="K24" i="7" l="1"/>
  <c r="I33" i="7"/>
  <c r="K33" i="7" s="1"/>
  <c r="K21" i="5"/>
  <c r="I22" i="5"/>
  <c r="K22" i="5" s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<sst xmlns="http://schemas.openxmlformats.org/spreadsheetml/2006/main" count="676" uniqueCount="252">
  <si>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</si>
  <si>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</si>
  <si>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</si>
  <si>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</si>
  <si>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</si>
  <si>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</si>
  <si>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</si>
  <si>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</si>
  <si>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</si>
  <si>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</si>
  <si>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</si>
  <si>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</si>
  <si>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</si>
  <si>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</si>
  <si>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</si>
  <si>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</si>
  <si>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</si>
  <si>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</si>
  <si>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</si>
  <si>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</si>
  <si>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</si>
  <si>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</si>
  <si>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</si>
  <si>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</si>
  <si>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</si>
  <si>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</si>
  <si>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</si>
  <si>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</si>
  <si>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</si>
  <si>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</si>
  <si>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</si>
  <si>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</si>
  <si>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</si>
  <si>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</si>
  <si>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</si>
  <si>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</si>
  <si>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</si>
  <si>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</si>
  <si>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</si>
  <si>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</si>
  <si>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</si>
  <si>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</si>
  <si>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</si>
  <si>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</si>
  <si>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</si>
  <si>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</si>
  <si>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</si>
  <si>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</si>
  <si>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</si>
  <si>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</si>
  <si>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</si>
  <si>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</si>
  <si>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</si>
  <si>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</si>
  <si>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</si>
  <si>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</si>
  <si>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</si>
  <si>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</si>
  <si>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</si>
  <si>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</si>
  <si>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</si>
  <si>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</si>
  <si>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</si>
  <si>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</si>
  <si>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</si>
  <si>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</si>
  <si>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</si>
  <si>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</si>
  <si>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</si>
  <si>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</si>
  <si>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</si>
  <si>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</si>
  <si>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</si>
  <si>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</si>
  <si>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</si>
  <si>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</si>
  <si>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</si>
  <si>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</si>
  <si>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</si>
  <si>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</si>
  <si>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</si>
  <si>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</si>
  <si>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</si>
  <si>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</si>
  <si>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</si>
  <si>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</si>
  <si>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</si>
  <si>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</si>
  <si>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</si>
  <si>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</si>
  <si>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</si>
  <si>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</si>
  <si>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</si>
  <si>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</si>
  <si>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</si>
  <si>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</si>
  <si>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</si>
  <si>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</si>
  <si>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</si>
  <si>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</si>
  <si>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</si>
  <si>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</si>
  <si>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</si>
  <si>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</si>
  <si>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</si>
  <si>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</si>
  <si>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</si>
  <si>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</si>
  <si>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</si>
  <si>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</si>
  <si>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</si>
  <si>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</si>
  <si>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</si>
  <si>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</si>
  <si>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</si>
  <si>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</si>
  <si>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</si>
  <si>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</si>
  <si>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</si>
  <si>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</si>
  <si>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</si>
  <si>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</si>
  <si>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</si>
  <si>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</si>
  <si>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</si>
  <si>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</si>
  <si>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</si>
  <si>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</si>
  <si>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</si>
  <si>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</si>
  <si>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</si>
  <si>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</si>
  <si>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</si>
  <si>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</si>
  <si>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</si>
  <si>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</si>
  <si>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</si>
  <si>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</si>
  <si>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</si>
  <si>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</si>
  <si>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</si>
  <si>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</si>
  <si>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</si>
  <si>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</si>
  <si>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</si>
  <si>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</si>
  <si>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</si>
  <si>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</si>
  <si>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</si>
  <si>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</si>
  <si>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</si>
  <si>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</si>
  <si>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</si>
  <si>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</si>
  <si>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</si>
  <si>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</si>
  <si>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</si>
  <si>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</si>
  <si>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</si>
  <si>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</si>
  <si>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</si>
  <si>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</si>
  <si>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</si>
  <si>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</si>
  <si>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</si>
  <si>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</si>
  <si>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</si>
  <si>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</si>
  <si>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</si>
  <si>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</si>
  <si>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</si>
  <si>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</si>
  <si>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</si>
  <si>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</si>
  <si>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</si>
  <si>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</si>
  <si>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</si>
  <si>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</si>
  <si>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</si>
  <si>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</si>
  <si>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</si>
  <si>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</si>
  <si>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</si>
  <si>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</si>
  <si>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</si>
  <si>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</si>
  <si>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</si>
  <si>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</si>
  <si>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</si>
  <si>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</si>
  <si>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</si>
  <si>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</si>
  <si>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</si>
  <si>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</si>
  <si>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</si>
  <si>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</si>
  <si>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</si>
  <si>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</si>
  <si>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</si>
  <si>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</si>
  <si>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</si>
  <si>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</si>
  <si>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</si>
  <si>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</si>
  <si>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</si>
  <si>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</si>
  <si>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</si>
  <si>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</si>
  <si>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</si>
  <si>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</si>
  <si>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</si>
  <si>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</si>
  <si>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</si>
  <si>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</si>
  <si>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</si>
  <si>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</si>
  <si>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</si>
  <si>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</si>
  <si>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</si>
  <si>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</si>
  <si>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</si>
  <si>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</si>
  <si>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</si>
  <si>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</si>
  <si>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</si>
  <si>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</si>
  <si>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</si>
  <si>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</si>
  <si>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</si>
  <si>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</si>
  <si>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</si>
  <si>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</si>
  <si>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</si>
  <si>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</si>
  <si>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</si>
  <si>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</si>
  <si>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</si>
  <si>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</si>
  <si>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</si>
  <si>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</si>
  <si>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</si>
  <si>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</si>
  <si>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</si>
  <si>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</si>
  <si>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</si>
  <si>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</si>
  <si>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</si>
  <si>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</si>
  <si>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</si>
  <si>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</si>
  <si>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July 2022</t>
  </si>
  <si>
    <t>Jazz_AC- 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</si>
</sst>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64" fontId="0" fillId="0" borderId="17" xfId="3" applyNumberFormat="1" applyFont="1" applyBorder="1" applyAlignment="1">
      <alignment horizontal="center"/>
    </xf>
    <xf numFmtId="164" fontId="0" fillId="0" borderId="18" xfId="3" applyNumberFormat="1" applyFont="1" applyBorder="1" applyAlignment="1">
      <alignment horizontal="center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2383908</v>
          </cell>
          <cell r="G5">
            <v>14481073</v>
          </cell>
        </row>
        <row r="6">
          <cell r="D6">
            <v>490631</v>
          </cell>
          <cell r="G6">
            <v>3041316</v>
          </cell>
        </row>
        <row r="7">
          <cell r="D7">
            <v>424</v>
          </cell>
          <cell r="G7">
            <v>4836</v>
          </cell>
        </row>
        <row r="10">
          <cell r="D10">
            <v>83855</v>
          </cell>
          <cell r="G10">
            <v>495748</v>
          </cell>
        </row>
        <row r="16">
          <cell r="D16">
            <v>16551</v>
          </cell>
          <cell r="G16">
            <v>104241</v>
          </cell>
        </row>
        <row r="17">
          <cell r="D17">
            <v>8468</v>
          </cell>
          <cell r="G17">
            <v>58120</v>
          </cell>
        </row>
        <row r="18">
          <cell r="D18">
            <v>4</v>
          </cell>
          <cell r="G18">
            <v>47</v>
          </cell>
        </row>
        <row r="19">
          <cell r="D19">
            <v>1246</v>
          </cell>
          <cell r="G19">
            <v>9066</v>
          </cell>
        </row>
        <row r="20">
          <cell r="D20">
            <v>1560</v>
          </cell>
          <cell r="G20">
            <v>9873</v>
          </cell>
        </row>
        <row r="21">
          <cell r="D21">
            <v>86</v>
          </cell>
          <cell r="G21">
            <v>567</v>
          </cell>
        </row>
        <row r="27">
          <cell r="D27">
            <v>18268.540067063979</v>
          </cell>
          <cell r="G27">
            <v>117489.54992704744</v>
          </cell>
        </row>
        <row r="28">
          <cell r="D28">
            <v>2273.1239126075479</v>
          </cell>
          <cell r="G28">
            <v>19229.441800995886</v>
          </cell>
        </row>
        <row r="32">
          <cell r="B32">
            <v>967853</v>
          </cell>
          <cell r="D32">
            <v>6030206</v>
          </cell>
        </row>
        <row r="33">
          <cell r="B33">
            <v>469189</v>
          </cell>
          <cell r="D33">
            <v>2706466</v>
          </cell>
        </row>
      </sheetData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>
        <row r="5">
          <cell r="F5">
            <v>10264.655626650039</v>
          </cell>
          <cell r="I5">
            <v>66251.084858013739</v>
          </cell>
        </row>
        <row r="6">
          <cell r="F6">
            <v>1237.2498462855299</v>
          </cell>
          <cell r="I6">
            <v>10605.704925767488</v>
          </cell>
        </row>
        <row r="10">
          <cell r="F10">
            <v>8003.8844404139381</v>
          </cell>
          <cell r="I10">
            <v>51238.4650690337</v>
          </cell>
        </row>
        <row r="11">
          <cell r="F11">
            <v>1035.8740663220178</v>
          </cell>
          <cell r="I11">
            <v>8623.7368752283983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18268.540067063979</v>
          </cell>
          <cell r="I20">
            <v>117489.54992704747</v>
          </cell>
        </row>
        <row r="21">
          <cell r="F21">
            <v>2273.1239126075479</v>
          </cell>
          <cell r="I21">
            <v>19229.44180099589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14118550</v>
          </cell>
        </row>
        <row r="6">
          <cell r="G6">
            <v>2000426</v>
          </cell>
        </row>
        <row r="7">
          <cell r="G7">
            <v>1970</v>
          </cell>
        </row>
        <row r="10">
          <cell r="G10">
            <v>470816</v>
          </cell>
        </row>
        <row r="16">
          <cell r="G16">
            <v>102499</v>
          </cell>
        </row>
        <row r="17">
          <cell r="G17">
            <v>36828</v>
          </cell>
        </row>
        <row r="18">
          <cell r="G18">
            <v>27</v>
          </cell>
        </row>
        <row r="19">
          <cell r="G19">
            <v>7016</v>
          </cell>
        </row>
        <row r="20">
          <cell r="G20">
            <v>8460</v>
          </cell>
        </row>
        <row r="21">
          <cell r="G21">
            <v>306</v>
          </cell>
        </row>
        <row r="27">
          <cell r="G27">
            <v>94575.797387559491</v>
          </cell>
        </row>
        <row r="28">
          <cell r="G28">
            <v>6731.8591639753304</v>
          </cell>
        </row>
        <row r="32">
          <cell r="D32">
            <v>5558734</v>
          </cell>
        </row>
        <row r="33">
          <cell r="D33">
            <v>2461606</v>
          </cell>
        </row>
      </sheetData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>
        <row r="5">
          <cell r="I5">
            <v>51456.468638096674</v>
          </cell>
        </row>
        <row r="6">
          <cell r="I6">
            <v>3483.2528360614601</v>
          </cell>
        </row>
        <row r="10">
          <cell r="I10">
            <v>43119.328749462809</v>
          </cell>
        </row>
        <row r="11">
          <cell r="I11">
            <v>3248.6063279138698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94575.797387559491</v>
          </cell>
        </row>
        <row r="21">
          <cell r="I21">
            <v>6731.8591639753304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5">
        <row r="4">
          <cell r="IL4">
            <v>27</v>
          </cell>
        </row>
        <row r="5">
          <cell r="IL5">
            <v>27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</row>
        <row r="22">
          <cell r="IL22">
            <v>4037</v>
          </cell>
        </row>
        <row r="23">
          <cell r="IL23">
            <v>4087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6"/>
      <sheetData sheetId="7">
        <row r="4">
          <cell r="IL4">
            <v>126</v>
          </cell>
        </row>
        <row r="5">
          <cell r="IL5">
            <v>126</v>
          </cell>
        </row>
        <row r="8">
          <cell r="IL8">
            <v>1</v>
          </cell>
        </row>
        <row r="9">
          <cell r="IL9">
            <v>1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</row>
        <row r="22">
          <cell r="IL22">
            <v>18047</v>
          </cell>
        </row>
        <row r="23">
          <cell r="IL23">
            <v>18017</v>
          </cell>
        </row>
        <row r="27">
          <cell r="IL27">
            <v>527</v>
          </cell>
        </row>
        <row r="28">
          <cell r="IL28">
            <v>586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</row>
        <row r="47">
          <cell r="IL47">
            <v>49765</v>
          </cell>
        </row>
        <row r="52">
          <cell r="IL52">
            <v>1637</v>
          </cell>
        </row>
        <row r="53">
          <cell r="IL53">
            <v>16637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</row>
      </sheetData>
      <sheetData sheetId="8"/>
      <sheetData sheetId="9">
        <row r="4">
          <cell r="IL4">
            <v>340</v>
          </cell>
        </row>
        <row r="5">
          <cell r="IL5">
            <v>339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</row>
        <row r="22">
          <cell r="IL22">
            <v>49842</v>
          </cell>
        </row>
        <row r="23">
          <cell r="IL23">
            <v>49744</v>
          </cell>
        </row>
        <row r="27">
          <cell r="IL27">
            <v>1921</v>
          </cell>
        </row>
        <row r="28">
          <cell r="IL28">
            <v>2105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</row>
        <row r="47">
          <cell r="IL47">
            <v>19207</v>
          </cell>
        </row>
        <row r="48">
          <cell r="IL48">
            <v>5753</v>
          </cell>
        </row>
        <row r="52">
          <cell r="IL52">
            <v>4204</v>
          </cell>
        </row>
        <row r="53">
          <cell r="IL53">
            <v>472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</row>
      </sheetData>
      <sheetData sheetId="10"/>
      <sheetData sheetId="11"/>
      <sheetData sheetId="12">
        <row r="15">
          <cell r="IJ15">
            <v>3</v>
          </cell>
          <cell r="IK15">
            <v>11</v>
          </cell>
          <cell r="IL15">
            <v>14</v>
          </cell>
        </row>
        <row r="16">
          <cell r="IJ16">
            <v>3</v>
          </cell>
          <cell r="IK16">
            <v>11</v>
          </cell>
          <cell r="IL16">
            <v>14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</row>
        <row r="32">
          <cell r="IJ32">
            <v>608</v>
          </cell>
          <cell r="IK32">
            <v>2259</v>
          </cell>
          <cell r="IL32">
            <v>3092</v>
          </cell>
        </row>
        <row r="33">
          <cell r="IJ33">
            <v>760</v>
          </cell>
          <cell r="IK33">
            <v>2746</v>
          </cell>
          <cell r="IL33">
            <v>2974</v>
          </cell>
        </row>
        <row r="37">
          <cell r="IJ37">
            <v>2</v>
          </cell>
          <cell r="IK37">
            <v>7</v>
          </cell>
          <cell r="IL37">
            <v>13</v>
          </cell>
        </row>
        <row r="38">
          <cell r="IJ38">
            <v>1</v>
          </cell>
          <cell r="IK38">
            <v>8</v>
          </cell>
          <cell r="IL38">
            <v>7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</row>
        <row r="47">
          <cell r="IL47">
            <v>66205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</row>
      </sheetData>
      <sheetData sheetId="13">
        <row r="4">
          <cell r="IL4">
            <v>6408</v>
          </cell>
        </row>
        <row r="5">
          <cell r="IL5">
            <v>6397</v>
          </cell>
        </row>
        <row r="8">
          <cell r="IL8">
            <v>7</v>
          </cell>
        </row>
        <row r="9">
          <cell r="IL9">
            <v>19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</row>
        <row r="22">
          <cell r="IL22">
            <v>913763</v>
          </cell>
        </row>
        <row r="23">
          <cell r="IL23">
            <v>916622</v>
          </cell>
        </row>
        <row r="27">
          <cell r="IL27">
            <v>26211</v>
          </cell>
        </row>
        <row r="28">
          <cell r="IL28">
            <v>25456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</row>
        <row r="47">
          <cell r="IL47">
            <v>2852042</v>
          </cell>
        </row>
        <row r="48">
          <cell r="IL48">
            <v>394125</v>
          </cell>
        </row>
        <row r="52">
          <cell r="IL52">
            <v>2037304</v>
          </cell>
        </row>
        <row r="53">
          <cell r="IL53">
            <v>360076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</row>
        <row r="70">
          <cell r="IL70">
            <v>490959</v>
          </cell>
        </row>
        <row r="71">
          <cell r="IL71">
            <v>425663</v>
          </cell>
        </row>
        <row r="73">
          <cell r="IL73">
            <v>51498</v>
          </cell>
        </row>
        <row r="74">
          <cell r="IL74">
            <v>44648</v>
          </cell>
        </row>
      </sheetData>
      <sheetData sheetId="14">
        <row r="4">
          <cell r="IL4">
            <v>74</v>
          </cell>
        </row>
        <row r="5">
          <cell r="IL5">
            <v>74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</row>
        <row r="22">
          <cell r="IL22">
            <v>902</v>
          </cell>
        </row>
        <row r="23">
          <cell r="IL23">
            <v>922</v>
          </cell>
        </row>
        <row r="27">
          <cell r="IL27">
            <v>33</v>
          </cell>
        </row>
        <row r="28">
          <cell r="IL28">
            <v>30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15">
        <row r="4">
          <cell r="IL4">
            <v>66</v>
          </cell>
        </row>
        <row r="5">
          <cell r="IL5">
            <v>65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</row>
        <row r="22">
          <cell r="IL22">
            <v>12263</v>
          </cell>
        </row>
        <row r="23">
          <cell r="IL23">
            <v>9427</v>
          </cell>
        </row>
        <row r="27">
          <cell r="IL27">
            <v>76</v>
          </cell>
        </row>
        <row r="28">
          <cell r="IL28">
            <v>51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</row>
        <row r="37"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</row>
        <row r="47">
          <cell r="IL47">
            <v>141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</row>
      </sheetData>
      <sheetData sheetId="17">
        <row r="4">
          <cell r="IL4">
            <v>30</v>
          </cell>
        </row>
        <row r="5">
          <cell r="IL5">
            <v>30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</row>
        <row r="22">
          <cell r="IL22">
            <v>3855</v>
          </cell>
        </row>
        <row r="23">
          <cell r="IL23">
            <v>3715</v>
          </cell>
        </row>
        <row r="27">
          <cell r="IL27">
            <v>68</v>
          </cell>
        </row>
        <row r="28">
          <cell r="IL28">
            <v>55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</row>
        <row r="47">
          <cell r="IL47">
            <v>271258</v>
          </cell>
        </row>
        <row r="52">
          <cell r="IL52">
            <v>76081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</row>
      </sheetData>
      <sheetData sheetId="19"/>
      <sheetData sheetId="20"/>
      <sheetData sheetId="21"/>
      <sheetData sheetId="22">
        <row r="4">
          <cell r="IL4">
            <v>679</v>
          </cell>
        </row>
        <row r="5">
          <cell r="IL5">
            <v>676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</row>
        <row r="22">
          <cell r="IL22">
            <v>82034</v>
          </cell>
        </row>
        <row r="23">
          <cell r="IL23">
            <v>82750</v>
          </cell>
        </row>
        <row r="27">
          <cell r="IL27">
            <v>1767</v>
          </cell>
        </row>
        <row r="28">
          <cell r="IL28">
            <v>1725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</row>
        <row r="47">
          <cell r="IL47">
            <v>167577</v>
          </cell>
        </row>
        <row r="52">
          <cell r="IL52">
            <v>46613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</row>
        <row r="70">
          <cell r="IL70">
            <v>82460</v>
          </cell>
        </row>
        <row r="71">
          <cell r="IL71">
            <v>290</v>
          </cell>
        </row>
      </sheetData>
      <sheetData sheetId="23">
        <row r="4">
          <cell r="IL4">
            <v>109</v>
          </cell>
        </row>
        <row r="5">
          <cell r="IL5">
            <v>109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</row>
        <row r="22">
          <cell r="IL22">
            <v>15363</v>
          </cell>
        </row>
        <row r="23">
          <cell r="IL23">
            <v>16392</v>
          </cell>
        </row>
        <row r="27">
          <cell r="IL27">
            <v>142</v>
          </cell>
        </row>
        <row r="28">
          <cell r="IL28">
            <v>208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24">
        <row r="4">
          <cell r="IL4">
            <v>1189</v>
          </cell>
        </row>
        <row r="5">
          <cell r="IL5">
            <v>1189</v>
          </cell>
        </row>
        <row r="8">
          <cell r="IL8">
            <v>36</v>
          </cell>
        </row>
        <row r="9">
          <cell r="IL9">
            <v>34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</row>
        <row r="22">
          <cell r="IL22">
            <v>195139</v>
          </cell>
        </row>
        <row r="23">
          <cell r="IL23">
            <v>195409</v>
          </cell>
        </row>
        <row r="27">
          <cell r="IL27">
            <v>3065</v>
          </cell>
        </row>
        <row r="28">
          <cell r="IL28">
            <v>3238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  <row r="70">
          <cell r="IL70">
            <v>195409</v>
          </cell>
        </row>
        <row r="73">
          <cell r="IL73">
            <v>2408</v>
          </cell>
        </row>
      </sheetData>
      <sheetData sheetId="25"/>
      <sheetData sheetId="26"/>
      <sheetData sheetId="27">
        <row r="4">
          <cell r="IL4">
            <v>475</v>
          </cell>
        </row>
        <row r="5">
          <cell r="IL5">
            <v>469</v>
          </cell>
        </row>
        <row r="8">
          <cell r="IL8">
            <v>5</v>
          </cell>
        </row>
        <row r="9">
          <cell r="IL9">
            <v>8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</row>
        <row r="22">
          <cell r="IL22">
            <v>69353</v>
          </cell>
        </row>
        <row r="23">
          <cell r="IL23">
            <v>67382</v>
          </cell>
        </row>
        <row r="27">
          <cell r="IL27">
            <v>2063</v>
          </cell>
        </row>
        <row r="28">
          <cell r="IL28">
            <v>1954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</row>
        <row r="47">
          <cell r="IL47">
            <v>51701</v>
          </cell>
        </row>
        <row r="48">
          <cell r="IL48">
            <v>10558</v>
          </cell>
        </row>
        <row r="52">
          <cell r="IL52">
            <v>37348</v>
          </cell>
        </row>
        <row r="53">
          <cell r="IL53">
            <v>477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</row>
      </sheetData>
      <sheetData sheetId="28">
        <row r="15">
          <cell r="IL15">
            <v>34</v>
          </cell>
        </row>
        <row r="16">
          <cell r="IL16">
            <v>34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</row>
        <row r="32">
          <cell r="IL32">
            <v>4472</v>
          </cell>
        </row>
        <row r="33">
          <cell r="IL33">
            <v>4466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0">
        <row r="4">
          <cell r="IL4">
            <v>84</v>
          </cell>
        </row>
        <row r="5">
          <cell r="IL5">
            <v>83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</row>
        <row r="22">
          <cell r="IL22">
            <v>5156</v>
          </cell>
        </row>
        <row r="23">
          <cell r="IL23">
            <v>5357</v>
          </cell>
        </row>
        <row r="27">
          <cell r="IL27">
            <v>247</v>
          </cell>
        </row>
        <row r="28">
          <cell r="IL28">
            <v>266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</row>
        <row r="47">
          <cell r="IL47">
            <v>1380</v>
          </cell>
        </row>
        <row r="52">
          <cell r="IL52">
            <v>200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</row>
      </sheetData>
      <sheetData sheetId="31">
        <row r="4">
          <cell r="IL4">
            <v>82</v>
          </cell>
        </row>
        <row r="5">
          <cell r="IL5">
            <v>81</v>
          </cell>
        </row>
        <row r="9">
          <cell r="IL9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</row>
        <row r="22">
          <cell r="IL22">
            <v>3683</v>
          </cell>
        </row>
        <row r="23">
          <cell r="IL23">
            <v>3591</v>
          </cell>
        </row>
        <row r="27">
          <cell r="IL27">
            <v>139</v>
          </cell>
        </row>
        <row r="28">
          <cell r="IL28">
            <v>96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43">
        <row r="4">
          <cell r="IL4">
            <v>3</v>
          </cell>
        </row>
        <row r="5">
          <cell r="IL5">
            <v>3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</row>
        <row r="22">
          <cell r="IL22">
            <v>121</v>
          </cell>
        </row>
        <row r="23">
          <cell r="IL23">
            <v>26</v>
          </cell>
        </row>
        <row r="27">
          <cell r="IL27">
            <v>4</v>
          </cell>
        </row>
        <row r="28">
          <cell r="IL28">
            <v>8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</row>
        <row r="47">
          <cell r="IL47">
            <v>45014.400000000001</v>
          </cell>
        </row>
        <row r="52">
          <cell r="IL52">
            <v>43255.1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</row>
      </sheetData>
      <sheetData sheetId="45">
        <row r="4">
          <cell r="IL4">
            <v>74</v>
          </cell>
        </row>
        <row r="5">
          <cell r="IL5">
            <v>75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</row>
        <row r="22">
          <cell r="IL22">
            <v>4896</v>
          </cell>
        </row>
        <row r="23">
          <cell r="IL23">
            <v>4958</v>
          </cell>
        </row>
        <row r="27">
          <cell r="IL27">
            <v>168</v>
          </cell>
        </row>
        <row r="28">
          <cell r="IL28">
            <v>206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46"/>
      <sheetData sheetId="47"/>
      <sheetData sheetId="48">
        <row r="4">
          <cell r="IL4">
            <v>777</v>
          </cell>
        </row>
        <row r="5">
          <cell r="IL5">
            <v>776</v>
          </cell>
        </row>
        <row r="8">
          <cell r="IL8">
            <v>0</v>
          </cell>
        </row>
        <row r="9">
          <cell r="IL9">
            <v>1</v>
          </cell>
        </row>
        <row r="15">
          <cell r="IF15">
            <v>1</v>
          </cell>
          <cell r="IH15">
            <v>23</v>
          </cell>
          <cell r="II15">
            <v>9</v>
          </cell>
          <cell r="IK15">
            <v>16</v>
          </cell>
          <cell r="IL15">
            <v>3</v>
          </cell>
        </row>
        <row r="16">
          <cell r="IF16">
            <v>1</v>
          </cell>
          <cell r="IH16">
            <v>23</v>
          </cell>
          <cell r="II16">
            <v>10</v>
          </cell>
          <cell r="IK16">
            <v>15</v>
          </cell>
          <cell r="IL16">
            <v>3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</row>
        <row r="22">
          <cell r="IL22">
            <v>51951</v>
          </cell>
        </row>
        <row r="23">
          <cell r="IL23">
            <v>51916</v>
          </cell>
        </row>
        <row r="27">
          <cell r="IL27">
            <v>1370</v>
          </cell>
        </row>
        <row r="28">
          <cell r="IL28">
            <v>1533</v>
          </cell>
        </row>
        <row r="32">
          <cell r="IH32">
            <v>1240</v>
          </cell>
          <cell r="II32">
            <v>622</v>
          </cell>
          <cell r="IK32">
            <v>1081</v>
          </cell>
          <cell r="IL32">
            <v>199</v>
          </cell>
        </row>
        <row r="33">
          <cell r="IH33">
            <v>1517</v>
          </cell>
          <cell r="II33">
            <v>473</v>
          </cell>
          <cell r="IK33">
            <v>1027</v>
          </cell>
          <cell r="IL33">
            <v>178</v>
          </cell>
        </row>
        <row r="37">
          <cell r="IH37">
            <v>20</v>
          </cell>
          <cell r="II37">
            <v>4</v>
          </cell>
          <cell r="IK37">
            <v>11</v>
          </cell>
          <cell r="IL37">
            <v>4</v>
          </cell>
        </row>
        <row r="38">
          <cell r="IH38">
            <v>25</v>
          </cell>
          <cell r="II38">
            <v>5</v>
          </cell>
          <cell r="IK38">
            <v>9</v>
          </cell>
          <cell r="IL38">
            <v>0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  <row r="70">
          <cell r="IL70">
            <v>15514</v>
          </cell>
        </row>
        <row r="71">
          <cell r="IL71">
            <v>36402</v>
          </cell>
        </row>
        <row r="73">
          <cell r="IL73">
            <v>53</v>
          </cell>
        </row>
        <row r="74">
          <cell r="IL74">
            <v>125</v>
          </cell>
        </row>
      </sheetData>
      <sheetData sheetId="49">
        <row r="4">
          <cell r="IL4">
            <v>29</v>
          </cell>
        </row>
        <row r="5">
          <cell r="IL5">
            <v>29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</row>
        <row r="22">
          <cell r="IL22">
            <v>1925</v>
          </cell>
        </row>
        <row r="23">
          <cell r="IL23">
            <v>1930</v>
          </cell>
        </row>
        <row r="27">
          <cell r="IL27">
            <v>35</v>
          </cell>
        </row>
        <row r="28">
          <cell r="IL28">
            <v>33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50">
        <row r="4">
          <cell r="IL4">
            <v>74</v>
          </cell>
        </row>
        <row r="5">
          <cell r="IL5">
            <v>73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</row>
        <row r="22">
          <cell r="IL22">
            <v>4482</v>
          </cell>
        </row>
        <row r="23">
          <cell r="IL23">
            <v>4561</v>
          </cell>
        </row>
        <row r="27">
          <cell r="IL27">
            <v>195</v>
          </cell>
        </row>
        <row r="28">
          <cell r="IL28">
            <v>202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</row>
        <row r="47">
          <cell r="IL47">
            <v>471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</row>
      </sheetData>
      <sheetData sheetId="51">
        <row r="4">
          <cell r="IL4">
            <v>1</v>
          </cell>
        </row>
        <row r="5">
          <cell r="IL5">
            <v>1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</row>
        <row r="22">
          <cell r="IL22">
            <v>66</v>
          </cell>
        </row>
        <row r="23">
          <cell r="IL23">
            <v>69</v>
          </cell>
        </row>
        <row r="28">
          <cell r="IL28">
            <v>1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52"/>
      <sheetData sheetId="53">
        <row r="4">
          <cell r="IL4">
            <v>1910</v>
          </cell>
        </row>
        <row r="5">
          <cell r="IL5">
            <v>1905</v>
          </cell>
        </row>
        <row r="9">
          <cell r="IL9">
            <v>4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</row>
        <row r="22">
          <cell r="IL22">
            <v>94313</v>
          </cell>
        </row>
        <row r="23">
          <cell r="IL23">
            <v>95205</v>
          </cell>
        </row>
        <row r="27">
          <cell r="IL27">
            <v>2751</v>
          </cell>
        </row>
        <row r="28">
          <cell r="IL28">
            <v>2730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  <row r="70">
          <cell r="IL70">
            <v>31277</v>
          </cell>
        </row>
        <row r="71">
          <cell r="IL71">
            <v>63928</v>
          </cell>
        </row>
        <row r="73">
          <cell r="IL73">
            <v>1841</v>
          </cell>
        </row>
        <row r="74">
          <cell r="IL74">
            <v>3764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>
        <row r="4">
          <cell r="IL4">
            <v>9</v>
          </cell>
        </row>
        <row r="5">
          <cell r="IL5">
            <v>9</v>
          </cell>
        </row>
        <row r="22">
          <cell r="IL22">
            <v>343</v>
          </cell>
        </row>
        <row r="23">
          <cell r="IL23">
            <v>315</v>
          </cell>
        </row>
      </sheetData>
      <sheetData sheetId="65">
        <row r="15">
          <cell r="IG15">
            <v>2</v>
          </cell>
          <cell r="IK15">
            <v>1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  <cell r="IK32">
            <v>444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  <cell r="IL15">
            <v>2</v>
          </cell>
        </row>
        <row r="16">
          <cell r="IL16">
            <v>1</v>
          </cell>
        </row>
        <row r="32">
          <cell r="IF32">
            <v>65</v>
          </cell>
          <cell r="IG32">
            <v>55</v>
          </cell>
          <cell r="IL32">
            <v>250</v>
          </cell>
        </row>
        <row r="33">
          <cell r="IL33">
            <v>160</v>
          </cell>
        </row>
      </sheetData>
      <sheetData sheetId="67">
        <row r="4">
          <cell r="IL4">
            <v>2</v>
          </cell>
        </row>
        <row r="5">
          <cell r="IL5">
            <v>2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</row>
        <row r="47">
          <cell r="IL47">
            <v>57250</v>
          </cell>
        </row>
        <row r="52">
          <cell r="IL52">
            <v>48667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</row>
      </sheetData>
      <sheetData sheetId="68">
        <row r="4">
          <cell r="IL4">
            <v>90</v>
          </cell>
        </row>
        <row r="5">
          <cell r="IL5">
            <v>90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</row>
        <row r="47">
          <cell r="IL47">
            <v>2237935</v>
          </cell>
        </row>
        <row r="52">
          <cell r="IL52">
            <v>2393847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</row>
      </sheetData>
      <sheetData sheetId="69">
        <row r="4">
          <cell r="IL4">
            <v>2</v>
          </cell>
        </row>
        <row r="5">
          <cell r="IL5">
            <v>2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</row>
        <row r="47">
          <cell r="IL47">
            <v>67787</v>
          </cell>
        </row>
        <row r="52">
          <cell r="IL52">
            <v>28283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</row>
      </sheetData>
      <sheetData sheetId="70">
        <row r="4">
          <cell r="IL4">
            <v>3</v>
          </cell>
        </row>
        <row r="5">
          <cell r="IL5">
            <v>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</row>
        <row r="47">
          <cell r="IL47">
            <v>120902</v>
          </cell>
        </row>
        <row r="52">
          <cell r="IL52">
            <v>74006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72">
        <row r="4">
          <cell r="IL4">
            <v>2</v>
          </cell>
        </row>
        <row r="5">
          <cell r="IL5">
            <v>2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</row>
        <row r="47">
          <cell r="IL47">
            <v>78865</v>
          </cell>
        </row>
        <row r="52">
          <cell r="IL52">
            <v>47086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</row>
      </sheetData>
      <sheetData sheetId="73">
        <row r="4">
          <cell r="IL4">
            <v>36</v>
          </cell>
        </row>
        <row r="5">
          <cell r="IL5">
            <v>36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</row>
        <row r="47">
          <cell r="IL47">
            <v>43243</v>
          </cell>
        </row>
        <row r="52">
          <cell r="IL52">
            <v>52528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</row>
      </sheetData>
      <sheetData sheetId="74">
        <row r="12">
          <cell r="IL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75"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76">
        <row r="4">
          <cell r="IL4">
            <v>17</v>
          </cell>
        </row>
        <row r="5">
          <cell r="IL5">
            <v>17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</row>
        <row r="47">
          <cell r="IL47">
            <v>467166</v>
          </cell>
        </row>
        <row r="52">
          <cell r="IL52">
            <v>302720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</row>
      </sheetData>
      <sheetData sheetId="77"/>
      <sheetData sheetId="78">
        <row r="4">
          <cell r="IL4">
            <v>2</v>
          </cell>
        </row>
        <row r="5">
          <cell r="IL5">
            <v>2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</row>
        <row r="47">
          <cell r="IL47">
            <v>65064</v>
          </cell>
        </row>
        <row r="52">
          <cell r="IL52">
            <v>47600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80"/>
      <sheetData sheetId="81">
        <row r="4">
          <cell r="IL4">
            <v>84</v>
          </cell>
        </row>
        <row r="5">
          <cell r="IL5">
            <v>84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</row>
        <row r="47">
          <cell r="IL47">
            <v>6199744</v>
          </cell>
        </row>
        <row r="52">
          <cell r="IL52">
            <v>5341499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</row>
      </sheetData>
      <sheetData sheetId="82">
        <row r="4">
          <cell r="IL4">
            <v>20</v>
          </cell>
        </row>
        <row r="5">
          <cell r="IL5">
            <v>20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</row>
        <row r="48">
          <cell r="IL48">
            <v>54105</v>
          </cell>
        </row>
        <row r="53">
          <cell r="IL53">
            <v>104577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</row>
      </sheetData>
      <sheetData sheetId="83">
        <row r="4">
          <cell r="IL4">
            <v>14</v>
          </cell>
        </row>
        <row r="5">
          <cell r="IL5">
            <v>14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</row>
        <row r="47">
          <cell r="IL47">
            <v>50447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</row>
      </sheetData>
      <sheetData sheetId="84">
        <row r="4">
          <cell r="IL4">
            <v>92</v>
          </cell>
        </row>
        <row r="5">
          <cell r="IL5">
            <v>92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</row>
        <row r="47">
          <cell r="IL47">
            <v>4694267</v>
          </cell>
        </row>
        <row r="48">
          <cell r="IL48">
            <v>180167</v>
          </cell>
        </row>
        <row r="52">
          <cell r="IL52">
            <v>3758483</v>
          </cell>
        </row>
        <row r="53">
          <cell r="IL53">
            <v>78135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</row>
      </sheetData>
      <sheetData sheetId="85"/>
      <sheetData sheetId="86"/>
      <sheetData sheetId="87"/>
      <sheetData sheetId="88">
        <row r="4">
          <cell r="IL4">
            <v>162</v>
          </cell>
        </row>
        <row r="5">
          <cell r="IL5">
            <v>162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90"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91">
        <row r="4">
          <cell r="IL4">
            <v>24</v>
          </cell>
        </row>
        <row r="5">
          <cell r="IL5">
            <v>25</v>
          </cell>
        </row>
      </sheetData>
      <sheetData sheetId="92">
        <row r="4">
          <cell r="IL4">
            <v>799</v>
          </cell>
        </row>
        <row r="5">
          <cell r="IL5">
            <v>798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K9" sqref="K9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45108</v>
      </c>
      <c r="B2" s="10"/>
      <c r="C2" s="10"/>
      <c r="D2" s="446" t="s">
        <v>228</v>
      </c>
      <c r="E2" s="446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7"/>
      <c r="E3" s="448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1491422</v>
      </c>
      <c r="C5" s="10">
        <f>'Major Airline Stats'!K5</f>
        <v>1479785</v>
      </c>
      <c r="D5" s="2">
        <f>'Major Airline Stats'!K6</f>
        <v>2971207</v>
      </c>
      <c r="E5" s="2">
        <f>'[1]Monthly Summary'!D5</f>
        <v>2383908</v>
      </c>
      <c r="F5" s="3">
        <f>(D5-E5)/E5</f>
        <v>0.24635975884975428</v>
      </c>
      <c r="G5" s="2">
        <f>+D5+'[2]Monthly Summary'!G5</f>
        <v>17089757</v>
      </c>
      <c r="H5" s="2">
        <f>'[1]Monthly Summary'!G5</f>
        <v>14481073</v>
      </c>
      <c r="I5" s="65">
        <f>(G5-H5)/H5</f>
        <v>0.18014438570953961</v>
      </c>
      <c r="J5" s="2"/>
    </row>
    <row r="6" spans="1:14" x14ac:dyDescent="0.2">
      <c r="A6" s="50" t="s">
        <v>5</v>
      </c>
      <c r="B6" s="217">
        <f>'Regional Major'!M5</f>
        <v>180625</v>
      </c>
      <c r="C6" s="217">
        <f>'Regional Major'!M6</f>
        <v>180120</v>
      </c>
      <c r="D6" s="2">
        <f>B6+C6</f>
        <v>360745</v>
      </c>
      <c r="E6" s="2">
        <f>'[1]Monthly Summary'!D6</f>
        <v>490631</v>
      </c>
      <c r="F6" s="3">
        <f>(D6-E6)/E6</f>
        <v>-0.26473255868463264</v>
      </c>
      <c r="G6" s="2">
        <f>+D6+'[2]Monthly Summary'!G6</f>
        <v>2361171</v>
      </c>
      <c r="H6" s="2">
        <f>'[1]Monthly Summary'!G6</f>
        <v>3041316</v>
      </c>
      <c r="I6" s="65">
        <f>(G6-H6)/H6</f>
        <v>-0.22363509743808271</v>
      </c>
      <c r="K6" s="2"/>
    </row>
    <row r="7" spans="1:14" x14ac:dyDescent="0.2">
      <c r="A7" s="50" t="s">
        <v>6</v>
      </c>
      <c r="B7" s="2">
        <f>Charter!H5</f>
        <v>593</v>
      </c>
      <c r="C7" s="217">
        <f>Charter!H6</f>
        <v>475</v>
      </c>
      <c r="D7" s="2">
        <f>B7+C7</f>
        <v>1068</v>
      </c>
      <c r="E7" s="2">
        <f>'[1]Monthly Summary'!D7</f>
        <v>424</v>
      </c>
      <c r="F7" s="3">
        <f>(D7-E7)/E7</f>
        <v>1.5188679245283019</v>
      </c>
      <c r="G7" s="2">
        <f>+D7+'[2]Monthly Summary'!G7</f>
        <v>3038</v>
      </c>
      <c r="H7" s="2">
        <f>'[1]Monthly Summary'!G7</f>
        <v>4836</v>
      </c>
      <c r="I7" s="65">
        <f>(G7-H7)/H7</f>
        <v>-0.37179487179487181</v>
      </c>
      <c r="K7" s="2"/>
    </row>
    <row r="8" spans="1:14" x14ac:dyDescent="0.2">
      <c r="A8" s="52" t="s">
        <v>7</v>
      </c>
      <c r="B8" s="119">
        <f>SUM(B5:B7)</f>
        <v>1672640</v>
      </c>
      <c r="C8" s="119">
        <f>SUM(C5:C7)</f>
        <v>1660380</v>
      </c>
      <c r="D8" s="119">
        <f>SUM(D5:D7)</f>
        <v>3333020</v>
      </c>
      <c r="E8" s="119">
        <f>SUM(E5:E7)</f>
        <v>2874963</v>
      </c>
      <c r="F8" s="71">
        <f>(D8-E8)/E8</f>
        <v>0.15932622437227889</v>
      </c>
      <c r="G8" s="119">
        <f>SUM(G5:G7)</f>
        <v>19453966</v>
      </c>
      <c r="H8" s="119">
        <f>SUM(H5:H7)</f>
        <v>17527225</v>
      </c>
      <c r="I8" s="70">
        <f>(G8-H8)/H8</f>
        <v>0.10992846842554939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43263</v>
      </c>
      <c r="C10" s="218">
        <f>'Major Airline Stats'!K10+'Regional Major'!M11</f>
        <v>43464</v>
      </c>
      <c r="D10" s="96">
        <f>SUM(B10:C10)</f>
        <v>86727</v>
      </c>
      <c r="E10" s="402">
        <f>'[1]Monthly Summary'!D10</f>
        <v>83855</v>
      </c>
      <c r="F10" s="72">
        <f>(D10-E10)/E10</f>
        <v>3.4249597519527754E-2</v>
      </c>
      <c r="G10" s="402">
        <f>+D10+'[2]Monthly Summary'!G10</f>
        <v>557543</v>
      </c>
      <c r="H10" s="402">
        <f>'[1]Monthly Summary'!G10</f>
        <v>495748</v>
      </c>
      <c r="I10" s="75">
        <f>(G10-H10)/H10</f>
        <v>0.12465002380241574</v>
      </c>
      <c r="J10" s="169"/>
    </row>
    <row r="11" spans="1:14" ht="15.75" thickBot="1" x14ac:dyDescent="0.3">
      <c r="A11" s="51" t="s">
        <v>13</v>
      </c>
      <c r="B11" s="197">
        <f>B10+B8</f>
        <v>1715903</v>
      </c>
      <c r="C11" s="197">
        <f>C10+C8</f>
        <v>1703844</v>
      </c>
      <c r="D11" s="197">
        <f>D10+D8</f>
        <v>3419747</v>
      </c>
      <c r="E11" s="197">
        <f>E10+E8</f>
        <v>2958818</v>
      </c>
      <c r="F11" s="73">
        <f>(D11-E11)/E11</f>
        <v>0.15578146408464461</v>
      </c>
      <c r="G11" s="197">
        <f>G8+G10</f>
        <v>20011509</v>
      </c>
      <c r="H11" s="197">
        <f>H8+H10</f>
        <v>18022973</v>
      </c>
      <c r="I11" s="76">
        <f>(G11-H11)/H11</f>
        <v>0.11033340614780925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6" t="s">
        <v>228</v>
      </c>
      <c r="E13" s="446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7"/>
      <c r="E14" s="448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10236</v>
      </c>
      <c r="C16" s="226">
        <f>'Major Airline Stats'!K16+'Major Airline Stats'!K20</f>
        <v>10216</v>
      </c>
      <c r="D16" s="31">
        <f t="shared" ref="D16:D21" si="0">SUM(B16:C16)</f>
        <v>20452</v>
      </c>
      <c r="E16" s="2">
        <f>'[1]Monthly Summary'!D16</f>
        <v>16551</v>
      </c>
      <c r="F16" s="74">
        <f t="shared" ref="F16:F22" si="1">(D16-E16)/E16</f>
        <v>0.2356957283547822</v>
      </c>
      <c r="G16" s="2">
        <f>+D16+'[2]Monthly Summary'!G16</f>
        <v>122951</v>
      </c>
      <c r="H16" s="2">
        <f>'[1]Monthly Summary'!G16</f>
        <v>104241</v>
      </c>
      <c r="I16" s="192">
        <f t="shared" ref="I16:I22" si="2">(G16-H16)/H16</f>
        <v>0.17948791742212758</v>
      </c>
      <c r="N16" s="95"/>
    </row>
    <row r="17" spans="1:13" x14ac:dyDescent="0.2">
      <c r="A17" s="50" t="s">
        <v>5</v>
      </c>
      <c r="B17" s="31">
        <f>'Regional Major'!M15+'Regional Major'!M18</f>
        <v>3230</v>
      </c>
      <c r="C17" s="31">
        <f>'Regional Major'!M16+'Regional Major'!M19</f>
        <v>3227</v>
      </c>
      <c r="D17" s="31">
        <f>SUM(B17:C17)</f>
        <v>6457</v>
      </c>
      <c r="E17" s="2">
        <f>'[1]Monthly Summary'!D17</f>
        <v>8468</v>
      </c>
      <c r="F17" s="74">
        <f t="shared" si="1"/>
        <v>-0.2374822862541332</v>
      </c>
      <c r="G17" s="2">
        <f>+D17+'[2]Monthly Summary'!G17</f>
        <v>43285</v>
      </c>
      <c r="H17" s="2">
        <f>'[1]Monthly Summary'!G17</f>
        <v>58120</v>
      </c>
      <c r="I17" s="192">
        <f t="shared" si="2"/>
        <v>-0.2552477632484515</v>
      </c>
      <c r="L17" s="2"/>
      <c r="M17" s="2"/>
    </row>
    <row r="18" spans="1:13" x14ac:dyDescent="0.2">
      <c r="A18" s="50" t="s">
        <v>10</v>
      </c>
      <c r="B18" s="31">
        <f>Charter!H10</f>
        <v>11</v>
      </c>
      <c r="C18" s="31">
        <f>Charter!H11</f>
        <v>10</v>
      </c>
      <c r="D18" s="31">
        <f t="shared" si="0"/>
        <v>21</v>
      </c>
      <c r="E18" s="2">
        <f>'[1]Monthly Summary'!D18</f>
        <v>4</v>
      </c>
      <c r="F18" s="74">
        <f t="shared" si="1"/>
        <v>4.25</v>
      </c>
      <c r="G18" s="2">
        <f>+D18+'[2]Monthly Summary'!G18</f>
        <v>48</v>
      </c>
      <c r="H18" s="2">
        <f>'[1]Monthly Summary'!G18</f>
        <v>47</v>
      </c>
      <c r="I18" s="192">
        <f t="shared" si="2"/>
        <v>2.1276595744680851E-2</v>
      </c>
    </row>
    <row r="19" spans="1:13" x14ac:dyDescent="0.2">
      <c r="A19" s="50" t="s">
        <v>11</v>
      </c>
      <c r="B19" s="31">
        <f>Cargo!S4+Cargo!S8</f>
        <v>526</v>
      </c>
      <c r="C19" s="31">
        <f>Cargo!S5+Cargo!S9</f>
        <v>526</v>
      </c>
      <c r="D19" s="31">
        <f t="shared" si="0"/>
        <v>1052</v>
      </c>
      <c r="E19" s="2">
        <f>'[1]Monthly Summary'!D19</f>
        <v>1246</v>
      </c>
      <c r="F19" s="74">
        <f t="shared" si="1"/>
        <v>-0.15569823434991975</v>
      </c>
      <c r="G19" s="2">
        <f>+D19+'[2]Monthly Summary'!G19</f>
        <v>8068</v>
      </c>
      <c r="H19" s="2">
        <f>'[1]Monthly Summary'!G19</f>
        <v>9066</v>
      </c>
      <c r="I19" s="192">
        <f t="shared" si="2"/>
        <v>-0.1100816236487977</v>
      </c>
    </row>
    <row r="20" spans="1:13" x14ac:dyDescent="0.2">
      <c r="A20" s="50" t="s">
        <v>146</v>
      </c>
      <c r="B20" s="31">
        <f>'[3]General Avation'!$IL$4</f>
        <v>799</v>
      </c>
      <c r="C20" s="31">
        <f>'[3]General Avation'!$IL$5</f>
        <v>798</v>
      </c>
      <c r="D20" s="31">
        <f t="shared" si="0"/>
        <v>1597</v>
      </c>
      <c r="E20" s="2">
        <f>'[1]Monthly Summary'!D20</f>
        <v>1560</v>
      </c>
      <c r="F20" s="74">
        <f t="shared" si="1"/>
        <v>2.3717948717948717E-2</v>
      </c>
      <c r="G20" s="2">
        <f>+D20+'[2]Monthly Summary'!G20</f>
        <v>10057</v>
      </c>
      <c r="H20" s="2">
        <f>'[1]Monthly Summary'!G20</f>
        <v>9873</v>
      </c>
      <c r="I20" s="192">
        <f t="shared" si="2"/>
        <v>1.8636685911070597E-2</v>
      </c>
      <c r="M20" s="2"/>
    </row>
    <row r="21" spans="1:13" ht="12.75" customHeight="1" x14ac:dyDescent="0.2">
      <c r="A21" s="50" t="s">
        <v>12</v>
      </c>
      <c r="B21" s="11">
        <f>'[3]Military '!$IL$4</f>
        <v>24</v>
      </c>
      <c r="C21" s="11">
        <f>'[3]Military '!$IL$5</f>
        <v>25</v>
      </c>
      <c r="D21" s="11">
        <f t="shared" si="0"/>
        <v>49</v>
      </c>
      <c r="E21" s="402">
        <f>'[1]Monthly Summary'!D21</f>
        <v>86</v>
      </c>
      <c r="F21" s="190">
        <f t="shared" si="1"/>
        <v>-0.43023255813953487</v>
      </c>
      <c r="G21" s="402">
        <f>+D21+'[2]Monthly Summary'!G21</f>
        <v>355</v>
      </c>
      <c r="H21" s="402">
        <f>'[1]Monthly Summary'!G21</f>
        <v>567</v>
      </c>
      <c r="I21" s="193">
        <f t="shared" si="2"/>
        <v>-0.37389770723104054</v>
      </c>
      <c r="K21" s="95"/>
      <c r="M21" s="436"/>
    </row>
    <row r="22" spans="1:13" ht="15.75" thickBot="1" x14ac:dyDescent="0.3">
      <c r="A22" s="51" t="s">
        <v>28</v>
      </c>
      <c r="B22" s="198">
        <f>SUM(B16:B21)</f>
        <v>14826</v>
      </c>
      <c r="C22" s="198">
        <f>SUM(C16:C21)</f>
        <v>14802</v>
      </c>
      <c r="D22" s="198">
        <f>SUM(D16:D21)</f>
        <v>29628</v>
      </c>
      <c r="E22" s="198">
        <f>SUM(E16:E21)</f>
        <v>27915</v>
      </c>
      <c r="F22" s="195">
        <f t="shared" si="1"/>
        <v>6.1364857603439009E-2</v>
      </c>
      <c r="G22" s="198">
        <f>SUM(G16:G21)</f>
        <v>184764</v>
      </c>
      <c r="H22" s="198">
        <f>SUM(H16:H21)</f>
        <v>181914</v>
      </c>
      <c r="I22" s="196">
        <f t="shared" si="2"/>
        <v>1.566674362610904E-2</v>
      </c>
    </row>
    <row r="23" spans="1:13" x14ac:dyDescent="0.2">
      <c r="B23" s="95"/>
      <c r="C23" s="95"/>
      <c r="L23" s="2"/>
    </row>
    <row r="24" spans="1:13" ht="12.75" customHeight="1" x14ac:dyDescent="0.2">
      <c r="B24" s="10"/>
      <c r="C24" s="10"/>
      <c r="D24" s="446" t="s">
        <v>228</v>
      </c>
      <c r="E24" s="446" t="s">
        <v>220</v>
      </c>
      <c r="F24" s="5"/>
      <c r="G24" s="5"/>
      <c r="H24" s="5"/>
      <c r="I24" s="5"/>
    </row>
    <row r="25" spans="1:13" ht="13.5" thickBot="1" x14ac:dyDescent="0.25">
      <c r="B25" s="5" t="s">
        <v>0</v>
      </c>
      <c r="C25" s="5" t="s">
        <v>1</v>
      </c>
      <c r="D25" s="447"/>
      <c r="E25" s="448"/>
      <c r="F25" s="5" t="s">
        <v>2</v>
      </c>
      <c r="G25" s="5" t="s">
        <v>229</v>
      </c>
      <c r="H25" s="5" t="s">
        <v>221</v>
      </c>
      <c r="I25" s="5" t="s">
        <v>2</v>
      </c>
    </row>
    <row r="26" spans="1:13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3" x14ac:dyDescent="0.2">
      <c r="A27" s="45" t="s">
        <v>15</v>
      </c>
      <c r="B27" s="13">
        <f>(Cargo!S16+'Major Airline Stats'!K28+'Regional Major'!M25)*0.00045359237</f>
        <v>7986.5965383384173</v>
      </c>
      <c r="C27" s="13">
        <f>(Cargo!S21+'Major Airline Stats'!K33+'Regional Major'!M30)*0.00045359237</f>
        <v>6505.1319703748068</v>
      </c>
      <c r="D27" s="13">
        <f>(SUM(B27:C27)+('Cargo Summary'!E17*0.00045359237))</f>
        <v>14491.728508713224</v>
      </c>
      <c r="E27" s="2">
        <f>'[1]Monthly Summary'!D27</f>
        <v>18268.540067063979</v>
      </c>
      <c r="F27" s="77">
        <f>(D27-E27)/E27</f>
        <v>-0.2067385540654067</v>
      </c>
      <c r="G27" s="2">
        <f>+D27+'[2]Monthly Summary'!G27</f>
        <v>109067.52589627271</v>
      </c>
      <c r="H27" s="2">
        <f>'[1]Monthly Summary'!G27</f>
        <v>117489.54992704744</v>
      </c>
      <c r="I27" s="79">
        <f>(G27-H27)/H27</f>
        <v>-7.1683175533519369E-2</v>
      </c>
    </row>
    <row r="28" spans="1:13" x14ac:dyDescent="0.2">
      <c r="A28" s="45" t="s">
        <v>16</v>
      </c>
      <c r="B28" s="13">
        <f>(Cargo!S17+'Major Airline Stats'!K29+'Regional Major'!M26)*0.00045359237</f>
        <v>292.43462967796</v>
      </c>
      <c r="C28" s="13">
        <f>(Cargo!S22+'Major Airline Stats'!K34+'Regional Major'!M31)*0.00045359237</f>
        <v>254.18137074638</v>
      </c>
      <c r="D28" s="13">
        <f>SUM(B28:C28)</f>
        <v>546.61600042433997</v>
      </c>
      <c r="E28" s="2">
        <f>'[1]Monthly Summary'!D28</f>
        <v>2273.1239126075479</v>
      </c>
      <c r="F28" s="77">
        <f>(D28-E28)/E28</f>
        <v>-0.75953092684801982</v>
      </c>
      <c r="G28" s="2">
        <f>+D28+'[2]Monthly Summary'!G28</f>
        <v>7278.4751643996706</v>
      </c>
      <c r="H28" s="2">
        <f>'[1]Monthly Summary'!G28</f>
        <v>19229.441800995886</v>
      </c>
      <c r="I28" s="79">
        <f>(G28-H28)/H28</f>
        <v>-0.62149316450658898</v>
      </c>
    </row>
    <row r="29" spans="1:13" ht="15.75" thickBot="1" x14ac:dyDescent="0.3">
      <c r="A29" s="46" t="s">
        <v>62</v>
      </c>
      <c r="B29" s="38">
        <f>SUM(B27:B28)</f>
        <v>8279.0311680163777</v>
      </c>
      <c r="C29" s="38">
        <f>SUM(C27:C28)</f>
        <v>6759.3133411211866</v>
      </c>
      <c r="D29" s="38">
        <f>SUM(D27:D28)</f>
        <v>15038.344509137563</v>
      </c>
      <c r="E29" s="38">
        <f>SUM(E27:E28)</f>
        <v>20541.663979671528</v>
      </c>
      <c r="F29" s="78">
        <f>(D29-E29)/E29</f>
        <v>-0.26791011068919091</v>
      </c>
      <c r="G29" s="38">
        <f>SUM(G27:G28)</f>
        <v>116346.00106067238</v>
      </c>
      <c r="H29" s="38">
        <f>SUM(H27:H28)</f>
        <v>136718.99172804333</v>
      </c>
      <c r="I29" s="80">
        <f>(G29-H29)/H29</f>
        <v>-0.14901361112943398</v>
      </c>
    </row>
    <row r="30" spans="1:13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3" ht="13.5" thickBot="1" x14ac:dyDescent="0.25">
      <c r="B31" s="445" t="s">
        <v>142</v>
      </c>
      <c r="C31" s="444"/>
      <c r="D31" s="445" t="s">
        <v>149</v>
      </c>
      <c r="E31" s="444"/>
      <c r="F31" s="308"/>
      <c r="G31" s="309"/>
    </row>
    <row r="32" spans="1:13" x14ac:dyDescent="0.2">
      <c r="A32" s="290" t="s">
        <v>143</v>
      </c>
      <c r="B32" s="291">
        <f>C8-B33</f>
        <v>1085560</v>
      </c>
      <c r="C32" s="292">
        <f>B32/C8</f>
        <v>0.653802141678411</v>
      </c>
      <c r="D32" s="293">
        <f>+B32+'[2]Monthly Summary'!$D$32</f>
        <v>6644294</v>
      </c>
      <c r="E32" s="441">
        <f>+D32/D34</f>
        <v>0.68634295796180445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574820</v>
      </c>
      <c r="C33" s="297">
        <f>+B33/C8</f>
        <v>0.34619785832158906</v>
      </c>
      <c r="D33" s="298">
        <f>+B33+'[2]Monthly Summary'!$D$33</f>
        <v>3036426</v>
      </c>
      <c r="E33" s="442">
        <f>+D33/D34</f>
        <v>0.3136570420381955</v>
      </c>
      <c r="G33" s="230"/>
      <c r="H33" s="436"/>
      <c r="I33" s="307"/>
    </row>
    <row r="34" spans="1:14" ht="13.5" thickBot="1" x14ac:dyDescent="0.25">
      <c r="B34" s="230"/>
      <c r="D34" s="300">
        <f>SUM(D32:D33)</f>
        <v>9680720</v>
      </c>
    </row>
    <row r="35" spans="1:14" ht="13.5" thickBot="1" x14ac:dyDescent="0.25">
      <c r="B35" s="443" t="s">
        <v>250</v>
      </c>
      <c r="C35" s="444"/>
      <c r="D35" s="445" t="s">
        <v>230</v>
      </c>
      <c r="E35" s="444"/>
    </row>
    <row r="36" spans="1:14" x14ac:dyDescent="0.2">
      <c r="A36" s="290" t="s">
        <v>143</v>
      </c>
      <c r="B36" s="291">
        <f>'[1]Monthly Summary'!$B$32</f>
        <v>967853</v>
      </c>
      <c r="C36" s="292">
        <f>+B36/B38</f>
        <v>0.67350362759056448</v>
      </c>
      <c r="D36" s="293">
        <f>'[1]Monthly Summary'!$D$32</f>
        <v>6030206</v>
      </c>
      <c r="E36" s="294">
        <f>+D36/D38</f>
        <v>0.69021773966105171</v>
      </c>
    </row>
    <row r="37" spans="1:14" ht="13.5" thickBot="1" x14ac:dyDescent="0.25">
      <c r="A37" s="295" t="s">
        <v>144</v>
      </c>
      <c r="B37" s="296">
        <f>'[1]Monthly Summary'!$B$33</f>
        <v>469189</v>
      </c>
      <c r="C37" s="299">
        <f>+B37/B38</f>
        <v>0.32649637240943552</v>
      </c>
      <c r="D37" s="298">
        <f>'[1]Monthly Summary'!$D$33</f>
        <v>2706466</v>
      </c>
      <c r="E37" s="299">
        <f>+D37/D38</f>
        <v>0.30978226033894829</v>
      </c>
      <c r="G37" s="230"/>
      <c r="M37" s="1"/>
    </row>
    <row r="38" spans="1:14" x14ac:dyDescent="0.2">
      <c r="B38" s="312">
        <f>+SUM(B36:B37)</f>
        <v>1437042</v>
      </c>
      <c r="D38" s="300">
        <f>SUM(D36:D37)</f>
        <v>8736672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T13" sqref="T1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7" ht="39" thickBot="1" x14ac:dyDescent="0.25">
      <c r="A1" s="396">
        <v>45108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251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7" ht="15" x14ac:dyDescent="0.25">
      <c r="A2" s="479" t="s">
        <v>138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1"/>
    </row>
    <row r="3" spans="1:17" x14ac:dyDescent="0.2">
      <c r="A3" s="45" t="s">
        <v>29</v>
      </c>
      <c r="Q3" s="39"/>
    </row>
    <row r="4" spans="1:17" x14ac:dyDescent="0.2">
      <c r="A4" s="45" t="s">
        <v>30</v>
      </c>
      <c r="B4" s="12">
        <f>[3]Delta!$IL$32</f>
        <v>105880</v>
      </c>
      <c r="C4" s="12">
        <f>'[3]Atlantic Southeast'!$IL$32</f>
        <v>0</v>
      </c>
      <c r="D4" s="12">
        <f>[3]Pinnacle!$IL$32</f>
        <v>199</v>
      </c>
      <c r="E4" s="12">
        <f>'[3]Sky West'!$IL$32</f>
        <v>6014</v>
      </c>
      <c r="F4" s="12">
        <f>'[3]Go Jet'!$IL$32</f>
        <v>0</v>
      </c>
      <c r="G4" s="12">
        <f>'[3]Sun Country'!$IL$32</f>
        <v>2321</v>
      </c>
      <c r="H4" s="12">
        <f>[3]Icelandair!$IL$32</f>
        <v>6728</v>
      </c>
      <c r="I4" s="12">
        <f>[3]KLM!$IL$32</f>
        <v>4331</v>
      </c>
      <c r="J4" s="12">
        <f>[3]Jazz_AC!$IL$32</f>
        <v>7819</v>
      </c>
      <c r="K4" s="12">
        <f>'[3]Sky Regional'!$IL$32</f>
        <v>0</v>
      </c>
      <c r="L4" s="12">
        <f>[3]Condor!$IL$32</f>
        <v>3092</v>
      </c>
      <c r="M4" s="12">
        <f>'[3]Aer Lingus'!$IL$32</f>
        <v>0</v>
      </c>
      <c r="N4" s="12">
        <f>'[3]Air France'!$IL$32</f>
        <v>0</v>
      </c>
      <c r="O4" s="12">
        <f>[3]Frontier!$IL$32</f>
        <v>0</v>
      </c>
      <c r="P4" s="12">
        <f>'[3]Charter Misc'!$IL$32+[3]Ryan!$IL$32+[3]Omni!$IL$32</f>
        <v>250</v>
      </c>
      <c r="Q4" s="205">
        <f>SUM(B4:P4)</f>
        <v>136634</v>
      </c>
    </row>
    <row r="5" spans="1:17" x14ac:dyDescent="0.2">
      <c r="A5" s="45" t="s">
        <v>31</v>
      </c>
      <c r="B5" s="7">
        <f>[3]Delta!$IL$33</f>
        <v>96146</v>
      </c>
      <c r="C5" s="7">
        <f>'[3]Atlantic Southeast'!$IL$33</f>
        <v>0</v>
      </c>
      <c r="D5" s="7">
        <f>[3]Pinnacle!$IL$33</f>
        <v>178</v>
      </c>
      <c r="E5" s="7">
        <f>'[3]Sky West'!$IL$33</f>
        <v>5605</v>
      </c>
      <c r="F5" s="7">
        <f>'[3]Go Jet'!$IL$33</f>
        <v>0</v>
      </c>
      <c r="G5" s="7">
        <f>'[3]Sun Country'!$IL$33</f>
        <v>2408</v>
      </c>
      <c r="H5" s="7">
        <f>[3]Icelandair!$IL$33</f>
        <v>5647</v>
      </c>
      <c r="I5" s="7">
        <f>[3]KLM!$IL$33</f>
        <v>3677</v>
      </c>
      <c r="J5" s="7">
        <f>[3]Jazz_AC!$IL$33</f>
        <v>6724</v>
      </c>
      <c r="K5" s="7">
        <f>'[3]Sky Regional'!$IL$33</f>
        <v>0</v>
      </c>
      <c r="L5" s="7">
        <f>[3]Condor!$IL$33</f>
        <v>2974</v>
      </c>
      <c r="M5" s="7">
        <f>'[3]Aer Lingus'!$IL$33</f>
        <v>0</v>
      </c>
      <c r="N5" s="7">
        <f>'[3]Air France'!$IL$33</f>
        <v>0</v>
      </c>
      <c r="O5" s="7">
        <f>[3]Frontier!$IL$33</f>
        <v>0</v>
      </c>
      <c r="P5" s="7">
        <f>'[3]Charter Misc'!$IL$33++[3]Ryan!$IL$33+[3]Omni!$IL$33</f>
        <v>160</v>
      </c>
      <c r="Q5" s="206">
        <f>SUM(B5:P5)</f>
        <v>123519</v>
      </c>
    </row>
    <row r="6" spans="1:17" ht="15" x14ac:dyDescent="0.25">
      <c r="A6" s="43" t="s">
        <v>7</v>
      </c>
      <c r="B6" s="24">
        <f t="shared" ref="B6:P6" si="0">SUM(B4:B5)</f>
        <v>202026</v>
      </c>
      <c r="C6" s="24">
        <f t="shared" si="0"/>
        <v>0</v>
      </c>
      <c r="D6" s="24">
        <f t="shared" si="0"/>
        <v>377</v>
      </c>
      <c r="E6" s="24">
        <f t="shared" si="0"/>
        <v>11619</v>
      </c>
      <c r="F6" s="24">
        <f t="shared" ref="F6" si="1">SUM(F4:F5)</f>
        <v>0</v>
      </c>
      <c r="G6" s="24">
        <f t="shared" si="0"/>
        <v>4729</v>
      </c>
      <c r="H6" s="24">
        <f t="shared" si="0"/>
        <v>12375</v>
      </c>
      <c r="I6" s="24">
        <f t="shared" ref="I6" si="2">SUM(I4:I5)</f>
        <v>8008</v>
      </c>
      <c r="J6" s="24">
        <f t="shared" si="0"/>
        <v>14543</v>
      </c>
      <c r="K6" s="24">
        <f t="shared" ref="K6" si="3">SUM(K4:K5)</f>
        <v>0</v>
      </c>
      <c r="L6" s="24">
        <f t="shared" ref="L6:M6" si="4">SUM(L4:L5)</f>
        <v>6066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410</v>
      </c>
      <c r="Q6" s="207">
        <f>SUM(B6:P6)</f>
        <v>260153</v>
      </c>
    </row>
    <row r="7" spans="1:17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7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7" x14ac:dyDescent="0.2">
      <c r="A9" s="45" t="s">
        <v>30</v>
      </c>
      <c r="B9" s="12">
        <f>[3]Delta!$IL$37</f>
        <v>2189</v>
      </c>
      <c r="C9" s="12">
        <f>'[3]Atlantic Southeast'!$IL$37</f>
        <v>0</v>
      </c>
      <c r="D9" s="12">
        <f>[3]Pinnacle!$IL$37</f>
        <v>4</v>
      </c>
      <c r="E9" s="12">
        <f>'[3]Sky West'!$IL$37</f>
        <v>129</v>
      </c>
      <c r="F9" s="12">
        <f>'[3]Go Jet'!$IL$37</f>
        <v>0</v>
      </c>
      <c r="G9" s="12">
        <f>'[3]Sun Country'!$IL$37</f>
        <v>37</v>
      </c>
      <c r="H9" s="12">
        <f>[3]Icelandair!$IL$37</f>
        <v>35</v>
      </c>
      <c r="I9" s="12">
        <f>[3]KLM!$IL$37</f>
        <v>8</v>
      </c>
      <c r="J9" s="12">
        <f>[3]Jazz_AC!$IL$37</f>
        <v>66</v>
      </c>
      <c r="K9" s="12">
        <f>'[3]Sky Regional'!$IL$37</f>
        <v>0</v>
      </c>
      <c r="L9" s="12">
        <f>[3]Condor!$IL$37</f>
        <v>13</v>
      </c>
      <c r="M9" s="12">
        <f>'[3]Aer Lingus'!$IL$37</f>
        <v>0</v>
      </c>
      <c r="N9" s="12">
        <f>'[3]Air France'!$IL$37</f>
        <v>0</v>
      </c>
      <c r="O9" s="12">
        <f>[3]Frontier!$IL$37</f>
        <v>0</v>
      </c>
      <c r="P9" s="12">
        <f>'[3]Charter Misc'!$IL$37+[3]Ryan!$IL$37+[3]Omni!$IL$37</f>
        <v>0</v>
      </c>
      <c r="Q9" s="205">
        <f>SUM(B9:P9)</f>
        <v>2481</v>
      </c>
    </row>
    <row r="10" spans="1:17" x14ac:dyDescent="0.2">
      <c r="A10" s="45" t="s">
        <v>33</v>
      </c>
      <c r="B10" s="7">
        <f>[3]Delta!$IL$38</f>
        <v>2694</v>
      </c>
      <c r="C10" s="7">
        <f>'[3]Atlantic Southeast'!$IL$38</f>
        <v>0</v>
      </c>
      <c r="D10" s="7">
        <f>[3]Pinnacle!$IL$38</f>
        <v>0</v>
      </c>
      <c r="E10" s="7">
        <f>'[3]Sky West'!$IL$38</f>
        <v>135</v>
      </c>
      <c r="F10" s="7">
        <f>'[3]Go Jet'!$IL$38</f>
        <v>0</v>
      </c>
      <c r="G10" s="7">
        <f>'[3]Sun Country'!$IL$38</f>
        <v>29</v>
      </c>
      <c r="H10" s="7">
        <f>[3]Icelandair!$IL$38</f>
        <v>28</v>
      </c>
      <c r="I10" s="7">
        <f>[3]KLM!$IL$38</f>
        <v>0</v>
      </c>
      <c r="J10" s="7">
        <f>[3]Jazz_AC!$IL$38</f>
        <v>88</v>
      </c>
      <c r="K10" s="7">
        <f>'[3]Sky Regional'!$IL$38</f>
        <v>0</v>
      </c>
      <c r="L10" s="7">
        <f>[3]Condor!$IL$38</f>
        <v>7</v>
      </c>
      <c r="M10" s="7">
        <f>'[3]Aer Lingus'!$IL$38</f>
        <v>0</v>
      </c>
      <c r="N10" s="7">
        <f>'[3]Air France'!$IL$38</f>
        <v>0</v>
      </c>
      <c r="O10" s="7">
        <f>[3]Frontier!$IL$38</f>
        <v>0</v>
      </c>
      <c r="P10" s="7">
        <f>'[3]Charter Misc'!$IL$38+[3]Ryan!$IL$38+[3]Omni!$IL$38</f>
        <v>0</v>
      </c>
      <c r="Q10" s="206">
        <f>SUM(B10:P10)</f>
        <v>2981</v>
      </c>
    </row>
    <row r="11" spans="1:17" ht="15.75" thickBot="1" x14ac:dyDescent="0.3">
      <c r="A11" s="46" t="s">
        <v>34</v>
      </c>
      <c r="B11" s="208">
        <f t="shared" ref="B11:G11" si="5">SUM(B9:B10)</f>
        <v>4883</v>
      </c>
      <c r="C11" s="208">
        <f t="shared" si="5"/>
        <v>0</v>
      </c>
      <c r="D11" s="208">
        <f t="shared" si="5"/>
        <v>4</v>
      </c>
      <c r="E11" s="208">
        <f t="shared" si="5"/>
        <v>264</v>
      </c>
      <c r="F11" s="208">
        <f t="shared" ref="F11" si="6">SUM(F9:F10)</f>
        <v>0</v>
      </c>
      <c r="G11" s="208">
        <f t="shared" si="5"/>
        <v>66</v>
      </c>
      <c r="H11" s="208">
        <f t="shared" ref="H11:P11" si="7">SUM(H9:H10)</f>
        <v>63</v>
      </c>
      <c r="I11" s="208">
        <f t="shared" ref="I11" si="8">SUM(I9:I10)</f>
        <v>8</v>
      </c>
      <c r="J11" s="208">
        <f t="shared" si="7"/>
        <v>154</v>
      </c>
      <c r="K11" s="208">
        <f t="shared" ref="K11" si="9">SUM(K9:K10)</f>
        <v>0</v>
      </c>
      <c r="L11" s="208">
        <f t="shared" si="7"/>
        <v>20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5462</v>
      </c>
    </row>
    <row r="12" spans="1:17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7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251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7" ht="15" x14ac:dyDescent="0.25">
      <c r="A14" s="482" t="s">
        <v>139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O14" s="483"/>
      <c r="P14" s="483"/>
      <c r="Q14" s="484"/>
    </row>
    <row r="15" spans="1:17" x14ac:dyDescent="0.2">
      <c r="A15" s="45" t="s">
        <v>29</v>
      </c>
      <c r="Q15" s="39"/>
    </row>
    <row r="16" spans="1:17" x14ac:dyDescent="0.2">
      <c r="A16" s="45"/>
      <c r="Q16" s="39"/>
    </row>
    <row r="17" spans="1:20" x14ac:dyDescent="0.2">
      <c r="A17" s="45" t="s">
        <v>30</v>
      </c>
      <c r="B17" s="12">
        <f>SUM([3]Delta!$IF$32:$IL$32)</f>
        <v>624178</v>
      </c>
      <c r="C17" s="12">
        <f>SUM('[3]Atlantic Southeast'!$IF$32:$IL$32)</f>
        <v>0</v>
      </c>
      <c r="D17" s="12">
        <f>SUM([3]Pinnacle!$IF$32:$IL$32)</f>
        <v>3142</v>
      </c>
      <c r="E17" s="12">
        <f>SUM('[3]Sky West'!$IF$32:$IL$32)</f>
        <v>35038</v>
      </c>
      <c r="F17" s="12">
        <f>SUM('[3]Go Jet'!$IF$32:$IL$32)</f>
        <v>0</v>
      </c>
      <c r="G17" s="12">
        <f>SUM('[3]Sun Country'!$IF$32:$IL$32)</f>
        <v>145528</v>
      </c>
      <c r="H17" s="12">
        <f>SUM([3]Icelandair!$IF$32:$IL$32)</f>
        <v>19595</v>
      </c>
      <c r="I17" s="12">
        <f>SUM([3]KLM!$IF$32:$IL$32)</f>
        <v>27941</v>
      </c>
      <c r="J17" s="12">
        <f>SUM([3]Jazz_AC!$IF$32:$IL$32)</f>
        <v>38784</v>
      </c>
      <c r="K17" s="12">
        <f>SUM('[3]Sky Regional'!$IF$32:$IL$32)</f>
        <v>0</v>
      </c>
      <c r="L17" s="12">
        <f>SUM([3]Condor!$IF$32:$IL$32)</f>
        <v>5959</v>
      </c>
      <c r="M17" s="12">
        <f>SUM('[3]Aer Lingus'!$IF$32:$IL$32)</f>
        <v>0</v>
      </c>
      <c r="N17" s="12">
        <f>SUM('[3]Air France'!$IF$32:$IL$32)</f>
        <v>0</v>
      </c>
      <c r="O17" s="12">
        <f>SUM([3]Frontier!$IF$32:$IL$32)</f>
        <v>0</v>
      </c>
      <c r="P17" s="12">
        <f>SUM('[3]Charter Misc'!$IF$32:$IL$32)+SUM([3]Ryan!$IF$32:$IL$32)+SUM([3]Omni!$IF$32:$IL$32)</f>
        <v>1581</v>
      </c>
      <c r="Q17" s="205">
        <f>SUM(B17:P17)</f>
        <v>901746</v>
      </c>
    </row>
    <row r="18" spans="1:20" x14ac:dyDescent="0.2">
      <c r="A18" s="45" t="s">
        <v>31</v>
      </c>
      <c r="B18" s="7">
        <f>SUM([3]Delta!$IF$33:$IL$33)</f>
        <v>612885</v>
      </c>
      <c r="C18" s="7">
        <f>SUM('[3]Atlantic Southeast'!$IF$33:$IL$33)</f>
        <v>0</v>
      </c>
      <c r="D18" s="7">
        <f>SUM([3]Pinnacle!$IF$33:$IL$33)</f>
        <v>3195</v>
      </c>
      <c r="E18" s="7">
        <f>SUM('[3]Sky West'!$IF$33:$IL$33)</f>
        <v>36917</v>
      </c>
      <c r="F18" s="7">
        <f>SUM('[3]Go Jet'!$IF$33:$IL$33)</f>
        <v>0</v>
      </c>
      <c r="G18" s="7">
        <f>SUM('[3]Sun Country'!$IF$33:$IL$33)</f>
        <v>141549</v>
      </c>
      <c r="H18" s="7">
        <f>SUM([3]Icelandair!$IF$33:$IL$33)</f>
        <v>19746</v>
      </c>
      <c r="I18" s="7">
        <f>SUM([3]KLM!$IF$33:$IL$33)</f>
        <v>25185</v>
      </c>
      <c r="J18" s="7">
        <f>SUM([3]Jazz_AC!$IF$33:$IL$33)</f>
        <v>39639</v>
      </c>
      <c r="K18" s="7">
        <f>SUM('[3]Sky Regional'!$IF$33:$IL$33)</f>
        <v>0</v>
      </c>
      <c r="L18" s="7">
        <f>SUM([3]Condor!$IF$33:$IL$33)</f>
        <v>6480</v>
      </c>
      <c r="M18" s="7">
        <f>SUM('[3]Aer Lingus'!$IF$33:$IL$33)</f>
        <v>0</v>
      </c>
      <c r="N18" s="7">
        <f>SUM('[3]Air France'!$IF$33:$IL$33)</f>
        <v>0</v>
      </c>
      <c r="O18" s="7">
        <f>SUM([3]Frontier!$IF$33:$IL$33)</f>
        <v>0</v>
      </c>
      <c r="P18" s="7">
        <f>SUM('[3]Charter Misc'!$IF$33:$IL$33)++SUM([3]Ryan!$IF$33:$IL$33)+SUM([3]Omni!$IF$33:$IL$33)</f>
        <v>492</v>
      </c>
      <c r="Q18" s="206">
        <f>SUM(B18:P18)</f>
        <v>886088</v>
      </c>
    </row>
    <row r="19" spans="1:20" ht="15" x14ac:dyDescent="0.25">
      <c r="A19" s="43" t="s">
        <v>7</v>
      </c>
      <c r="B19" s="24">
        <f t="shared" ref="B19:P19" si="11">SUM(B17:B18)</f>
        <v>1237063</v>
      </c>
      <c r="C19" s="24">
        <f t="shared" si="11"/>
        <v>0</v>
      </c>
      <c r="D19" s="24">
        <f t="shared" si="11"/>
        <v>6337</v>
      </c>
      <c r="E19" s="24">
        <f t="shared" si="11"/>
        <v>71955</v>
      </c>
      <c r="F19" s="24">
        <f t="shared" ref="F19" si="12">SUM(F17:F18)</f>
        <v>0</v>
      </c>
      <c r="G19" s="24">
        <f t="shared" si="11"/>
        <v>287077</v>
      </c>
      <c r="H19" s="24">
        <f t="shared" si="11"/>
        <v>39341</v>
      </c>
      <c r="I19" s="24">
        <f t="shared" ref="I19" si="13">SUM(I17:I18)</f>
        <v>53126</v>
      </c>
      <c r="J19" s="24">
        <f t="shared" si="11"/>
        <v>78423</v>
      </c>
      <c r="K19" s="24">
        <f t="shared" ref="K19" si="14">SUM(K17:K18)</f>
        <v>0</v>
      </c>
      <c r="L19" s="24">
        <f t="shared" ref="L19:M19" si="15">SUM(L17:L18)</f>
        <v>12439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2073</v>
      </c>
      <c r="Q19" s="207">
        <f>SUM(B19:P19)</f>
        <v>1787834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SUM([3]Delta!$IF$37:$IL$37)</f>
        <v>16330</v>
      </c>
      <c r="C22" s="12">
        <f>SUM('[3]Atlantic Southeast'!$IF$37:$IL$37)</f>
        <v>0</v>
      </c>
      <c r="D22" s="12">
        <f>SUM([3]Pinnacle!$IF$37:$IL$37)</f>
        <v>39</v>
      </c>
      <c r="E22" s="12">
        <f>SUM('[3]Sky West'!$IF$37:$IL$37)</f>
        <v>686</v>
      </c>
      <c r="F22" s="12">
        <f>SUM('[3]Go Jet'!$IF$37:$IL$37)</f>
        <v>0</v>
      </c>
      <c r="G22" s="12">
        <f>SUM('[3]Sun Country'!$IF$37:$IL$37)</f>
        <v>1898</v>
      </c>
      <c r="H22" s="12">
        <f>SUM([3]Icelandair!$IF$37:$IL$37)</f>
        <v>121</v>
      </c>
      <c r="I22" s="12">
        <f>SUM([3]KLM!$IF$37:$IL$37)</f>
        <v>75</v>
      </c>
      <c r="J22" s="12">
        <f>SUM([3]Jazz_AC!$IF$37:$IL$37)</f>
        <v>436</v>
      </c>
      <c r="K22" s="12">
        <f>SUM('[3]Sky Regional'!$IF$37:$IL$37)</f>
        <v>0</v>
      </c>
      <c r="L22" s="12">
        <f>SUM([3]Condor!$IF$37:$IL$37)</f>
        <v>22</v>
      </c>
      <c r="M22" s="12">
        <f>SUM('[3]Aer Lingus'!$IF$37:$IL$37)</f>
        <v>0</v>
      </c>
      <c r="N22" s="12">
        <f>SUM('[3]Air France'!$IF$37:$IL$37)</f>
        <v>0</v>
      </c>
      <c r="O22" s="12">
        <f>SUM([3]Frontier!$IF$37:$IL$37)</f>
        <v>0</v>
      </c>
      <c r="P22" s="12">
        <f>SUM('[3]Charter Misc'!$IF$37:$IL$37)++SUM([3]Ryan!$IF$37:$IL$37)+SUM([3]Omni!$IF$37:$IL$37)</f>
        <v>0</v>
      </c>
      <c r="Q22" s="205">
        <f>SUM(B22:P22)</f>
        <v>19607</v>
      </c>
    </row>
    <row r="23" spans="1:20" x14ac:dyDescent="0.2">
      <c r="A23" s="45" t="s">
        <v>33</v>
      </c>
      <c r="B23" s="7">
        <f>SUM([3]Delta!$IF$38:$IL$38)</f>
        <v>17454</v>
      </c>
      <c r="C23" s="7">
        <f>SUM('[3]Atlantic Southeast'!$IF$38:$IL$38)</f>
        <v>0</v>
      </c>
      <c r="D23" s="7">
        <f>SUM([3]Pinnacle!$IF$38:$IL$38)</f>
        <v>39</v>
      </c>
      <c r="E23" s="7">
        <f>SUM('[3]Sky West'!$IF$38:$IL$38)</f>
        <v>648</v>
      </c>
      <c r="F23" s="7">
        <f>SUM('[3]Go Jet'!$IF$38:$IL$38)</f>
        <v>0</v>
      </c>
      <c r="G23" s="7">
        <f>SUM('[3]Sun Country'!$IF$38:$IL$38)</f>
        <v>1975</v>
      </c>
      <c r="H23" s="7">
        <f>SUM([3]Icelandair!$IF$38:$IL$38)</f>
        <v>127</v>
      </c>
      <c r="I23" s="7">
        <f>SUM([3]KLM!$IF$38:$IL$38)</f>
        <v>3</v>
      </c>
      <c r="J23" s="7">
        <f>SUM([3]Jazz_AC!$IF$38:$IL$38)</f>
        <v>528</v>
      </c>
      <c r="K23" s="7">
        <f>SUM('[3]Sky Regional'!$IF$38:$IL$38)</f>
        <v>0</v>
      </c>
      <c r="L23" s="7">
        <f>SUM([3]Condor!$IF$38:$IL$38)</f>
        <v>16</v>
      </c>
      <c r="M23" s="7">
        <f>SUM('[3]Aer Lingus'!$IF$38:$IL$38)</f>
        <v>0</v>
      </c>
      <c r="N23" s="7">
        <f>SUM('[3]Air France'!$IF$38:$IL$38)</f>
        <v>0</v>
      </c>
      <c r="O23" s="7">
        <f>SUM([3]Frontier!$IF$38:$IL$38)</f>
        <v>0</v>
      </c>
      <c r="P23" s="7">
        <f>SUM('[3]Charter Misc'!$IF$38:$IL$38)++SUM([3]Ryan!$IF$38:$IL$38)+SUM([3]Omni!$IF$38:$IL$38)</f>
        <v>0</v>
      </c>
      <c r="Q23" s="206">
        <f>SUM(B23:P23)</f>
        <v>20790</v>
      </c>
    </row>
    <row r="24" spans="1:20" ht="15.75" thickBot="1" x14ac:dyDescent="0.3">
      <c r="A24" s="46" t="s">
        <v>34</v>
      </c>
      <c r="B24" s="208">
        <f t="shared" ref="B24:P24" si="16">SUM(B22:B23)</f>
        <v>33784</v>
      </c>
      <c r="C24" s="208">
        <f t="shared" si="16"/>
        <v>0</v>
      </c>
      <c r="D24" s="208">
        <f t="shared" si="16"/>
        <v>78</v>
      </c>
      <c r="E24" s="208">
        <f t="shared" si="16"/>
        <v>1334</v>
      </c>
      <c r="F24" s="208">
        <f t="shared" ref="F24" si="17">SUM(F22:F23)</f>
        <v>0</v>
      </c>
      <c r="G24" s="208">
        <f t="shared" si="16"/>
        <v>3873</v>
      </c>
      <c r="H24" s="208">
        <f t="shared" si="16"/>
        <v>248</v>
      </c>
      <c r="I24" s="208">
        <f t="shared" ref="I24" si="18">SUM(I22:I23)</f>
        <v>78</v>
      </c>
      <c r="J24" s="208">
        <f t="shared" si="16"/>
        <v>964</v>
      </c>
      <c r="K24" s="208">
        <f t="shared" ref="K24" si="19">SUM(K22:K23)</f>
        <v>0</v>
      </c>
      <c r="L24" s="208">
        <f t="shared" ref="L24:M24" si="20">SUM(L22:L23)</f>
        <v>38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40397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251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5" t="s">
        <v>140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7"/>
    </row>
    <row r="28" spans="1:20" x14ac:dyDescent="0.2">
      <c r="A28" s="45" t="s">
        <v>22</v>
      </c>
      <c r="B28" s="12">
        <f>[3]Delta!$IL$15</f>
        <v>549</v>
      </c>
      <c r="C28" s="12">
        <f>'[3]Atlantic Southeast'!$IL$15</f>
        <v>0</v>
      </c>
      <c r="D28" s="12">
        <f>[3]Pinnacle!$IL$15</f>
        <v>3</v>
      </c>
      <c r="E28" s="12">
        <f>'[3]Sky West'!$IL$15</f>
        <v>83</v>
      </c>
      <c r="F28" s="12">
        <f>'[3]Go Jet'!$IL$15</f>
        <v>0</v>
      </c>
      <c r="G28" s="12">
        <f>'[3]Sun Country'!$IL$15</f>
        <v>20</v>
      </c>
      <c r="H28" s="12">
        <f>[3]Icelandair!$IL$15</f>
        <v>31</v>
      </c>
      <c r="I28" s="12">
        <f>[3]KLM!$IL$15</f>
        <v>16</v>
      </c>
      <c r="J28" s="12">
        <f>[3]Jazz_AC!$IL$15</f>
        <v>110</v>
      </c>
      <c r="K28" s="12">
        <f>'[3]Sky Regional'!$IL$15</f>
        <v>0</v>
      </c>
      <c r="L28" s="12">
        <f>[3]Condor!$IL$15</f>
        <v>14</v>
      </c>
      <c r="M28" s="12">
        <f>'[3]Aer Lingus'!$IL$15</f>
        <v>0</v>
      </c>
      <c r="N28" s="12">
        <f>'[3]Air France'!$IL$15</f>
        <v>0</v>
      </c>
      <c r="O28" s="12">
        <f>[3]Frontier!$IL$15</f>
        <v>0</v>
      </c>
      <c r="P28" s="12">
        <f>'[3]Charter Misc'!$IL$15+[3]Ryan!$IL$15+[3]Omni!$IL$15</f>
        <v>2</v>
      </c>
      <c r="Q28" s="205">
        <f>SUM(B28:P28)</f>
        <v>828</v>
      </c>
    </row>
    <row r="29" spans="1:20" x14ac:dyDescent="0.2">
      <c r="A29" s="45" t="s">
        <v>23</v>
      </c>
      <c r="B29" s="12">
        <f>[3]Delta!$IL$16</f>
        <v>549</v>
      </c>
      <c r="C29" s="12">
        <f>'[3]Atlantic Southeast'!$IL$16</f>
        <v>0</v>
      </c>
      <c r="D29" s="12">
        <f>[3]Pinnacle!$IL$16</f>
        <v>3</v>
      </c>
      <c r="E29" s="12">
        <f>'[3]Sky West'!$IL$16</f>
        <v>83</v>
      </c>
      <c r="F29" s="12">
        <f>'[3]Go Jet'!$IL$16</f>
        <v>0</v>
      </c>
      <c r="G29" s="12">
        <f>'[3]Sun Country'!$IL$16</f>
        <v>9</v>
      </c>
      <c r="H29" s="12">
        <f>[3]Icelandair!$IL$16</f>
        <v>31</v>
      </c>
      <c r="I29" s="12">
        <f>[3]KLM!$IL$16</f>
        <v>16</v>
      </c>
      <c r="J29" s="12">
        <f>[3]Jazz_AC!$IL$16</f>
        <v>109</v>
      </c>
      <c r="K29" s="12">
        <f>'[3]Sky Regional'!$IL$16</f>
        <v>0</v>
      </c>
      <c r="L29" s="12">
        <f>[3]Condor!$IL$16</f>
        <v>14</v>
      </c>
      <c r="M29" s="12">
        <f>'[3]Aer Lingus'!$IL$16</f>
        <v>0</v>
      </c>
      <c r="N29" s="12">
        <f>'[3]Air France'!$IL$16</f>
        <v>0</v>
      </c>
      <c r="O29" s="12">
        <f>[3]Frontier!$IL$16</f>
        <v>0</v>
      </c>
      <c r="P29" s="12">
        <f>'[3]Charter Misc'!$IL$16+[3]Ryan!$IL$16+[3]Omni!$IL$16</f>
        <v>1</v>
      </c>
      <c r="Q29" s="205">
        <f>SUM(B29:P29)</f>
        <v>815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1098</v>
      </c>
      <c r="C31" s="282">
        <f t="shared" si="21"/>
        <v>0</v>
      </c>
      <c r="D31" s="282">
        <f t="shared" si="21"/>
        <v>6</v>
      </c>
      <c r="E31" s="282">
        <f>SUM(E28:E29)</f>
        <v>166</v>
      </c>
      <c r="F31" s="282">
        <f>SUM(F28:F29)</f>
        <v>0</v>
      </c>
      <c r="G31" s="282">
        <f t="shared" si="21"/>
        <v>29</v>
      </c>
      <c r="H31" s="282">
        <f t="shared" si="21"/>
        <v>62</v>
      </c>
      <c r="I31" s="282">
        <f t="shared" ref="I31" si="22">SUM(I28:I29)</f>
        <v>32</v>
      </c>
      <c r="J31" s="282">
        <f t="shared" si="21"/>
        <v>219</v>
      </c>
      <c r="K31" s="282">
        <f t="shared" ref="K31" si="23">SUM(K28:K29)</f>
        <v>0</v>
      </c>
      <c r="L31" s="282">
        <f>SUM(L28:L29)</f>
        <v>28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3</v>
      </c>
      <c r="Q31" s="283">
        <f>SUM(B31:P31)</f>
        <v>1643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251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8" t="s">
        <v>141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90"/>
    </row>
    <row r="35" spans="1:17" x14ac:dyDescent="0.2">
      <c r="A35" s="45" t="s">
        <v>22</v>
      </c>
      <c r="B35" s="12">
        <f>SUM([3]Delta!$IF$15:$IL$15)</f>
        <v>3556</v>
      </c>
      <c r="C35" s="12">
        <f>SUM('[3]Atlantic Southeast'!$IF$15:$IL$15)</f>
        <v>0</v>
      </c>
      <c r="D35" s="12">
        <f>SUM([3]Pinnacle!$IF$15:$IL$15)</f>
        <v>52</v>
      </c>
      <c r="E35" s="12">
        <f>SUM('[3]Sky West'!$IF$15:$IL$15)</f>
        <v>591</v>
      </c>
      <c r="F35" s="12">
        <f>SUM('[3]Go Jet'!$IF$15:$IL$15)</f>
        <v>0</v>
      </c>
      <c r="G35" s="12">
        <f>SUM('[3]Sun Country'!$IF$15:$IL$15)</f>
        <v>960</v>
      </c>
      <c r="H35" s="12">
        <f>SUM([3]Icelandair!$IF$15:$IL$15)</f>
        <v>116</v>
      </c>
      <c r="I35" s="12">
        <f>SUM([3]KLM!$IF$15:$IL$15)</f>
        <v>117</v>
      </c>
      <c r="J35" s="12">
        <f>SUM([3]Jazz_AC!$IF$15:$IL$15)</f>
        <v>659</v>
      </c>
      <c r="K35" s="12">
        <f>SUM('[3]Sky Regional'!$IF$15:$IL$15)</f>
        <v>0</v>
      </c>
      <c r="L35" s="12">
        <f>SUM([3]Condor!$IF$15:$IL$15)</f>
        <v>28</v>
      </c>
      <c r="M35" s="12">
        <f>SUM('[3]Aer Lingus'!$IF$15:$IL$15)</f>
        <v>0</v>
      </c>
      <c r="N35" s="12">
        <f>SUM('[3]Air France'!$IF$15:$IL$15)</f>
        <v>0</v>
      </c>
      <c r="O35" s="12">
        <f>SUM([3]Frontier!$IF$15:$IL$15)</f>
        <v>0</v>
      </c>
      <c r="P35" s="12">
        <f>SUM('[3]Charter Misc'!$IF$15:$IL$15)+SUM([3]Ryan!$IF$15:$IL$15)+SUM([3]Omni!$IF$15:$IL$15)</f>
        <v>8</v>
      </c>
      <c r="Q35" s="205">
        <f>SUM(B35:P35)</f>
        <v>6087</v>
      </c>
    </row>
    <row r="36" spans="1:17" x14ac:dyDescent="0.2">
      <c r="A36" s="45" t="s">
        <v>23</v>
      </c>
      <c r="B36" s="12">
        <f>SUM([3]Delta!$IF$16:$IL$16)</f>
        <v>3575</v>
      </c>
      <c r="C36" s="12">
        <f>SUM('[3]Atlantic Southeast'!$IF$16:$IL$16)</f>
        <v>0</v>
      </c>
      <c r="D36" s="12">
        <f>SUM([3]Pinnacle!$IF$16:$IL$16)</f>
        <v>52</v>
      </c>
      <c r="E36" s="12">
        <f>SUM('[3]Sky West'!$IF$16:$IL$16)</f>
        <v>591</v>
      </c>
      <c r="F36" s="12">
        <f>SUM('[3]Go Jet'!$IF$16:$IL$16)</f>
        <v>0</v>
      </c>
      <c r="G36" s="12">
        <f>SUM('[3]Sun Country'!$IF$16:$IL$16)</f>
        <v>950</v>
      </c>
      <c r="H36" s="12">
        <f>SUM([3]Icelandair!$IF$16:$IL$16)</f>
        <v>116</v>
      </c>
      <c r="I36" s="12">
        <f>SUM([3]KLM!$IF$16:$IL$16)</f>
        <v>117</v>
      </c>
      <c r="J36" s="12">
        <f>SUM([3]Jazz_AC!$IF$16:$IL$16)</f>
        <v>590</v>
      </c>
      <c r="K36" s="12">
        <f>SUM('[3]Sky Regional'!$IF$16:$IL$16)</f>
        <v>0</v>
      </c>
      <c r="L36" s="12">
        <f>SUM([3]Condor!$IF$16:$IL$16)</f>
        <v>28</v>
      </c>
      <c r="M36" s="12">
        <f>SUM('[3]Aer Lingus'!$IF$16:$IL$16)</f>
        <v>0</v>
      </c>
      <c r="N36" s="12">
        <f>SUM('[3]Air France'!$IF$16:$IL$16)</f>
        <v>0</v>
      </c>
      <c r="O36" s="12">
        <f>SUM([3]Frontier!$IF$16:$IL$16)</f>
        <v>0</v>
      </c>
      <c r="P36" s="12">
        <f>SUM('[3]Charter Misc'!$IF$16:$IL$16)+SUM([3]Ryan!$IF$16:$IL$16)+SUM([3]Omni!$IF$16:$IL$16)</f>
        <v>3</v>
      </c>
      <c r="Q36" s="205">
        <f>SUM(B36:P36)</f>
        <v>6022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7131</v>
      </c>
      <c r="C38" s="282">
        <f t="shared" si="25"/>
        <v>0</v>
      </c>
      <c r="D38" s="282">
        <f t="shared" si="25"/>
        <v>104</v>
      </c>
      <c r="E38" s="282">
        <f>+SUM(E35:E36)</f>
        <v>1182</v>
      </c>
      <c r="F38" s="282">
        <f>+SUM(F35:F36)</f>
        <v>0</v>
      </c>
      <c r="G38" s="282">
        <f t="shared" si="25"/>
        <v>1910</v>
      </c>
      <c r="H38" s="282">
        <f t="shared" si="25"/>
        <v>232</v>
      </c>
      <c r="I38" s="282">
        <f t="shared" ref="I38" si="26">+SUM(I35:I36)</f>
        <v>234</v>
      </c>
      <c r="J38" s="282">
        <f t="shared" si="25"/>
        <v>1249</v>
      </c>
      <c r="K38" s="282">
        <f t="shared" ref="K38" si="27">+SUM(K35:K36)</f>
        <v>0</v>
      </c>
      <c r="L38" s="282">
        <f>+SUM(L35:L36)</f>
        <v>56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11</v>
      </c>
      <c r="Q38" s="283">
        <f>SUM(B38:P38)</f>
        <v>12109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&amp;"Arial,Bold"July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zoomScaleNormal="100" zoomScaleSheetLayoutView="85" workbookViewId="0">
      <selection activeCell="O32" sqref="O32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9" t="s">
        <v>130</v>
      </c>
      <c r="B1" s="500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3" t="s">
        <v>134</v>
      </c>
      <c r="K1" s="504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91" t="s">
        <v>210</v>
      </c>
      <c r="T1" s="492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4">
        <v>45108</v>
      </c>
      <c r="B2" s="475"/>
      <c r="C2" s="501" t="s">
        <v>9</v>
      </c>
      <c r="D2" s="502"/>
      <c r="E2" s="502"/>
      <c r="F2" s="502"/>
      <c r="G2" s="502"/>
      <c r="H2" s="502"/>
      <c r="I2" s="332"/>
      <c r="J2" s="474">
        <f>+A2</f>
        <v>45108</v>
      </c>
      <c r="K2" s="475"/>
      <c r="L2" s="496" t="s">
        <v>136</v>
      </c>
      <c r="M2" s="497"/>
      <c r="N2" s="497"/>
      <c r="O2" s="497"/>
      <c r="P2" s="497"/>
      <c r="Q2" s="497"/>
      <c r="R2" s="498"/>
      <c r="S2" s="474">
        <f>+J2</f>
        <v>45108</v>
      </c>
      <c r="T2" s="475"/>
      <c r="U2" s="493" t="s">
        <v>211</v>
      </c>
      <c r="V2" s="494"/>
      <c r="W2" s="494"/>
      <c r="X2" s="494"/>
      <c r="Y2" s="494"/>
      <c r="Z2" s="494"/>
      <c r="AA2" s="495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219</v>
      </c>
      <c r="D4" s="261">
        <f>SUM(D5:D7)</f>
        <v>210</v>
      </c>
      <c r="E4" s="262">
        <f>(C4-D4)/D4</f>
        <v>4.2857142857142858E-2</v>
      </c>
      <c r="F4" s="259">
        <f>SUM(F5:F7)</f>
        <v>1249</v>
      </c>
      <c r="G4" s="261">
        <f>SUM(G5:G7)</f>
        <v>856</v>
      </c>
      <c r="H4" s="260">
        <f>(F4-G4)/G4</f>
        <v>0.45911214953271029</v>
      </c>
      <c r="I4" s="262">
        <f>F4/$F$62</f>
        <v>7.5134146634904591E-3</v>
      </c>
      <c r="J4" s="258" t="s">
        <v>98</v>
      </c>
      <c r="K4" s="39"/>
      <c r="L4" s="259">
        <f>SUM(L5:L7)</f>
        <v>14543</v>
      </c>
      <c r="M4" s="261">
        <f>SUM(M5:M7)</f>
        <v>12732</v>
      </c>
      <c r="N4" s="262">
        <f>(L4-M4)/M4</f>
        <v>0.14224002513352182</v>
      </c>
      <c r="O4" s="259">
        <f>SUM(O5:O7)</f>
        <v>78423</v>
      </c>
      <c r="P4" s="261">
        <f>SUM(P5:P7)</f>
        <v>44929</v>
      </c>
      <c r="Q4" s="260">
        <f>(O4-P4)/P4</f>
        <v>0.7454873244452358</v>
      </c>
      <c r="R4" s="262">
        <f>O4/$O$62</f>
        <v>4.0318384809197791E-3</v>
      </c>
      <c r="S4" s="258" t="s">
        <v>98</v>
      </c>
      <c r="T4" s="39"/>
      <c r="U4" s="259">
        <f>SUM(U5:U7)</f>
        <v>88269.5</v>
      </c>
      <c r="V4" s="261">
        <f>SUM(V5:V7)</f>
        <v>788436.1</v>
      </c>
      <c r="W4" s="262">
        <f>(U4-V4)/V4</f>
        <v>-0.88804482696822229</v>
      </c>
      <c r="X4" s="259">
        <f>SUM(X5:X7)</f>
        <v>207155.9</v>
      </c>
      <c r="Y4" s="261">
        <f>SUM(Y5:Y7)</f>
        <v>799716</v>
      </c>
      <c r="Z4" s="260">
        <f>(X4-Y4)/Y4</f>
        <v>-0.74096316692425812</v>
      </c>
      <c r="AA4" s="262">
        <f>X4/$X$62</f>
        <v>4.2406927005247371E-3</v>
      </c>
    </row>
    <row r="5" spans="1:27" ht="14.1" customHeight="1" x14ac:dyDescent="0.2">
      <c r="A5" s="258"/>
      <c r="B5" s="318" t="s">
        <v>98</v>
      </c>
      <c r="C5" s="263">
        <f>+[3]AirCanada!$IL$19</f>
        <v>0</v>
      </c>
      <c r="D5" s="2">
        <f>+[3]AirCanada!$HX$19</f>
        <v>0</v>
      </c>
      <c r="E5" s="65" t="e">
        <f>(C5-D5)/D5</f>
        <v>#DIV/0!</v>
      </c>
      <c r="F5" s="217">
        <f>SUM([3]AirCanada!$IF$19:$IL$19)</f>
        <v>0</v>
      </c>
      <c r="G5" s="217">
        <f>SUM([3]AirCanada!$HR$19:$HX$19)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+[3]AirCanada!$IL$41</f>
        <v>0</v>
      </c>
      <c r="M5" s="217">
        <f>+[3]AirCanada!$HX$41</f>
        <v>0</v>
      </c>
      <c r="N5" s="324" t="e">
        <f>(L5-M5)/M5</f>
        <v>#DIV/0!</v>
      </c>
      <c r="O5" s="322">
        <f>SUM([3]AirCanada!$IF$41:$IL$41)</f>
        <v>0</v>
      </c>
      <c r="P5" s="217">
        <f>SUM([3]AirCanada!$HR$41:$HX$41)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+[3]AirCanada!$IL$64</f>
        <v>0</v>
      </c>
      <c r="V5" s="217">
        <f>+[3]AirCanada!$HX$64</f>
        <v>0</v>
      </c>
      <c r="W5" s="324" t="e">
        <f>(U5-V5)/V5</f>
        <v>#DIV/0!</v>
      </c>
      <c r="X5" s="322">
        <f>SUM([3]AirCanada!$IF$64:$IL$64)</f>
        <v>0</v>
      </c>
      <c r="Y5" s="217">
        <f>SUM([3]AirCanada!$HR$64:$HX$64)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Georgian'!$IL$19</f>
        <v>0</v>
      </c>
      <c r="D6" s="2">
        <f>'[3]Air Georgian'!$HX$19</f>
        <v>0</v>
      </c>
      <c r="E6" s="65" t="e">
        <f>(C6-D6)/D6</f>
        <v>#DIV/0!</v>
      </c>
      <c r="F6" s="217">
        <f>SUM('[3]Air Georgian'!$IF$19:$IL$19)</f>
        <v>0</v>
      </c>
      <c r="G6" s="217">
        <f>SUM('[3]Air Georgian'!$HR$19:$HX$19)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Georgian'!$IL$41</f>
        <v>0</v>
      </c>
      <c r="M6" s="2">
        <f>'[3]Air Georgian'!$HX$41</f>
        <v>0</v>
      </c>
      <c r="N6" s="65" t="e">
        <f>(L6-M6)/M6</f>
        <v>#DIV/0!</v>
      </c>
      <c r="O6" s="263">
        <f>SUM('[3]Air Georgian'!$IF$41:$IL$41)</f>
        <v>0</v>
      </c>
      <c r="P6" s="2">
        <f>SUM('[3]Air Georgian'!$HR$41:$HX$41)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Georgian'!$IL$64</f>
        <v>0</v>
      </c>
      <c r="V6" s="2">
        <f>'[3]Air Georgian'!$HX$64</f>
        <v>0</v>
      </c>
      <c r="W6" s="65" t="e">
        <f>(U6-V6)/V6</f>
        <v>#DIV/0!</v>
      </c>
      <c r="X6" s="263">
        <f>SUM('[3]Air Georgian'!$IF$64:$IL$64)</f>
        <v>0</v>
      </c>
      <c r="Y6" s="2">
        <f>SUM('[3]Air Georgian'!$HR$64:$HX$64)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[3]Jazz_AC!$IL$19</f>
        <v>219</v>
      </c>
      <c r="D7" s="2">
        <f>[3]Jazz_AC!$HX$19</f>
        <v>210</v>
      </c>
      <c r="E7" s="65">
        <f t="shared" ref="E7" si="0">(C7-D7)/D7</f>
        <v>4.2857142857142858E-2</v>
      </c>
      <c r="F7" s="2">
        <f>SUM([3]Jazz_AC!$IF$19:$IL$19)</f>
        <v>1249</v>
      </c>
      <c r="G7" s="2">
        <f>SUM([3]Jazz_AC!$HR$19:$HX$19)</f>
        <v>856</v>
      </c>
      <c r="H7" s="3">
        <f t="shared" ref="H7" si="1">(F7-G7)/G7</f>
        <v>0.45911214953271029</v>
      </c>
      <c r="I7" s="65">
        <f>F7/$F$62</f>
        <v>7.5134146634904591E-3</v>
      </c>
      <c r="J7" s="258"/>
      <c r="K7" s="318" t="s">
        <v>218</v>
      </c>
      <c r="L7" s="263">
        <f>[3]Jazz_AC!$IL$41</f>
        <v>14543</v>
      </c>
      <c r="M7" s="2">
        <f>[3]Jazz_AC!$HX$41</f>
        <v>12732</v>
      </c>
      <c r="N7" s="65">
        <f t="shared" ref="N7" si="2">(L7-M7)/M7</f>
        <v>0.14224002513352182</v>
      </c>
      <c r="O7" s="263">
        <f>SUM([3]Jazz_AC!$IF$41:$IL$41)</f>
        <v>78423</v>
      </c>
      <c r="P7" s="2">
        <f>SUM([3]Jazz_AC!$HR$41:$HX$41)</f>
        <v>44929</v>
      </c>
      <c r="Q7" s="3">
        <f t="shared" ref="Q7" si="3">(O7-P7)/P7</f>
        <v>0.7454873244452358</v>
      </c>
      <c r="R7" s="65">
        <f>O7/$O$62</f>
        <v>4.0318384809197791E-3</v>
      </c>
      <c r="S7" s="258"/>
      <c r="T7" s="318" t="s">
        <v>218</v>
      </c>
      <c r="U7" s="263">
        <f>[3]Jazz_AC!$IL$64</f>
        <v>88269.5</v>
      </c>
      <c r="V7" s="2">
        <f>[3]Jazz_AC!$HX$64</f>
        <v>788436.1</v>
      </c>
      <c r="W7" s="65">
        <f t="shared" ref="W7" si="4">(U7-V7)/V7</f>
        <v>-0.88804482696822229</v>
      </c>
      <c r="X7" s="263">
        <f>SUM([3]Jazz_AC!$IF$64:$IL$64)</f>
        <v>207155.9</v>
      </c>
      <c r="Y7" s="2">
        <f>SUM([3]Jazz_AC!$HR$64:$HX$64)</f>
        <v>799716</v>
      </c>
      <c r="Z7" s="3">
        <f t="shared" ref="Z7" si="5">(X7-Y7)/Y7</f>
        <v>-0.74096316692425812</v>
      </c>
      <c r="AA7" s="65">
        <f>X7/$X$62</f>
        <v>4.2406927005247371E-3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France'!$IL$19</f>
        <v>0</v>
      </c>
      <c r="D9" s="261">
        <f>'[3]Air France'!$HX$19</f>
        <v>44</v>
      </c>
      <c r="E9" s="262">
        <f>(C9-D9)/D9</f>
        <v>-1</v>
      </c>
      <c r="F9" s="261">
        <f>SUM('[3]Air France'!$IF$19:$IL$19)</f>
        <v>0</v>
      </c>
      <c r="G9" s="261">
        <f>SUM('[3]Air France'!$HR$19:$HX$19)</f>
        <v>114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France'!$IL$41</f>
        <v>0</v>
      </c>
      <c r="M9" s="261">
        <f>'[3]Air France'!$HX$41</f>
        <v>11469</v>
      </c>
      <c r="N9" s="262">
        <f>(L9-M9)/M9</f>
        <v>-1</v>
      </c>
      <c r="O9" s="259">
        <f>SUM('[3]Air France'!$IF$41:$IL$41)</f>
        <v>0</v>
      </c>
      <c r="P9" s="261">
        <f>SUM('[3]Air France'!$HR$41:$HX$41)</f>
        <v>29345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France'!$IL$64</f>
        <v>0</v>
      </c>
      <c r="V9" s="261">
        <f>'[3]Air France'!$HX$64</f>
        <v>524335</v>
      </c>
      <c r="W9" s="262">
        <f>(U9-V9)/V9</f>
        <v>-1</v>
      </c>
      <c r="X9" s="259">
        <f>SUM('[3]Air France'!$IF$64:$IL$64)</f>
        <v>0</v>
      </c>
      <c r="Y9" s="261">
        <f>SUM('[3]Air France'!$HR$64:$HX$64)</f>
        <v>1331383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'!$IL$19</f>
        <v>54</v>
      </c>
      <c r="D11" s="2">
        <f>'[3]Allegiant '!$HX$19</f>
        <v>74</v>
      </c>
      <c r="E11" s="65">
        <f t="shared" ref="E11" si="6">(C11-D11)/D11</f>
        <v>-0.27027027027027029</v>
      </c>
      <c r="F11" s="2">
        <f>SUM('[3]Allegiant '!$IF$19:$IL$19)</f>
        <v>576</v>
      </c>
      <c r="G11" s="2">
        <f>SUM('[3]Allegiant '!$HR$19:$HX$19)</f>
        <v>600</v>
      </c>
      <c r="H11" s="3">
        <f t="shared" ref="H11" si="7">(F11-G11)/G11</f>
        <v>-0.04</v>
      </c>
      <c r="I11" s="65">
        <f>F11/$F$62</f>
        <v>3.4649534396881542E-3</v>
      </c>
      <c r="J11" s="258" t="s">
        <v>219</v>
      </c>
      <c r="K11" s="39"/>
      <c r="L11" s="263">
        <f>'[3]Allegiant '!$IL$41</f>
        <v>8124</v>
      </c>
      <c r="M11" s="2">
        <f>'[3]Allegiant '!$HX$41</f>
        <v>11753</v>
      </c>
      <c r="N11" s="65">
        <f t="shared" ref="N11" si="8">(L11-M11)/M11</f>
        <v>-0.3087722283672254</v>
      </c>
      <c r="O11" s="263">
        <f>SUM('[3]Allegiant '!$IF$41:$IL$41)</f>
        <v>85315</v>
      </c>
      <c r="P11" s="2">
        <f>SUM('[3]Allegiant '!$HR$41:$HX$41)</f>
        <v>82328</v>
      </c>
      <c r="Q11" s="3">
        <f t="shared" ref="Q11" si="9">(O11-P11)/P11</f>
        <v>3.6281702458458846E-2</v>
      </c>
      <c r="R11" s="65">
        <f>O11/$O$62</f>
        <v>4.3861660482214524E-3</v>
      </c>
      <c r="S11" s="258" t="s">
        <v>219</v>
      </c>
      <c r="T11" s="39"/>
      <c r="U11" s="263">
        <f>'[3]Allegiant '!$IL$64</f>
        <v>0</v>
      </c>
      <c r="V11" s="2">
        <f>'[3]Allegiant '!$HX$64</f>
        <v>0</v>
      </c>
      <c r="W11" s="65" t="e">
        <f t="shared" ref="W11" si="10">(U11-V11)/V11</f>
        <v>#DIV/0!</v>
      </c>
      <c r="X11" s="263">
        <f>SUM('[3]Allegiant '!$IF$64:$IL$64)</f>
        <v>0</v>
      </c>
      <c r="Y11" s="2">
        <f>SUM('[3]Allegiant '!$HR$64:$HX$64)</f>
        <v>0</v>
      </c>
      <c r="Z11" s="3" t="e">
        <f t="shared" ref="Z11" si="11">(X11-Y11)/Y11</f>
        <v>#DIV/0!</v>
      </c>
      <c r="AA11" s="65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254</v>
      </c>
      <c r="D13" s="261">
        <f>SUM(D14:D16)</f>
        <v>274</v>
      </c>
      <c r="E13" s="262">
        <f>(C13-D13)/D13</f>
        <v>-7.2992700729927001E-2</v>
      </c>
      <c r="F13" s="261">
        <f>SUM(F14:F16)</f>
        <v>1037</v>
      </c>
      <c r="G13" s="261">
        <f>SUM(G14:G16)</f>
        <v>1120</v>
      </c>
      <c r="H13" s="260">
        <f>(F13-G13)/G13</f>
        <v>-7.4107142857142858E-2</v>
      </c>
      <c r="I13" s="262">
        <f>F13/$F$62</f>
        <v>6.2381193002719023E-3</v>
      </c>
      <c r="J13" s="258" t="s">
        <v>127</v>
      </c>
      <c r="K13" s="39"/>
      <c r="L13" s="259">
        <f>SUM(L14:L16)</f>
        <v>36064</v>
      </c>
      <c r="M13" s="261">
        <f>SUM(M14:M16)</f>
        <v>37889</v>
      </c>
      <c r="N13" s="262">
        <f>(L13-M13)/M13</f>
        <v>-4.8167014172978966E-2</v>
      </c>
      <c r="O13" s="259">
        <f>SUM(O14:O16)</f>
        <v>150785</v>
      </c>
      <c r="P13" s="261">
        <f>SUM(P14:P16)</f>
        <v>146003</v>
      </c>
      <c r="Q13" s="260">
        <f>(O13-P13)/P13</f>
        <v>3.2752751655787893E-2</v>
      </c>
      <c r="R13" s="262">
        <f>O13/$O$62</f>
        <v>7.7520722918721406E-3</v>
      </c>
      <c r="S13" s="258" t="s">
        <v>127</v>
      </c>
      <c r="T13" s="39"/>
      <c r="U13" s="259">
        <f>SUM(U14:U16)</f>
        <v>68039</v>
      </c>
      <c r="V13" s="261">
        <f>SUM(V14:V16)</f>
        <v>37390</v>
      </c>
      <c r="W13" s="262">
        <f>(U13-V13)/V13</f>
        <v>0.81971115271462958</v>
      </c>
      <c r="X13" s="259">
        <f>SUM(X14:X16)</f>
        <v>250609</v>
      </c>
      <c r="Y13" s="261">
        <f>SUM(Y14:Y16)</f>
        <v>175848</v>
      </c>
      <c r="Z13" s="260">
        <f>(X13-Y13)/Y13</f>
        <v>0.42514558027387289</v>
      </c>
      <c r="AA13" s="262">
        <f>X13/$X$62</f>
        <v>5.1302220066423588E-3</v>
      </c>
    </row>
    <row r="14" spans="1:27" ht="14.1" customHeight="1" x14ac:dyDescent="0.2">
      <c r="A14" s="258"/>
      <c r="B14" s="318" t="s">
        <v>127</v>
      </c>
      <c r="C14" s="322">
        <f>[3]Alaska!$IL$19</f>
        <v>254</v>
      </c>
      <c r="D14" s="217">
        <f>[3]Alaska!$HX$19</f>
        <v>274</v>
      </c>
      <c r="E14" s="324">
        <f>(C14-D14)/D14</f>
        <v>-7.2992700729927001E-2</v>
      </c>
      <c r="F14" s="217">
        <f>SUM([3]Alaska!$IF$19:$IL$19)</f>
        <v>1037</v>
      </c>
      <c r="G14" s="217">
        <f>SUM([3]Alaska!$HR$19:$HX$19)</f>
        <v>1028</v>
      </c>
      <c r="H14" s="323">
        <f>(F14-G14)/G14</f>
        <v>8.7548638132295721E-3</v>
      </c>
      <c r="I14" s="324">
        <f>F14/$F$62</f>
        <v>6.2381193002719023E-3</v>
      </c>
      <c r="J14" s="258"/>
      <c r="K14" s="318" t="s">
        <v>127</v>
      </c>
      <c r="L14" s="322">
        <f>[3]Alaska!$IL$41</f>
        <v>36064</v>
      </c>
      <c r="M14" s="217">
        <f>[3]Alaska!$HX$41</f>
        <v>37889</v>
      </c>
      <c r="N14" s="324">
        <f>(L14-M14)/M14</f>
        <v>-4.8167014172978966E-2</v>
      </c>
      <c r="O14" s="322">
        <f>SUM([3]Alaska!$IF$41:$IL$41)</f>
        <v>150785</v>
      </c>
      <c r="P14" s="217">
        <f>SUM([3]Alaska!$HR$41:$HX$41)</f>
        <v>140632</v>
      </c>
      <c r="Q14" s="323">
        <f>(O14-P14)/P14</f>
        <v>7.2195517378690482E-2</v>
      </c>
      <c r="R14" s="324">
        <f>O14/$O$62</f>
        <v>7.7520722918721406E-3</v>
      </c>
      <c r="S14" s="258"/>
      <c r="T14" s="318" t="s">
        <v>127</v>
      </c>
      <c r="U14" s="322">
        <f>[3]Alaska!$IL$64</f>
        <v>68039</v>
      </c>
      <c r="V14" s="217">
        <f>[3]Alaska!$HX$64</f>
        <v>37390</v>
      </c>
      <c r="W14" s="324">
        <f>(U14-V14)/V14</f>
        <v>0.81971115271462958</v>
      </c>
      <c r="X14" s="322">
        <f>SUM([3]Alaska!$IF$64:$IL$64)</f>
        <v>250609</v>
      </c>
      <c r="Y14" s="217">
        <f>SUM([3]Alaska!$HR$64:$HX$64)</f>
        <v>168249</v>
      </c>
      <c r="Z14" s="323">
        <f>(X14-Y14)/Y14</f>
        <v>0.48951256768242307</v>
      </c>
      <c r="AA14" s="324">
        <f>X14/$X$62</f>
        <v>5.1302220066423588E-3</v>
      </c>
    </row>
    <row r="15" spans="1:27" ht="14.1" customHeight="1" x14ac:dyDescent="0.2">
      <c r="A15" s="258"/>
      <c r="B15" s="318" t="s">
        <v>97</v>
      </c>
      <c r="C15" s="263">
        <f>'[3]Sky West_AS'!$IL$19</f>
        <v>0</v>
      </c>
      <c r="D15" s="2">
        <f>'[3]Sky West_AS'!$HX$19</f>
        <v>0</v>
      </c>
      <c r="E15" s="65" t="e">
        <f>(C15-D15)/D15</f>
        <v>#DIV/0!</v>
      </c>
      <c r="F15" s="2">
        <f>SUM('[3]Sky West_AS'!$IF$19:$IL$19)</f>
        <v>0</v>
      </c>
      <c r="G15" s="2">
        <f>SUM('[3]Sky West_AS'!$HR$19:$HX$19)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West_AS'!$IL$41</f>
        <v>0</v>
      </c>
      <c r="M15" s="2">
        <f>'[3]Sky West_AS'!$HX$41</f>
        <v>0</v>
      </c>
      <c r="N15" s="65" t="e">
        <f>(L15-M15)/M15</f>
        <v>#DIV/0!</v>
      </c>
      <c r="O15" s="263">
        <f>SUM('[3]Sky West_AS'!$IF$41:$IL$41)</f>
        <v>0</v>
      </c>
      <c r="P15" s="2">
        <f>SUM('[3]Sky West_AS'!$HR$41:$HX$41)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West_AS'!$IL$64</f>
        <v>0</v>
      </c>
      <c r="V15" s="2">
        <f>'[3]Sky West_AS'!$HX$64</f>
        <v>0</v>
      </c>
      <c r="W15" s="65" t="e">
        <f>(U15-V15)/V15</f>
        <v>#DIV/0!</v>
      </c>
      <c r="X15" s="263">
        <f>SUM('[3]Sky West_AS'!$IF$64:$IL$64)</f>
        <v>0</v>
      </c>
      <c r="Y15" s="2">
        <f>SUM('[3]Sky West_AS'!$HR$64:$HX$64)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[3]Horizon_AS!$IL$19</f>
        <v>0</v>
      </c>
      <c r="D16" s="2">
        <f>[3]Horizon_AS!$HX$19</f>
        <v>0</v>
      </c>
      <c r="E16" s="65" t="e">
        <f>(C16-D16)/D16</f>
        <v>#DIV/0!</v>
      </c>
      <c r="F16" s="2">
        <f>SUM([3]Horizon_AS!$IF$19:$IL$19)</f>
        <v>0</v>
      </c>
      <c r="G16" s="2">
        <f>SUM([3]Horizon_AS!$HR$19:$HX$19)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[3]Horizon_AS!$IL$41</f>
        <v>0</v>
      </c>
      <c r="M16" s="2">
        <f>[3]Horizon_AS!$HX$41</f>
        <v>0</v>
      </c>
      <c r="N16" s="65" t="e">
        <f>(L16-M16)/M16</f>
        <v>#DIV/0!</v>
      </c>
      <c r="O16" s="263">
        <f>SUM([3]Horizon_AS!$IF$41:$IL$41)</f>
        <v>0</v>
      </c>
      <c r="P16" s="2">
        <f>SUM([3]Horizon_AS!$HR$41:$HX$41)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[3]Horizon_AS!$IL$64</f>
        <v>0</v>
      </c>
      <c r="V16" s="2">
        <f>[3]Horizon_AS!$HX$64</f>
        <v>0</v>
      </c>
      <c r="W16" s="65" t="e">
        <f>(U16-V16)/V16</f>
        <v>#DIV/0!</v>
      </c>
      <c r="X16" s="263">
        <f>SUM([3]Horizon_AS!$IF$64:$IL$64)</f>
        <v>0</v>
      </c>
      <c r="Y16" s="2">
        <f>SUM([3]Horizon_AS!$HR$64:$HX$64)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1215</v>
      </c>
      <c r="D18" s="261">
        <f>SUM(D19:D24)</f>
        <v>1155</v>
      </c>
      <c r="E18" s="262">
        <f t="shared" ref="E18:E24" si="12">(C18-D18)/D18</f>
        <v>5.1948051948051951E-2</v>
      </c>
      <c r="F18" s="259">
        <f>SUM(F19:F24)</f>
        <v>7530</v>
      </c>
      <c r="G18" s="261">
        <f>SUM(G19:G24)</f>
        <v>7428</v>
      </c>
      <c r="H18" s="260">
        <f t="shared" ref="H18:H24" si="13">(F18-G18)/G18</f>
        <v>1.3731825525040387E-2</v>
      </c>
      <c r="I18" s="262">
        <f t="shared" ref="I18:I24" si="14">F18/$F$62</f>
        <v>4.5297047570923267E-2</v>
      </c>
      <c r="J18" s="258" t="s">
        <v>17</v>
      </c>
      <c r="K18" s="265"/>
      <c r="L18" s="259">
        <f>SUM(L19:L24)</f>
        <v>130271</v>
      </c>
      <c r="M18" s="261">
        <f>SUM(M19:M24)</f>
        <v>134577</v>
      </c>
      <c r="N18" s="262">
        <f t="shared" ref="N18:N24" si="15">(L18-M18)/M18</f>
        <v>-3.1996552159730116E-2</v>
      </c>
      <c r="O18" s="259">
        <f>SUM(O19:O24)</f>
        <v>843872</v>
      </c>
      <c r="P18" s="261">
        <f>SUM(P19:P24)</f>
        <v>807781</v>
      </c>
      <c r="Q18" s="260">
        <f t="shared" ref="Q18:Q24" si="16">(O18-P18)/P18</f>
        <v>4.4679189037622823E-2</v>
      </c>
      <c r="R18" s="262">
        <f t="shared" ref="R18:R24" si="17">O18/$O$62</f>
        <v>4.3384665245791869E-2</v>
      </c>
      <c r="S18" s="258" t="s">
        <v>17</v>
      </c>
      <c r="T18" s="265"/>
      <c r="U18" s="259">
        <f>SUM(U19:U24)</f>
        <v>31687</v>
      </c>
      <c r="V18" s="261">
        <f>SUM(V19:V24)</f>
        <v>67460</v>
      </c>
      <c r="W18" s="262">
        <f t="shared" ref="W18:W22" si="18">(U18-V18)/V18</f>
        <v>-0.53028461310406172</v>
      </c>
      <c r="X18" s="259">
        <f>SUM(X19:X24)</f>
        <v>359769</v>
      </c>
      <c r="Y18" s="261">
        <f>SUM(Y19:Y24)</f>
        <v>854448</v>
      </c>
      <c r="Z18" s="260">
        <f t="shared" ref="Z18:Z22" si="19">(X18-Y18)/Y18</f>
        <v>-0.57894570529745515</v>
      </c>
      <c r="AA18" s="262">
        <f t="shared" ref="AA18:AA24" si="20">X18/$X$62</f>
        <v>7.3648386175584873E-3</v>
      </c>
    </row>
    <row r="19" spans="1:27" ht="14.1" customHeight="1" x14ac:dyDescent="0.2">
      <c r="A19" s="37"/>
      <c r="B19" s="39" t="s">
        <v>17</v>
      </c>
      <c r="C19" s="263">
        <f>[3]American!$IL$19</f>
        <v>679</v>
      </c>
      <c r="D19" s="2">
        <f>[3]American!$HX$19</f>
        <v>691</v>
      </c>
      <c r="E19" s="65">
        <f t="shared" si="12"/>
        <v>-1.7366136034732273E-2</v>
      </c>
      <c r="F19" s="2">
        <f>SUM([3]American!$IF$19:$IL$19)</f>
        <v>4613</v>
      </c>
      <c r="G19" s="2">
        <f>SUM([3]American!$HR$19:$HX$19)</f>
        <v>4112</v>
      </c>
      <c r="H19" s="3">
        <f t="shared" si="13"/>
        <v>0.12183852140077821</v>
      </c>
      <c r="I19" s="65">
        <f t="shared" si="14"/>
        <v>2.7749705238335861E-2</v>
      </c>
      <c r="J19" s="37"/>
      <c r="K19" s="39" t="s">
        <v>17</v>
      </c>
      <c r="L19" s="263">
        <f>[3]American!$IL$41</f>
        <v>99586</v>
      </c>
      <c r="M19" s="2">
        <f>[3]American!$HX$41</f>
        <v>106073</v>
      </c>
      <c r="N19" s="65">
        <f t="shared" si="15"/>
        <v>-6.1155996342141736E-2</v>
      </c>
      <c r="O19" s="263">
        <f>SUM([3]American!$IF$41:$IL$41)</f>
        <v>676157</v>
      </c>
      <c r="P19" s="2">
        <f>SUM([3]American!$HR$41:$HX$41)</f>
        <v>617005</v>
      </c>
      <c r="Q19" s="3">
        <f t="shared" si="16"/>
        <v>9.5869563455725643E-2</v>
      </c>
      <c r="R19" s="65">
        <f t="shared" si="17"/>
        <v>3.4762197464306074E-2</v>
      </c>
      <c r="S19" s="37"/>
      <c r="T19" s="39" t="s">
        <v>17</v>
      </c>
      <c r="U19" s="263">
        <f>[3]American!$IL$64</f>
        <v>29636</v>
      </c>
      <c r="V19" s="2">
        <f>[3]American!$HX$64</f>
        <v>64750</v>
      </c>
      <c r="W19" s="65">
        <f t="shared" si="18"/>
        <v>-0.54230115830115833</v>
      </c>
      <c r="X19" s="263">
        <f>SUM([3]American!$IF$64:$IL$64)</f>
        <v>340512</v>
      </c>
      <c r="Y19" s="2">
        <f>SUM([3]American!$HR$64:$HX$64)</f>
        <v>824613</v>
      </c>
      <c r="Z19" s="3">
        <f t="shared" si="19"/>
        <v>-0.58706447751854507</v>
      </c>
      <c r="AA19" s="65">
        <f t="shared" si="20"/>
        <v>6.9706281734726325E-3</v>
      </c>
    </row>
    <row r="20" spans="1:27" ht="14.1" customHeight="1" x14ac:dyDescent="0.2">
      <c r="A20" s="37"/>
      <c r="B20" s="318" t="s">
        <v>163</v>
      </c>
      <c r="C20" s="263">
        <f>'[3]American Eagle'!$IL$19</f>
        <v>167</v>
      </c>
      <c r="D20" s="2">
        <f>'[3]American Eagle'!$HX$19</f>
        <v>178</v>
      </c>
      <c r="E20" s="65">
        <f t="shared" si="12"/>
        <v>-6.1797752808988762E-2</v>
      </c>
      <c r="F20" s="2">
        <f>SUM('[3]American Eagle'!$IF$19:$IL$19)</f>
        <v>674</v>
      </c>
      <c r="G20" s="2">
        <f>SUM('[3]American Eagle'!$HR$19:$HX$19)</f>
        <v>698</v>
      </c>
      <c r="H20" s="3">
        <f t="shared" si="13"/>
        <v>-3.4383954154727794E-2</v>
      </c>
      <c r="I20" s="65">
        <f t="shared" si="14"/>
        <v>4.0544767679684306E-3</v>
      </c>
      <c r="J20" s="37"/>
      <c r="K20" s="318" t="s">
        <v>163</v>
      </c>
      <c r="L20" s="263">
        <f>'[3]American Eagle'!$IL$41</f>
        <v>10513</v>
      </c>
      <c r="M20" s="2">
        <f>'[3]American Eagle'!$HX$41</f>
        <v>9498</v>
      </c>
      <c r="N20" s="65">
        <f t="shared" si="15"/>
        <v>0.10686460307433143</v>
      </c>
      <c r="O20" s="263">
        <f>SUM('[3]American Eagle'!$IF$41:$IL$41)</f>
        <v>40811</v>
      </c>
      <c r="P20" s="2">
        <f>SUM('[3]American Eagle'!$HR$41:$HX$41)</f>
        <v>35960</v>
      </c>
      <c r="Q20" s="3">
        <f t="shared" si="16"/>
        <v>0.13489988876529477</v>
      </c>
      <c r="R20" s="65">
        <f t="shared" si="17"/>
        <v>2.0981518208282915E-3</v>
      </c>
      <c r="S20" s="37"/>
      <c r="T20" s="318" t="s">
        <v>163</v>
      </c>
      <c r="U20" s="263">
        <f>'[3]American Eagle'!$IL$64</f>
        <v>1580</v>
      </c>
      <c r="V20" s="2">
        <f>'[3]American Eagle'!$HX$64</f>
        <v>2445</v>
      </c>
      <c r="W20" s="65">
        <f t="shared" si="18"/>
        <v>-0.35378323108384457</v>
      </c>
      <c r="X20" s="263">
        <f>SUM('[3]American Eagle'!$IF$64:$IL$64)</f>
        <v>5639</v>
      </c>
      <c r="Y20" s="2">
        <f>SUM('[3]American Eagle'!$HR$64:$HX$64)</f>
        <v>21138</v>
      </c>
      <c r="Z20" s="3">
        <f t="shared" si="19"/>
        <v>-0.73322925536947681</v>
      </c>
      <c r="AA20" s="65">
        <f t="shared" si="20"/>
        <v>1.1543608527808764E-4</v>
      </c>
    </row>
    <row r="21" spans="1:27" ht="14.1" customHeight="1" x14ac:dyDescent="0.2">
      <c r="A21" s="37"/>
      <c r="B21" s="318" t="s">
        <v>52</v>
      </c>
      <c r="C21" s="263">
        <f>[3]Republic!$IL$19</f>
        <v>147</v>
      </c>
      <c r="D21" s="2">
        <f>[3]Republic!$HX$19</f>
        <v>164</v>
      </c>
      <c r="E21" s="65">
        <f t="shared" si="12"/>
        <v>-0.10365853658536585</v>
      </c>
      <c r="F21" s="2">
        <f>SUM([3]Republic!$IF$19:$IL$19)</f>
        <v>1379</v>
      </c>
      <c r="G21" s="2">
        <f>SUM([3]Republic!$HR$19:$HX$19)</f>
        <v>1290</v>
      </c>
      <c r="H21" s="3">
        <f t="shared" si="13"/>
        <v>6.899224806201551E-2</v>
      </c>
      <c r="I21" s="65">
        <f t="shared" si="14"/>
        <v>8.295435405086744E-3</v>
      </c>
      <c r="J21" s="37"/>
      <c r="K21" s="266" t="s">
        <v>52</v>
      </c>
      <c r="L21" s="263">
        <f>[3]Republic!$IL$41</f>
        <v>9043</v>
      </c>
      <c r="M21" s="2">
        <f>[3]Republic!$HX$41</f>
        <v>10957</v>
      </c>
      <c r="N21" s="65">
        <f t="shared" si="15"/>
        <v>-0.17468285114538651</v>
      </c>
      <c r="O21" s="263">
        <f>SUM([3]Republic!$IF$41:$IL$41)</f>
        <v>83941</v>
      </c>
      <c r="P21" s="2">
        <f>SUM([3]Republic!$HR$41:$HX$41)</f>
        <v>74525</v>
      </c>
      <c r="Q21" s="3">
        <f t="shared" si="16"/>
        <v>0.12634686346863469</v>
      </c>
      <c r="R21" s="65">
        <f t="shared" si="17"/>
        <v>4.3155267450478456E-3</v>
      </c>
      <c r="S21" s="37"/>
      <c r="T21" s="266" t="s">
        <v>52</v>
      </c>
      <c r="U21" s="263">
        <f>[3]Republic!$IL$64</f>
        <v>471</v>
      </c>
      <c r="V21" s="2">
        <f>[3]Republic!$HX$64</f>
        <v>265</v>
      </c>
      <c r="W21" s="65">
        <f t="shared" si="18"/>
        <v>0.77735849056603779</v>
      </c>
      <c r="X21" s="263">
        <f>SUM([3]Republic!$IF$64:$IL$64)</f>
        <v>13578</v>
      </c>
      <c r="Y21" s="2">
        <f>SUM([3]Republic!$HR$64:$HX$64)</f>
        <v>4571</v>
      </c>
      <c r="Z21" s="3">
        <f t="shared" si="19"/>
        <v>1.9704659811857361</v>
      </c>
      <c r="AA21" s="65">
        <f t="shared" si="20"/>
        <v>2.7795551798295333E-4</v>
      </c>
    </row>
    <row r="22" spans="1:27" ht="14.1" customHeight="1" x14ac:dyDescent="0.2">
      <c r="A22" s="37"/>
      <c r="B22" s="318" t="s">
        <v>177</v>
      </c>
      <c r="C22" s="263">
        <f>[3]PSA!$IL$19</f>
        <v>58</v>
      </c>
      <c r="D22" s="2">
        <f>[3]PSA!$HX$19</f>
        <v>120</v>
      </c>
      <c r="E22" s="65">
        <f t="shared" si="12"/>
        <v>-0.51666666666666672</v>
      </c>
      <c r="F22" s="2">
        <f>SUM([3]PSA!$IF$19:$IL$19)</f>
        <v>498</v>
      </c>
      <c r="G22" s="2">
        <f>SUM([3]PSA!$HR$19:$HX$19)</f>
        <v>876</v>
      </c>
      <c r="H22" s="3">
        <f t="shared" si="13"/>
        <v>-0.4315068493150685</v>
      </c>
      <c r="I22" s="65">
        <f t="shared" si="14"/>
        <v>2.9957409947303833E-3</v>
      </c>
      <c r="J22" s="37"/>
      <c r="K22" s="318" t="s">
        <v>177</v>
      </c>
      <c r="L22" s="263">
        <f>[3]PSA!$IL$41</f>
        <v>3855</v>
      </c>
      <c r="M22" s="2">
        <f>[3]PSA!$HX$41</f>
        <v>8001</v>
      </c>
      <c r="N22" s="65">
        <f t="shared" si="15"/>
        <v>-0.51818522684664414</v>
      </c>
      <c r="O22" s="263">
        <f>SUM([3]PSA!$IF$41:$IL$41)</f>
        <v>26629</v>
      </c>
      <c r="P22" s="2">
        <f>SUM([3]PSA!$HR$41:$HX$41)</f>
        <v>54948</v>
      </c>
      <c r="Q22" s="3">
        <f t="shared" si="16"/>
        <v>-0.51537817572978084</v>
      </c>
      <c r="R22" s="65">
        <f t="shared" si="17"/>
        <v>1.3690349375618479E-3</v>
      </c>
      <c r="S22" s="37"/>
      <c r="T22" s="318" t="s">
        <v>177</v>
      </c>
      <c r="U22" s="263">
        <f>[3]PSA!$IL$64</f>
        <v>0</v>
      </c>
      <c r="V22" s="2">
        <f>[3]PSA!$HX$64</f>
        <v>0</v>
      </c>
      <c r="W22" s="65" t="e">
        <f t="shared" si="18"/>
        <v>#DIV/0!</v>
      </c>
      <c r="X22" s="263">
        <f>SUM([3]PSA!$IF$64:$IL$64)</f>
        <v>40</v>
      </c>
      <c r="Y22" s="2">
        <f>SUM([3]PSA!$HR$64:$HX$64)</f>
        <v>1426</v>
      </c>
      <c r="Z22" s="3">
        <f t="shared" si="19"/>
        <v>-0.97194950911640954</v>
      </c>
      <c r="AA22" s="65">
        <f t="shared" si="20"/>
        <v>8.188408248135317E-7</v>
      </c>
    </row>
    <row r="23" spans="1:27" ht="14.1" customHeight="1" x14ac:dyDescent="0.2">
      <c r="A23" s="37"/>
      <c r="B23" s="318" t="s">
        <v>97</v>
      </c>
      <c r="C23" s="263">
        <f>'[3]Sky West_AA'!$IL$19</f>
        <v>0</v>
      </c>
      <c r="D23" s="2">
        <f>'[3]Sky West_AA'!$HX$19</f>
        <v>0</v>
      </c>
      <c r="E23" s="65" t="e">
        <f>(C23-D23)/D23</f>
        <v>#DIV/0!</v>
      </c>
      <c r="F23" s="2">
        <f>SUM('[3]Sky West_AA'!$IF$19:$IL$19)</f>
        <v>0</v>
      </c>
      <c r="G23" s="2">
        <f>SUM('[3]Sky West_AA'!$HR$19:$HX$19)</f>
        <v>448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West_AA'!$IL$41</f>
        <v>0</v>
      </c>
      <c r="M23" s="2">
        <f>'[3]Sky West_AA'!$HX$41</f>
        <v>0</v>
      </c>
      <c r="N23" s="65" t="e">
        <f>(L23-M23)/M23</f>
        <v>#DIV/0!</v>
      </c>
      <c r="O23" s="263">
        <f>SUM('[3]Sky West_AA'!$IF$41:$IL$41)</f>
        <v>0</v>
      </c>
      <c r="P23" s="2">
        <f>SUM('[3]Sky West_AA'!$HR$41:$HX$41)</f>
        <v>25251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West_AA'!$IL$64</f>
        <v>0</v>
      </c>
      <c r="V23" s="2">
        <f>'[3]Sky West_AA'!$HX$64</f>
        <v>0</v>
      </c>
      <c r="W23" s="65" t="e">
        <f>(U23-V23)/V23</f>
        <v>#DIV/0!</v>
      </c>
      <c r="X23" s="263">
        <f>SUM('[3]Sky West_AA'!$IF$64:$IL$64)</f>
        <v>0</v>
      </c>
      <c r="Y23" s="2">
        <f>SUM('[3]Sky West_AA'!$HR$64:$HX$64)</f>
        <v>2700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Wisconsin'!$IL$19</f>
        <v>164</v>
      </c>
      <c r="D24" s="2">
        <f>'[3]Air Wisconsin'!$HX$19</f>
        <v>2</v>
      </c>
      <c r="E24" s="65">
        <f t="shared" si="12"/>
        <v>81</v>
      </c>
      <c r="F24" s="2">
        <f>SUM('[3]Air Wisconsin'!$IF$19:$IL$19)</f>
        <v>366</v>
      </c>
      <c r="G24" s="2">
        <f>SUM('[3]Air Wisconsin'!$HR$19:$HX$19)</f>
        <v>4</v>
      </c>
      <c r="H24" s="349">
        <f t="shared" si="13"/>
        <v>90.5</v>
      </c>
      <c r="I24" s="65">
        <f t="shared" si="14"/>
        <v>2.2016891648018481E-3</v>
      </c>
      <c r="J24" s="37"/>
      <c r="K24" s="266" t="s">
        <v>50</v>
      </c>
      <c r="L24" s="263">
        <f>'[3]Air Wisconsin'!$IL$41</f>
        <v>7274</v>
      </c>
      <c r="M24" s="2">
        <f>'[3]Air Wisconsin'!$HX$41</f>
        <v>48</v>
      </c>
      <c r="N24" s="65">
        <f t="shared" si="15"/>
        <v>150.54166666666666</v>
      </c>
      <c r="O24" s="263">
        <f>SUM('[3]Air Wisconsin'!$IF$41:$IL$41)</f>
        <v>16334</v>
      </c>
      <c r="P24" s="2">
        <f>SUM('[3]Air Wisconsin'!$HR$41:$HX$41)</f>
        <v>92</v>
      </c>
      <c r="Q24" s="3">
        <f t="shared" si="16"/>
        <v>176.54347826086956</v>
      </c>
      <c r="R24" s="65">
        <f t="shared" si="17"/>
        <v>8.3975427804781346E-4</v>
      </c>
      <c r="S24" s="37"/>
      <c r="T24" s="266" t="s">
        <v>50</v>
      </c>
      <c r="U24" s="263">
        <f>'[3]Air Wisconsin'!$IL$64</f>
        <v>0</v>
      </c>
      <c r="V24" s="2">
        <f>'[3]Air Wisconsin'!$HX$64</f>
        <v>0</v>
      </c>
      <c r="W24" s="65" t="e">
        <f t="shared" ref="W24" si="21">(U24-V24)/V24</f>
        <v>#DIV/0!</v>
      </c>
      <c r="X24" s="263">
        <f>SUM('[3]Air Wisconsin'!$IF$64:$IL$64)</f>
        <v>0</v>
      </c>
      <c r="Y24" s="2">
        <f>SUM('[3]Air Wisconsin'!$HR$64:$HX$64)</f>
        <v>0</v>
      </c>
      <c r="Z24" s="3" t="e">
        <f t="shared" ref="Z24" si="22">(X24-Y24)/Y24</f>
        <v>#DIV/0!</v>
      </c>
      <c r="AA24" s="65">
        <f t="shared" si="20"/>
        <v>0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[3]Condor!$IL$19</f>
        <v>28</v>
      </c>
      <c r="D26" s="261">
        <f>[3]Condor!$HX$19</f>
        <v>26</v>
      </c>
      <c r="E26" s="262">
        <f>(C26-D26)/D26</f>
        <v>7.6923076923076927E-2</v>
      </c>
      <c r="F26" s="261">
        <f>SUM([3]Condor!$IF$19:$IL$19)</f>
        <v>56</v>
      </c>
      <c r="G26" s="261">
        <f>SUM([3]Condor!$HR$19:$HX$19)</f>
        <v>54</v>
      </c>
      <c r="H26" s="260">
        <f>(F26-G26)/G26</f>
        <v>3.7037037037037035E-2</v>
      </c>
      <c r="I26" s="262">
        <f>F26/$F$62</f>
        <v>3.3687047330301502E-4</v>
      </c>
      <c r="J26" s="258" t="s">
        <v>159</v>
      </c>
      <c r="K26" s="39"/>
      <c r="L26" s="259">
        <f>[3]Condor!$IL$41</f>
        <v>6066</v>
      </c>
      <c r="M26" s="261">
        <f>[3]Condor!$HX$41</f>
        <v>5258</v>
      </c>
      <c r="N26" s="262">
        <f>(L26-M26)/M26</f>
        <v>0.15367059718524154</v>
      </c>
      <c r="O26" s="259">
        <f>SUM([3]Condor!$IF$41:$IL$41)</f>
        <v>12439</v>
      </c>
      <c r="P26" s="261">
        <f>SUM([3]Condor!$HR$41:$HX$41)</f>
        <v>10869</v>
      </c>
      <c r="Q26" s="260">
        <f>(O26-P26)/P26</f>
        <v>0.14444751127058608</v>
      </c>
      <c r="R26" s="262">
        <f>O26/$O$62</f>
        <v>6.3950676286499033E-4</v>
      </c>
      <c r="S26" s="258" t="s">
        <v>159</v>
      </c>
      <c r="T26" s="39"/>
      <c r="U26" s="259">
        <f>[3]Condor!$IL$64</f>
        <v>66205</v>
      </c>
      <c r="V26" s="261">
        <f>[3]Condor!$HX$64</f>
        <v>147553</v>
      </c>
      <c r="W26" s="262">
        <f>(U26-V26)/V26</f>
        <v>-0.55131376522334352</v>
      </c>
      <c r="X26" s="259">
        <f>SUM([3]Condor!$IF$64:$IL$64)</f>
        <v>147064</v>
      </c>
      <c r="Y26" s="261">
        <f>SUM([3]Condor!$HR$64:$HX$64)</f>
        <v>376748</v>
      </c>
      <c r="Z26" s="260">
        <f>(X26-Y26)/Y26</f>
        <v>-0.6096488899742003</v>
      </c>
      <c r="AA26" s="262">
        <f>X26/$X$62</f>
        <v>3.0105501765094306E-3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Air'!$IL$19</f>
        <v>148</v>
      </c>
      <c r="D28" s="261">
        <f>'[3]Denver Air'!$HX$19</f>
        <v>158</v>
      </c>
      <c r="E28" s="262">
        <f>(C28-D28)/D28</f>
        <v>-6.3291139240506333E-2</v>
      </c>
      <c r="F28" s="261">
        <f>SUM('[3]Denver Air'!$IF$19:$IL$19)</f>
        <v>1068</v>
      </c>
      <c r="G28" s="261">
        <f>SUM('[3]Denver Air'!$HR$19:$HX$19)</f>
        <v>1098</v>
      </c>
      <c r="H28" s="260">
        <f>(F28-G28)/G28</f>
        <v>-2.7322404371584699E-2</v>
      </c>
      <c r="I28" s="262">
        <f>F28/$F$62</f>
        <v>6.4246011694217859E-3</v>
      </c>
      <c r="J28" s="258" t="s">
        <v>212</v>
      </c>
      <c r="K28" s="39"/>
      <c r="L28" s="259">
        <f>'[3]Denver Air'!$IL$41</f>
        <v>1824</v>
      </c>
      <c r="M28" s="261">
        <f>'[3]Denver Air'!$HX$41</f>
        <v>1869</v>
      </c>
      <c r="N28" s="262">
        <f>(L28-M28)/M28</f>
        <v>-2.4077046548956663E-2</v>
      </c>
      <c r="O28" s="259">
        <f>SUM('[3]Denver Air'!$IF$41:$IL$41)</f>
        <v>10941</v>
      </c>
      <c r="P28" s="261">
        <f>SUM('[3]Denver Air'!$HR$41:$HX$41)</f>
        <v>11686</v>
      </c>
      <c r="Q28" s="260">
        <f>(O28-P28)/P28</f>
        <v>-6.3751497518398079E-2</v>
      </c>
      <c r="R28" s="262">
        <f>O28/$O$62</f>
        <v>5.6249244251996614E-4</v>
      </c>
      <c r="S28" s="258" t="s">
        <v>212</v>
      </c>
      <c r="T28" s="39"/>
      <c r="U28" s="259">
        <f>'[3]Denver Air'!$IL$64</f>
        <v>0</v>
      </c>
      <c r="V28" s="261">
        <f>'[3]Denver Air'!$HX$64</f>
        <v>0</v>
      </c>
      <c r="W28" s="262" t="e">
        <f>(U28-V28)/V28</f>
        <v>#DIV/0!</v>
      </c>
      <c r="X28" s="259">
        <f>SUM('[3]Denver Air'!$IF$64:$IL$64)</f>
        <v>0</v>
      </c>
      <c r="Y28" s="261">
        <f>SUM('[3]Denver Air'!$HR$64:$HX$64)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19474</v>
      </c>
      <c r="D30" s="261">
        <f>SUM(D31:D34)</f>
        <v>18465</v>
      </c>
      <c r="E30" s="262">
        <f t="shared" ref="E30:E34" si="23">(C30-D30)/D30</f>
        <v>5.4643920931492014E-2</v>
      </c>
      <c r="F30" s="264">
        <f>SUM(F31:F34)</f>
        <v>120915</v>
      </c>
      <c r="G30" s="264">
        <f>SUM(G31:G34)</f>
        <v>121353</v>
      </c>
      <c r="H30" s="260">
        <f>(F30-G30)/G30</f>
        <v>-3.6093050851647673E-3</v>
      </c>
      <c r="I30" s="262">
        <f>F30/$F$62</f>
        <v>0.72736952284703671</v>
      </c>
      <c r="J30" s="258" t="s">
        <v>18</v>
      </c>
      <c r="K30" s="265"/>
      <c r="L30" s="259">
        <f>SUM(L31:L34)</f>
        <v>2337792</v>
      </c>
      <c r="M30" s="261">
        <f>SUM(M31:M34)</f>
        <v>2007979</v>
      </c>
      <c r="N30" s="262">
        <f t="shared" ref="N30:N34" si="24">(L30-M30)/M30</f>
        <v>0.16425121975877238</v>
      </c>
      <c r="O30" s="259">
        <f>SUM(O31:O34)</f>
        <v>13677437</v>
      </c>
      <c r="P30" s="261">
        <f>SUM(P31:P34)</f>
        <v>12460477</v>
      </c>
      <c r="Q30" s="260">
        <f t="shared" ref="Q30:Q34" si="25">(O30-P30)/P30</f>
        <v>9.7665603010221841E-2</v>
      </c>
      <c r="R30" s="262">
        <f>O30/$O$62</f>
        <v>0.70317657851594539</v>
      </c>
      <c r="S30" s="258" t="s">
        <v>18</v>
      </c>
      <c r="T30" s="265"/>
      <c r="U30" s="259">
        <f>SUM(U31:U34)</f>
        <v>5643547</v>
      </c>
      <c r="V30" s="261">
        <f>SUM(V31:V34)</f>
        <v>7973813</v>
      </c>
      <c r="W30" s="262">
        <f t="shared" ref="W30:W34" si="26">(U30-V30)/V30</f>
        <v>-0.29223986065386787</v>
      </c>
      <c r="X30" s="259">
        <f>SUM(X31:X34)</f>
        <v>42749707</v>
      </c>
      <c r="Y30" s="261">
        <f>SUM(Y31:Y34)</f>
        <v>45143036</v>
      </c>
      <c r="Z30" s="260">
        <f t="shared" ref="Z30:Z32" si="27">(X30-Y30)/Y30</f>
        <v>-5.3016571592570776E-2</v>
      </c>
      <c r="AA30" s="262">
        <f>X30/$X$62</f>
        <v>0.87513013351042024</v>
      </c>
    </row>
    <row r="31" spans="1:27" ht="14.1" customHeight="1" x14ac:dyDescent="0.2">
      <c r="A31" s="37"/>
      <c r="B31" s="39" t="s">
        <v>18</v>
      </c>
      <c r="C31" s="263">
        <f>[3]Delta!$IL$19</f>
        <v>13929</v>
      </c>
      <c r="D31" s="2">
        <f>[3]Delta!$HX$19</f>
        <v>10855</v>
      </c>
      <c r="E31" s="65">
        <f t="shared" si="23"/>
        <v>0.28318747121142329</v>
      </c>
      <c r="F31" s="2">
        <f>SUM([3]Delta!$IF$19:$IL$19)</f>
        <v>82764</v>
      </c>
      <c r="G31" s="2">
        <f>SUM([3]Delta!$HR$19:$HX$19)</f>
        <v>69387</v>
      </c>
      <c r="H31" s="3">
        <f t="shared" ref="H31:H34" si="28">(F31-G31)/G31</f>
        <v>0.19278827446063385</v>
      </c>
      <c r="I31" s="65">
        <f>F31/$F$62</f>
        <v>0.49787049736519168</v>
      </c>
      <c r="J31" s="37"/>
      <c r="K31" s="39" t="s">
        <v>18</v>
      </c>
      <c r="L31" s="263">
        <f>[3]Delta!$IL$41</f>
        <v>2032411</v>
      </c>
      <c r="M31" s="2">
        <f>[3]Delta!$HX$41</f>
        <v>1570563</v>
      </c>
      <c r="N31" s="65">
        <f t="shared" si="24"/>
        <v>0.29406524921318022</v>
      </c>
      <c r="O31" s="263">
        <f>SUM([3]Delta!$IF$41:$IL$41)</f>
        <v>11624695</v>
      </c>
      <c r="P31" s="2">
        <f>SUM([3]Delta!$HR$41:$HX$41)</f>
        <v>9780125</v>
      </c>
      <c r="Q31" s="3">
        <f t="shared" si="25"/>
        <v>0.18860392888638949</v>
      </c>
      <c r="R31" s="65">
        <f>O31/$O$62</f>
        <v>0.59764217933457986</v>
      </c>
      <c r="S31" s="37"/>
      <c r="T31" s="39" t="s">
        <v>18</v>
      </c>
      <c r="U31" s="263">
        <f>[3]Delta!$IL$64</f>
        <v>5643547</v>
      </c>
      <c r="V31" s="2">
        <f>[3]Delta!$HX$64</f>
        <v>7973813</v>
      </c>
      <c r="W31" s="65">
        <f t="shared" si="26"/>
        <v>-0.29223986065386787</v>
      </c>
      <c r="X31" s="263">
        <f>SUM([3]Delta!$IF$64:$IL$64)</f>
        <v>42749707</v>
      </c>
      <c r="Y31" s="2">
        <f>SUM([3]Delta!$HR$64:$HX$64)</f>
        <v>45143036</v>
      </c>
      <c r="Z31" s="3">
        <f t="shared" si="27"/>
        <v>-5.3016571592570776E-2</v>
      </c>
      <c r="AA31" s="65">
        <f>X31/$X$62</f>
        <v>0.87513013351042024</v>
      </c>
    </row>
    <row r="32" spans="1:27" ht="14.1" customHeight="1" x14ac:dyDescent="0.2">
      <c r="A32" s="37"/>
      <c r="B32" s="39" t="s">
        <v>156</v>
      </c>
      <c r="C32" s="263">
        <f>[3]Pinnacle!$IL$19</f>
        <v>1560</v>
      </c>
      <c r="D32" s="2">
        <f>[3]Pinnacle!$HX$19</f>
        <v>1308</v>
      </c>
      <c r="E32" s="65">
        <f t="shared" si="23"/>
        <v>0.19266055045871561</v>
      </c>
      <c r="F32" s="2">
        <f>SUM([3]Pinnacle!$IF$19:$IL$19)</f>
        <v>9747</v>
      </c>
      <c r="G32" s="2">
        <f>SUM([3]Pinnacle!$HR$19:$HX$19)</f>
        <v>10814</v>
      </c>
      <c r="H32" s="3">
        <f t="shared" si="28"/>
        <v>-9.866839282411688E-2</v>
      </c>
      <c r="I32" s="65">
        <f>F32/$F$62</f>
        <v>5.8633508987222985E-2</v>
      </c>
      <c r="J32" s="37"/>
      <c r="K32" s="39" t="s">
        <v>156</v>
      </c>
      <c r="L32" s="263">
        <f>[3]Pinnacle!$IL$41</f>
        <v>104244</v>
      </c>
      <c r="M32" s="2">
        <f>[3]Pinnacle!$HX$41</f>
        <v>71002</v>
      </c>
      <c r="N32" s="65">
        <f t="shared" si="24"/>
        <v>0.46818399481704742</v>
      </c>
      <c r="O32" s="263">
        <f>SUM([3]Pinnacle!$IF$41:$IL$41)</f>
        <v>599027</v>
      </c>
      <c r="P32" s="2">
        <f>SUM([3]Pinnacle!$HR$41:$HX$41)</f>
        <v>531777</v>
      </c>
      <c r="Q32" s="3">
        <f t="shared" si="25"/>
        <v>0.12646278421217916</v>
      </c>
      <c r="R32" s="65">
        <f>O32/$O$62</f>
        <v>3.0796833960826959E-2</v>
      </c>
      <c r="S32" s="37"/>
      <c r="T32" s="39" t="s">
        <v>156</v>
      </c>
      <c r="U32" s="263">
        <f>[3]Pinnacle!$IL$64</f>
        <v>0</v>
      </c>
      <c r="V32" s="2">
        <f>[3]Pinnacle!$HX$64</f>
        <v>0</v>
      </c>
      <c r="W32" s="65" t="e">
        <f t="shared" si="26"/>
        <v>#DIV/0!</v>
      </c>
      <c r="X32" s="263">
        <f>SUM([3]Pinnacle!$IF$64:$IL$64)</f>
        <v>0</v>
      </c>
      <c r="Y32" s="2">
        <f>SUM([3]Pinnacle!$HR$64:$HX$64)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West'!$IL$19</f>
        <v>3985</v>
      </c>
      <c r="D33" s="2">
        <f>'[3]Sky West'!$HX$19</f>
        <v>6302</v>
      </c>
      <c r="E33" s="65">
        <f t="shared" si="23"/>
        <v>-0.36766105998095844</v>
      </c>
      <c r="F33" s="2">
        <f>SUM('[3]Sky West'!$IF$19:$IL$19)</f>
        <v>28404</v>
      </c>
      <c r="G33" s="2">
        <f>SUM('[3]Sky West'!$HR$19:$HX$19)</f>
        <v>41152</v>
      </c>
      <c r="H33" s="3">
        <f t="shared" si="28"/>
        <v>-0.30977838258164853</v>
      </c>
      <c r="I33" s="65">
        <f>F33/$F$62</f>
        <v>0.17086551649462212</v>
      </c>
      <c r="J33" s="37"/>
      <c r="K33" s="39" t="s">
        <v>97</v>
      </c>
      <c r="L33" s="263">
        <f>'[3]Sky West'!$IL$41</f>
        <v>201137</v>
      </c>
      <c r="M33" s="2">
        <f>'[3]Sky West'!$HX$41</f>
        <v>366414</v>
      </c>
      <c r="N33" s="65">
        <f t="shared" si="24"/>
        <v>-0.45106628021855061</v>
      </c>
      <c r="O33" s="263">
        <f>SUM('[3]Sky West'!$IF$41:$IL$41)</f>
        <v>1453715</v>
      </c>
      <c r="P33" s="2">
        <f>SUM('[3]Sky West'!$HR$41:$HX$41)</f>
        <v>2148575</v>
      </c>
      <c r="Q33" s="3">
        <f t="shared" si="25"/>
        <v>-0.32340504753150345</v>
      </c>
      <c r="R33" s="65">
        <f>O33/$O$62</f>
        <v>7.4737565220538579E-2</v>
      </c>
      <c r="S33" s="37"/>
      <c r="T33" s="39" t="s">
        <v>97</v>
      </c>
      <c r="U33" s="263">
        <f>'[3]Sky West'!$IL$64</f>
        <v>0</v>
      </c>
      <c r="V33" s="2">
        <f>'[3]Sky West'!$HX$64</f>
        <v>0</v>
      </c>
      <c r="W33" s="65" t="e">
        <f t="shared" si="26"/>
        <v>#DIV/0!</v>
      </c>
      <c r="X33" s="263">
        <f>SUM('[3]Sky West'!$IF$64:$IL$64)</f>
        <v>0</v>
      </c>
      <c r="Y33" s="2">
        <f>SUM('[3]Sky West'!$HR$64:$HX$64)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Southeast'!$IL$19</f>
        <v>0</v>
      </c>
      <c r="D34" s="2">
        <f>'[3]Atlantic Southeast'!$HX$19</f>
        <v>0</v>
      </c>
      <c r="E34" s="65" t="e">
        <f t="shared" si="23"/>
        <v>#DIV/0!</v>
      </c>
      <c r="F34" s="2">
        <f>SUM('[3]Atlantic Southeast'!$IF$19:$IL$19)</f>
        <v>0</v>
      </c>
      <c r="G34" s="2">
        <f>SUM('[3]Atlantic Southeast'!$HR$19:$HX$19)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Southeast'!$IL$41</f>
        <v>0</v>
      </c>
      <c r="M34" s="2">
        <f>'[3]Atlantic Southeast'!$HX$41</f>
        <v>0</v>
      </c>
      <c r="N34" s="65" t="e">
        <f t="shared" si="24"/>
        <v>#DIV/0!</v>
      </c>
      <c r="O34" s="263">
        <f>SUM('[3]Atlantic Southeast'!$IF$41:$IL$41)</f>
        <v>0</v>
      </c>
      <c r="P34" s="2">
        <f>SUM('[3]Atlantic Southeast'!$HR$41:$HX$41)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Southeast'!$IL$64</f>
        <v>0</v>
      </c>
      <c r="V34" s="2">
        <f>'[3]Atlantic Southeast'!$HX$64</f>
        <v>0</v>
      </c>
      <c r="W34" s="65" t="e">
        <f t="shared" si="26"/>
        <v>#DIV/0!</v>
      </c>
      <c r="X34" s="263">
        <f>SUM('[3]Atlantic Southeast'!$IF$64:$IL$64)</f>
        <v>0</v>
      </c>
      <c r="Y34" s="2">
        <f>SUM('[3]Atlantic Southeast'!$HR$64:$HX$64)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[3]Frontier!$IL$19</f>
        <v>131</v>
      </c>
      <c r="D36" s="261">
        <f>[3]Frontier!$HX$19</f>
        <v>72</v>
      </c>
      <c r="E36" s="262">
        <f>(C36-D36)/D36</f>
        <v>0.81944444444444442</v>
      </c>
      <c r="F36" s="261">
        <f>SUM([3]Frontier!$IF$19:$IL$19)</f>
        <v>821</v>
      </c>
      <c r="G36" s="261">
        <f>SUM([3]Frontier!$HR$19:$HX$19)</f>
        <v>820</v>
      </c>
      <c r="H36" s="260">
        <f>(F36-G36)/G36</f>
        <v>1.2195121951219512E-3</v>
      </c>
      <c r="I36" s="262">
        <f>F36/$F$62</f>
        <v>4.9387617603888446E-3</v>
      </c>
      <c r="J36" s="258" t="s">
        <v>47</v>
      </c>
      <c r="K36" s="39"/>
      <c r="L36" s="259">
        <f>[3]Frontier!$IL$41</f>
        <v>21690</v>
      </c>
      <c r="M36" s="261">
        <f>[3]Frontier!$HX$41</f>
        <v>12341</v>
      </c>
      <c r="N36" s="262">
        <f>(L36-M36)/M36</f>
        <v>0.75755611376711773</v>
      </c>
      <c r="O36" s="259">
        <f>SUM([3]Frontier!$IF$41:$IL$41)</f>
        <v>136062</v>
      </c>
      <c r="P36" s="261">
        <f>SUM([3]Frontier!$HR$41:$HX$41)</f>
        <v>116152</v>
      </c>
      <c r="Q36" s="260">
        <f>(O36-P36)/P36</f>
        <v>0.17141332047661684</v>
      </c>
      <c r="R36" s="262">
        <f>O36/$O$62</f>
        <v>6.9951418256239493E-3</v>
      </c>
      <c r="S36" s="258" t="s">
        <v>47</v>
      </c>
      <c r="T36" s="39"/>
      <c r="U36" s="259">
        <f>[3]Frontier!$IL$64</f>
        <v>0</v>
      </c>
      <c r="V36" s="261">
        <f>[3]Frontier!$HX$64</f>
        <v>0</v>
      </c>
      <c r="W36" s="262" t="e">
        <f>(U36-V36)/V36</f>
        <v>#DIV/0!</v>
      </c>
      <c r="X36" s="259">
        <f>SUM([3]Frontier!$IF$64:$IL$64)</f>
        <v>0</v>
      </c>
      <c r="Y36" s="261">
        <f>SUM([3]Frontier!$HR$64:$HX$64)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[3]Icelandair!$IL$19</f>
        <v>62</v>
      </c>
      <c r="D38" s="261">
        <f>[3]Icelandair!$HX$19</f>
        <v>62</v>
      </c>
      <c r="E38" s="262">
        <f>(C38-D38)/D38</f>
        <v>0</v>
      </c>
      <c r="F38" s="261">
        <f>SUM([3]Icelandair!$IF$19:$IL$19)</f>
        <v>232</v>
      </c>
      <c r="G38" s="261">
        <f>SUM([3]Icelandair!$HR$19:$HX$19)</f>
        <v>176</v>
      </c>
      <c r="H38" s="260">
        <f>(F38-G38)/G38</f>
        <v>0.31818181818181818</v>
      </c>
      <c r="I38" s="262">
        <f>F38/$F$62</f>
        <v>1.3956062465410621E-3</v>
      </c>
      <c r="J38" s="258" t="s">
        <v>48</v>
      </c>
      <c r="K38" s="39"/>
      <c r="L38" s="259">
        <f>[3]Icelandair!$IL$41</f>
        <v>12375</v>
      </c>
      <c r="M38" s="261">
        <f>[3]Icelandair!$HX$41</f>
        <v>9660</v>
      </c>
      <c r="N38" s="262">
        <f>(L38-M38)/M38</f>
        <v>0.28105590062111802</v>
      </c>
      <c r="O38" s="259">
        <f>SUM([3]Icelandair!$IF$41:$IL$41)</f>
        <v>39341</v>
      </c>
      <c r="P38" s="261">
        <f>SUM([3]Icelandair!$HR$41:$HX$41)</f>
        <v>25295</v>
      </c>
      <c r="Q38" s="260">
        <f>(O38-P38)/P38</f>
        <v>0.5552876062462937</v>
      </c>
      <c r="R38" s="262">
        <f>O38/$O$62</f>
        <v>2.0225770204897165E-3</v>
      </c>
      <c r="S38" s="258" t="s">
        <v>48</v>
      </c>
      <c r="T38" s="39"/>
      <c r="U38" s="259">
        <f>[3]Icelandair!$IL$64</f>
        <v>141</v>
      </c>
      <c r="V38" s="261">
        <f>[3]Icelandair!$HX$64</f>
        <v>1594</v>
      </c>
      <c r="W38" s="262">
        <f>(U38-V38)/V38</f>
        <v>-0.91154328732747802</v>
      </c>
      <c r="X38" s="259">
        <f>SUM([3]Icelandair!$IF$64:$IL$64)</f>
        <v>2086</v>
      </c>
      <c r="Y38" s="261">
        <f>SUM([3]Icelandair!$HR$64:$HX$64)</f>
        <v>53488</v>
      </c>
      <c r="Z38" s="260">
        <f>(X38-Y38)/Y38</f>
        <v>-0.96100059826503137</v>
      </c>
      <c r="AA38" s="262">
        <f>X38/$X$62</f>
        <v>4.270254901402568E-5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Blue'!$IL$19</f>
        <v>60</v>
      </c>
      <c r="D40" s="261">
        <f>'[3]Jet Blue'!$HX$19</f>
        <v>182</v>
      </c>
      <c r="E40" s="262">
        <f>(C40-D40)/D40</f>
        <v>-0.67032967032967028</v>
      </c>
      <c r="F40" s="261">
        <f>SUM('[3]Jet Blue'!$IF$19:$IL$19)</f>
        <v>681</v>
      </c>
      <c r="G40" s="261">
        <f>SUM('[3]Jet Blue'!$HR$19:$HX$19)</f>
        <v>962</v>
      </c>
      <c r="H40" s="260">
        <f>(F40-G40)/G40</f>
        <v>-0.29209979209979209</v>
      </c>
      <c r="I40" s="262">
        <f>F40/$F$62</f>
        <v>4.096585577131307E-3</v>
      </c>
      <c r="J40" s="258" t="s">
        <v>192</v>
      </c>
      <c r="K40" s="39"/>
      <c r="L40" s="259">
        <f>'[3]Jet Blue'!$IL$41</f>
        <v>7570</v>
      </c>
      <c r="M40" s="261">
        <f>'[3]Jet Blue'!$HX$41</f>
        <v>18029</v>
      </c>
      <c r="N40" s="262">
        <f>(L40-M40)/M40</f>
        <v>-0.58012091630151419</v>
      </c>
      <c r="O40" s="259">
        <f>SUM('[3]Jet Blue'!$IF$41:$IL$41)</f>
        <v>63667</v>
      </c>
      <c r="P40" s="261">
        <f>SUM('[3]Jet Blue'!$HR$41:$HX$41)</f>
        <v>84974</v>
      </c>
      <c r="Q40" s="260">
        <f>(O40-P40)/P40</f>
        <v>-0.25074728740555935</v>
      </c>
      <c r="R40" s="262">
        <f>O40/$O$62</f>
        <v>3.2732114375211303E-3</v>
      </c>
      <c r="S40" s="258" t="s">
        <v>192</v>
      </c>
      <c r="T40" s="39"/>
      <c r="U40" s="259">
        <f>'[3]Jet Blue'!$IL$64</f>
        <v>0</v>
      </c>
      <c r="V40" s="261">
        <f>'[3]Jet Blue'!$HX$64</f>
        <v>0</v>
      </c>
      <c r="W40" s="262" t="e">
        <f>(U40-V40)/V40</f>
        <v>#DIV/0!</v>
      </c>
      <c r="X40" s="259">
        <f>SUM('[3]Jet Blue'!$IF$64:$IL$64)</f>
        <v>0</v>
      </c>
      <c r="Y40" s="261">
        <f>SUM('[3]Jet Blue'!$HR$64:$HX$64)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[3]KLM!$IL$19</f>
        <v>32</v>
      </c>
      <c r="D42" s="261">
        <f>[3]KLM!$HX$19</f>
        <v>36</v>
      </c>
      <c r="E42" s="262">
        <f>(C42-D42)/D42</f>
        <v>-0.1111111111111111</v>
      </c>
      <c r="F42" s="261">
        <f>SUM([3]KLM!$IF$19:$IL$19)</f>
        <v>234</v>
      </c>
      <c r="G42" s="261">
        <f>SUM([3]KLM!$HR$19:$HX$19)</f>
        <v>218</v>
      </c>
      <c r="H42" s="260">
        <f>(F42-G42)/G42</f>
        <v>7.3394495412844041E-2</v>
      </c>
      <c r="I42" s="262">
        <f>F42/$F$62</f>
        <v>1.4076373348733127E-3</v>
      </c>
      <c r="J42" s="258" t="s">
        <v>187</v>
      </c>
      <c r="K42" s="39"/>
      <c r="L42" s="259">
        <f>[3]KLM!$IL$41</f>
        <v>8008</v>
      </c>
      <c r="M42" s="261">
        <f>[3]KLM!$HX$41</f>
        <v>8894</v>
      </c>
      <c r="N42" s="262">
        <f>(L42-M42)/M42</f>
        <v>-9.9617719811108618E-2</v>
      </c>
      <c r="O42" s="259">
        <f>SUM([3]KLM!$IF$41:$IL$41)</f>
        <v>53126</v>
      </c>
      <c r="P42" s="261">
        <f>SUM([3]KLM!$HR$41:$HX$41)</f>
        <v>44867</v>
      </c>
      <c r="Q42" s="260">
        <f>(O42-P42)/P42</f>
        <v>0.18407738426906189</v>
      </c>
      <c r="R42" s="262">
        <f>O42/$O$62</f>
        <v>2.7312835665218647E-3</v>
      </c>
      <c r="S42" s="258" t="s">
        <v>187</v>
      </c>
      <c r="T42" s="39"/>
      <c r="U42" s="259">
        <f>[3]KLM!$IL$64</f>
        <v>347339</v>
      </c>
      <c r="V42" s="261">
        <f>[3]KLM!$HX$64</f>
        <v>494384</v>
      </c>
      <c r="W42" s="262">
        <f>(U42-V42)/V42</f>
        <v>-0.29743074209521342</v>
      </c>
      <c r="X42" s="259">
        <f>SUM([3]KLM!$IF$64:$IL$64)</f>
        <v>2815675</v>
      </c>
      <c r="Y42" s="261">
        <f>SUM([3]KLM!$HR$64:$HX$64)</f>
        <v>3721615</v>
      </c>
      <c r="Z42" s="260">
        <f>(X42-Y42)/Y42</f>
        <v>-0.24342657690276936</v>
      </c>
      <c r="AA42" s="262">
        <f>X42/$X$62</f>
        <v>5.7639740985171023E-2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[3]Southwest!$IL$19</f>
        <v>1355</v>
      </c>
      <c r="D44" s="261">
        <f>[3]Southwest!$HX$19</f>
        <v>1166</v>
      </c>
      <c r="E44" s="262">
        <f>(C44-D44)/D44</f>
        <v>0.16209262435677529</v>
      </c>
      <c r="F44" s="261">
        <f>SUM([3]Southwest!$IF$19:$IL$19)</f>
        <v>7845</v>
      </c>
      <c r="G44" s="261">
        <f>SUM([3]Southwest!$HR$19:$HX$19)</f>
        <v>5799</v>
      </c>
      <c r="H44" s="260">
        <f>(F44-G44)/G44</f>
        <v>0.35281945162959133</v>
      </c>
      <c r="I44" s="262">
        <f>F44/$F$62</f>
        <v>4.7191943983252722E-2</v>
      </c>
      <c r="J44" s="258" t="s">
        <v>128</v>
      </c>
      <c r="K44" s="39"/>
      <c r="L44" s="259">
        <f>[3]Southwest!$IL$41</f>
        <v>164784</v>
      </c>
      <c r="M44" s="261">
        <f>[3]Southwest!$HX$41</f>
        <v>149849</v>
      </c>
      <c r="N44" s="262">
        <f>(L44-M44)/M44</f>
        <v>9.9666998111432176E-2</v>
      </c>
      <c r="O44" s="259">
        <f>SUM([3]Southwest!$IF$41:$IL$41)</f>
        <v>899872</v>
      </c>
      <c r="P44" s="261">
        <f>SUM([3]Southwest!$HR$41:$HX$41)</f>
        <v>731105</v>
      </c>
      <c r="Q44" s="260">
        <f>(O44-P44)/P44</f>
        <v>0.2308382516875141</v>
      </c>
      <c r="R44" s="262">
        <f>O44/$O$62</f>
        <v>4.6263705258689974E-2</v>
      </c>
      <c r="S44" s="258" t="s">
        <v>128</v>
      </c>
      <c r="T44" s="39"/>
      <c r="U44" s="259">
        <f>[3]Southwest!$IL$64</f>
        <v>214190</v>
      </c>
      <c r="V44" s="261">
        <f>[3]Southwest!$HX$64</f>
        <v>195370</v>
      </c>
      <c r="W44" s="262">
        <f>(U44-V44)/V44</f>
        <v>9.633004043609561E-2</v>
      </c>
      <c r="X44" s="259">
        <f>SUM([3]Southwest!$IF$64:$IL$64)</f>
        <v>1509725</v>
      </c>
      <c r="Y44" s="261">
        <f>SUM([3]Southwest!$HR$64:$HX$64)</f>
        <v>1441148</v>
      </c>
      <c r="Z44" s="260">
        <f>(X44-Y44)/Y44</f>
        <v>4.758498086247908E-2</v>
      </c>
      <c r="AA44" s="262">
        <f>X44/$X$62</f>
        <v>3.0905611606040228E-2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[3]Spirit!$IL$19</f>
        <v>218</v>
      </c>
      <c r="D46" s="261">
        <f>[3]Spirit!$HX$19</f>
        <v>186</v>
      </c>
      <c r="E46" s="262">
        <f>(C46-D46)/D46</f>
        <v>0.17204301075268819</v>
      </c>
      <c r="F46" s="261">
        <f>SUM([3]Spirit!$IF$19:$IL$19)</f>
        <v>2022</v>
      </c>
      <c r="G46" s="261">
        <f>SUM([3]Spirit!$HR$19:$HX$19)</f>
        <v>1848</v>
      </c>
      <c r="H46" s="260">
        <f>(F46-G46)/G46</f>
        <v>9.4155844155844159E-2</v>
      </c>
      <c r="I46" s="262">
        <f>F46/$F$62</f>
        <v>1.2163430303905291E-2</v>
      </c>
      <c r="J46" s="258" t="s">
        <v>153</v>
      </c>
      <c r="K46" s="39"/>
      <c r="L46" s="259">
        <f>[3]Spirit!$IL$41</f>
        <v>31755</v>
      </c>
      <c r="M46" s="261">
        <f>[3]Spirit!$HX$41</f>
        <v>30316</v>
      </c>
      <c r="N46" s="262">
        <f>(L46-M46)/M46</f>
        <v>4.7466684259137089E-2</v>
      </c>
      <c r="O46" s="259">
        <f>SUM([3]Spirit!$IF$41:$IL$41)</f>
        <v>283976</v>
      </c>
      <c r="P46" s="261">
        <f>SUM([3]Spirit!$HR$41:$HX$41)</f>
        <v>273888</v>
      </c>
      <c r="Q46" s="260">
        <f>(O46-P46)/P46</f>
        <v>3.6832573898819956E-2</v>
      </c>
      <c r="R46" s="262">
        <f>O46/$O$62</f>
        <v>1.4599611905406261E-2</v>
      </c>
      <c r="S46" s="258" t="s">
        <v>153</v>
      </c>
      <c r="T46" s="39"/>
      <c r="U46" s="259">
        <f>[3]Spirit!$IL$64</f>
        <v>0</v>
      </c>
      <c r="V46" s="261">
        <f>[3]Spirit!$HX$64</f>
        <v>0</v>
      </c>
      <c r="W46" s="262" t="e">
        <f>(U46-V46)/V46</f>
        <v>#DIV/0!</v>
      </c>
      <c r="X46" s="259">
        <f>SUM([3]Spirit!$IF$64:$IL$64)</f>
        <v>0</v>
      </c>
      <c r="Y46" s="261">
        <f>SUM([3]Spirit!$HR$64:$HX$64)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Country'!$IL$19</f>
        <v>2477</v>
      </c>
      <c r="D48" s="261">
        <f>'[3]Sun Country'!$HX$19</f>
        <v>2023</v>
      </c>
      <c r="E48" s="262">
        <f>(C48-D48)/D48</f>
        <v>0.22441917943648049</v>
      </c>
      <c r="F48" s="261">
        <f>SUM('[3]Sun Country'!$IF$19:$IL$19)</f>
        <v>14882</v>
      </c>
      <c r="G48" s="261">
        <f>SUM('[3]Sun Country'!$HR$19:$HX$19)</f>
        <v>13595</v>
      </c>
      <c r="H48" s="260">
        <f>(F48-G48)/G48</f>
        <v>9.4667157043030525E-2</v>
      </c>
      <c r="I48" s="262">
        <f>F48/$F$62</f>
        <v>8.9523328280276232E-2</v>
      </c>
      <c r="J48" s="258" t="s">
        <v>49</v>
      </c>
      <c r="K48" s="39"/>
      <c r="L48" s="259">
        <f>'[3]Sun Country'!$IL$41</f>
        <v>395277</v>
      </c>
      <c r="M48" s="261">
        <f>'[3]Sun Country'!$HX$41</f>
        <v>316873</v>
      </c>
      <c r="N48" s="262">
        <f>(L48-M48)/M48</f>
        <v>0.24743035853480733</v>
      </c>
      <c r="O48" s="259">
        <f>SUM('[3]Sun Country'!$IF$41:$IL$41)</f>
        <v>2220065</v>
      </c>
      <c r="P48" s="261">
        <f>SUM('[3]Sun Country'!$HR$41:$HX$41)</f>
        <v>1960435</v>
      </c>
      <c r="Q48" s="260">
        <f>(O48-P48)/P48</f>
        <v>0.13243489327623717</v>
      </c>
      <c r="R48" s="262">
        <f>O48/$O$62</f>
        <v>0.11413671368276104</v>
      </c>
      <c r="S48" s="258" t="s">
        <v>49</v>
      </c>
      <c r="T48" s="39"/>
      <c r="U48" s="259">
        <f>'[3]Sun Country'!$IL$64</f>
        <v>0</v>
      </c>
      <c r="V48" s="261">
        <f>'[3]Sun Country'!$HX$64</f>
        <v>227948</v>
      </c>
      <c r="W48" s="262">
        <f>(U48-V48)/V48</f>
        <v>-1</v>
      </c>
      <c r="X48" s="259">
        <f>SUM('[3]Sun Country'!$IF$64:$IL$64)</f>
        <v>61776</v>
      </c>
      <c r="Y48" s="261">
        <f>SUM('[3]Sun Country'!$HR$64:$HX$64)</f>
        <v>3064331</v>
      </c>
      <c r="Z48" s="260">
        <f>(X48-Y48)/Y48</f>
        <v>-0.97984029793126137</v>
      </c>
      <c r="AA48" s="262">
        <f>X48/$X$62</f>
        <v>1.2646177698420183E-3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1114</v>
      </c>
      <c r="D50" s="261">
        <f>SUM(D51:D55)</f>
        <v>886</v>
      </c>
      <c r="E50" s="262">
        <f t="shared" ref="E50:E55" si="30">(C50-D50)/D50</f>
        <v>0.25733634311512416</v>
      </c>
      <c r="F50" s="261">
        <f>SUM(F51:F55)</f>
        <v>6970</v>
      </c>
      <c r="G50" s="261">
        <f>SUM(G51:G55)</f>
        <v>6320</v>
      </c>
      <c r="H50" s="260">
        <f t="shared" ref="H50:H55" si="31">(F50-G50)/G50</f>
        <v>0.10284810126582279</v>
      </c>
      <c r="I50" s="262">
        <f t="shared" ref="I50:I55" si="32">F50/$F$62</f>
        <v>4.1928342837893116E-2</v>
      </c>
      <c r="J50" s="258" t="s">
        <v>19</v>
      </c>
      <c r="K50" s="265"/>
      <c r="L50" s="259">
        <f>SUM(L51:L55)</f>
        <v>146871</v>
      </c>
      <c r="M50" s="261">
        <f>SUM(M51:M55)</f>
        <v>105051</v>
      </c>
      <c r="N50" s="262">
        <f t="shared" ref="N50:N55" si="33">(L50-M50)/M50</f>
        <v>0.39809235514178826</v>
      </c>
      <c r="O50" s="259">
        <f>SUM(O51:O55)</f>
        <v>880389</v>
      </c>
      <c r="P50" s="261">
        <f>SUM(P51:P55)</f>
        <v>692255</v>
      </c>
      <c r="Q50" s="260">
        <f t="shared" ref="Q50:Q55" si="34">(O50-P50)/P50</f>
        <v>0.27176979581223681</v>
      </c>
      <c r="R50" s="262">
        <f t="shared" ref="R50:R55" si="35">O50/$O$62</f>
        <v>4.5262056391345444E-2</v>
      </c>
      <c r="S50" s="258" t="s">
        <v>19</v>
      </c>
      <c r="T50" s="265"/>
      <c r="U50" s="259">
        <f>SUM(U51:U55)</f>
        <v>100084</v>
      </c>
      <c r="V50" s="261">
        <f>SUM(V51:V55)</f>
        <v>113336</v>
      </c>
      <c r="W50" s="262">
        <f t="shared" ref="W50:W55" si="36">(U50-V50)/V50</f>
        <v>-0.11692666054916355</v>
      </c>
      <c r="X50" s="259">
        <f>SUM(X51:X55)</f>
        <v>745976</v>
      </c>
      <c r="Y50" s="261">
        <f>SUM(Y51:Y55)</f>
        <v>779843</v>
      </c>
      <c r="Z50" s="260">
        <f t="shared" ref="Z50:Z55" si="37">(X50-Y50)/Y50</f>
        <v>-4.3427972040526105E-2</v>
      </c>
      <c r="AA50" s="262">
        <f t="shared" ref="AA50:AA55" si="38">X50/$X$62</f>
        <v>1.5270890078277479E-2</v>
      </c>
    </row>
    <row r="51" spans="1:27" ht="14.1" customHeight="1" x14ac:dyDescent="0.2">
      <c r="A51" s="37"/>
      <c r="B51" s="318" t="s">
        <v>19</v>
      </c>
      <c r="C51" s="263">
        <f>[3]United!$IL$19</f>
        <v>957</v>
      </c>
      <c r="D51" s="2">
        <f>[3]United!$HX$19+[3]Continental!$HX$19</f>
        <v>702</v>
      </c>
      <c r="E51" s="65">
        <f t="shared" si="30"/>
        <v>0.36324786324786323</v>
      </c>
      <c r="F51" s="2">
        <f>SUM([3]United!$IF$19:$IL$19)</f>
        <v>6002</v>
      </c>
      <c r="G51" s="2">
        <f>SUM([3]United!$HR$19:$HX$19)+SUM([3]Continental!$HR$19:$HX$19)</f>
        <v>4430</v>
      </c>
      <c r="H51" s="3">
        <f t="shared" si="31"/>
        <v>0.35485327313769754</v>
      </c>
      <c r="I51" s="65">
        <f t="shared" si="32"/>
        <v>3.6105296085083859E-2</v>
      </c>
      <c r="J51" s="37"/>
      <c r="K51" s="318" t="s">
        <v>19</v>
      </c>
      <c r="L51" s="263">
        <f>[3]United!$IL$41</f>
        <v>136735</v>
      </c>
      <c r="M51" s="2">
        <f>[3]United!$HX$41+[3]Continental!$HX$41</f>
        <v>93072</v>
      </c>
      <c r="N51" s="65">
        <f t="shared" si="33"/>
        <v>0.4691314251332302</v>
      </c>
      <c r="O51" s="263">
        <f>SUM([3]United!$IF$41:$IL$41)</f>
        <v>818098</v>
      </c>
      <c r="P51" s="2">
        <f>SUM([3]United!$HR$41:$HX$41)+SUM([3]Continental!$HR$41:$HX$41)</f>
        <v>572367</v>
      </c>
      <c r="Q51" s="3">
        <f t="shared" si="34"/>
        <v>0.4293241923451212</v>
      </c>
      <c r="R51" s="65">
        <f t="shared" si="35"/>
        <v>4.205958707985552E-2</v>
      </c>
      <c r="S51" s="37"/>
      <c r="T51" s="318" t="s">
        <v>19</v>
      </c>
      <c r="U51" s="263">
        <f>[3]United!$IL$64</f>
        <v>100084</v>
      </c>
      <c r="V51" s="2">
        <f>[3]United!$HX$64+[3]Continental!$HX$64</f>
        <v>113336</v>
      </c>
      <c r="W51" s="65">
        <f t="shared" si="36"/>
        <v>-0.11692666054916355</v>
      </c>
      <c r="X51" s="263">
        <f>SUM([3]United!$IF$64:$IL$64)</f>
        <v>745976</v>
      </c>
      <c r="Y51" s="2">
        <f>SUM([3]United!$HR$64:$HX$64)+SUM([3]Continental!$HR$64:$HX$64)</f>
        <v>779843</v>
      </c>
      <c r="Z51" s="3">
        <f t="shared" si="37"/>
        <v>-4.3427972040526105E-2</v>
      </c>
      <c r="AA51" s="65">
        <f t="shared" si="38"/>
        <v>1.5270890078277479E-2</v>
      </c>
    </row>
    <row r="52" spans="1:27" ht="14.1" customHeight="1" x14ac:dyDescent="0.2">
      <c r="A52" s="37"/>
      <c r="B52" s="39" t="s">
        <v>152</v>
      </c>
      <c r="C52" s="263">
        <f>'[3]Go Jet_UA'!$IL$19</f>
        <v>0</v>
      </c>
      <c r="D52" s="2">
        <f>'[3]Go Jet_UA'!$HX$19</f>
        <v>0</v>
      </c>
      <c r="E52" s="65" t="e">
        <f t="shared" si="30"/>
        <v>#DIV/0!</v>
      </c>
      <c r="F52" s="2">
        <f>SUM('[3]Go Jet_UA'!$IF$19:$IL$19)</f>
        <v>2</v>
      </c>
      <c r="G52" s="2">
        <f>SUM('[3]Go Jet_UA'!$HR$19:$HX$19)</f>
        <v>0</v>
      </c>
      <c r="H52" s="3" t="e">
        <f t="shared" si="31"/>
        <v>#DIV/0!</v>
      </c>
      <c r="I52" s="65">
        <f t="shared" si="32"/>
        <v>1.2031088332250535E-5</v>
      </c>
      <c r="J52" s="37"/>
      <c r="K52" s="39" t="s">
        <v>152</v>
      </c>
      <c r="L52" s="263">
        <f>'[3]Go Jet_UA'!$IL$41</f>
        <v>0</v>
      </c>
      <c r="M52" s="2">
        <f>'[3]Go Jet_UA'!$HX$41</f>
        <v>0</v>
      </c>
      <c r="N52" s="65" t="e">
        <f t="shared" si="33"/>
        <v>#DIV/0!</v>
      </c>
      <c r="O52" s="263">
        <f>SUM('[3]Go Jet_UA'!$IF$41:$IL$41)</f>
        <v>96</v>
      </c>
      <c r="P52" s="2">
        <f>SUM('[3]Go Jet_UA'!$HR$41:$HX$41)</f>
        <v>0</v>
      </c>
      <c r="Q52" s="3" t="e">
        <f t="shared" si="34"/>
        <v>#DIV/0!</v>
      </c>
      <c r="R52" s="65">
        <f t="shared" si="35"/>
        <v>4.9354971649681704E-6</v>
      </c>
      <c r="S52" s="37"/>
      <c r="T52" s="39" t="s">
        <v>152</v>
      </c>
      <c r="U52" s="263">
        <f>'[3]Go Jet_UA'!$IL$64</f>
        <v>0</v>
      </c>
      <c r="V52" s="2">
        <f>'[3]Go Jet_UA'!$HX$64</f>
        <v>0</v>
      </c>
      <c r="W52" s="65" t="e">
        <f t="shared" si="36"/>
        <v>#DIV/0!</v>
      </c>
      <c r="X52" s="263">
        <f>SUM('[3]Go Jet_UA'!$IF$64:$IL$64)</f>
        <v>0</v>
      </c>
      <c r="Y52" s="2">
        <f>SUM('[3]Go Jet_UA'!$HR$64:$HX$64)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[3]MESA_UA!$IL$19</f>
        <v>149</v>
      </c>
      <c r="D53" s="2">
        <f>[3]MESA_UA!$HX$19</f>
        <v>126</v>
      </c>
      <c r="E53" s="65">
        <f t="shared" si="30"/>
        <v>0.18253968253968253</v>
      </c>
      <c r="F53" s="2">
        <f>SUM([3]MESA_UA!$IF$19:$IL$19)</f>
        <v>572</v>
      </c>
      <c r="G53" s="2">
        <f>SUM([3]MESA_UA!$HR$19:$HX$19)</f>
        <v>738</v>
      </c>
      <c r="H53" s="3">
        <f>(F53-G53)/G53</f>
        <v>-0.22493224932249323</v>
      </c>
      <c r="I53" s="65">
        <f t="shared" si="32"/>
        <v>3.4408912630236529E-3</v>
      </c>
      <c r="J53" s="37"/>
      <c r="K53" s="39" t="s">
        <v>51</v>
      </c>
      <c r="L53" s="263">
        <f>[3]MESA_UA!$IL$41</f>
        <v>9854</v>
      </c>
      <c r="M53" s="2">
        <f>[3]MESA_UA!$HX$41</f>
        <v>8413</v>
      </c>
      <c r="N53" s="65">
        <f t="shared" si="33"/>
        <v>0.17128253892784975</v>
      </c>
      <c r="O53" s="263">
        <f>SUM([3]MESA_UA!$IF$41:$IL$41)</f>
        <v>37695</v>
      </c>
      <c r="P53" s="2">
        <f>SUM([3]MESA_UA!$HR$41:$HX$41)</f>
        <v>49016</v>
      </c>
      <c r="Q53" s="3">
        <f t="shared" si="34"/>
        <v>-0.23096539905337032</v>
      </c>
      <c r="R53" s="65">
        <f t="shared" si="35"/>
        <v>1.9379538086820331E-3</v>
      </c>
      <c r="S53" s="37"/>
      <c r="T53" s="39" t="s">
        <v>51</v>
      </c>
      <c r="U53" s="263">
        <f>[3]MESA_UA!$IL$64</f>
        <v>0</v>
      </c>
      <c r="V53" s="2">
        <f>[3]MESA_UA!$HX$64</f>
        <v>0</v>
      </c>
      <c r="W53" s="65" t="e">
        <f t="shared" si="36"/>
        <v>#DIV/0!</v>
      </c>
      <c r="X53" s="263">
        <f>SUM([3]MESA_UA!$IF$64:$IL$64)</f>
        <v>0</v>
      </c>
      <c r="Y53" s="2">
        <f>SUM([3]MESA_UA!$HR$64:$HX$64)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[3]Republic_UA!$IL$19</f>
        <v>2</v>
      </c>
      <c r="D54" s="2">
        <f>[3]Republic_UA!$HX$19</f>
        <v>49</v>
      </c>
      <c r="E54" s="65">
        <f t="shared" si="30"/>
        <v>-0.95918367346938771</v>
      </c>
      <c r="F54" s="2">
        <f>SUM([3]Republic_UA!$IF$19:$IL$19)</f>
        <v>334</v>
      </c>
      <c r="G54" s="2">
        <f>SUM([3]Republic_UA!$HR$19:$HX$19)</f>
        <v>840</v>
      </c>
      <c r="H54" s="3">
        <f t="shared" ref="H54" si="39">(F54-G54)/G54</f>
        <v>-0.60238095238095235</v>
      </c>
      <c r="I54" s="65">
        <f t="shared" si="32"/>
        <v>2.0091917514858393E-3</v>
      </c>
      <c r="J54" s="37"/>
      <c r="K54" s="318" t="s">
        <v>52</v>
      </c>
      <c r="L54" s="263">
        <f>[3]Republic_UA!$IL$41</f>
        <v>135</v>
      </c>
      <c r="M54" s="2">
        <f>[3]Republic_UA!$HX$41</f>
        <v>3053</v>
      </c>
      <c r="N54" s="65">
        <f t="shared" si="33"/>
        <v>-0.95578119882083201</v>
      </c>
      <c r="O54" s="263">
        <f>SUM([3]Republic_UA!$IF$41:$IL$41)</f>
        <v>21118</v>
      </c>
      <c r="P54" s="2">
        <f>SUM([3]Republic_UA!$HR$41:$HX$41)</f>
        <v>51078</v>
      </c>
      <c r="Q54" s="3">
        <f t="shared" si="34"/>
        <v>-0.58655389795998281</v>
      </c>
      <c r="R54" s="65">
        <f t="shared" si="35"/>
        <v>1.085706553435394E-3</v>
      </c>
      <c r="S54" s="37"/>
      <c r="T54" s="318" t="s">
        <v>52</v>
      </c>
      <c r="U54" s="263">
        <f>[3]Republic_UA!$IL$64</f>
        <v>0</v>
      </c>
      <c r="V54" s="2">
        <f>[3]Republic_UA!$HX$64</f>
        <v>0</v>
      </c>
      <c r="W54" s="65" t="e">
        <f t="shared" si="36"/>
        <v>#DIV/0!</v>
      </c>
      <c r="X54" s="263">
        <f>SUM([3]Republic_UA!$IF$64:$IL$64)</f>
        <v>0</v>
      </c>
      <c r="Y54" s="2">
        <f>SUM([3]Republic_UA!$HR$64:$HX$64)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West_UA'!$IL$19</f>
        <v>6</v>
      </c>
      <c r="D55" s="2">
        <f>'[3]Sky West_UA'!$HX$19+'[3]Sky West_CO'!$HX$19</f>
        <v>9</v>
      </c>
      <c r="E55" s="65">
        <f t="shared" si="30"/>
        <v>-0.33333333333333331</v>
      </c>
      <c r="F55" s="2">
        <f>SUM('[3]Sky West_UA'!$IF$19:$IL$19)</f>
        <v>60</v>
      </c>
      <c r="G55" s="2">
        <f>SUM('[3]Sky West_UA'!$HR$19:$HX$19)+SUM('[3]Sky West_CO'!$HR$19:$HX$19)</f>
        <v>312</v>
      </c>
      <c r="H55" s="3">
        <f t="shared" si="31"/>
        <v>-0.80769230769230771</v>
      </c>
      <c r="I55" s="65">
        <f t="shared" si="32"/>
        <v>3.6093264996751607E-4</v>
      </c>
      <c r="J55" s="37"/>
      <c r="K55" s="39" t="s">
        <v>97</v>
      </c>
      <c r="L55" s="263">
        <f>'[3]Sky West_UA'!$IL$41</f>
        <v>147</v>
      </c>
      <c r="M55" s="2">
        <f>'[3]Sky West_UA'!$HX$41+'[3]Sky West_CO'!$HX$41</f>
        <v>513</v>
      </c>
      <c r="N55" s="65">
        <f t="shared" si="33"/>
        <v>-0.71345029239766078</v>
      </c>
      <c r="O55" s="263">
        <f>SUM('[3]Sky West_UA'!$IF$41:$IL$41)</f>
        <v>3382</v>
      </c>
      <c r="P55" s="2">
        <f>SUM('[3]Sky West_UA'!$HR$41:$HX$41)+SUM('[3]Sky West_CO'!$HR$41:$HX$41)</f>
        <v>19794</v>
      </c>
      <c r="Q55" s="3">
        <f t="shared" si="34"/>
        <v>-0.82914014347782161</v>
      </c>
      <c r="R55" s="65">
        <f t="shared" si="35"/>
        <v>1.738734522075245E-4</v>
      </c>
      <c r="S55" s="37"/>
      <c r="T55" s="39" t="s">
        <v>97</v>
      </c>
      <c r="U55" s="263">
        <f>'[3]Sky West_UA'!$IL$64</f>
        <v>0</v>
      </c>
      <c r="V55" s="2">
        <f>'[3]Sky West_UA'!$HX$64+'[3]Sky West_CO'!$HX$64</f>
        <v>0</v>
      </c>
      <c r="W55" s="65" t="e">
        <f t="shared" si="36"/>
        <v>#DIV/0!</v>
      </c>
      <c r="X55" s="263">
        <f>SUM('[3]Sky West_UA'!$IF$64:$IL$64)</f>
        <v>0</v>
      </c>
      <c r="Y55" s="2">
        <f>SUM('[3]Sky West_UA'!$HR$64:$HX$64)+SUM('[3]Sky West_CO'!$HR$64:$HX$64)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[3]WestJet!$IL$19</f>
        <v>68</v>
      </c>
      <c r="D57" s="261">
        <f>[3]WestJet!$HX$19</f>
        <v>0</v>
      </c>
      <c r="E57" s="262" t="e">
        <f>(C57-D57)/D57</f>
        <v>#DIV/0!</v>
      </c>
      <c r="F57" s="261">
        <f>SUM([3]WestJet!$IF$19:$IL$19)</f>
        <v>118</v>
      </c>
      <c r="G57" s="261">
        <f>SUM([3]WestJet!$HR$19:$HX$19)</f>
        <v>0</v>
      </c>
      <c r="H57" s="260" t="e">
        <f>(F57-G57)/G57</f>
        <v>#DIV/0!</v>
      </c>
      <c r="I57" s="262">
        <f>F57/$F$62</f>
        <v>7.0983421160278164E-4</v>
      </c>
      <c r="J57" s="258" t="s">
        <v>246</v>
      </c>
      <c r="K57" s="39"/>
      <c r="L57" s="259">
        <f>[3]WestJet!$IL$41</f>
        <v>8938</v>
      </c>
      <c r="M57" s="261">
        <f>[3]WestJet!$HX$41</f>
        <v>0</v>
      </c>
      <c r="N57" s="262" t="e">
        <f>(L57-M57)/M57</f>
        <v>#DIV/0!</v>
      </c>
      <c r="O57" s="259">
        <f>SUM([3]WestJet!$IF$41:$IL$41)</f>
        <v>15218</v>
      </c>
      <c r="P57" s="261">
        <f>SUM([3]WestJet!$HR$41:$HX$41)</f>
        <v>0</v>
      </c>
      <c r="Q57" s="260" t="e">
        <f>(O57-P57)/P57</f>
        <v>#DIV/0!</v>
      </c>
      <c r="R57" s="262">
        <f>O57/$O$62</f>
        <v>7.8237912350505843E-4</v>
      </c>
      <c r="S57" s="258" t="s">
        <v>246</v>
      </c>
      <c r="T57" s="39"/>
      <c r="U57" s="259">
        <f>[3]WestJet!$IL$64</f>
        <v>0</v>
      </c>
      <c r="V57" s="261">
        <f>[3]WestJet!$HX$64</f>
        <v>0</v>
      </c>
      <c r="W57" s="262" t="e">
        <f>(U57-V57)/V57</f>
        <v>#DIV/0!</v>
      </c>
      <c r="X57" s="259">
        <f>SUM([3]WestJet!$IF$64:$IL$64)</f>
        <v>0</v>
      </c>
      <c r="Y57" s="261">
        <f>SUM([3]WestJet!$HR$64:$HX$64)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20452</v>
      </c>
      <c r="D60" s="438">
        <f>+D62-D61</f>
        <v>16551</v>
      </c>
      <c r="E60" s="328">
        <f>(C60-D60)/D60</f>
        <v>0.2356957283547822</v>
      </c>
      <c r="F60" s="327">
        <f>+F62-F61</f>
        <v>122951</v>
      </c>
      <c r="G60" s="438">
        <f>+G62-G61</f>
        <v>104241</v>
      </c>
      <c r="H60" s="328">
        <f>(F60-G60)/G60</f>
        <v>0.17948791742212758</v>
      </c>
      <c r="I60" s="353">
        <f>F60/$F$62</f>
        <v>0.73961717076926781</v>
      </c>
      <c r="K60" s="274" t="s">
        <v>131</v>
      </c>
      <c r="L60" s="327">
        <f>+L62-L61</f>
        <v>2971207</v>
      </c>
      <c r="M60" s="438">
        <f>+M62-M61</f>
        <v>2383908</v>
      </c>
      <c r="N60" s="328">
        <f>(L60-M60)/M60</f>
        <v>0.24635975884975428</v>
      </c>
      <c r="O60" s="327">
        <f>+O62-O61</f>
        <v>17089757</v>
      </c>
      <c r="P60" s="438">
        <f>+P62-P61</f>
        <v>14481073</v>
      </c>
      <c r="Q60" s="351">
        <f>(O60-P60)/P60</f>
        <v>0.18014438570953961</v>
      </c>
      <c r="R60" s="398">
        <f>+O60/O62</f>
        <v>0.87860882524473893</v>
      </c>
      <c r="S60" s="3"/>
      <c r="T60" s="274" t="s">
        <v>131</v>
      </c>
      <c r="U60" s="327">
        <f>+U62-U61</f>
        <v>6469181</v>
      </c>
      <c r="V60" s="438">
        <f>+V62-V61</f>
        <v>9780473</v>
      </c>
      <c r="W60" s="328">
        <f>(U60-V60)/V60</f>
        <v>-0.33856153991734345</v>
      </c>
      <c r="X60" s="327">
        <f>+X62-X61</f>
        <v>48623130</v>
      </c>
      <c r="Y60" s="438">
        <f>+Y62-Y61</f>
        <v>56904454</v>
      </c>
      <c r="Z60" s="351">
        <f>(X60-Y60)/Y60</f>
        <v>-0.14553033054319439</v>
      </c>
      <c r="AA60" s="398">
        <f>+X60/X62</f>
        <v>0.99536509685538943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6457</v>
      </c>
      <c r="D61" s="439">
        <f>+D34+D33+D32+D20+D55+D52+D53+D24+D21+D15+D6+D54+D22+D23+D16+D7</f>
        <v>8468</v>
      </c>
      <c r="E61" s="275">
        <f>(C61-D61)/D61</f>
        <v>-0.2374822862541332</v>
      </c>
      <c r="F61" s="329">
        <f>+F34+F33+F32+F20+F55+F52+F53+F24+F21+F15+F6+F54+F22+F23+F16+F7</f>
        <v>43285</v>
      </c>
      <c r="G61" s="439">
        <f>+G34+G33+G32+G20+G55+G52+G53+G24+G21+G15+G6+G54+G22+G23+G16+G7</f>
        <v>58120</v>
      </c>
      <c r="H61" s="275">
        <f>(F61-G61)/G61</f>
        <v>-0.2552477632484515</v>
      </c>
      <c r="I61" s="354">
        <f>F61/$F$62</f>
        <v>0.26038282923073219</v>
      </c>
      <c r="K61" s="169" t="s">
        <v>132</v>
      </c>
      <c r="L61" s="329">
        <f>+L34+L33+L32+L20+L55+L52+L53+L24+L21+L15+L6+L54+L22+L23+L16+L7</f>
        <v>360745</v>
      </c>
      <c r="M61" s="439">
        <f>+M34+M33+M32+M20+M55+M52+M53+M24+M21+M15+M6+M54+M22+M23+M16+M7</f>
        <v>490631</v>
      </c>
      <c r="N61" s="275">
        <f>(L61-M61)/M61</f>
        <v>-0.26473255868463264</v>
      </c>
      <c r="O61" s="329">
        <f>+O34+O33+O32+O20+O55+O52+O53+O24+O21+O15+O6+O54+O22+O23+O16+O7</f>
        <v>2361171</v>
      </c>
      <c r="P61" s="439">
        <f>+P34+P33+P32+P20+P55+P52+P53+P24+P21+P15+P6+P54+P22+P23+P16+P7</f>
        <v>3041316</v>
      </c>
      <c r="Q61" s="350">
        <f>(O61-P61)/P61</f>
        <v>-0.22363509743808271</v>
      </c>
      <c r="R61" s="399">
        <f>+O61/O62</f>
        <v>0.12139117475526104</v>
      </c>
      <c r="S61" s="3"/>
      <c r="T61" s="169" t="s">
        <v>132</v>
      </c>
      <c r="U61" s="329">
        <f>+U34+U33+U32+U20+U55+U52+U53+U24+U21+U15+U6+U54+U22+U23+U16+U7</f>
        <v>90320.5</v>
      </c>
      <c r="V61" s="439">
        <f>+V34+V33+V32+V20+V55+V52+V53+V24+V21+V15+V6+V54+V22+V23+V16+V7</f>
        <v>791146.1</v>
      </c>
      <c r="W61" s="275">
        <f>(U61-V61)/V61</f>
        <v>-0.88583587784860474</v>
      </c>
      <c r="X61" s="329">
        <f>+X34+X33+X32+X20+X55+X52+X53+X24+X21+X15+X6+X54+X22+X23+X16+X7</f>
        <v>226412.9</v>
      </c>
      <c r="Y61" s="439">
        <f>+Y34+Y33+Y32+Y20+Y55+Y52+Y53+Y24+Y21+Y15+Y6+Y54+Y22+Y23+Y16+Y7</f>
        <v>837150</v>
      </c>
      <c r="Z61" s="350">
        <f>(X61-Y61)/Y61</f>
        <v>-0.72954321208863404</v>
      </c>
      <c r="AA61" s="399">
        <f>+X61/X62</f>
        <v>4.6349031446105918E-3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26909</v>
      </c>
      <c r="D62" s="440">
        <f>D50+D48+D44+D38+D36+D30+D18+D13+D4+D46+D26+D42+D9+D40+D28+D11+D57</f>
        <v>25019</v>
      </c>
      <c r="E62" s="331">
        <f>(C62-D62)/D62</f>
        <v>7.554258763339862E-2</v>
      </c>
      <c r="F62" s="330">
        <f>F50+F48+F44+F38+F36+F30+F18+F13+F4+F46+F26+F42+F9+F40+F28+F11+F57</f>
        <v>166236</v>
      </c>
      <c r="G62" s="440">
        <f>G50+G48+G44+G38+G36+G30+G18+G13+G4+G46+G26+G42+G9+G40+G28+G11+G57</f>
        <v>162361</v>
      </c>
      <c r="H62" s="331">
        <f>(F62-G62)/G62</f>
        <v>2.3866568942048891E-2</v>
      </c>
      <c r="I62" s="355">
        <f>+H62/H62</f>
        <v>1</v>
      </c>
      <c r="K62" s="169" t="s">
        <v>133</v>
      </c>
      <c r="L62" s="330">
        <f>L50+L48+L44+L38+L36+L30+L18+L13+L4+L46+L26+L42+L9+L40+L28+L11+L57</f>
        <v>3331952</v>
      </c>
      <c r="M62" s="440">
        <f>M50+M48+M44+M38+M36+M30+M18+M13+M4+M46+M26+M42+M9+M40+M28+M11+M57</f>
        <v>2874539</v>
      </c>
      <c r="N62" s="331">
        <f>(L62-M62)/M62</f>
        <v>0.15912568937140878</v>
      </c>
      <c r="O62" s="330">
        <f>O50+O48+O44+O38+O36+O30+O18+O13+O4+O46+O26+O42+O9+O40+O28+O11+O57</f>
        <v>19450928</v>
      </c>
      <c r="P62" s="440">
        <f>P50+P48+P44+P38+P36+P30+P18+P13+P4+P46+P26+P42+P9+P40+P28+P11+P57</f>
        <v>17522389</v>
      </c>
      <c r="Q62" s="397">
        <f>(O62-P62)/P62</f>
        <v>0.11006141913639744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6559501.5</v>
      </c>
      <c r="V62" s="440">
        <f>V50+V48+V44+V38+V36+V30+V18+V13+V4+V46+V26+V42+V9+V40+V28+V11+V57</f>
        <v>10571619.1</v>
      </c>
      <c r="W62" s="331">
        <f>(U62-V62)/V62</f>
        <v>-0.37951779779882533</v>
      </c>
      <c r="X62" s="330">
        <f>X50+X48+X44+X38+X36+X30+X18+X13+X4+X46+X26+X42+X9+X40+X28+X11+X57</f>
        <v>48849542.899999999</v>
      </c>
      <c r="Y62" s="440">
        <f>Y50+Y48+Y44+Y38+Y36+Y30+Y18+Y13+Y4+Y46+Y26+Y42+Y9+Y40+Y28+Y11+Y57</f>
        <v>57741604</v>
      </c>
      <c r="Z62" s="397">
        <f>(X62-Y62)/Y62</f>
        <v>-0.15399747294862126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July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L6" sqref="L6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45108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[3]American!$IL$22</f>
        <v>49842</v>
      </c>
      <c r="C4" s="12">
        <f>[3]Delta!$IL$22+[3]Delta!$IL$32</f>
        <v>1019643</v>
      </c>
      <c r="D4" s="12">
        <f>[3]United!$IL$22</f>
        <v>69353</v>
      </c>
      <c r="E4" s="12">
        <f>[3]Spirit!$IL$22</f>
        <v>15363</v>
      </c>
      <c r="F4" s="12">
        <f>[3]Condor!$IL$22+[3]Condor!$IL$32</f>
        <v>3092</v>
      </c>
      <c r="G4" s="12">
        <f>'[3]Air France'!$IL$32</f>
        <v>0</v>
      </c>
      <c r="H4" s="12">
        <f>'[3]Jet Blue'!$IL$22</f>
        <v>3855</v>
      </c>
      <c r="I4" s="12">
        <f>[3]KLM!$IL$22+[3]KLM!$IL$32</f>
        <v>4331</v>
      </c>
      <c r="J4" s="12">
        <f>'Other Major Airline Stats'!K5</f>
        <v>325943</v>
      </c>
      <c r="K4" s="205">
        <f>SUM(B4:J4)</f>
        <v>1491422</v>
      </c>
    </row>
    <row r="5" spans="1:20" x14ac:dyDescent="0.2">
      <c r="A5" s="45" t="s">
        <v>31</v>
      </c>
      <c r="B5" s="7">
        <f>[3]American!$IL$23</f>
        <v>49744</v>
      </c>
      <c r="C5" s="7">
        <f>[3]Delta!$IL$23+[3]Delta!$IL$33</f>
        <v>1012768</v>
      </c>
      <c r="D5" s="7">
        <f>[3]United!$IL$23</f>
        <v>67382</v>
      </c>
      <c r="E5" s="7">
        <f>[3]Spirit!$IL$23</f>
        <v>16392</v>
      </c>
      <c r="F5" s="7">
        <f>[3]Condor!$IL$23+[3]Condor!$IL$33</f>
        <v>2974</v>
      </c>
      <c r="G5" s="7">
        <f>'[3]Air France'!$IL$33</f>
        <v>0</v>
      </c>
      <c r="H5" s="7">
        <f>'[3]Jet Blue'!$IL$23</f>
        <v>3715</v>
      </c>
      <c r="I5" s="7">
        <f>[3]KLM!$IL$23+[3]KLM!$IL$33</f>
        <v>3677</v>
      </c>
      <c r="J5" s="7">
        <f>'Other Major Airline Stats'!K6</f>
        <v>323133</v>
      </c>
      <c r="K5" s="206">
        <f>SUM(B5:J5)</f>
        <v>1479785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99586</v>
      </c>
      <c r="C6" s="24">
        <f t="shared" si="0"/>
        <v>2032411</v>
      </c>
      <c r="D6" s="24">
        <f t="shared" si="0"/>
        <v>136735</v>
      </c>
      <c r="E6" s="24">
        <f t="shared" si="0"/>
        <v>31755</v>
      </c>
      <c r="F6" s="24">
        <f t="shared" ref="F6:I6" si="1">SUM(F4:F5)</f>
        <v>6066</v>
      </c>
      <c r="G6" s="24">
        <f t="shared" si="1"/>
        <v>0</v>
      </c>
      <c r="H6" s="24">
        <f t="shared" ref="H6" si="2">SUM(H4:H5)</f>
        <v>7570</v>
      </c>
      <c r="I6" s="24">
        <f t="shared" si="1"/>
        <v>8008</v>
      </c>
      <c r="J6" s="24">
        <f>SUM(J4:J5)</f>
        <v>649076</v>
      </c>
      <c r="K6" s="207">
        <f>SUM(B6:J6)</f>
        <v>2971207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[3]American!$IL$27</f>
        <v>1921</v>
      </c>
      <c r="C9" s="12">
        <f>[3]Delta!$IL$27+[3]Delta!$IL$37</f>
        <v>28400</v>
      </c>
      <c r="D9" s="12">
        <f>[3]United!$IL$27</f>
        <v>2063</v>
      </c>
      <c r="E9" s="12">
        <f>[3]Spirit!$IL$27</f>
        <v>142</v>
      </c>
      <c r="F9" s="12">
        <f>[3]Condor!$IL$27+[3]Condor!$IL$37</f>
        <v>13</v>
      </c>
      <c r="G9" s="12">
        <f>'[3]Air France'!$IL$37</f>
        <v>0</v>
      </c>
      <c r="H9" s="12">
        <f>'[3]Jet Blue'!$IL$27</f>
        <v>68</v>
      </c>
      <c r="I9" s="12">
        <f>[3]KLM!$IL$27+[3]KLM!$IL$37</f>
        <v>8</v>
      </c>
      <c r="J9" s="12">
        <f>'Other Major Airline Stats'!K10</f>
        <v>5540</v>
      </c>
      <c r="K9" s="205">
        <f>SUM(B9:J9)</f>
        <v>38155</v>
      </c>
      <c r="N9" s="230"/>
    </row>
    <row r="10" spans="1:20" x14ac:dyDescent="0.2">
      <c r="A10" s="45" t="s">
        <v>33</v>
      </c>
      <c r="B10" s="7">
        <f>[3]American!$IL$28</f>
        <v>2105</v>
      </c>
      <c r="C10" s="7">
        <f>[3]Delta!$IL$28+[3]Delta!$IL$38</f>
        <v>28150</v>
      </c>
      <c r="D10" s="7">
        <f>[3]United!$IL$28</f>
        <v>1954</v>
      </c>
      <c r="E10" s="7">
        <f>[3]Spirit!$IL$28</f>
        <v>208</v>
      </c>
      <c r="F10" s="7">
        <f>[3]Condor!$IL$28+[3]Condor!$IL$38</f>
        <v>7</v>
      </c>
      <c r="G10" s="7">
        <f>'[3]Air France'!$IL$38</f>
        <v>0</v>
      </c>
      <c r="H10" s="7">
        <f>'[3]Jet Blue'!$IL$28</f>
        <v>55</v>
      </c>
      <c r="I10" s="7">
        <f>[3]KLM!$IL$28+[3]KLM!$IL$38</f>
        <v>0</v>
      </c>
      <c r="J10" s="7">
        <f>'Other Major Airline Stats'!K11</f>
        <v>5687</v>
      </c>
      <c r="K10" s="206">
        <f>SUM(B10:J10)</f>
        <v>38166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4026</v>
      </c>
      <c r="C11" s="208">
        <f t="shared" si="3"/>
        <v>56550</v>
      </c>
      <c r="D11" s="208">
        <f t="shared" si="3"/>
        <v>4017</v>
      </c>
      <c r="E11" s="208">
        <f t="shared" si="3"/>
        <v>350</v>
      </c>
      <c r="F11" s="208">
        <f t="shared" ref="F11:I11" si="4">SUM(F9:F10)</f>
        <v>20</v>
      </c>
      <c r="G11" s="208">
        <f t="shared" si="4"/>
        <v>0</v>
      </c>
      <c r="H11" s="208">
        <f t="shared" ref="H11" si="5">SUM(H9:H10)</f>
        <v>123</v>
      </c>
      <c r="I11" s="208">
        <f t="shared" si="4"/>
        <v>8</v>
      </c>
      <c r="J11" s="208">
        <f t="shared" si="3"/>
        <v>11227</v>
      </c>
      <c r="K11" s="209">
        <f>SUM(B11:J11)</f>
        <v>76321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[3]American!$IL$4</f>
        <v>340</v>
      </c>
      <c r="C15" s="12">
        <f>[3]Delta!$IL$4+[3]Delta!$IL$15</f>
        <v>6957</v>
      </c>
      <c r="D15" s="12">
        <f>[3]United!$IL$4</f>
        <v>475</v>
      </c>
      <c r="E15" s="12">
        <f>[3]Spirit!$IL$4</f>
        <v>109</v>
      </c>
      <c r="F15" s="12">
        <f>[3]Condor!$IL$15</f>
        <v>14</v>
      </c>
      <c r="G15" s="12">
        <f>'[3]Air France'!$IL$15</f>
        <v>0</v>
      </c>
      <c r="H15" s="12">
        <f>'[3]Jet Blue'!$IL$4</f>
        <v>30</v>
      </c>
      <c r="I15" s="12">
        <f>[3]KLM!$IL$4+[3]KLM!$IL$15</f>
        <v>16</v>
      </c>
      <c r="J15" s="12">
        <f>'Other Major Airline Stats'!K16</f>
        <v>2246</v>
      </c>
      <c r="K15" s="17">
        <f>SUM(B15:J15)</f>
        <v>10187</v>
      </c>
    </row>
    <row r="16" spans="1:20" x14ac:dyDescent="0.2">
      <c r="A16" s="45" t="s">
        <v>23</v>
      </c>
      <c r="B16" s="7">
        <f>[3]American!$IL$5</f>
        <v>339</v>
      </c>
      <c r="C16" s="7">
        <f>[3]Delta!$IL$5+[3]Delta!$IL$16</f>
        <v>6946</v>
      </c>
      <c r="D16" s="7">
        <f>[3]United!$IL$5</f>
        <v>469</v>
      </c>
      <c r="E16" s="7">
        <f>[3]Spirit!$IL$5</f>
        <v>109</v>
      </c>
      <c r="F16" s="7">
        <f>[3]Condor!$IL$5+[3]Condor!$IL$16</f>
        <v>14</v>
      </c>
      <c r="G16" s="7">
        <f>'[3]Air France'!$IL$16</f>
        <v>0</v>
      </c>
      <c r="H16" s="7">
        <f>'[3]Jet Blue'!$IL$5</f>
        <v>30</v>
      </c>
      <c r="I16" s="7">
        <f>[3]KLM!$IL$5+[3]KLM!$IL$16</f>
        <v>16</v>
      </c>
      <c r="J16" s="7">
        <f>'Other Major Airline Stats'!K17</f>
        <v>2231</v>
      </c>
      <c r="K16" s="23">
        <f>SUM(B16:J16)</f>
        <v>10154</v>
      </c>
    </row>
    <row r="17" spans="1:11" x14ac:dyDescent="0.2">
      <c r="A17" s="45" t="s">
        <v>24</v>
      </c>
      <c r="B17" s="212">
        <f t="shared" ref="B17:J17" si="6">SUM(B15:B16)</f>
        <v>679</v>
      </c>
      <c r="C17" s="210">
        <f t="shared" si="6"/>
        <v>13903</v>
      </c>
      <c r="D17" s="210">
        <f t="shared" si="6"/>
        <v>944</v>
      </c>
      <c r="E17" s="210">
        <f t="shared" si="6"/>
        <v>218</v>
      </c>
      <c r="F17" s="210">
        <f t="shared" ref="F17:I17" si="7">SUM(F15:F16)</f>
        <v>28</v>
      </c>
      <c r="G17" s="210">
        <f t="shared" si="7"/>
        <v>0</v>
      </c>
      <c r="H17" s="210">
        <f t="shared" ref="H17" si="8">SUM(H15:H16)</f>
        <v>60</v>
      </c>
      <c r="I17" s="210">
        <f t="shared" si="7"/>
        <v>32</v>
      </c>
      <c r="J17" s="210">
        <f t="shared" si="6"/>
        <v>4477</v>
      </c>
      <c r="K17" s="211">
        <f>SUM(B17:J17)</f>
        <v>20341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[3]American!$IL$8</f>
        <v>0</v>
      </c>
      <c r="C19" s="12">
        <f>[3]Delta!$IL$8</f>
        <v>7</v>
      </c>
      <c r="D19" s="12">
        <f>[3]United!$IL$8</f>
        <v>5</v>
      </c>
      <c r="E19" s="12">
        <f>[3]Spirit!$IL$8</f>
        <v>0</v>
      </c>
      <c r="F19" s="12">
        <f>[3]Condor!$IL$8</f>
        <v>0</v>
      </c>
      <c r="G19" s="12">
        <f>'[3]Air France'!$IL$8</f>
        <v>0</v>
      </c>
      <c r="H19" s="12">
        <f>'[3]Jet Blue'!$IL$8</f>
        <v>0</v>
      </c>
      <c r="I19" s="12">
        <f>[3]KLM!$IL$8</f>
        <v>0</v>
      </c>
      <c r="J19" s="12">
        <f>'Other Major Airline Stats'!K20</f>
        <v>37</v>
      </c>
      <c r="K19" s="17">
        <f>SUM(B19:J19)</f>
        <v>49</v>
      </c>
    </row>
    <row r="20" spans="1:11" x14ac:dyDescent="0.2">
      <c r="A20" s="45" t="s">
        <v>26</v>
      </c>
      <c r="B20" s="7">
        <f>[3]American!$IL$9</f>
        <v>0</v>
      </c>
      <c r="C20" s="7">
        <f>[3]Delta!$IL$9</f>
        <v>19</v>
      </c>
      <c r="D20" s="7">
        <f>[3]United!$IL$9</f>
        <v>8</v>
      </c>
      <c r="E20" s="7">
        <f>[3]Spirit!$IL$9</f>
        <v>0</v>
      </c>
      <c r="F20" s="7">
        <f>[3]Condor!$IL$9</f>
        <v>0</v>
      </c>
      <c r="G20" s="7">
        <f>'[3]Air France'!$IL$9</f>
        <v>0</v>
      </c>
      <c r="H20" s="7">
        <f>'[3]Jet Blue'!$IL$9</f>
        <v>0</v>
      </c>
      <c r="I20" s="7">
        <f>[3]KLM!$IL$9</f>
        <v>0</v>
      </c>
      <c r="J20" s="7">
        <f>'Other Major Airline Stats'!K21</f>
        <v>35</v>
      </c>
      <c r="K20" s="23">
        <f>SUM(B20:J20)</f>
        <v>62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26</v>
      </c>
      <c r="D21" s="210">
        <f t="shared" si="9"/>
        <v>13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72</v>
      </c>
      <c r="K21" s="145">
        <f>SUM(B21:J21)</f>
        <v>111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679</v>
      </c>
      <c r="C23" s="18">
        <f t="shared" si="12"/>
        <v>13929</v>
      </c>
      <c r="D23" s="18">
        <f t="shared" si="12"/>
        <v>957</v>
      </c>
      <c r="E23" s="18">
        <f>E17+E21</f>
        <v>218</v>
      </c>
      <c r="F23" s="18">
        <f t="shared" ref="F23:I23" si="13">F17+F21</f>
        <v>28</v>
      </c>
      <c r="G23" s="18">
        <f t="shared" si="13"/>
        <v>0</v>
      </c>
      <c r="H23" s="18">
        <f t="shared" ref="H23" si="14">H17+H21</f>
        <v>60</v>
      </c>
      <c r="I23" s="18">
        <f t="shared" si="13"/>
        <v>32</v>
      </c>
      <c r="J23" s="18">
        <f t="shared" si="12"/>
        <v>4549</v>
      </c>
      <c r="K23" s="19">
        <f>SUM(B23:J23)</f>
        <v>20452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[3]American!$IL$47</f>
        <v>19207</v>
      </c>
      <c r="C28" s="12">
        <f>[3]Delta!$IL$47</f>
        <v>2852042</v>
      </c>
      <c r="D28" s="12">
        <f>[3]United!$IL$47</f>
        <v>51701</v>
      </c>
      <c r="E28" s="12">
        <f>[3]Spirit!$IL$47</f>
        <v>0</v>
      </c>
      <c r="F28" s="12">
        <f>[3]Condor!$IL$47</f>
        <v>66205</v>
      </c>
      <c r="G28" s="12">
        <f>'[3]Air France'!$IL$47</f>
        <v>0</v>
      </c>
      <c r="H28" s="12">
        <f>'[3]Jet Blue'!$IL$47</f>
        <v>0</v>
      </c>
      <c r="I28" s="12">
        <f>[3]KLM!$IL$47</f>
        <v>271258</v>
      </c>
      <c r="J28" s="12">
        <f>'Other Major Airline Stats'!K28</f>
        <v>217483</v>
      </c>
      <c r="K28" s="17">
        <f>SUM(B28:J28)</f>
        <v>3477896</v>
      </c>
    </row>
    <row r="29" spans="1:11" x14ac:dyDescent="0.2">
      <c r="A29" s="45" t="s">
        <v>38</v>
      </c>
      <c r="B29" s="7">
        <f>[3]American!$IL$48</f>
        <v>5753</v>
      </c>
      <c r="C29" s="7">
        <f>[3]Delta!$IL$48</f>
        <v>394125</v>
      </c>
      <c r="D29" s="7">
        <f>[3]United!$IL$48</f>
        <v>10558</v>
      </c>
      <c r="E29" s="7">
        <f>[3]Spirit!$IL$48</f>
        <v>0</v>
      </c>
      <c r="F29" s="7">
        <f>[3]Condor!$IL$48</f>
        <v>0</v>
      </c>
      <c r="G29" s="7">
        <f>'[3]Air France'!$IL$48</f>
        <v>0</v>
      </c>
      <c r="H29" s="7">
        <f>'[3]Jet Blue'!$IL$48</f>
        <v>0</v>
      </c>
      <c r="I29" s="7">
        <f>[3]KLM!$IL$48</f>
        <v>0</v>
      </c>
      <c r="J29" s="7">
        <f>'Other Major Airline Stats'!K29</f>
        <v>0</v>
      </c>
      <c r="K29" s="23">
        <f>SUM(B29:J29)</f>
        <v>410436</v>
      </c>
    </row>
    <row r="30" spans="1:11" x14ac:dyDescent="0.2">
      <c r="A30" s="49" t="s">
        <v>39</v>
      </c>
      <c r="B30" s="212">
        <f t="shared" ref="B30:J30" si="15">SUM(B28:B29)</f>
        <v>24960</v>
      </c>
      <c r="C30" s="212">
        <f t="shared" si="15"/>
        <v>3246167</v>
      </c>
      <c r="D30" s="212">
        <f t="shared" si="15"/>
        <v>62259</v>
      </c>
      <c r="E30" s="212">
        <f t="shared" si="15"/>
        <v>0</v>
      </c>
      <c r="F30" s="212">
        <f t="shared" ref="F30:I30" si="16">SUM(F28:F29)</f>
        <v>66205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271258</v>
      </c>
      <c r="J30" s="212">
        <f t="shared" si="15"/>
        <v>217483</v>
      </c>
      <c r="K30" s="17">
        <f>SUM(B30:J30)</f>
        <v>3888332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[3]American!$IL$52</f>
        <v>4204</v>
      </c>
      <c r="C33" s="12">
        <f>[3]Delta!$IL$52</f>
        <v>2037304</v>
      </c>
      <c r="D33" s="12">
        <f>[3]United!$IL$52</f>
        <v>37348</v>
      </c>
      <c r="E33" s="12">
        <f>[3]Spirit!$IL$52</f>
        <v>0</v>
      </c>
      <c r="F33" s="12">
        <f>[3]Condor!$IL$52</f>
        <v>0</v>
      </c>
      <c r="G33" s="12">
        <f>'[3]Air France'!$IL$52</f>
        <v>0</v>
      </c>
      <c r="H33" s="12">
        <f>'[3]Jet Blue'!$IL$52</f>
        <v>0</v>
      </c>
      <c r="I33" s="12">
        <f>[3]KLM!$IL$52</f>
        <v>76081</v>
      </c>
      <c r="J33" s="12">
        <f>'Other Major Airline Stats'!K33</f>
        <v>48250</v>
      </c>
      <c r="K33" s="17">
        <f t="shared" si="18"/>
        <v>2203187</v>
      </c>
    </row>
    <row r="34" spans="1:11" x14ac:dyDescent="0.2">
      <c r="A34" s="45" t="s">
        <v>38</v>
      </c>
      <c r="B34" s="7">
        <f>[3]American!$IL$53</f>
        <v>472</v>
      </c>
      <c r="C34" s="7">
        <f>[3]Delta!$IL$53</f>
        <v>360076</v>
      </c>
      <c r="D34" s="7">
        <f>[3]United!$IL$53</f>
        <v>477</v>
      </c>
      <c r="E34" s="7">
        <f>[3]Spirit!$IL$53</f>
        <v>0</v>
      </c>
      <c r="F34" s="7">
        <f>[3]Condor!$IL$53</f>
        <v>0</v>
      </c>
      <c r="G34" s="7">
        <f>'[3]Air France'!$IL$53</f>
        <v>0</v>
      </c>
      <c r="H34" s="7">
        <f>'[3]Jet Blue'!$IL$53</f>
        <v>0</v>
      </c>
      <c r="I34" s="7">
        <f>[3]KLM!$IL$53</f>
        <v>0</v>
      </c>
      <c r="J34" s="7">
        <f>'Other Major Airline Stats'!K34</f>
        <v>16637</v>
      </c>
      <c r="K34" s="23">
        <f t="shared" si="18"/>
        <v>377662</v>
      </c>
    </row>
    <row r="35" spans="1:11" x14ac:dyDescent="0.2">
      <c r="A35" s="49" t="s">
        <v>41</v>
      </c>
      <c r="B35" s="212">
        <f t="shared" ref="B35:J35" si="19">SUM(B33:B34)</f>
        <v>4676</v>
      </c>
      <c r="C35" s="212">
        <f t="shared" si="19"/>
        <v>2397380</v>
      </c>
      <c r="D35" s="212">
        <f t="shared" si="19"/>
        <v>37825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76081</v>
      </c>
      <c r="J35" s="212">
        <f t="shared" si="19"/>
        <v>64887</v>
      </c>
      <c r="K35" s="17">
        <f t="shared" si="18"/>
        <v>2580849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[3]American!$IL$57</f>
        <v>0</v>
      </c>
      <c r="C38" s="12">
        <f>[3]Delta!$IL$57</f>
        <v>0</v>
      </c>
      <c r="D38" s="12">
        <f>[3]United!$IL$57</f>
        <v>0</v>
      </c>
      <c r="E38" s="12">
        <f>[3]Spirit!$IL$57</f>
        <v>0</v>
      </c>
      <c r="F38" s="12">
        <f>[3]Condor!$IL$57</f>
        <v>0</v>
      </c>
      <c r="G38" s="12">
        <f>'[3]Air France'!$IL$57</f>
        <v>0</v>
      </c>
      <c r="H38" s="12">
        <f>'[3]Jet Blue'!$IL$57</f>
        <v>0</v>
      </c>
      <c r="I38" s="12">
        <f>[3]KLM!$IL$57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[3]American!$IL$58</f>
        <v>0</v>
      </c>
      <c r="C39" s="7">
        <f>[3]Delta!$IL$58</f>
        <v>0</v>
      </c>
      <c r="D39" s="7">
        <f>[3]United!$IL$58</f>
        <v>0</v>
      </c>
      <c r="E39" s="7">
        <f>[3]Spirit!$IL$58</f>
        <v>0</v>
      </c>
      <c r="F39" s="7">
        <f>[3]Condor!$IL$58</f>
        <v>0</v>
      </c>
      <c r="G39" s="7">
        <f>'[3]Air France'!$IL$58</f>
        <v>0</v>
      </c>
      <c r="H39" s="7">
        <f>'[3]Jet Blue'!$IL$58</f>
        <v>0</v>
      </c>
      <c r="I39" s="7">
        <f>[3]KLM!$IL$58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23411</v>
      </c>
      <c r="C43" s="12">
        <f t="shared" si="25"/>
        <v>4889346</v>
      </c>
      <c r="D43" s="12">
        <f t="shared" si="25"/>
        <v>89049</v>
      </c>
      <c r="E43" s="12">
        <f>E28+E33+E38</f>
        <v>0</v>
      </c>
      <c r="F43" s="12">
        <f t="shared" ref="F43:I43" si="26">F28+F33+F38</f>
        <v>66205</v>
      </c>
      <c r="G43" s="12">
        <f t="shared" si="26"/>
        <v>0</v>
      </c>
      <c r="H43" s="12">
        <f t="shared" ref="H43" si="27">H28+H33+H38</f>
        <v>0</v>
      </c>
      <c r="I43" s="12">
        <f t="shared" si="26"/>
        <v>347339</v>
      </c>
      <c r="J43" s="12">
        <f t="shared" si="25"/>
        <v>265733</v>
      </c>
      <c r="K43" s="17">
        <f>SUM(B43:J43)</f>
        <v>5681083</v>
      </c>
    </row>
    <row r="44" spans="1:11" x14ac:dyDescent="0.2">
      <c r="A44" s="45" t="s">
        <v>38</v>
      </c>
      <c r="B44" s="7">
        <f t="shared" si="25"/>
        <v>6225</v>
      </c>
      <c r="C44" s="7">
        <f t="shared" si="25"/>
        <v>754201</v>
      </c>
      <c r="D44" s="7">
        <f t="shared" si="25"/>
        <v>11035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16637</v>
      </c>
      <c r="K44" s="17">
        <f>SUM(B44:J44)</f>
        <v>788098</v>
      </c>
    </row>
    <row r="45" spans="1:11" ht="15.75" thickBot="1" x14ac:dyDescent="0.3">
      <c r="A45" s="46" t="s">
        <v>46</v>
      </c>
      <c r="B45" s="213">
        <f t="shared" ref="B45:J45" si="30">SUM(B43:B44)</f>
        <v>29636</v>
      </c>
      <c r="C45" s="213">
        <f t="shared" si="30"/>
        <v>5643547</v>
      </c>
      <c r="D45" s="213">
        <f t="shared" si="30"/>
        <v>100084</v>
      </c>
      <c r="E45" s="213">
        <f t="shared" si="30"/>
        <v>0</v>
      </c>
      <c r="F45" s="213">
        <f t="shared" ref="F45:I45" si="31">SUM(F43:F44)</f>
        <v>66205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347339</v>
      </c>
      <c r="J45" s="213">
        <f t="shared" si="30"/>
        <v>282370</v>
      </c>
      <c r="K45" s="214">
        <f>SUM(B45:J45)</f>
        <v>6469181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[3]Delta!$IL$70+[3]Delta!$IL$73</f>
        <v>542457</v>
      </c>
      <c r="D47" s="227"/>
      <c r="E47" s="227"/>
      <c r="F47" s="227"/>
      <c r="G47" s="227"/>
      <c r="H47" s="227"/>
      <c r="I47" s="227"/>
      <c r="J47" s="227"/>
      <c r="K47" s="228">
        <f>SUM(B47:J47)</f>
        <v>542457</v>
      </c>
    </row>
    <row r="48" spans="1:11" hidden="1" x14ac:dyDescent="0.2">
      <c r="A48" s="277" t="s">
        <v>121</v>
      </c>
      <c r="C48" s="239">
        <f>[3]Delta!$IL$71+[3]Delta!$IL$74</f>
        <v>470311</v>
      </c>
      <c r="D48" s="227"/>
      <c r="E48" s="227"/>
      <c r="F48" s="227"/>
      <c r="G48" s="227"/>
      <c r="H48" s="227"/>
      <c r="I48" s="227"/>
      <c r="J48" s="227"/>
      <c r="K48" s="228">
        <f>SUM(B48:J48)</f>
        <v>470311</v>
      </c>
    </row>
    <row r="49" spans="1:11" hidden="1" x14ac:dyDescent="0.2">
      <c r="A49" s="278" t="s">
        <v>122</v>
      </c>
      <c r="C49" s="240">
        <f>SUM(C47:C48)</f>
        <v>1012768</v>
      </c>
      <c r="K49" s="228">
        <f>SUM(B49:J49)</f>
        <v>1012768</v>
      </c>
    </row>
    <row r="50" spans="1:11" x14ac:dyDescent="0.2">
      <c r="A50" s="276" t="s">
        <v>120</v>
      </c>
      <c r="B50" s="287"/>
      <c r="C50" s="242">
        <f>[3]Delta!$IL$70+[3]Delta!$IL$73</f>
        <v>542457</v>
      </c>
      <c r="D50" s="287"/>
      <c r="E50" s="242">
        <f>[3]Spirit!$IL$70+[3]Spirit!$IL$73</f>
        <v>0</v>
      </c>
      <c r="F50" s="287"/>
      <c r="G50" s="287"/>
      <c r="H50" s="287"/>
      <c r="I50" s="287"/>
      <c r="J50" s="241">
        <f>'Other Major Airline Stats'!K48</f>
        <v>280277</v>
      </c>
      <c r="K50" s="231">
        <f>SUM(B50:J50)</f>
        <v>822734</v>
      </c>
    </row>
    <row r="51" spans="1:11" x14ac:dyDescent="0.2">
      <c r="A51" s="289" t="s">
        <v>121</v>
      </c>
      <c r="B51" s="287"/>
      <c r="C51" s="242">
        <f>[3]Delta!$IL$71+[3]Delta!$IL$74</f>
        <v>470311</v>
      </c>
      <c r="D51" s="287"/>
      <c r="E51" s="242">
        <f>[3]Spirit!$IL$71+[3]Spirit!$IL$74</f>
        <v>0</v>
      </c>
      <c r="F51" s="287"/>
      <c r="G51" s="287"/>
      <c r="H51" s="287"/>
      <c r="I51" s="287"/>
      <c r="J51" s="241">
        <f>+'Other Major Airline Stats'!K49</f>
        <v>290</v>
      </c>
      <c r="K51" s="231">
        <f>SUM(B51:J51)</f>
        <v>470601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topLeftCell="A2" zoomScaleNormal="100" workbookViewId="0">
      <selection activeCell="P46" sqref="P4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45108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[3]Frontier!$IL$22+[3]Frontier!$IL$32</f>
        <v>12263</v>
      </c>
      <c r="C5" s="95">
        <f>'[3]Allegiant '!$IL$22</f>
        <v>4037</v>
      </c>
      <c r="D5" s="95">
        <f>'[3]Aer Lingus'!$IL$22+'[3]Aer Lingus'!$IL$32</f>
        <v>0</v>
      </c>
      <c r="E5" s="95">
        <f>'[3]Denver Air'!$IL$22+'[3]Denver Air'!$IL$32</f>
        <v>902</v>
      </c>
      <c r="F5" s="95">
        <f>[3]WestJet!$IL$22+[3]WestJet!$IL$32</f>
        <v>4472</v>
      </c>
      <c r="G5" s="95">
        <f>[3]Icelandair!$IL$32</f>
        <v>6728</v>
      </c>
      <c r="H5" s="95">
        <f>[3]Southwest!$IL$22</f>
        <v>82034</v>
      </c>
      <c r="I5" s="95">
        <f>'[3]Sun Country'!$IL$22+'[3]Sun Country'!$IL$32</f>
        <v>197460</v>
      </c>
      <c r="J5" s="95">
        <f>[3]Alaska!$IL$22</f>
        <v>18047</v>
      </c>
      <c r="K5" s="118">
        <f>SUM(B5:J5)</f>
        <v>325943</v>
      </c>
      <c r="N5" s="95"/>
    </row>
    <row r="6" spans="1:14" x14ac:dyDescent="0.2">
      <c r="A6" s="45" t="s">
        <v>31</v>
      </c>
      <c r="B6" s="95">
        <f>[3]Frontier!$IL$23+[3]Frontier!$IL$33</f>
        <v>9427</v>
      </c>
      <c r="C6" s="95">
        <f>'[3]Allegiant '!$IL$23</f>
        <v>4087</v>
      </c>
      <c r="D6" s="95">
        <f>'[3]Aer Lingus'!$IL$23+'[3]Aer Lingus'!$IL$33</f>
        <v>0</v>
      </c>
      <c r="E6" s="95">
        <f>'[3]Denver Air'!$IL$23+'[3]Denver Air'!$IL$33</f>
        <v>922</v>
      </c>
      <c r="F6" s="95">
        <f>[3]WestJet!$IL$23+[3]WestJet!$IL$33</f>
        <v>4466</v>
      </c>
      <c r="G6" s="95">
        <f>[3]Icelandair!$IL$33</f>
        <v>5647</v>
      </c>
      <c r="H6" s="95">
        <f>[3]Southwest!$IL$23</f>
        <v>82750</v>
      </c>
      <c r="I6" s="95">
        <f>'[3]Sun Country'!$IL$23+'[3]Sun Country'!$IL$33</f>
        <v>197817</v>
      </c>
      <c r="J6" s="95">
        <f>[3]Alaska!$IL$23</f>
        <v>18017</v>
      </c>
      <c r="K6" s="118">
        <f>SUM(B6:J6)</f>
        <v>323133</v>
      </c>
    </row>
    <row r="7" spans="1:14" ht="15" x14ac:dyDescent="0.25">
      <c r="A7" s="43" t="s">
        <v>7</v>
      </c>
      <c r="B7" s="126">
        <f>SUM(B5:B6)</f>
        <v>21690</v>
      </c>
      <c r="C7" s="126">
        <f t="shared" ref="C7:F7" si="0">SUM(C5:C6)</f>
        <v>8124</v>
      </c>
      <c r="D7" s="126">
        <f>SUM(D5:D6)</f>
        <v>0</v>
      </c>
      <c r="E7" s="126">
        <f>SUM(E5:E6)</f>
        <v>1824</v>
      </c>
      <c r="F7" s="126">
        <f t="shared" si="0"/>
        <v>8938</v>
      </c>
      <c r="G7" s="126">
        <f t="shared" ref="G7:J7" si="1">SUM(G5:G6)</f>
        <v>12375</v>
      </c>
      <c r="H7" s="126">
        <f t="shared" si="1"/>
        <v>164784</v>
      </c>
      <c r="I7" s="126">
        <f>SUM(I5:I6)</f>
        <v>395277</v>
      </c>
      <c r="J7" s="126">
        <f t="shared" si="1"/>
        <v>36064</v>
      </c>
      <c r="K7" s="127">
        <f>SUM(B7:J7)</f>
        <v>649076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[3]Frontier!$IL$27+[3]Frontier!$IL$37</f>
        <v>76</v>
      </c>
      <c r="C10" s="125">
        <f>'[3]Allegiant '!$IL$27</f>
        <v>0</v>
      </c>
      <c r="D10" s="359">
        <f>'[3]Aer Lingus'!$IL$27+'[3]Aer Lingus'!$IL$37</f>
        <v>0</v>
      </c>
      <c r="E10" s="125">
        <f>'[3]Denver Air'!$IL$27+'[3]Denver Air'!$IL$37</f>
        <v>33</v>
      </c>
      <c r="F10" s="125">
        <f>[3]WestJet!$IL$27+[3]WestJet!$IL$37</f>
        <v>0</v>
      </c>
      <c r="G10" s="125">
        <f>[3]Icelandair!$IL$37</f>
        <v>35</v>
      </c>
      <c r="H10" s="125">
        <f>[3]Southwest!$IL$27</f>
        <v>1767</v>
      </c>
      <c r="I10" s="125">
        <f>'[3]Sun Country'!$IL$27+'[3]Sun Country'!$IL$37</f>
        <v>3102</v>
      </c>
      <c r="J10" s="125">
        <f>[3]Alaska!$IL$27</f>
        <v>527</v>
      </c>
      <c r="K10" s="118">
        <f>SUM(B10:J10)</f>
        <v>5540</v>
      </c>
    </row>
    <row r="11" spans="1:14" x14ac:dyDescent="0.2">
      <c r="A11" s="45" t="s">
        <v>33</v>
      </c>
      <c r="B11" s="128">
        <f>[3]Frontier!$IL$28+[3]Frontier!$IL$38</f>
        <v>51</v>
      </c>
      <c r="C11" s="128">
        <f>'[3]Allegiant '!$IL$28</f>
        <v>0</v>
      </c>
      <c r="D11" s="128">
        <f>'[3]Aer Lingus'!$IL$28+'[3]Aer Lingus'!$IL$38</f>
        <v>0</v>
      </c>
      <c r="E11" s="128">
        <f>'[3]Denver Air'!$IL$28+'[3]Denver Air'!$IL$38</f>
        <v>30</v>
      </c>
      <c r="F11" s="128">
        <f>[3]WestJet!$IL$28+[3]WestJet!$IL$38</f>
        <v>0</v>
      </c>
      <c r="G11" s="128">
        <f>[3]Icelandair!$IL$38</f>
        <v>28</v>
      </c>
      <c r="H11" s="128">
        <f>[3]Southwest!$IL$28</f>
        <v>1725</v>
      </c>
      <c r="I11" s="128">
        <f>'[3]Sun Country'!$IL$28+'[3]Sun Country'!$IL$38</f>
        <v>3267</v>
      </c>
      <c r="J11" s="128">
        <f>[3]Alaska!$IL$28</f>
        <v>586</v>
      </c>
      <c r="K11" s="118">
        <f>SUM(B11:J11)</f>
        <v>5687</v>
      </c>
    </row>
    <row r="12" spans="1:14" ht="15.75" thickBot="1" x14ac:dyDescent="0.3">
      <c r="A12" s="46" t="s">
        <v>34</v>
      </c>
      <c r="B12" s="121">
        <f>SUM(B10:B11)</f>
        <v>127</v>
      </c>
      <c r="C12" s="121">
        <f t="shared" ref="C12:F12" si="2">SUM(C10:C11)</f>
        <v>0</v>
      </c>
      <c r="D12" s="121">
        <f>SUM(D10:D11)</f>
        <v>0</v>
      </c>
      <c r="E12" s="121">
        <f>SUM(E10:E11)</f>
        <v>63</v>
      </c>
      <c r="F12" s="121">
        <f t="shared" si="2"/>
        <v>0</v>
      </c>
      <c r="G12" s="121">
        <f t="shared" ref="G12:J12" si="3">SUM(G10:G11)</f>
        <v>63</v>
      </c>
      <c r="H12" s="121">
        <f t="shared" si="3"/>
        <v>3492</v>
      </c>
      <c r="I12" s="121">
        <f>SUM(I10:I11)</f>
        <v>6369</v>
      </c>
      <c r="J12" s="121">
        <f t="shared" si="3"/>
        <v>1113</v>
      </c>
      <c r="K12" s="129">
        <f>SUM(B12:J12)</f>
        <v>11227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[3]Frontier!$IL$4+[3]Frontier!$IL$15</f>
        <v>66</v>
      </c>
      <c r="C16" s="85">
        <f>'[3]Allegiant '!$IL$4</f>
        <v>27</v>
      </c>
      <c r="D16" s="95">
        <f>'[3]Aer Lingus'!$IL$4+'[3]Aer Lingus'!$IL$15</f>
        <v>0</v>
      </c>
      <c r="E16" s="95">
        <f>'[3]Denver Air'!$IL$4+'[3]Denver Air'!$IL$15</f>
        <v>74</v>
      </c>
      <c r="F16" s="85">
        <f>[3]WestJet!$IL$4+[3]WestJet!$IL$15</f>
        <v>34</v>
      </c>
      <c r="G16" s="95">
        <f>[3]Icelandair!$IL$15</f>
        <v>31</v>
      </c>
      <c r="H16" s="85">
        <f>[3]Southwest!$IL$4</f>
        <v>679</v>
      </c>
      <c r="I16" s="95">
        <f>'[3]Sun Country'!$IL$4+'[3]Sun Country'!$IL$15</f>
        <v>1209</v>
      </c>
      <c r="J16" s="95">
        <f>[3]Alaska!$IL$4</f>
        <v>126</v>
      </c>
      <c r="K16" s="118">
        <f>SUM(B16:J16)</f>
        <v>2246</v>
      </c>
    </row>
    <row r="17" spans="1:258" x14ac:dyDescent="0.2">
      <c r="A17" s="45" t="s">
        <v>23</v>
      </c>
      <c r="B17" s="95">
        <f>[3]Frontier!$IL$5+[3]Frontier!$IL$16</f>
        <v>65</v>
      </c>
      <c r="C17" s="85">
        <f>'[3]Allegiant '!$IL$5</f>
        <v>27</v>
      </c>
      <c r="D17" s="95">
        <f>'[3]Aer Lingus'!$IL$5+'[3]Aer Lingus'!$IL$16</f>
        <v>0</v>
      </c>
      <c r="E17" s="95">
        <f>'[3]Denver Air'!$IL$5+'[3]Denver Air'!$IL$16</f>
        <v>74</v>
      </c>
      <c r="F17" s="85">
        <f>[3]WestJet!$IL$5+[3]WestJet!$IL$16</f>
        <v>34</v>
      </c>
      <c r="G17" s="95">
        <f>[3]Icelandair!$IL$16</f>
        <v>31</v>
      </c>
      <c r="H17" s="85">
        <f>[3]Southwest!$IL$5</f>
        <v>676</v>
      </c>
      <c r="I17" s="95">
        <f>'[3]Sun Country'!$IL$5+'[3]Sun Country'!$IL$16</f>
        <v>1198</v>
      </c>
      <c r="J17" s="95">
        <f>[3]Alaska!$IL$5</f>
        <v>126</v>
      </c>
      <c r="K17" s="118">
        <f>SUM(B17:J17)</f>
        <v>2231</v>
      </c>
    </row>
    <row r="18" spans="1:258" x14ac:dyDescent="0.2">
      <c r="A18" s="49" t="s">
        <v>24</v>
      </c>
      <c r="B18" s="119">
        <f t="shared" ref="B18" si="4">SUM(B16:B17)</f>
        <v>131</v>
      </c>
      <c r="C18" s="119">
        <f t="shared" ref="C18:F18" si="5">SUM(C16:C17)</f>
        <v>54</v>
      </c>
      <c r="D18" s="119">
        <f t="shared" si="5"/>
        <v>0</v>
      </c>
      <c r="E18" s="119">
        <f t="shared" si="5"/>
        <v>148</v>
      </c>
      <c r="F18" s="119">
        <f t="shared" si="5"/>
        <v>68</v>
      </c>
      <c r="G18" s="119">
        <f t="shared" ref="G18:J18" si="6">SUM(G16:G17)</f>
        <v>62</v>
      </c>
      <c r="H18" s="119">
        <f t="shared" si="6"/>
        <v>1355</v>
      </c>
      <c r="I18" s="119">
        <f t="shared" si="6"/>
        <v>2407</v>
      </c>
      <c r="J18" s="119">
        <f t="shared" si="6"/>
        <v>252</v>
      </c>
      <c r="K18" s="120">
        <f>SUM(B18:J18)</f>
        <v>4477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[3]Frontier!$IL$8</f>
        <v>0</v>
      </c>
      <c r="C20" s="95">
        <f>'[3]Allegiant '!$IL$8</f>
        <v>0</v>
      </c>
      <c r="D20" s="95">
        <f>'[3]Aer Lingus'!$IL$8</f>
        <v>0</v>
      </c>
      <c r="E20" s="95">
        <f>'[3]Denver Air'!$IL$8</f>
        <v>0</v>
      </c>
      <c r="F20" s="95">
        <f>[3]WestJet!$IL$8</f>
        <v>0</v>
      </c>
      <c r="G20" s="95">
        <f>[3]Icelandair!$IL$8</f>
        <v>0</v>
      </c>
      <c r="H20" s="95">
        <f>[3]Southwest!$IL$8</f>
        <v>0</v>
      </c>
      <c r="I20" s="95">
        <f>'[3]Sun Country'!$IL$8</f>
        <v>36</v>
      </c>
      <c r="J20" s="95">
        <f>[3]Alaska!$IL$8</f>
        <v>1</v>
      </c>
      <c r="K20" s="118">
        <f>SUM(B20:J20)</f>
        <v>37</v>
      </c>
    </row>
    <row r="21" spans="1:258" x14ac:dyDescent="0.2">
      <c r="A21" s="45" t="s">
        <v>26</v>
      </c>
      <c r="B21" s="95">
        <f>[3]Frontier!$IL$9</f>
        <v>0</v>
      </c>
      <c r="C21" s="95">
        <f>'[3]Allegiant '!$IL$9</f>
        <v>0</v>
      </c>
      <c r="D21" s="95">
        <f>'[3]Aer Lingus'!$IL$9</f>
        <v>0</v>
      </c>
      <c r="E21" s="95">
        <f>'[3]Denver Air'!$IL$9</f>
        <v>0</v>
      </c>
      <c r="F21" s="95">
        <f>[3]WestJet!$IL$9</f>
        <v>0</v>
      </c>
      <c r="G21" s="95">
        <f>[3]Icelandair!$IL$9</f>
        <v>0</v>
      </c>
      <c r="H21" s="95">
        <f>[3]Southwest!$IL$9</f>
        <v>0</v>
      </c>
      <c r="I21" s="95">
        <f>'[3]Sun Country'!$IL$9</f>
        <v>34</v>
      </c>
      <c r="J21" s="95">
        <f>[3]Alaska!$IL$9</f>
        <v>1</v>
      </c>
      <c r="K21" s="118">
        <f>SUM(B21:J21)</f>
        <v>35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70</v>
      </c>
      <c r="J22" s="119">
        <f t="shared" si="9"/>
        <v>2</v>
      </c>
      <c r="K22" s="120">
        <f>SUM(B22:J22)</f>
        <v>72</v>
      </c>
    </row>
    <row r="23" spans="1:258" ht="15.75" thickBot="1" x14ac:dyDescent="0.3">
      <c r="A23" s="46" t="s">
        <v>28</v>
      </c>
      <c r="B23" s="121">
        <f t="shared" ref="B23" si="10">B22+B18</f>
        <v>131</v>
      </c>
      <c r="C23" s="121">
        <f t="shared" ref="C23:F23" si="11">C22+C18</f>
        <v>54</v>
      </c>
      <c r="D23" s="121">
        <f t="shared" si="11"/>
        <v>0</v>
      </c>
      <c r="E23" s="121">
        <f t="shared" si="11"/>
        <v>148</v>
      </c>
      <c r="F23" s="121">
        <f t="shared" si="11"/>
        <v>68</v>
      </c>
      <c r="G23" s="121">
        <f t="shared" ref="G23:J23" si="12">G22+G18</f>
        <v>62</v>
      </c>
      <c r="H23" s="121">
        <f t="shared" si="12"/>
        <v>1355</v>
      </c>
      <c r="I23" s="121">
        <f>I22+I18</f>
        <v>2477</v>
      </c>
      <c r="J23" s="121">
        <f t="shared" si="12"/>
        <v>254</v>
      </c>
      <c r="K23" s="122">
        <f>SUM(B23:J23)</f>
        <v>4549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[3]Frontier!$IL$47</f>
        <v>0</v>
      </c>
      <c r="C28" s="95">
        <f>'[3]Allegiant '!$IL$47</f>
        <v>0</v>
      </c>
      <c r="D28" s="95">
        <f>'[3]Aer Lingus'!$IL$47</f>
        <v>0</v>
      </c>
      <c r="E28" s="95">
        <f>'[3]Denver Air'!$IL$47</f>
        <v>0</v>
      </c>
      <c r="F28" s="95">
        <f>[3]WestJet!$IL$47</f>
        <v>0</v>
      </c>
      <c r="G28" s="95">
        <f>[3]Icelandair!$IL$47</f>
        <v>141</v>
      </c>
      <c r="H28" s="95">
        <f>[3]Southwest!$IL$47</f>
        <v>167577</v>
      </c>
      <c r="I28" s="95">
        <f>'[3]Sun Country'!$IL$47</f>
        <v>0</v>
      </c>
      <c r="J28" s="95">
        <f>[3]Alaska!$IL$47</f>
        <v>49765</v>
      </c>
      <c r="K28" s="118">
        <f>SUM(B28:J28)</f>
        <v>217483</v>
      </c>
    </row>
    <row r="29" spans="1:258" x14ac:dyDescent="0.2">
      <c r="A29" s="45" t="s">
        <v>38</v>
      </c>
      <c r="B29" s="95">
        <f>[3]Frontier!$IL$48</f>
        <v>0</v>
      </c>
      <c r="C29" s="95">
        <f>'[3]Allegiant '!$IL$48</f>
        <v>0</v>
      </c>
      <c r="D29" s="95">
        <f>'[3]Aer Lingus'!$IL$48</f>
        <v>0</v>
      </c>
      <c r="E29" s="95">
        <f>'[3]Denver Air'!$IL$48</f>
        <v>0</v>
      </c>
      <c r="F29" s="95">
        <f>[3]WestJet!$IL$48</f>
        <v>0</v>
      </c>
      <c r="G29" s="95">
        <f>[3]Icelandair!$IL$48</f>
        <v>0</v>
      </c>
      <c r="H29" s="95">
        <f>[3]Southwest!$IL$48</f>
        <v>0</v>
      </c>
      <c r="I29" s="95">
        <f>'[3]Sun Country'!$IL$48</f>
        <v>0</v>
      </c>
      <c r="J29" s="95">
        <f>[3]Alaska!$IL$48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141</v>
      </c>
      <c r="H30" s="133">
        <f t="shared" si="15"/>
        <v>167577</v>
      </c>
      <c r="I30" s="133">
        <f t="shared" si="15"/>
        <v>0</v>
      </c>
      <c r="J30" s="133">
        <f t="shared" si="15"/>
        <v>49765</v>
      </c>
      <c r="K30" s="135">
        <f>SUM(B30:J30)</f>
        <v>217483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[3]Frontier!$IL$52</f>
        <v>0</v>
      </c>
      <c r="C33" s="95">
        <f>'[3]Allegiant '!$IL$52</f>
        <v>0</v>
      </c>
      <c r="D33" s="95">
        <f>'[3]Aer Lingus'!$IL$52</f>
        <v>0</v>
      </c>
      <c r="E33" s="95">
        <f>'[3]Denver Air'!$IL$52</f>
        <v>0</v>
      </c>
      <c r="F33" s="95">
        <f>[3]WestJet!$IL$52</f>
        <v>0</v>
      </c>
      <c r="G33" s="95">
        <f>[3]Icelandair!$IL$52</f>
        <v>0</v>
      </c>
      <c r="H33" s="95">
        <f>[3]Southwest!$IL$52</f>
        <v>46613</v>
      </c>
      <c r="I33" s="95">
        <f>'[3]Sun Country'!$IL$52</f>
        <v>0</v>
      </c>
      <c r="J33" s="95">
        <f>[3]Alaska!$IL$52</f>
        <v>1637</v>
      </c>
      <c r="K33" s="118">
        <f>SUM(B33:J33)</f>
        <v>48250</v>
      </c>
    </row>
    <row r="34" spans="1:11" x14ac:dyDescent="0.2">
      <c r="A34" s="45" t="s">
        <v>38</v>
      </c>
      <c r="B34" s="95">
        <f>[3]Frontier!$IL$53</f>
        <v>0</v>
      </c>
      <c r="C34" s="95">
        <f>'[3]Allegiant '!$IL$53</f>
        <v>0</v>
      </c>
      <c r="D34" s="95">
        <f>'[3]Aer Lingus'!$IL$53</f>
        <v>0</v>
      </c>
      <c r="E34" s="95">
        <f>'[3]Denver Air'!$IL$53</f>
        <v>0</v>
      </c>
      <c r="F34" s="95">
        <f>[3]WestJet!$IL$53</f>
        <v>0</v>
      </c>
      <c r="G34" s="95">
        <f>[3]Icelandair!$IL$53</f>
        <v>0</v>
      </c>
      <c r="H34" s="95">
        <f>[3]Southwest!$IL$53</f>
        <v>0</v>
      </c>
      <c r="I34" s="95">
        <f>'[3]Sun Country'!$IL$53</f>
        <v>0</v>
      </c>
      <c r="J34" s="95">
        <f>[3]Alaska!$IL$53</f>
        <v>16637</v>
      </c>
      <c r="K34" s="134">
        <f>SUM(B34:J34)</f>
        <v>16637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46613</v>
      </c>
      <c r="I35" s="119">
        <f t="shared" si="18"/>
        <v>0</v>
      </c>
      <c r="J35" s="119">
        <f t="shared" si="18"/>
        <v>18274</v>
      </c>
      <c r="K35" s="135">
        <f>SUM(B35:J35)</f>
        <v>64887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[3]Frontier!$IL$57</f>
        <v>0</v>
      </c>
      <c r="C38" s="125">
        <f>'[3]Allegiant '!$IL$57</f>
        <v>0</v>
      </c>
      <c r="D38" s="359">
        <f>'[3]Aer Lingus'!$IL$57</f>
        <v>0</v>
      </c>
      <c r="E38" s="125">
        <f>'[3]Denver Air'!$IL$57</f>
        <v>0</v>
      </c>
      <c r="F38" s="125">
        <f>[3]WestJet!$IL$57</f>
        <v>0</v>
      </c>
      <c r="G38" s="125">
        <f>[3]Icelandair!$IL$57</f>
        <v>0</v>
      </c>
      <c r="H38" s="125">
        <f>[3]Southwest!$IL$57</f>
        <v>0</v>
      </c>
      <c r="I38" s="125">
        <f>'[3]Sun Country'!$IL$57</f>
        <v>0</v>
      </c>
      <c r="J38" s="125">
        <f>[3]Alaska!$IL$57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[3]Frontier!$IL$58</f>
        <v>0</v>
      </c>
      <c r="C39" s="128">
        <f>'[3]Allegiant '!$IL$58</f>
        <v>0</v>
      </c>
      <c r="D39" s="128">
        <f>'[3]Aer Lingus'!$IL$58</f>
        <v>0</v>
      </c>
      <c r="E39" s="128">
        <f>'[3]Denver Air'!$IL$58</f>
        <v>0</v>
      </c>
      <c r="F39" s="128">
        <f>[3]WestJet!$IL$58</f>
        <v>0</v>
      </c>
      <c r="G39" s="128">
        <f>[3]Icelandair!$IL$58</f>
        <v>0</v>
      </c>
      <c r="H39" s="128">
        <f>[3]Southwest!$IL$58</f>
        <v>0</v>
      </c>
      <c r="I39" s="128">
        <f>'[3]Sun Country'!$IL$58</f>
        <v>0</v>
      </c>
      <c r="J39" s="128">
        <f>[3]Alaska!$IL$58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141</v>
      </c>
      <c r="H43" s="125">
        <f t="shared" si="24"/>
        <v>214190</v>
      </c>
      <c r="I43" s="125">
        <f t="shared" si="24"/>
        <v>0</v>
      </c>
      <c r="J43" s="125">
        <f t="shared" si="24"/>
        <v>51402</v>
      </c>
      <c r="K43" s="118">
        <f>SUM(B43:J43)</f>
        <v>265733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16637</v>
      </c>
      <c r="K44" s="118">
        <f>SUM(B44:J44)</f>
        <v>16637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141</v>
      </c>
      <c r="H45" s="137">
        <f t="shared" si="30"/>
        <v>214190</v>
      </c>
      <c r="I45" s="137">
        <f t="shared" si="30"/>
        <v>0</v>
      </c>
      <c r="J45" s="137">
        <f t="shared" si="30"/>
        <v>68039</v>
      </c>
      <c r="K45" s="138">
        <f>SUM(B45:J45)</f>
        <v>282370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[3]Southwest!$IL$70+[3]Southwest!$IL$73</f>
        <v>82460</v>
      </c>
      <c r="I48" s="242">
        <f>'[3]Sun Country'!$IL$70+'[3]Sun Country'!$IL$73</f>
        <v>197817</v>
      </c>
      <c r="J48" s="287"/>
      <c r="K48" s="231">
        <f>SUM(B48:J48)</f>
        <v>280277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[3]Southwest!$IL$71+[3]Southwest!$IL$74</f>
        <v>290</v>
      </c>
      <c r="I49" s="242">
        <f>'[3]Sun Country'!$IL$71+'[3]Sun Country'!$IL$74</f>
        <v>0</v>
      </c>
      <c r="J49" s="287"/>
      <c r="K49" s="231">
        <f>SUM(B49:J49)</f>
        <v>290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July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G4" sqref="G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45108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[3]Pinnacle!$IL$22+[3]Pinnacle!$IL$32</f>
        <v>52150</v>
      </c>
      <c r="C5" s="87">
        <f>[3]MESA_UA!$IL$22</f>
        <v>4896</v>
      </c>
      <c r="D5" s="95">
        <f>'[3]Sky West'!$IL$22+'[3]Sky West'!$IL$32</f>
        <v>100327</v>
      </c>
      <c r="E5" s="95">
        <f>'[3]Sky West_UA'!$IL$22</f>
        <v>121</v>
      </c>
      <c r="F5" s="95">
        <f>'[3]Sky West_AS'!$IL$22</f>
        <v>0</v>
      </c>
      <c r="G5" s="95">
        <f>'[3]Sky West_AA'!$IL$22</f>
        <v>0</v>
      </c>
      <c r="H5" s="95">
        <f>[3]Republic!$IL$22</f>
        <v>4482</v>
      </c>
      <c r="I5" s="95">
        <f>[3]Republic_UA!$IL$22</f>
        <v>66</v>
      </c>
      <c r="J5" s="95">
        <f>'[3]Sky Regional'!$IL$32</f>
        <v>0</v>
      </c>
      <c r="K5" s="95">
        <f>'[3]American Eagle'!$IL$22</f>
        <v>5156</v>
      </c>
      <c r="L5" s="95">
        <f>'Other Regional'!L5</f>
        <v>13427</v>
      </c>
      <c r="M5" s="88">
        <f>SUM(B5:L5)</f>
        <v>180625</v>
      </c>
    </row>
    <row r="6" spans="1:16" s="6" customFormat="1" x14ac:dyDescent="0.2">
      <c r="A6" s="45" t="s">
        <v>31</v>
      </c>
      <c r="B6" s="87">
        <f>[3]Pinnacle!$IL$23+[3]Pinnacle!$IL$33</f>
        <v>52094</v>
      </c>
      <c r="C6" s="87">
        <f>[3]MESA_UA!$IL$23</f>
        <v>4958</v>
      </c>
      <c r="D6" s="95">
        <f>'[3]Sky West'!$IL$23+'[3]Sky West'!$IL$33</f>
        <v>100810</v>
      </c>
      <c r="E6" s="95">
        <f>'[3]Sky West_UA'!$IL$23</f>
        <v>26</v>
      </c>
      <c r="F6" s="95">
        <f>'[3]Sky West_AS'!$IL$23</f>
        <v>0</v>
      </c>
      <c r="G6" s="95">
        <f>'[3]Sky West_AA'!$IL$23</f>
        <v>0</v>
      </c>
      <c r="H6" s="95">
        <f>[3]Republic!$IL$23</f>
        <v>4561</v>
      </c>
      <c r="I6" s="95">
        <f>[3]Republic_UA!$IL$23</f>
        <v>69</v>
      </c>
      <c r="J6" s="95">
        <f>'[3]Sky Regional'!$IL$33</f>
        <v>0</v>
      </c>
      <c r="K6" s="95">
        <f>'[3]American Eagle'!$IL$23</f>
        <v>5357</v>
      </c>
      <c r="L6" s="95">
        <f>'Other Regional'!L6</f>
        <v>12245</v>
      </c>
      <c r="M6" s="92">
        <f>SUM(B6:L6)</f>
        <v>180120</v>
      </c>
    </row>
    <row r="7" spans="1:16" ht="15" thickBot="1" x14ac:dyDescent="0.25">
      <c r="A7" s="54" t="s">
        <v>7</v>
      </c>
      <c r="B7" s="105">
        <f>SUM(B5:B6)</f>
        <v>104244</v>
      </c>
      <c r="C7" s="105">
        <f t="shared" ref="C7:L7" si="0">SUM(C5:C6)</f>
        <v>9854</v>
      </c>
      <c r="D7" s="105">
        <f t="shared" si="0"/>
        <v>201137</v>
      </c>
      <c r="E7" s="105">
        <f t="shared" si="0"/>
        <v>147</v>
      </c>
      <c r="F7" s="105">
        <f t="shared" ref="F7:G7" si="1">SUM(F5:F6)</f>
        <v>0</v>
      </c>
      <c r="G7" s="105">
        <f t="shared" si="1"/>
        <v>0</v>
      </c>
      <c r="H7" s="105">
        <f t="shared" si="0"/>
        <v>9043</v>
      </c>
      <c r="I7" s="105">
        <f t="shared" si="0"/>
        <v>135</v>
      </c>
      <c r="J7" s="105">
        <f t="shared" si="0"/>
        <v>0</v>
      </c>
      <c r="K7" s="105">
        <f t="shared" si="0"/>
        <v>10513</v>
      </c>
      <c r="L7" s="105">
        <f t="shared" si="0"/>
        <v>25672</v>
      </c>
      <c r="M7" s="106">
        <f>SUM(B7:L7)</f>
        <v>360745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[3]Pinnacle!$IL$27+[3]Pinnacle!$IL$37</f>
        <v>1374</v>
      </c>
      <c r="C10" s="87">
        <f>[3]MESA_UA!$IL$27</f>
        <v>168</v>
      </c>
      <c r="D10" s="95">
        <f>'[3]Sky West'!$IL$27+'[3]Sky West'!$IL$37</f>
        <v>2880</v>
      </c>
      <c r="E10" s="95">
        <f>'[3]Sky West_UA'!$IL$27</f>
        <v>4</v>
      </c>
      <c r="F10" s="95">
        <f>'[3]Sky West_AS'!$IL$27</f>
        <v>0</v>
      </c>
      <c r="G10" s="95">
        <f>'[3]Sky West_AA'!$IL$27</f>
        <v>0</v>
      </c>
      <c r="H10" s="95">
        <f>[3]Republic!$IL$27</f>
        <v>195</v>
      </c>
      <c r="I10" s="95">
        <f>[3]Republic_UA!$IL$27</f>
        <v>0</v>
      </c>
      <c r="J10" s="95">
        <f>'[3]Sky Regional'!$IL$37</f>
        <v>0</v>
      </c>
      <c r="K10" s="95">
        <f>'[3]American Eagle'!$IL$27</f>
        <v>247</v>
      </c>
      <c r="L10" s="95">
        <f>'Other Regional'!L10</f>
        <v>240</v>
      </c>
      <c r="M10" s="88">
        <f>SUM(B10:L10)</f>
        <v>5108</v>
      </c>
    </row>
    <row r="11" spans="1:16" x14ac:dyDescent="0.2">
      <c r="A11" s="45" t="s">
        <v>33</v>
      </c>
      <c r="B11" s="87">
        <f>[3]Pinnacle!$IL$28+[3]Pinnacle!$IL$38</f>
        <v>1533</v>
      </c>
      <c r="C11" s="87">
        <f>[3]MESA_UA!$IL$28</f>
        <v>206</v>
      </c>
      <c r="D11" s="95">
        <f>'[3]Sky West'!$IL$28+'[3]Sky West'!$IL$38</f>
        <v>2865</v>
      </c>
      <c r="E11" s="95">
        <f>'[3]Sky West_UA'!$IL$28</f>
        <v>8</v>
      </c>
      <c r="F11" s="95">
        <f>'[3]Sky West_AS'!$IL$28</f>
        <v>0</v>
      </c>
      <c r="G11" s="95">
        <f>'[3]Sky West_AA'!$IL$28</f>
        <v>0</v>
      </c>
      <c r="H11" s="95">
        <f>[3]Republic!$IL$28</f>
        <v>202</v>
      </c>
      <c r="I11" s="95">
        <f>[3]Republic_UA!$IL$28</f>
        <v>1</v>
      </c>
      <c r="J11" s="95">
        <f>'[3]Sky Regional'!$IL$38</f>
        <v>0</v>
      </c>
      <c r="K11" s="95">
        <f>'[3]American Eagle'!$IL$28</f>
        <v>266</v>
      </c>
      <c r="L11" s="95">
        <f>'Other Regional'!L11</f>
        <v>217</v>
      </c>
      <c r="M11" s="92">
        <f>SUM(B11:L11)</f>
        <v>5298</v>
      </c>
    </row>
    <row r="12" spans="1:16" ht="15" thickBot="1" x14ac:dyDescent="0.25">
      <c r="A12" s="55" t="s">
        <v>34</v>
      </c>
      <c r="B12" s="108">
        <f t="shared" ref="B12:L12" si="2">SUM(B10:B11)</f>
        <v>2907</v>
      </c>
      <c r="C12" s="108">
        <f t="shared" si="2"/>
        <v>374</v>
      </c>
      <c r="D12" s="108">
        <f t="shared" si="2"/>
        <v>5745</v>
      </c>
      <c r="E12" s="108">
        <f t="shared" si="2"/>
        <v>12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397</v>
      </c>
      <c r="I12" s="108">
        <f t="shared" si="2"/>
        <v>1</v>
      </c>
      <c r="J12" s="108">
        <f t="shared" si="2"/>
        <v>0</v>
      </c>
      <c r="K12" s="108">
        <f t="shared" si="2"/>
        <v>513</v>
      </c>
      <c r="L12" s="108">
        <f t="shared" si="2"/>
        <v>457</v>
      </c>
      <c r="M12" s="109">
        <f>SUM(B12:L12)</f>
        <v>10406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[3]Pinnacle!$IL$4+[3]Pinnacle!$IL$15</f>
        <v>780</v>
      </c>
      <c r="C15" s="86">
        <f>[3]MESA_UA!$IL$4</f>
        <v>74</v>
      </c>
      <c r="D15" s="85">
        <f>'[3]Sky West'!$IL$4+'[3]Sky West'!$IL$15</f>
        <v>1993</v>
      </c>
      <c r="E15" s="85">
        <f>'[3]Sky West_UA'!$IL$4</f>
        <v>3</v>
      </c>
      <c r="F15" s="85">
        <f>'[3]Sky West_AS'!$IL$4</f>
        <v>0</v>
      </c>
      <c r="G15" s="85">
        <f>'[3]Sky West_AA'!$IL$4</f>
        <v>0</v>
      </c>
      <c r="H15" s="87">
        <f>[3]Republic!$IL$4</f>
        <v>74</v>
      </c>
      <c r="I15" s="333">
        <f>[3]Republic_UA!$IL$4</f>
        <v>1</v>
      </c>
      <c r="J15" s="333">
        <f>'[3]Sky Regional'!$IL$15</f>
        <v>0</v>
      </c>
      <c r="K15" s="87">
        <f>'[3]American Eagle'!$IL$4</f>
        <v>84</v>
      </c>
      <c r="L15" s="86">
        <f>'Other Regional'!L15</f>
        <v>221</v>
      </c>
      <c r="M15" s="88">
        <f t="shared" ref="M15:M20" si="5">SUM(B15:L15)</f>
        <v>3230</v>
      </c>
    </row>
    <row r="16" spans="1:16" x14ac:dyDescent="0.2">
      <c r="A16" s="45" t="s">
        <v>54</v>
      </c>
      <c r="B16" s="7">
        <f>[3]Pinnacle!$IL$5+[3]Pinnacle!$IL$16</f>
        <v>779</v>
      </c>
      <c r="C16" s="90">
        <f>[3]MESA_UA!$IL$5</f>
        <v>75</v>
      </c>
      <c r="D16" s="89">
        <f>'[3]Sky West'!$IL$5+'[3]Sky West'!$IL$16</f>
        <v>1988</v>
      </c>
      <c r="E16" s="89">
        <f>'[3]Sky West_UA'!$IL$5</f>
        <v>3</v>
      </c>
      <c r="F16" s="89">
        <f>'[3]Sky West_AS'!$IL$5</f>
        <v>0</v>
      </c>
      <c r="G16" s="89">
        <f>'[3]Sky West_AA'!$IL$5</f>
        <v>0</v>
      </c>
      <c r="H16" s="91">
        <f>[3]Republic!$IL$5</f>
        <v>73</v>
      </c>
      <c r="I16" s="218">
        <f>[3]Republic_UA!$IL$5</f>
        <v>1</v>
      </c>
      <c r="J16" s="218">
        <f>'[3]Sky Regional'!$IL$16</f>
        <v>0</v>
      </c>
      <c r="K16" s="91">
        <f>'[3]American Eagle'!$IL$5</f>
        <v>83</v>
      </c>
      <c r="L16" s="90">
        <f>'Other Regional'!L16</f>
        <v>219</v>
      </c>
      <c r="M16" s="92">
        <f t="shared" si="5"/>
        <v>3221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1559</v>
      </c>
      <c r="C17" s="93">
        <f t="shared" si="6"/>
        <v>149</v>
      </c>
      <c r="D17" s="93">
        <f t="shared" si="6"/>
        <v>3981</v>
      </c>
      <c r="E17" s="93">
        <f t="shared" si="6"/>
        <v>6</v>
      </c>
      <c r="F17" s="93">
        <f t="shared" ref="F17:G17" si="7">SUM(F15:F16)</f>
        <v>0</v>
      </c>
      <c r="G17" s="93">
        <f t="shared" si="7"/>
        <v>0</v>
      </c>
      <c r="H17" s="93">
        <f>SUM(H15:H16)</f>
        <v>147</v>
      </c>
      <c r="I17" s="93">
        <f t="shared" ref="I17:J17" si="8">SUM(I15:I16)</f>
        <v>2</v>
      </c>
      <c r="J17" s="93">
        <f t="shared" si="8"/>
        <v>0</v>
      </c>
      <c r="K17" s="93">
        <f>SUM(K15:K16)</f>
        <v>167</v>
      </c>
      <c r="L17" s="93">
        <f>SUM(L15:L16)</f>
        <v>440</v>
      </c>
      <c r="M17" s="94">
        <f t="shared" si="5"/>
        <v>6451</v>
      </c>
    </row>
    <row r="18" spans="1:13" x14ac:dyDescent="0.2">
      <c r="A18" s="45" t="s">
        <v>56</v>
      </c>
      <c r="B18" s="95">
        <f>[3]Pinnacle!$IL$8</f>
        <v>0</v>
      </c>
      <c r="C18" s="87">
        <f>[3]MESA_UA!$IL$8</f>
        <v>0</v>
      </c>
      <c r="D18" s="95">
        <f>'[3]Sky West'!$IL$8</f>
        <v>0</v>
      </c>
      <c r="E18" s="95">
        <f>'[3]Sky West_UA'!$IL$8</f>
        <v>0</v>
      </c>
      <c r="F18" s="95">
        <f>'[3]Sky West_AS'!$IL$8</f>
        <v>0</v>
      </c>
      <c r="G18" s="95">
        <f>'[3]Sky West_AA'!$IL$8</f>
        <v>0</v>
      </c>
      <c r="H18" s="95">
        <f>[3]Republic!$IL$8</f>
        <v>0</v>
      </c>
      <c r="I18" s="95">
        <f>[3]Republic_UA!$IL$8</f>
        <v>0</v>
      </c>
      <c r="J18" s="95">
        <f>'[3]Sky Regional'!$IL$8</f>
        <v>0</v>
      </c>
      <c r="K18" s="95">
        <f>'[3]American Eagle'!$IL$8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[3]Pinnacle!$IL$9</f>
        <v>1</v>
      </c>
      <c r="C19" s="91">
        <f>[3]MESA_UA!$IL$9</f>
        <v>0</v>
      </c>
      <c r="D19" s="96">
        <f>'[3]Sky West'!$IL$9</f>
        <v>4</v>
      </c>
      <c r="E19" s="96">
        <f>'[3]Sky West_UA'!$IL$9</f>
        <v>0</v>
      </c>
      <c r="F19" s="96">
        <f>'[3]Sky West_AS'!$IL$9</f>
        <v>0</v>
      </c>
      <c r="G19" s="96">
        <f>'[3]Sky West_AA'!$IL$9</f>
        <v>0</v>
      </c>
      <c r="H19" s="96">
        <f>[3]Republic!$IL$9</f>
        <v>0</v>
      </c>
      <c r="I19" s="96">
        <f>[3]Republic_UA!$IL$9</f>
        <v>0</v>
      </c>
      <c r="J19" s="96">
        <f>'[3]Sky Regional'!$IL$9</f>
        <v>0</v>
      </c>
      <c r="K19" s="96">
        <f>'[3]American Eagle'!$IL$9</f>
        <v>0</v>
      </c>
      <c r="L19" s="96">
        <f>'Other Regional'!L19</f>
        <v>1</v>
      </c>
      <c r="M19" s="92">
        <f t="shared" si="5"/>
        <v>6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4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1</v>
      </c>
      <c r="M20" s="94">
        <f t="shared" si="5"/>
        <v>6</v>
      </c>
    </row>
    <row r="21" spans="1:13" ht="15.75" thickBot="1" x14ac:dyDescent="0.3">
      <c r="A21" s="53" t="s">
        <v>28</v>
      </c>
      <c r="B21" s="97">
        <f>SUM(B20,B17)</f>
        <v>1560</v>
      </c>
      <c r="C21" s="97">
        <f t="shared" ref="C21:K21" si="11">SUM(C20,C17)</f>
        <v>149</v>
      </c>
      <c r="D21" s="97">
        <f t="shared" si="11"/>
        <v>3985</v>
      </c>
      <c r="E21" s="97">
        <f t="shared" si="11"/>
        <v>6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147</v>
      </c>
      <c r="I21" s="97">
        <f t="shared" si="11"/>
        <v>2</v>
      </c>
      <c r="J21" s="97">
        <f t="shared" si="11"/>
        <v>0</v>
      </c>
      <c r="K21" s="97">
        <f t="shared" si="11"/>
        <v>167</v>
      </c>
      <c r="L21" s="97">
        <f>SUM(L20,L17)</f>
        <v>441</v>
      </c>
      <c r="M21" s="98">
        <f>SUM(B21:L21)</f>
        <v>6457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[3]Pinnacle!$IL$47</f>
        <v>0</v>
      </c>
      <c r="C25" s="87">
        <f>[3]MESA_UA!$IL$47</f>
        <v>0</v>
      </c>
      <c r="D25" s="95">
        <f>'[3]Sky West'!$IL$47</f>
        <v>0</v>
      </c>
      <c r="E25" s="95">
        <f>'[3]Sky West_UA'!$IL$47</f>
        <v>0</v>
      </c>
      <c r="F25" s="95">
        <f>'[3]Sky West_AS'!$IL$47</f>
        <v>0</v>
      </c>
      <c r="G25" s="95">
        <f>'[3]Sky West_AA'!$IL$47</f>
        <v>0</v>
      </c>
      <c r="H25" s="95">
        <f>[3]Republic!$IL$47</f>
        <v>471</v>
      </c>
      <c r="I25" s="95">
        <f>[3]Republic_UA!$IL$47</f>
        <v>0</v>
      </c>
      <c r="J25" s="95">
        <f>'[3]Sky Regional'!$IL$47</f>
        <v>0</v>
      </c>
      <c r="K25" s="95">
        <f>'[3]American Eagle'!$IL$47</f>
        <v>1380</v>
      </c>
      <c r="L25" s="95">
        <f>'Other Regional'!L25</f>
        <v>45014.400000000001</v>
      </c>
      <c r="M25" s="88">
        <f>SUM(B25:L25)</f>
        <v>46865.4</v>
      </c>
    </row>
    <row r="26" spans="1:13" x14ac:dyDescent="0.2">
      <c r="A26" s="45" t="s">
        <v>38</v>
      </c>
      <c r="B26" s="95">
        <f>[3]Pinnacle!$IL$48</f>
        <v>0</v>
      </c>
      <c r="C26" s="87">
        <f>[3]MESA_UA!$IL$48</f>
        <v>0</v>
      </c>
      <c r="D26" s="95">
        <f>'[3]Sky West'!$IL$48</f>
        <v>0</v>
      </c>
      <c r="E26" s="95">
        <f>'[3]Sky West_UA'!$IL$48</f>
        <v>0</v>
      </c>
      <c r="F26" s="95">
        <f>'[3]Sky West_AS'!$IL$48</f>
        <v>0</v>
      </c>
      <c r="G26" s="95">
        <f>'[3]Sky West_AA'!$IL$48</f>
        <v>0</v>
      </c>
      <c r="H26" s="95">
        <f>[3]Republic!$IL$48</f>
        <v>0</v>
      </c>
      <c r="I26" s="95">
        <f>[3]Republic_UA!$IL$48</f>
        <v>0</v>
      </c>
      <c r="J26" s="95">
        <f>'[3]Sky Regional'!$IL$48</f>
        <v>0</v>
      </c>
      <c r="K26" s="95">
        <f>'[3]American Eagle'!$IL$48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471</v>
      </c>
      <c r="I27" s="105">
        <f t="shared" si="13"/>
        <v>0</v>
      </c>
      <c r="J27" s="105">
        <f t="shared" si="13"/>
        <v>0</v>
      </c>
      <c r="K27" s="105">
        <f t="shared" si="13"/>
        <v>1380</v>
      </c>
      <c r="L27" s="105">
        <f t="shared" si="13"/>
        <v>45014.400000000001</v>
      </c>
      <c r="M27" s="106">
        <f>SUM(B27:L27)</f>
        <v>46865.4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[3]Pinnacle!$IL$52</f>
        <v>0</v>
      </c>
      <c r="C30" s="87">
        <f>[3]MESA_UA!$IL$52</f>
        <v>0</v>
      </c>
      <c r="D30" s="95">
        <f>'[3]Sky West'!$IL$52</f>
        <v>0</v>
      </c>
      <c r="E30" s="95">
        <f>'[3]Sky West_UA'!$IL$52</f>
        <v>0</v>
      </c>
      <c r="F30" s="95">
        <f>'[3]Sky West_AS'!$IL$52</f>
        <v>0</v>
      </c>
      <c r="G30" s="95">
        <f>'[3]Sky West_AA'!$IL$52</f>
        <v>0</v>
      </c>
      <c r="H30" s="95">
        <f>[3]Republic!$IL$52</f>
        <v>0</v>
      </c>
      <c r="I30" s="95">
        <f>[3]Republic_UA!$IL$52</f>
        <v>0</v>
      </c>
      <c r="J30" s="95">
        <f>'[3]Sky Regional'!$IL$52</f>
        <v>0</v>
      </c>
      <c r="K30" s="95">
        <f>'[3]American Eagle'!$IL$52</f>
        <v>200</v>
      </c>
      <c r="L30" s="95">
        <f>'Other Regional'!L30</f>
        <v>43255.1</v>
      </c>
      <c r="M30" s="88">
        <f t="shared" ref="M30:M37" si="15">SUM(B30:L30)</f>
        <v>43455.1</v>
      </c>
    </row>
    <row r="31" spans="1:13" x14ac:dyDescent="0.2">
      <c r="A31" s="45" t="s">
        <v>60</v>
      </c>
      <c r="B31" s="95">
        <f>[3]Pinnacle!$IL$53</f>
        <v>0</v>
      </c>
      <c r="C31" s="87">
        <f>[3]MESA_UA!$IL$53</f>
        <v>0</v>
      </c>
      <c r="D31" s="95">
        <f>'[3]Sky West'!$IL$53</f>
        <v>0</v>
      </c>
      <c r="E31" s="95">
        <f>'[3]Sky West_UA'!$IL$53</f>
        <v>0</v>
      </c>
      <c r="F31" s="95">
        <f>'[3]Sky West_AS'!$IL$53</f>
        <v>0</v>
      </c>
      <c r="G31" s="95">
        <f>'[3]Sky West_AA'!$IL$53</f>
        <v>0</v>
      </c>
      <c r="H31" s="95">
        <f>[3]Republic!$IL$53</f>
        <v>0</v>
      </c>
      <c r="I31" s="95">
        <f>[3]Republic_UA!$IL$53</f>
        <v>0</v>
      </c>
      <c r="J31" s="95">
        <f>'[3]Sky Regional'!$IL$53</f>
        <v>0</v>
      </c>
      <c r="K31" s="95">
        <f>'[3]American Eagle'!$IL$53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200</v>
      </c>
      <c r="L32" s="105">
        <f>SUM(L30:L31)</f>
        <v>43255.1</v>
      </c>
      <c r="M32" s="106">
        <f t="shared" si="15"/>
        <v>43455.1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[3]Pinnacle!$IL$57</f>
        <v>0</v>
      </c>
      <c r="C35" s="87">
        <f>[3]MESA_UA!$IL$57</f>
        <v>0</v>
      </c>
      <c r="D35" s="95">
        <f>'[3]Sky West'!$IL$57</f>
        <v>0</v>
      </c>
      <c r="E35" s="95">
        <f>'[3]Sky West_UA'!$IL$57</f>
        <v>0</v>
      </c>
      <c r="F35" s="95">
        <f>'[3]Sky West_AS'!$IL$57</f>
        <v>0</v>
      </c>
      <c r="G35" s="95">
        <f>'[3]Sky West_AA'!$IL$57</f>
        <v>0</v>
      </c>
      <c r="H35" s="95">
        <f>[3]Republic!$IL$57</f>
        <v>0</v>
      </c>
      <c r="I35" s="95">
        <f>[3]Republic!$IL$57</f>
        <v>0</v>
      </c>
      <c r="J35" s="95">
        <f>[3]Republic!$IL$57</f>
        <v>0</v>
      </c>
      <c r="K35" s="95">
        <f>'[3]American Eagle'!$IL$57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[3]Pinnacle!$IL$58</f>
        <v>0</v>
      </c>
      <c r="C36" s="87">
        <f>[3]MESA_UA!$IL$58</f>
        <v>0</v>
      </c>
      <c r="D36" s="95">
        <f>'[3]Sky West'!$IL$58</f>
        <v>0</v>
      </c>
      <c r="E36" s="95">
        <f>'[3]Sky West_UA'!$IL$58</f>
        <v>0</v>
      </c>
      <c r="F36" s="95">
        <f>'[3]Sky West_AS'!$IL$58</f>
        <v>0</v>
      </c>
      <c r="G36" s="95">
        <f>'[3]Sky West_AA'!$IL$58</f>
        <v>0</v>
      </c>
      <c r="H36" s="95">
        <f>[3]Republic!$IL$58</f>
        <v>0</v>
      </c>
      <c r="I36" s="95">
        <f>[3]Republic!$IL$58</f>
        <v>0</v>
      </c>
      <c r="J36" s="95">
        <f>[3]Republic!$IL$58</f>
        <v>0</v>
      </c>
      <c r="K36" s="95">
        <f>'[3]American Eagle'!$IL$58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471</v>
      </c>
      <c r="I40" s="95">
        <f t="shared" si="20"/>
        <v>0</v>
      </c>
      <c r="J40" s="95">
        <f t="shared" si="20"/>
        <v>0</v>
      </c>
      <c r="K40" s="95">
        <f>SUM(K35,K30,K25)</f>
        <v>1580</v>
      </c>
      <c r="L40" s="95">
        <f>L35+L30+L25</f>
        <v>88269.5</v>
      </c>
      <c r="M40" s="88">
        <f>SUM(B40:L40)</f>
        <v>90320.5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471</v>
      </c>
      <c r="I42" s="108">
        <f t="shared" si="20"/>
        <v>0</v>
      </c>
      <c r="J42" s="108">
        <f t="shared" si="20"/>
        <v>0</v>
      </c>
      <c r="K42" s="108">
        <f>SUM(K37,K32,K27)</f>
        <v>1580</v>
      </c>
      <c r="L42" s="108">
        <f>SUM(L37,L32,L27)</f>
        <v>88269.5</v>
      </c>
      <c r="M42" s="109">
        <f>SUM(B42:L42)</f>
        <v>90320.5</v>
      </c>
    </row>
    <row r="44" spans="1:13" x14ac:dyDescent="0.2">
      <c r="A44" s="276" t="s">
        <v>120</v>
      </c>
      <c r="B44" s="241">
        <f>[3]Pinnacle!$IL$70+[3]Pinnacle!$IL$73</f>
        <v>15567</v>
      </c>
      <c r="D44" s="242">
        <f>'[3]Sky West'!$IL$70+'[3]Sky West'!$IL$73</f>
        <v>33118</v>
      </c>
      <c r="E44" s="2"/>
      <c r="F44" s="2"/>
      <c r="G44" s="2"/>
      <c r="L44" s="242">
        <f>+'Other Regional'!L46</f>
        <v>0</v>
      </c>
      <c r="M44" s="231">
        <f>SUM(B44:L44)</f>
        <v>48685</v>
      </c>
    </row>
    <row r="45" spans="1:13" x14ac:dyDescent="0.2">
      <c r="A45" s="289" t="s">
        <v>121</v>
      </c>
      <c r="B45" s="241">
        <f>[3]Pinnacle!$IL$71+[3]Pinnacle!$IL$74</f>
        <v>36527</v>
      </c>
      <c r="D45" s="242">
        <f>'[3]Sky West'!$IL$71+'[3]Sky West'!$IL$74</f>
        <v>67692</v>
      </c>
      <c r="E45" s="2"/>
      <c r="F45" s="2"/>
      <c r="G45" s="2"/>
      <c r="L45" s="242">
        <f>+'Other Regional'!L47</f>
        <v>0</v>
      </c>
      <c r="M45" s="231">
        <f>SUM(B45:L45)</f>
        <v>104219</v>
      </c>
    </row>
    <row r="46" spans="1:13" x14ac:dyDescent="0.2">
      <c r="A46" s="232" t="s">
        <v>122</v>
      </c>
      <c r="B46" s="233">
        <f>SUM(B44:B45)</f>
        <v>52094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July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I5" sqref="I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45108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America'!$IL$22</f>
        <v>0</v>
      </c>
      <c r="C5" s="87">
        <f>'[3]Shuttle America_Delta'!$IL$22</f>
        <v>0</v>
      </c>
      <c r="D5" s="333">
        <f>[3]Horizon_AS!$IL$22+[3]Horizon_AS!$IL$32</f>
        <v>0</v>
      </c>
      <c r="E5" s="333">
        <f>'[3]Air Wisconsin'!$IL$22</f>
        <v>3683</v>
      </c>
      <c r="F5" s="333">
        <f>[3]Jazz_AC!$IL$22+[3]Jazz_AC!$IL$32</f>
        <v>7819</v>
      </c>
      <c r="G5" s="333">
        <f>[3]PSA!$IL$22</f>
        <v>1925</v>
      </c>
      <c r="H5" s="87">
        <f>'[3]Atlantic Southeast'!$IL$22+'[3]Atlantic Southeast'!$IL$32</f>
        <v>0</v>
      </c>
      <c r="I5" s="87">
        <f>'[3]Continental Express'!$IL$22</f>
        <v>0</v>
      </c>
      <c r="J5" s="95">
        <f>'[3]Go Jet_UA'!$IL$22</f>
        <v>0</v>
      </c>
      <c r="K5" s="12">
        <f>'[3]Go Jet'!$IL$22+'[3]Go Jet'!$IL$32</f>
        <v>0</v>
      </c>
      <c r="L5" s="88">
        <f>SUM(B5:K5)</f>
        <v>13427</v>
      </c>
    </row>
    <row r="6" spans="1:12" s="6" customFormat="1" x14ac:dyDescent="0.2">
      <c r="A6" s="45" t="s">
        <v>31</v>
      </c>
      <c r="B6" s="87">
        <f>'[3]Shuttle America'!$IL$23</f>
        <v>0</v>
      </c>
      <c r="C6" s="87">
        <f>'[3]Shuttle America_Delta'!$IL$23</f>
        <v>0</v>
      </c>
      <c r="D6" s="333">
        <f>[3]Horizon_AS!$IL$23+[3]Horizon_AS!$IL$33</f>
        <v>0</v>
      </c>
      <c r="E6" s="333">
        <f>'[3]Air Wisconsin'!$IL$23</f>
        <v>3591</v>
      </c>
      <c r="F6" s="333">
        <f>[3]Jazz_AC!$IL$23+[3]Jazz_AC!$IL$33</f>
        <v>6724</v>
      </c>
      <c r="G6" s="333">
        <f>[3]PSA!$IL$23</f>
        <v>1930</v>
      </c>
      <c r="H6" s="87">
        <f>'[3]Atlantic Southeast'!$IL$23+'[3]Atlantic Southeast'!$IL$33</f>
        <v>0</v>
      </c>
      <c r="I6" s="87">
        <f>'[3]Continental Express'!$IL$23</f>
        <v>0</v>
      </c>
      <c r="J6" s="95">
        <f>'[3]Go Jet_UA'!$IL$23</f>
        <v>0</v>
      </c>
      <c r="K6" s="7">
        <f>'[3]Go Jet'!$IL$23+'[3]Go Jet'!$IL$33</f>
        <v>0</v>
      </c>
      <c r="L6" s="92">
        <f>SUM(B6:K6)</f>
        <v>12245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7274</v>
      </c>
      <c r="F7" s="105">
        <f t="shared" si="1"/>
        <v>14543</v>
      </c>
      <c r="G7" s="105">
        <f t="shared" si="0"/>
        <v>3855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25672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America'!$IL$27</f>
        <v>0</v>
      </c>
      <c r="C10" s="87">
        <f>'[3]Shuttle America_Delta'!$IL$27</f>
        <v>0</v>
      </c>
      <c r="D10" s="333">
        <f>[3]Horizon_AS!$IL$27+[3]Horizon_AS!$IL$37</f>
        <v>0</v>
      </c>
      <c r="E10" s="333">
        <f>'[3]Air Wisconsin'!$IL$27</f>
        <v>139</v>
      </c>
      <c r="F10" s="333">
        <f>[3]Jazz_AC!$IL$27+[3]Jazz_AC!$IL$37</f>
        <v>66</v>
      </c>
      <c r="G10" s="333">
        <f>[3]PSA!$IL$27</f>
        <v>35</v>
      </c>
      <c r="H10" s="12">
        <f>'[3]Atlantic Southeast'!$IL$27+'[3]Atlantic Southeast'!$IL$37</f>
        <v>0</v>
      </c>
      <c r="I10" s="87">
        <f>'[3]Continental Express'!$IL$27</f>
        <v>0</v>
      </c>
      <c r="J10" s="95">
        <f>'[3]Go Jet_UA'!$IL$27</f>
        <v>0</v>
      </c>
      <c r="K10" s="12">
        <f>'[3]Go Jet'!$IL$27+'[3]Go Jet'!$IL$37</f>
        <v>0</v>
      </c>
      <c r="L10" s="88">
        <f>SUM(B10:K10)</f>
        <v>240</v>
      </c>
    </row>
    <row r="11" spans="1:12" x14ac:dyDescent="0.2">
      <c r="A11" s="45" t="s">
        <v>33</v>
      </c>
      <c r="B11" s="87">
        <f>'[3]Shuttle America'!$IL$28</f>
        <v>0</v>
      </c>
      <c r="C11" s="87">
        <f>'[3]Shuttle America_Delta'!$IL$28</f>
        <v>0</v>
      </c>
      <c r="D11" s="333">
        <f>[3]Horizon_AS!$IL$28+[3]Horizon_AS!$IL$38</f>
        <v>0</v>
      </c>
      <c r="E11" s="333">
        <f>'[3]Air Wisconsin'!$IL$28</f>
        <v>96</v>
      </c>
      <c r="F11" s="333">
        <f>[3]Jazz_AC!$IL$28+[3]Jazz_AC!$IL$38</f>
        <v>88</v>
      </c>
      <c r="G11" s="333">
        <f>[3]PSA!$IL$28</f>
        <v>33</v>
      </c>
      <c r="H11" s="7">
        <f>'[3]Atlantic Southeast'!$IL$28+'[3]Atlantic Southeast'!$IL$38</f>
        <v>0</v>
      </c>
      <c r="I11" s="87">
        <f>'[3]Continental Express'!$IL$28</f>
        <v>0</v>
      </c>
      <c r="J11" s="95">
        <f>'[3]Go Jet_UA'!$IL$28</f>
        <v>0</v>
      </c>
      <c r="K11" s="7">
        <f>'[3]Go Jet'!$IL$28+'[3]Go Jet'!$IL$38</f>
        <v>0</v>
      </c>
      <c r="L11" s="92">
        <f>SUM(B11:K11)</f>
        <v>217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235</v>
      </c>
      <c r="F12" s="108">
        <f t="shared" si="3"/>
        <v>154</v>
      </c>
      <c r="G12" s="108">
        <f t="shared" si="2"/>
        <v>68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457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America'!$IL$4</f>
        <v>0</v>
      </c>
      <c r="C15" s="85">
        <f>'[3]Shuttle America_Delta'!$IL$4</f>
        <v>0</v>
      </c>
      <c r="D15" s="334">
        <f>[3]Horizon_AS!$IL$4</f>
        <v>0</v>
      </c>
      <c r="E15" s="334">
        <f>'[3]Air Wisconsin'!$IL$4</f>
        <v>82</v>
      </c>
      <c r="F15" s="334">
        <f>[3]Jazz_AC!$IL$4+[3]Jazz_AC!$IL$15</f>
        <v>110</v>
      </c>
      <c r="G15" s="334">
        <f>[3]PSA!$IL$4</f>
        <v>29</v>
      </c>
      <c r="H15" s="86">
        <f>'[3]Atlantic Southeast'!$IL$4+'[3]Atlantic Southeast'!$IL$15</f>
        <v>0</v>
      </c>
      <c r="I15" s="86">
        <f>'[3]Continental Express'!$IL$4</f>
        <v>0</v>
      </c>
      <c r="J15" s="85">
        <f>'[3]Go Jet_UA'!$IL$4</f>
        <v>0</v>
      </c>
      <c r="K15" s="12">
        <f>'[3]Go Jet'!$IL$4+'[3]Go Jet'!$IL$15</f>
        <v>0</v>
      </c>
      <c r="L15" s="88">
        <f t="shared" ref="L15:L20" si="6">SUM(B15:K15)</f>
        <v>221</v>
      </c>
    </row>
    <row r="16" spans="1:12" x14ac:dyDescent="0.2">
      <c r="A16" s="45" t="s">
        <v>54</v>
      </c>
      <c r="B16" s="89">
        <f>'[3]Shuttle America'!$IL$5</f>
        <v>0</v>
      </c>
      <c r="C16" s="89">
        <f>'[3]Shuttle America_Delta'!$IL$5</f>
        <v>0</v>
      </c>
      <c r="D16" s="335">
        <f>[3]Horizon_AS!$IL$5</f>
        <v>0</v>
      </c>
      <c r="E16" s="335">
        <f>'[3]Air Wisconsin'!$IL$5</f>
        <v>81</v>
      </c>
      <c r="F16" s="335">
        <f>[3]Jazz_AC!$IL$5+[3]Jazz_AC!$IL$16</f>
        <v>109</v>
      </c>
      <c r="G16" s="335">
        <f>[3]PSA!$IL$5</f>
        <v>29</v>
      </c>
      <c r="H16" s="90">
        <f>'[3]Atlantic Southeast'!$IL$5+'[3]Atlantic Southeast'!$IL$16</f>
        <v>0</v>
      </c>
      <c r="I16" s="90">
        <f>'[3]Continental Express'!$IL$5</f>
        <v>0</v>
      </c>
      <c r="J16" s="89">
        <f>'[3]Go Jet_UA'!$IL$5</f>
        <v>0</v>
      </c>
      <c r="K16" s="7">
        <f>'[3]Go Jet'!$IL$5+'[3]Go Jet'!$IL$16</f>
        <v>0</v>
      </c>
      <c r="L16" s="92">
        <f t="shared" si="6"/>
        <v>219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163</v>
      </c>
      <c r="F17" s="93">
        <f t="shared" si="8"/>
        <v>219</v>
      </c>
      <c r="G17" s="93">
        <f t="shared" si="7"/>
        <v>58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440</v>
      </c>
    </row>
    <row r="18" spans="1:15" x14ac:dyDescent="0.2">
      <c r="A18" s="45" t="s">
        <v>56</v>
      </c>
      <c r="B18" s="95">
        <f>'[3]Shuttle America'!$IL$8</f>
        <v>0</v>
      </c>
      <c r="C18" s="95">
        <f>'[3]Shuttle America_Delta'!$IL$8</f>
        <v>0</v>
      </c>
      <c r="D18" s="95">
        <f>[3]Horizon_AS!$IL$8</f>
        <v>0</v>
      </c>
      <c r="E18" s="95">
        <f>'[3]Air Wisconsin'!$IL$8</f>
        <v>0</v>
      </c>
      <c r="F18" s="95">
        <f>[3]Jazz_AC!$IL$8</f>
        <v>0</v>
      </c>
      <c r="G18" s="95">
        <f>[3]PSA!$IL$8</f>
        <v>0</v>
      </c>
      <c r="H18" s="87">
        <f>'[3]Atlantic Southeast'!$IL$8</f>
        <v>0</v>
      </c>
      <c r="I18" s="87">
        <f>'[3]Continental Express'!$IL$8</f>
        <v>0</v>
      </c>
      <c r="J18" s="95">
        <f>'[3]Go Jet_UA'!$IL$8</f>
        <v>0</v>
      </c>
      <c r="K18" s="12">
        <f>'[3]Go Jet'!$IL$8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America'!$IL$9</f>
        <v>0</v>
      </c>
      <c r="C19" s="96">
        <f>'[3]Shuttle America_Delta'!$IL$9</f>
        <v>0</v>
      </c>
      <c r="D19" s="96">
        <f>[3]Horizon_AS!$IL$9</f>
        <v>0</v>
      </c>
      <c r="E19" s="96">
        <f>'[3]Air Wisconsin'!$IL$9</f>
        <v>1</v>
      </c>
      <c r="F19" s="96">
        <f>[3]Jazz_AC!$IL$9</f>
        <v>0</v>
      </c>
      <c r="G19" s="96">
        <f>[3]PSA!$IL$9</f>
        <v>0</v>
      </c>
      <c r="H19" s="91">
        <f>'[3]Atlantic Southeast'!$IL$9</f>
        <v>0</v>
      </c>
      <c r="I19" s="91">
        <f>'[3]Continental Express'!$IL$9</f>
        <v>0</v>
      </c>
      <c r="J19" s="96">
        <f>'[3]Go Jet_UA'!$IL$9</f>
        <v>0</v>
      </c>
      <c r="K19" s="7">
        <f>'[3]Go Jet'!$IL$9</f>
        <v>0</v>
      </c>
      <c r="L19" s="92">
        <f t="shared" si="6"/>
        <v>1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1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1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164</v>
      </c>
      <c r="F21" s="97">
        <f t="shared" si="14"/>
        <v>219</v>
      </c>
      <c r="G21" s="97">
        <f t="shared" si="13"/>
        <v>58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441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America'!$IL$47</f>
        <v>0</v>
      </c>
      <c r="C25" s="95">
        <f>'[3]Shuttle America_Delta'!$IL$47</f>
        <v>0</v>
      </c>
      <c r="D25" s="95">
        <f>[3]Horizon_AS!$IL$47</f>
        <v>0</v>
      </c>
      <c r="E25" s="95">
        <f>'[3]Air Wisconsin'!$IL$47</f>
        <v>0</v>
      </c>
      <c r="F25" s="95">
        <f>[3]Jazz_AC!$IL$47</f>
        <v>45014.400000000001</v>
      </c>
      <c r="G25" s="95">
        <f>[3]PSA!$IL$47</f>
        <v>0</v>
      </c>
      <c r="H25" s="87">
        <f>'[3]Atlantic Southeast'!$IL$47</f>
        <v>0</v>
      </c>
      <c r="I25" s="87">
        <f>'[3]Continental Express'!$IL$47</f>
        <v>0</v>
      </c>
      <c r="J25" s="95">
        <f>'[3]Go Jet_UA'!$IL$47</f>
        <v>0</v>
      </c>
      <c r="K25" s="95">
        <f>'[3]Go Jet'!$IL$47</f>
        <v>0</v>
      </c>
      <c r="L25" s="88">
        <f>SUM(B25:K25)</f>
        <v>45014.400000000001</v>
      </c>
    </row>
    <row r="26" spans="1:15" x14ac:dyDescent="0.2">
      <c r="A26" s="45" t="s">
        <v>38</v>
      </c>
      <c r="B26" s="95">
        <f>'[3]Shuttle America'!$IL$48</f>
        <v>0</v>
      </c>
      <c r="C26" s="95">
        <f>'[3]Shuttle America_Delta'!$IL$48</f>
        <v>0</v>
      </c>
      <c r="D26" s="95">
        <f>[3]Horizon_AS!$IL$48</f>
        <v>0</v>
      </c>
      <c r="E26" s="95">
        <f>'[3]Air Wisconsin'!$IL$48</f>
        <v>0</v>
      </c>
      <c r="F26" s="95">
        <f>[3]Jazz_AC!$IL$48</f>
        <v>0</v>
      </c>
      <c r="G26" s="95">
        <f>[3]PSA!$IL$48</f>
        <v>0</v>
      </c>
      <c r="H26" s="87">
        <f>'[3]Atlantic Southeast'!$IL$48</f>
        <v>0</v>
      </c>
      <c r="I26" s="87">
        <f>'[3]Continental Express'!$IL$48</f>
        <v>0</v>
      </c>
      <c r="J26" s="95">
        <f>'[3]Go Jet_UA'!$IL$48</f>
        <v>0</v>
      </c>
      <c r="K26" s="95">
        <f>'[3]Go Jet'!$IL$48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0</v>
      </c>
      <c r="F27" s="105">
        <f t="shared" si="18"/>
        <v>45014.400000000001</v>
      </c>
      <c r="G27" s="105">
        <f t="shared" si="17"/>
        <v>0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45014.400000000001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America'!$IL$52</f>
        <v>0</v>
      </c>
      <c r="C30" s="95">
        <f>'[3]Shuttle America_Delta'!$IL$52</f>
        <v>0</v>
      </c>
      <c r="D30" s="95">
        <f>[3]Horizon_AS!$IL$52</f>
        <v>0</v>
      </c>
      <c r="E30" s="95">
        <f>'[3]Air Wisconsin'!$IL$52</f>
        <v>0</v>
      </c>
      <c r="F30" s="95">
        <f>[3]Jazz_AC!$IL$52</f>
        <v>43255.1</v>
      </c>
      <c r="G30" s="95">
        <f>[3]PSA!$IL$52</f>
        <v>0</v>
      </c>
      <c r="H30" s="87">
        <f>'[3]Atlantic Southeast'!$IL$52</f>
        <v>0</v>
      </c>
      <c r="I30" s="87">
        <f>'[3]Continental Express'!$IL$52</f>
        <v>0</v>
      </c>
      <c r="J30" s="95">
        <f>'[3]Go Jet_UA'!$IL$52</f>
        <v>0</v>
      </c>
      <c r="K30" s="95">
        <f>'[3]Go Jet'!$IL$52</f>
        <v>0</v>
      </c>
      <c r="L30" s="88">
        <f>SUM(B30:K30)</f>
        <v>43255.1</v>
      </c>
    </row>
    <row r="31" spans="1:15" x14ac:dyDescent="0.2">
      <c r="A31" s="45" t="s">
        <v>60</v>
      </c>
      <c r="B31" s="95">
        <f>'[3]Shuttle America'!$IL$53</f>
        <v>0</v>
      </c>
      <c r="C31" s="95">
        <f>'[3]Shuttle America_Delta'!$IL$53</f>
        <v>0</v>
      </c>
      <c r="D31" s="95">
        <f>[3]Horizon_AS!$IL$53</f>
        <v>0</v>
      </c>
      <c r="E31" s="95">
        <f>'[3]Air Wisconsin'!$IL$53</f>
        <v>0</v>
      </c>
      <c r="F31" s="95">
        <f>[3]Jazz_AC!$IL$53</f>
        <v>0</v>
      </c>
      <c r="G31" s="95">
        <f>[3]PSA!$IL$53</f>
        <v>0</v>
      </c>
      <c r="H31" s="87">
        <f>'[3]Atlantic Southeast'!$IL$53</f>
        <v>0</v>
      </c>
      <c r="I31" s="87">
        <f>'[3]Continental Express'!$IL$53</f>
        <v>0</v>
      </c>
      <c r="J31" s="95">
        <f>'[3]Go Jet_UA'!$IL$53</f>
        <v>0</v>
      </c>
      <c r="K31" s="95">
        <f>'[3]Go Jet'!$IL$53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43255.1</v>
      </c>
      <c r="G32" s="105">
        <f t="shared" si="20"/>
        <v>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43255.1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America'!$IL$57</f>
        <v>0</v>
      </c>
      <c r="C35" s="95">
        <f>'[3]Shuttle America_Delta'!$IL$57</f>
        <v>0</v>
      </c>
      <c r="D35" s="95">
        <f>[3]Horizon_AS!$IL$57</f>
        <v>0</v>
      </c>
      <c r="E35" s="95">
        <f>'[3]Air Wisconsin'!$IL$57</f>
        <v>0</v>
      </c>
      <c r="F35" s="95">
        <f>[3]Jazz_AC!$IL$57</f>
        <v>0</v>
      </c>
      <c r="G35" s="95">
        <f>[3]PSA!$IL$57</f>
        <v>0</v>
      </c>
      <c r="H35" s="87">
        <f>'[3]Atlantic Southeast'!$IL$57</f>
        <v>0</v>
      </c>
      <c r="I35" s="87">
        <f>'[3]Continental Express'!$IL$57</f>
        <v>0</v>
      </c>
      <c r="J35" s="95">
        <f>'[3]Go Jet_UA'!$AJ$57</f>
        <v>0</v>
      </c>
      <c r="K35" s="95">
        <f>'[3]Go Jet'!$IL$57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0</v>
      </c>
      <c r="F40" s="95">
        <f t="shared" si="28"/>
        <v>88269.5</v>
      </c>
      <c r="G40" s="95">
        <f t="shared" si="27"/>
        <v>0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88269.5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0</v>
      </c>
      <c r="F42" s="108">
        <f t="shared" si="34"/>
        <v>88269.5</v>
      </c>
      <c r="G42" s="108">
        <f t="shared" si="33"/>
        <v>0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88269.5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America_Delta'!$IL$70+'[3]Shuttle America_Delta'!$IL$73</f>
        <v>0</v>
      </c>
      <c r="D46" s="2"/>
      <c r="E46" s="2"/>
      <c r="H46" s="242">
        <f>'[3]Atlantic Southeast'!$IL$70+'[3]Atlantic Southeast'!$IL$73</f>
        <v>0</v>
      </c>
      <c r="K46" s="242">
        <f>'[3]Go Jet'!$IL$70+'[3]Go Jet'!$IL$73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America_Delta'!$IL$71+'[3]Shuttle America_Delta'!$IL$74</f>
        <v>0</v>
      </c>
      <c r="D47" s="2"/>
      <c r="E47" s="2"/>
      <c r="H47" s="242">
        <f>'[3]Atlantic Southeast'!$IL$71+'[3]Atlantic Southeast'!$IL$74</f>
        <v>0</v>
      </c>
      <c r="K47" s="242">
        <f>'[3]Go Jet'!$IL$71+'[3]Go Jet'!$IL$74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July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zoomScale="115" zoomScaleNormal="115" workbookViewId="0">
      <selection activeCell="D12" sqref="D1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45108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Misc'!$IL$22</f>
        <v>0</v>
      </c>
      <c r="C5" s="151">
        <f>[3]Ryan!$IL$22</f>
        <v>0</v>
      </c>
      <c r="D5" s="151">
        <f>'[3]Charter Misc'!$IL$32</f>
        <v>250</v>
      </c>
      <c r="E5" s="151">
        <f>[3]Omni!$IL$32+[3]Omni!$IL$22</f>
        <v>0</v>
      </c>
      <c r="F5" s="151">
        <f>'[3]Red Way'!$IL$32+'[3]Red Way'!$IL$22</f>
        <v>343</v>
      </c>
      <c r="G5" s="151">
        <f>[3]Xtra!$IL$32+[3]Xtra!$IL$22</f>
        <v>0</v>
      </c>
      <c r="H5" s="249">
        <f>SUM(B5:G5)</f>
        <v>593</v>
      </c>
    </row>
    <row r="6" spans="1:18" x14ac:dyDescent="0.2">
      <c r="A6" s="45" t="s">
        <v>31</v>
      </c>
      <c r="B6" s="314">
        <f>'[3]Charter Misc'!$IL$23</f>
        <v>0</v>
      </c>
      <c r="C6" s="154">
        <f>[3]Ryan!$IL$23</f>
        <v>0</v>
      </c>
      <c r="D6" s="154">
        <f>'[3]Charter Misc'!$IL$33</f>
        <v>160</v>
      </c>
      <c r="E6" s="154">
        <f>[3]Omni!$IL$33+[3]Omni!$IL$23</f>
        <v>0</v>
      </c>
      <c r="F6" s="154">
        <f>'[3]Red Way'!$IL$33+'[3]Red Way'!$IL$23</f>
        <v>315</v>
      </c>
      <c r="G6" s="154">
        <f>[3]Xtra!$IL$33+[3]Xtra!$IL$23</f>
        <v>0</v>
      </c>
      <c r="H6" s="249">
        <f>SUM(B6:G6)</f>
        <v>475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410</v>
      </c>
      <c r="E7" s="219">
        <f t="shared" si="0"/>
        <v>0</v>
      </c>
      <c r="F7" s="219">
        <f t="shared" si="0"/>
        <v>658</v>
      </c>
      <c r="G7" s="219">
        <f t="shared" si="0"/>
        <v>0</v>
      </c>
      <c r="H7" s="220">
        <f>SUM(B7:G7)</f>
        <v>1068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Misc'!$IL$4</f>
        <v>0</v>
      </c>
      <c r="C10" s="151">
        <f>[3]Ryan!$IL$4</f>
        <v>0</v>
      </c>
      <c r="D10" s="151">
        <f>'[3]Charter Misc'!$IL$15</f>
        <v>2</v>
      </c>
      <c r="E10" s="151">
        <f>[3]Omni!$IL$15+[3]Omni!$IL$4</f>
        <v>0</v>
      </c>
      <c r="F10" s="151">
        <f>'[3]Red Way'!$IL$15+'[3]Red Way'!$IL$4</f>
        <v>9</v>
      </c>
      <c r="G10" s="151">
        <f>[3]Xtra!$IL$15+[3]Xtra!$IL$4</f>
        <v>0</v>
      </c>
      <c r="H10" s="248">
        <f>SUM(B10:G10)</f>
        <v>11</v>
      </c>
    </row>
    <row r="11" spans="1:18" x14ac:dyDescent="0.2">
      <c r="A11" s="149" t="s">
        <v>80</v>
      </c>
      <c r="B11" s="313">
        <f>'[3]Charter Misc'!$IL$5</f>
        <v>0</v>
      </c>
      <c r="C11" s="151">
        <f>[3]Ryan!$IL$5</f>
        <v>0</v>
      </c>
      <c r="D11" s="151">
        <f>'[3]Charter Misc'!$IL$16</f>
        <v>1</v>
      </c>
      <c r="E11" s="151">
        <f>[3]Omni!$IL$16+[3]Omni!$IL$5</f>
        <v>0</v>
      </c>
      <c r="F11" s="151">
        <f>'[3]Red Way'!$IL$16+'[3]Red Way'!$IL$5</f>
        <v>9</v>
      </c>
      <c r="G11" s="151">
        <f>[3]Xtra!$IL$16+[3]Xtra!$IL$5</f>
        <v>0</v>
      </c>
      <c r="H11" s="248">
        <f>SUM(B11:G11)</f>
        <v>10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3</v>
      </c>
      <c r="E12" s="221">
        <f t="shared" si="1"/>
        <v>0</v>
      </c>
      <c r="F12" s="221">
        <f t="shared" si="1"/>
        <v>18</v>
      </c>
      <c r="G12" s="221">
        <f t="shared" si="1"/>
        <v>0</v>
      </c>
      <c r="H12" s="222">
        <f>SUM(B12:G12)</f>
        <v>21</v>
      </c>
      <c r="R12" s="95"/>
    </row>
    <row r="17" spans="1:16" x14ac:dyDescent="0.2">
      <c r="B17" s="449" t="s">
        <v>148</v>
      </c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1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2" t="s">
        <v>117</v>
      </c>
      <c r="C19" s="453"/>
      <c r="D19" s="453"/>
      <c r="E19" s="454"/>
      <c r="G19" s="452" t="s">
        <v>118</v>
      </c>
      <c r="H19" s="455"/>
      <c r="I19" s="455"/>
      <c r="J19" s="456"/>
      <c r="L19" s="457" t="s">
        <v>119</v>
      </c>
      <c r="M19" s="458"/>
      <c r="N19" s="458"/>
      <c r="O19" s="459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6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2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2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23">
        <f t="shared" ref="N25" si="24">SUM(L25:M25)</f>
        <v>2862954</v>
      </c>
      <c r="O25" s="423">
        <f>[13]Charter!N25</f>
        <v>2697113</v>
      </c>
      <c r="P25" s="421">
        <f t="shared" si="11"/>
        <v>6.1488339569013235E-2</v>
      </c>
    </row>
    <row r="26" spans="1:16" ht="14.1" customHeight="1" x14ac:dyDescent="0.2">
      <c r="A26" s="181" t="s">
        <v>106</v>
      </c>
      <c r="B26" s="433">
        <f>+[2]Charter!B26</f>
        <v>121820</v>
      </c>
      <c r="C26" s="433">
        <f>+[2]Charter!C26</f>
        <v>128458</v>
      </c>
      <c r="D26" s="423">
        <f t="shared" ref="D26" si="25">SUM(B26:C26)</f>
        <v>250278</v>
      </c>
      <c r="E26" s="423">
        <f>[14]Charter!D26</f>
        <v>180003</v>
      </c>
      <c r="F26" s="426">
        <f t="shared" si="3"/>
        <v>0.39041015983066951</v>
      </c>
      <c r="G26" s="423">
        <f t="shared" ref="G26" si="26">L26-B26</f>
        <v>1511419</v>
      </c>
      <c r="H26" s="423">
        <f t="shared" ref="H26" si="27">M26-C26</f>
        <v>1495883</v>
      </c>
      <c r="I26" s="423">
        <f t="shared" ref="I26" si="28">SUM(G26:H26)</f>
        <v>3007302</v>
      </c>
      <c r="J26" s="423">
        <f>[14]Charter!I26</f>
        <v>2666878</v>
      </c>
      <c r="K26" s="431">
        <f t="shared" si="5"/>
        <v>0.12764888382595679</v>
      </c>
      <c r="L26" s="433">
        <f>+[2]Charter!L26</f>
        <v>1633239</v>
      </c>
      <c r="M26" s="433">
        <f>+[2]Charter!M26</f>
        <v>1624341</v>
      </c>
      <c r="N26" s="423">
        <f t="shared" si="6"/>
        <v>3257580</v>
      </c>
      <c r="O26" s="423">
        <f>[14]Charter!N26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23">
        <f>+'Intl Detail'!$Q$4+'Intl Detail'!$Q$9</f>
        <v>139115</v>
      </c>
      <c r="C27" s="423">
        <f>+'Intl Detail'!$Q$5+'Intl Detail'!$Q$10</f>
        <v>126500</v>
      </c>
      <c r="D27" s="423">
        <f t="shared" ref="D27" si="29">SUM(B27:C27)</f>
        <v>265615</v>
      </c>
      <c r="E27" s="423">
        <f>[1]Charter!D27</f>
        <v>180630</v>
      </c>
      <c r="F27" s="427">
        <f t="shared" si="3"/>
        <v>0.47049216630681506</v>
      </c>
      <c r="G27" s="423">
        <f t="shared" ref="G27" si="30">L27-B27</f>
        <v>1576788</v>
      </c>
      <c r="H27" s="423">
        <f t="shared" ref="H27" si="31">M27-C27</f>
        <v>1577344</v>
      </c>
      <c r="I27" s="423">
        <f t="shared" ref="I27" si="32">SUM(G27:H27)</f>
        <v>3154132</v>
      </c>
      <c r="J27" s="423">
        <f>[1]Charter!I27</f>
        <v>2778188</v>
      </c>
      <c r="K27" s="432">
        <f t="shared" si="5"/>
        <v>0.1353198559636713</v>
      </c>
      <c r="L27" s="423">
        <f>+'Monthly Summary'!$B$11</f>
        <v>1715903</v>
      </c>
      <c r="M27" s="423">
        <f>+'Monthly Summary'!$C$11</f>
        <v>1703844</v>
      </c>
      <c r="N27" s="423">
        <f t="shared" ref="N27" si="33">SUM(L27:M27)</f>
        <v>3419747</v>
      </c>
      <c r="O27" s="423">
        <f>[1]Charter!N27</f>
        <v>2958818</v>
      </c>
      <c r="P27" s="421">
        <f t="shared" si="11"/>
        <v>0.15578146408464461</v>
      </c>
    </row>
    <row r="28" spans="1:16" ht="14.1" customHeight="1" x14ac:dyDescent="0.2">
      <c r="A28" s="181" t="s">
        <v>108</v>
      </c>
      <c r="B28" s="423"/>
      <c r="C28" s="423"/>
      <c r="D28" s="423"/>
      <c r="E28" s="423"/>
      <c r="F28" s="426" t="e">
        <f t="shared" si="3"/>
        <v>#DIV/0!</v>
      </c>
      <c r="G28" s="423"/>
      <c r="H28" s="423"/>
      <c r="I28" s="423"/>
      <c r="J28" s="423"/>
      <c r="K28" s="431" t="e">
        <f t="shared" si="5"/>
        <v>#DIV/0!</v>
      </c>
      <c r="L28" s="423"/>
      <c r="M28" s="423"/>
      <c r="N28" s="423"/>
      <c r="O28" s="423"/>
      <c r="P28" s="420" t="e">
        <f t="shared" si="11"/>
        <v>#DIV/0!</v>
      </c>
    </row>
    <row r="29" spans="1:16" ht="14.1" customHeight="1" x14ac:dyDescent="0.2">
      <c r="A29" s="174" t="s">
        <v>109</v>
      </c>
      <c r="B29" s="423"/>
      <c r="C29" s="423"/>
      <c r="D29" s="423"/>
      <c r="E29" s="423"/>
      <c r="F29" s="427" t="e">
        <f t="shared" si="3"/>
        <v>#DIV/0!</v>
      </c>
      <c r="G29" s="423"/>
      <c r="H29" s="423"/>
      <c r="I29" s="423"/>
      <c r="J29" s="423"/>
      <c r="K29" s="432" t="e">
        <f t="shared" si="5"/>
        <v>#DIV/0!</v>
      </c>
      <c r="L29" s="423"/>
      <c r="M29" s="423"/>
      <c r="N29" s="423"/>
      <c r="O29" s="423"/>
      <c r="P29" s="421" t="e">
        <f t="shared" si="11"/>
        <v>#DIV/0!</v>
      </c>
    </row>
    <row r="30" spans="1:16" ht="14.1" customHeight="1" x14ac:dyDescent="0.2">
      <c r="A30" s="181" t="s">
        <v>110</v>
      </c>
      <c r="B30" s="423"/>
      <c r="C30" s="423"/>
      <c r="D30" s="423"/>
      <c r="E30" s="423"/>
      <c r="F30" s="426" t="e">
        <f t="shared" si="3"/>
        <v>#DIV/0!</v>
      </c>
      <c r="G30" s="423"/>
      <c r="H30" s="423"/>
      <c r="I30" s="423"/>
      <c r="J30" s="423"/>
      <c r="K30" s="431" t="e">
        <f t="shared" si="5"/>
        <v>#DIV/0!</v>
      </c>
      <c r="L30" s="423"/>
      <c r="M30" s="423"/>
      <c r="N30" s="423"/>
      <c r="O30" s="423"/>
      <c r="P30" s="420" t="e">
        <f t="shared" si="11"/>
        <v>#DIV/0!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3"/>
        <v>#DIV/0!</v>
      </c>
      <c r="G31" s="423"/>
      <c r="H31" s="423"/>
      <c r="I31" s="423"/>
      <c r="J31" s="423"/>
      <c r="K31" s="432" t="e">
        <f t="shared" si="5"/>
        <v>#DIV/0!</v>
      </c>
      <c r="L31" s="423"/>
      <c r="M31" s="423"/>
      <c r="N31" s="423"/>
      <c r="O31" s="423"/>
      <c r="P31" s="421" t="e">
        <f t="shared" si="11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921353</v>
      </c>
      <c r="C33" s="186">
        <f>SUM(C21:C32)</f>
        <v>906878</v>
      </c>
      <c r="D33" s="186">
        <f>SUM(D21:D32)</f>
        <v>1828231</v>
      </c>
      <c r="E33" s="187">
        <f>SUM(E21:E32)</f>
        <v>1218605</v>
      </c>
      <c r="F33" s="177">
        <f>(D33-E33)/E33</f>
        <v>0.50026546748125933</v>
      </c>
      <c r="G33" s="188">
        <f>SUM(G21:G32)</f>
        <v>9128994</v>
      </c>
      <c r="H33" s="186">
        <f>SUM(H21:H32)</f>
        <v>9054284</v>
      </c>
      <c r="I33" s="186">
        <f>SUM(I21:I32)</f>
        <v>18183278</v>
      </c>
      <c r="J33" s="189">
        <f>SUM(J21:J32)</f>
        <v>16804368</v>
      </c>
      <c r="K33" s="178">
        <f>(I33-J33)/J33</f>
        <v>8.2056641463695623E-2</v>
      </c>
      <c r="L33" s="188">
        <f>SUM(L21:L32)</f>
        <v>10050347</v>
      </c>
      <c r="M33" s="186">
        <f>SUM(M21:M32)</f>
        <v>9961162</v>
      </c>
      <c r="N33" s="186">
        <f>SUM(N21:N32)</f>
        <v>20011509</v>
      </c>
      <c r="O33" s="187">
        <f>SUM(O21:O32)</f>
        <v>18022973</v>
      </c>
      <c r="P33" s="176">
        <f>(N33-O33)/O33</f>
        <v>0.11033340614780925</v>
      </c>
    </row>
    <row r="35" spans="1:16" x14ac:dyDescent="0.2">
      <c r="N35" s="95"/>
      <c r="O35" s="95"/>
    </row>
    <row r="36" spans="1:16" x14ac:dyDescent="0.2"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July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I8" sqref="I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60" t="s">
        <v>197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2"/>
    </row>
    <row r="2" spans="1:23" s="27" customFormat="1" ht="43.5" customHeight="1" thickBot="1" x14ac:dyDescent="0.25">
      <c r="A2" s="396">
        <v>45108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Air'!$IL$4</f>
        <v>2</v>
      </c>
      <c r="C4" s="132">
        <f>[3]DHL!$IL$8+[3]DHL!$IL$4</f>
        <v>3</v>
      </c>
      <c r="D4" s="132">
        <f>[3]Airborne!$IL$4+[3]Airborne!$IL$15</f>
        <v>2</v>
      </c>
      <c r="E4" s="95">
        <f>[3]DHL_Bemidji!$IL$4</f>
        <v>36</v>
      </c>
      <c r="F4" s="95">
        <f>[3]Bemidji!$IL$4</f>
        <v>162</v>
      </c>
      <c r="G4" s="132">
        <f>[3]DHL_Encore!$IL$4+[3]DHL_Encore!$IL$15</f>
        <v>0</v>
      </c>
      <c r="H4" s="132">
        <f>[3]DHL_Mesa!$IL$4+[3]DHL_Mesa!$IL$15</f>
        <v>17</v>
      </c>
      <c r="I4" s="132">
        <f>[3]Encore!$IL$4+[3]Encore!$IL$15</f>
        <v>0</v>
      </c>
      <c r="J4" s="132">
        <f>[3]FedEx!$IL$4+[3]FedEx!$IL$15</f>
        <v>84</v>
      </c>
      <c r="K4" s="132">
        <f>[3]IFL!$IL$4+[3]IFL!$IL$15</f>
        <v>14</v>
      </c>
      <c r="L4" s="132">
        <f>[3]DHL_Kalitta!$IL$4+[3]DHL_Kalitta!$IL$15</f>
        <v>0</v>
      </c>
      <c r="M4" s="95">
        <f>'[3]Mountain Cargo'!$IL$4</f>
        <v>20</v>
      </c>
      <c r="N4" s="132">
        <f>[3]DHL_Amerijet!$IL$4+[3]DHL_Amerijet!$IL$15</f>
        <v>2</v>
      </c>
      <c r="O4" s="132">
        <f>[3]DHL_Swift!$IL$4+[3]DHL_Swift!$IL$15</f>
        <v>2</v>
      </c>
      <c r="P4" s="132">
        <f>+'[3]Sun Country Cargo'!$IL$4+'[3]Sun Country Cargo'!$IL$8+'[3]Sun Country Cargo'!$IL$15</f>
        <v>90</v>
      </c>
      <c r="Q4" s="132">
        <f>[3]UPS!$IL$4+[3]UPS!$IL$15</f>
        <v>92</v>
      </c>
      <c r="R4" s="95">
        <f>'[3]Misc Cargo'!$IL$4</f>
        <v>0</v>
      </c>
      <c r="S4" s="368">
        <f>SUM(B4:R4)</f>
        <v>526</v>
      </c>
      <c r="U4" s="340"/>
      <c r="V4" s="340"/>
      <c r="W4" s="217"/>
    </row>
    <row r="5" spans="1:23" x14ac:dyDescent="0.2">
      <c r="A5" s="37" t="s">
        <v>54</v>
      </c>
      <c r="B5" s="369">
        <f>'[3]Atlas Air'!$IL$5</f>
        <v>2</v>
      </c>
      <c r="C5" s="156">
        <f>[3]DHL!$IL$9+[3]DHL!$IL$5</f>
        <v>3</v>
      </c>
      <c r="D5" s="156">
        <f>[3]Airborne!$IL$5</f>
        <v>2</v>
      </c>
      <c r="E5" s="96">
        <f>[3]DHL_Bemidji!$IL$5</f>
        <v>36</v>
      </c>
      <c r="F5" s="96">
        <f>[3]Bemidji!$IL$5</f>
        <v>162</v>
      </c>
      <c r="G5" s="156">
        <f>[3]DHL_Encore!$IL$5</f>
        <v>0</v>
      </c>
      <c r="H5" s="156">
        <f>[3]DHL_Mesa!$IL$5</f>
        <v>17</v>
      </c>
      <c r="I5" s="156">
        <f>[3]Encore!$IL$5</f>
        <v>0</v>
      </c>
      <c r="J5" s="156">
        <f>[3]FedEx!$IL$5</f>
        <v>84</v>
      </c>
      <c r="K5" s="156">
        <f>[3]IFL!$IL$5</f>
        <v>14</v>
      </c>
      <c r="L5" s="156">
        <f>[3]DHL_Kalitta!$IL$5</f>
        <v>0</v>
      </c>
      <c r="M5" s="96">
        <f>'[3]Mountain Cargo'!$IL$5</f>
        <v>20</v>
      </c>
      <c r="N5" s="156">
        <f>[3]DHL_Amerijet!$IL$5</f>
        <v>2</v>
      </c>
      <c r="O5" s="156">
        <f>[3]DHL_Swift!$IL$5</f>
        <v>2</v>
      </c>
      <c r="P5" s="156">
        <f>+'[3]Sun Country Cargo'!$IL$5+'[3]Sun Country Cargo'!$IL$9+'[3]Sun Country Cargo'!$IL$16</f>
        <v>90</v>
      </c>
      <c r="Q5" s="156">
        <f>[3]UPS!$IL$5+[3]UPS!$IL$16</f>
        <v>92</v>
      </c>
      <c r="R5" s="96">
        <f>'[3]Misc Cargo'!$IL$5</f>
        <v>0</v>
      </c>
      <c r="S5" s="368">
        <f>SUM(B5:R5)</f>
        <v>526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4</v>
      </c>
      <c r="C6" s="371">
        <f t="shared" si="0"/>
        <v>6</v>
      </c>
      <c r="D6" s="371">
        <f t="shared" ref="D6:E6" si="1">SUM(D4:D5)</f>
        <v>4</v>
      </c>
      <c r="E6" s="93">
        <f t="shared" si="1"/>
        <v>72</v>
      </c>
      <c r="F6" s="93">
        <f t="shared" si="0"/>
        <v>324</v>
      </c>
      <c r="G6" s="371">
        <f t="shared" si="0"/>
        <v>0</v>
      </c>
      <c r="H6" s="371">
        <f t="shared" ref="H6" si="2">SUM(H4:H5)</f>
        <v>34</v>
      </c>
      <c r="I6" s="371">
        <f t="shared" si="0"/>
        <v>0</v>
      </c>
      <c r="J6" s="371">
        <f t="shared" si="0"/>
        <v>168</v>
      </c>
      <c r="K6" s="371">
        <f t="shared" si="0"/>
        <v>28</v>
      </c>
      <c r="L6" s="371">
        <f t="shared" si="0"/>
        <v>0</v>
      </c>
      <c r="M6" s="93">
        <f t="shared" si="0"/>
        <v>40</v>
      </c>
      <c r="N6" s="371">
        <f t="shared" si="0"/>
        <v>4</v>
      </c>
      <c r="O6" s="371">
        <f t="shared" si="0"/>
        <v>4</v>
      </c>
      <c r="P6" s="371">
        <f t="shared" si="0"/>
        <v>180</v>
      </c>
      <c r="Q6" s="371">
        <f t="shared" si="0"/>
        <v>184</v>
      </c>
      <c r="R6" s="93">
        <f t="shared" si="0"/>
        <v>0</v>
      </c>
      <c r="S6" s="368">
        <f t="shared" ref="S6:S10" si="3">SUM(B6:R6)</f>
        <v>1052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Cargo'!$IL$8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Cargo'!$IL$9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4</v>
      </c>
      <c r="C12" s="161">
        <f t="shared" si="7"/>
        <v>6</v>
      </c>
      <c r="D12" s="161">
        <f t="shared" ref="D12:E12" si="8">D6+D10</f>
        <v>4</v>
      </c>
      <c r="E12" s="162">
        <f t="shared" si="8"/>
        <v>72</v>
      </c>
      <c r="F12" s="162">
        <f t="shared" si="7"/>
        <v>324</v>
      </c>
      <c r="G12" s="161">
        <f t="shared" si="7"/>
        <v>0</v>
      </c>
      <c r="H12" s="161">
        <f t="shared" ref="H12" si="9">H6+H10</f>
        <v>34</v>
      </c>
      <c r="I12" s="161">
        <f t="shared" si="7"/>
        <v>0</v>
      </c>
      <c r="J12" s="161">
        <f t="shared" si="7"/>
        <v>168</v>
      </c>
      <c r="K12" s="161">
        <f t="shared" si="7"/>
        <v>28</v>
      </c>
      <c r="L12" s="161">
        <f t="shared" si="7"/>
        <v>0</v>
      </c>
      <c r="M12" s="162">
        <f t="shared" si="7"/>
        <v>40</v>
      </c>
      <c r="N12" s="161">
        <f t="shared" si="7"/>
        <v>4</v>
      </c>
      <c r="O12" s="161">
        <f t="shared" si="7"/>
        <v>4</v>
      </c>
      <c r="P12" s="161">
        <f t="shared" si="7"/>
        <v>180</v>
      </c>
      <c r="Q12" s="161">
        <f t="shared" si="7"/>
        <v>184</v>
      </c>
      <c r="R12" s="162">
        <f t="shared" si="7"/>
        <v>0</v>
      </c>
      <c r="S12" s="374">
        <f>SUM(B12:R12)</f>
        <v>1052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Air'!$IL$47</f>
        <v>57250</v>
      </c>
      <c r="C16" s="132">
        <f>[3]DHL!$IL$47</f>
        <v>120902</v>
      </c>
      <c r="D16" s="132">
        <f>[3]Airborne!$IL$47</f>
        <v>67787</v>
      </c>
      <c r="E16" s="132">
        <f>[3]DHL_Bemidji!$IL$47</f>
        <v>43243</v>
      </c>
      <c r="F16" s="463" t="s">
        <v>86</v>
      </c>
      <c r="G16" s="132">
        <f>[3]DHL_Encore!$IL$47</f>
        <v>0</v>
      </c>
      <c r="H16" s="132">
        <f>[3]DHL_Mesa!$IL$47</f>
        <v>467166</v>
      </c>
      <c r="I16" s="132">
        <f>[3]Encore!$IL$47</f>
        <v>0</v>
      </c>
      <c r="J16" s="132">
        <f>[3]FedEx!$IL$47</f>
        <v>6199744</v>
      </c>
      <c r="K16" s="132">
        <f>[3]IFL!$IL$47</f>
        <v>50447</v>
      </c>
      <c r="L16" s="132">
        <f>[3]DHL_Kalitta!$IL$47</f>
        <v>0</v>
      </c>
      <c r="M16" s="95">
        <f>'[3]Mountain Cargo'!$IL$47</f>
        <v>0</v>
      </c>
      <c r="N16" s="132">
        <f>[3]DHL_Amerijet!$IL$47</f>
        <v>78865</v>
      </c>
      <c r="O16" s="132">
        <f>[3]DHL_Swift!$IL$47</f>
        <v>65064</v>
      </c>
      <c r="P16" s="132">
        <f>+'[3]Sun Country Cargo'!$IL$47</f>
        <v>2237935</v>
      </c>
      <c r="Q16" s="132">
        <f>[3]UPS!$IL$47</f>
        <v>4694267</v>
      </c>
      <c r="R16" s="95">
        <f>'[3]Misc Cargo'!$IL$47</f>
        <v>0</v>
      </c>
      <c r="S16" s="368">
        <f>SUM(B16:E16)+SUM(G16:R16)</f>
        <v>14082670</v>
      </c>
      <c r="U16" s="340"/>
      <c r="V16" s="340"/>
      <c r="W16" s="217"/>
    </row>
    <row r="17" spans="1:23" x14ac:dyDescent="0.2">
      <c r="A17" s="37" t="s">
        <v>38</v>
      </c>
      <c r="B17" s="183">
        <f>'[3]Atlas Air'!$IL$48</f>
        <v>0</v>
      </c>
      <c r="C17" s="132">
        <f>[3]DHL!$IL$48</f>
        <v>0</v>
      </c>
      <c r="D17" s="132">
        <f>[3]Airborne!$IL$48</f>
        <v>0</v>
      </c>
      <c r="E17" s="132">
        <f>[3]DHL_Bemidji!$IL$48</f>
        <v>0</v>
      </c>
      <c r="F17" s="464"/>
      <c r="G17" s="132">
        <f>[3]DHL_Encore!$IL$48</f>
        <v>0</v>
      </c>
      <c r="H17" s="132">
        <f>[3]DHL_Mesa!$IL$48</f>
        <v>0</v>
      </c>
      <c r="I17" s="132">
        <f>[3]Encore!$IL$48</f>
        <v>0</v>
      </c>
      <c r="J17" s="132">
        <f>[3]FedEx!$IL$48</f>
        <v>0</v>
      </c>
      <c r="K17" s="132">
        <f>[3]IFL!$IL$48</f>
        <v>0</v>
      </c>
      <c r="L17" s="132">
        <f>[3]DHL_Kalitta!$IL$48</f>
        <v>0</v>
      </c>
      <c r="M17" s="95">
        <f>'[3]Mountain Cargo'!$IL$48</f>
        <v>54105</v>
      </c>
      <c r="N17" s="132">
        <f>[3]DHL_Amerijet!$IL$48</f>
        <v>0</v>
      </c>
      <c r="O17" s="132">
        <f>[3]DHL_Swift!$IL$48</f>
        <v>0</v>
      </c>
      <c r="P17" s="132">
        <f>+'[3]Sun Country Cargo'!$IL$48</f>
        <v>0</v>
      </c>
      <c r="Q17" s="132">
        <f>[3]UPS!$IL$48</f>
        <v>180167</v>
      </c>
      <c r="R17" s="95">
        <f>'[3]Misc Cargo'!$IL$48</f>
        <v>0</v>
      </c>
      <c r="S17" s="368">
        <f>SUM(B17:E17)+SUM(G17:R17)</f>
        <v>234272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57250</v>
      </c>
      <c r="C18" s="223">
        <f>SUM(C16:C17)</f>
        <v>120902</v>
      </c>
      <c r="D18" s="223">
        <f>SUM(D16:D17)</f>
        <v>67787</v>
      </c>
      <c r="E18" s="223">
        <f>SUM(E16:E17)</f>
        <v>43243</v>
      </c>
      <c r="F18" s="464"/>
      <c r="G18" s="223">
        <f>SUM(G16:G17)</f>
        <v>0</v>
      </c>
      <c r="H18" s="223">
        <f>SUM(H16:H17)</f>
        <v>467166</v>
      </c>
      <c r="I18" s="223">
        <f>SUM(I16:I17)</f>
        <v>0</v>
      </c>
      <c r="J18" s="223">
        <f>SUM(J16:J17)</f>
        <v>6199744</v>
      </c>
      <c r="K18" s="223">
        <f>SUM(K16:K17)</f>
        <v>50447</v>
      </c>
      <c r="L18" s="223">
        <f t="shared" ref="L18:R18" si="10">SUM(L16:L17)</f>
        <v>0</v>
      </c>
      <c r="M18" s="224">
        <f t="shared" si="10"/>
        <v>54105</v>
      </c>
      <c r="N18" s="223">
        <f t="shared" si="10"/>
        <v>78865</v>
      </c>
      <c r="O18" s="223">
        <f t="shared" si="10"/>
        <v>65064</v>
      </c>
      <c r="P18" s="223">
        <f t="shared" si="10"/>
        <v>2237935</v>
      </c>
      <c r="Q18" s="223">
        <f t="shared" si="10"/>
        <v>4874434</v>
      </c>
      <c r="R18" s="224">
        <f t="shared" si="10"/>
        <v>0</v>
      </c>
      <c r="S18" s="380">
        <f>SUM(B18:D18)+SUM(G18:R18)</f>
        <v>14273699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4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4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Air'!$IL$52</f>
        <v>48667</v>
      </c>
      <c r="C21" s="132">
        <f>[3]DHL!$IL$52</f>
        <v>74006</v>
      </c>
      <c r="D21" s="132">
        <f>[3]Airborne!$IL$52</f>
        <v>28283</v>
      </c>
      <c r="E21" s="132">
        <f>[3]DHL_Bemidji!$IL$52</f>
        <v>52528</v>
      </c>
      <c r="F21" s="464"/>
      <c r="G21" s="132">
        <f>[3]DHL_Encore!$IL$52</f>
        <v>0</v>
      </c>
      <c r="H21" s="132">
        <f>[3]DHL_Mesa!$IL$52</f>
        <v>302720</v>
      </c>
      <c r="I21" s="132">
        <f>[3]Encore!$IL$52</f>
        <v>0</v>
      </c>
      <c r="J21" s="132">
        <f>[3]FedEx!$IL$52</f>
        <v>5341499</v>
      </c>
      <c r="K21" s="132">
        <f>[3]IFL!$IL$52</f>
        <v>0</v>
      </c>
      <c r="L21" s="132">
        <f>[3]DHL_Kalitta!$IL$52</f>
        <v>0</v>
      </c>
      <c r="M21" s="95">
        <f>'[3]Mountain Cargo'!$IL$52</f>
        <v>0</v>
      </c>
      <c r="N21" s="132">
        <f>[3]DHL_Amerijet!$IL$52</f>
        <v>47086</v>
      </c>
      <c r="O21" s="132">
        <f>[3]DHL_Swift!$IL$52</f>
        <v>47600</v>
      </c>
      <c r="P21" s="132">
        <f>+'[3]Sun Country Cargo'!$IL$52</f>
        <v>2393847</v>
      </c>
      <c r="Q21" s="132">
        <f>[3]UPS!$IL$52</f>
        <v>3758483</v>
      </c>
      <c r="R21" s="95">
        <f>'[3]Misc Cargo'!$IL$52</f>
        <v>0</v>
      </c>
      <c r="S21" s="368">
        <f>SUM(B21:E21)+SUM(G21:R21)</f>
        <v>12094719</v>
      </c>
      <c r="U21" s="340"/>
      <c r="V21" s="340"/>
      <c r="W21" s="217"/>
    </row>
    <row r="22" spans="1:23" x14ac:dyDescent="0.2">
      <c r="A22" s="37" t="s">
        <v>60</v>
      </c>
      <c r="B22" s="183">
        <f>'[3]Atlas Air'!$IL$53</f>
        <v>0</v>
      </c>
      <c r="C22" s="132">
        <f>[3]DHL!$IL$53</f>
        <v>0</v>
      </c>
      <c r="D22" s="132">
        <f>[3]Airborne!$IL$53</f>
        <v>0</v>
      </c>
      <c r="E22" s="132">
        <f>[3]DHL_Bemidji!$IL$53</f>
        <v>0</v>
      </c>
      <c r="F22" s="464"/>
      <c r="G22" s="132">
        <f>[3]DHL_Encore!$IL$53</f>
        <v>0</v>
      </c>
      <c r="H22" s="132">
        <f>[3]DHL_Mesa!$IL$53</f>
        <v>0</v>
      </c>
      <c r="I22" s="132">
        <f>[3]Encore!$IL$53</f>
        <v>0</v>
      </c>
      <c r="J22" s="132">
        <f>[3]FedEx!$IL$53</f>
        <v>0</v>
      </c>
      <c r="K22" s="132">
        <f>[3]IFL!$IL$53</f>
        <v>0</v>
      </c>
      <c r="L22" s="132">
        <f>[3]DHL_Kalitta!$IL$53</f>
        <v>0</v>
      </c>
      <c r="M22" s="95">
        <f>'[3]Mountain Cargo'!$IL$53</f>
        <v>104577</v>
      </c>
      <c r="N22" s="132">
        <f>[3]DHL_Amerijet!$IL$53</f>
        <v>0</v>
      </c>
      <c r="O22" s="132">
        <f>[3]DHL_Swift!$IL$53</f>
        <v>0</v>
      </c>
      <c r="P22" s="132">
        <f>+'[3]Sun Country Cargo'!$IL$53</f>
        <v>0</v>
      </c>
      <c r="Q22" s="132">
        <f>[3]UPS!$IL$53</f>
        <v>78135</v>
      </c>
      <c r="R22" s="95">
        <f>'[3]Misc Cargo'!$IL$53</f>
        <v>0</v>
      </c>
      <c r="S22" s="368">
        <f>SUM(B22:E22)+SUM(G22:R22)</f>
        <v>182712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48667</v>
      </c>
      <c r="C23" s="223">
        <f>SUM(C21:C22)</f>
        <v>74006</v>
      </c>
      <c r="D23" s="223">
        <f t="shared" ref="D23:E23" si="11">SUM(D21:D22)</f>
        <v>28283</v>
      </c>
      <c r="E23" s="223">
        <f t="shared" si="11"/>
        <v>52528</v>
      </c>
      <c r="F23" s="464"/>
      <c r="G23" s="223">
        <f t="shared" ref="G23:R23" si="12">SUM(G21:G22)</f>
        <v>0</v>
      </c>
      <c r="H23" s="223">
        <f t="shared" ref="H23" si="13">SUM(H21:H22)</f>
        <v>302720</v>
      </c>
      <c r="I23" s="223">
        <f t="shared" si="12"/>
        <v>0</v>
      </c>
      <c r="J23" s="223">
        <f t="shared" si="12"/>
        <v>5341499</v>
      </c>
      <c r="K23" s="223">
        <f t="shared" si="12"/>
        <v>0</v>
      </c>
      <c r="L23" s="223">
        <f t="shared" si="12"/>
        <v>0</v>
      </c>
      <c r="M23" s="224">
        <f t="shared" si="12"/>
        <v>104577</v>
      </c>
      <c r="N23" s="223">
        <f t="shared" si="12"/>
        <v>47086</v>
      </c>
      <c r="O23" s="223">
        <f t="shared" si="12"/>
        <v>47600</v>
      </c>
      <c r="P23" s="223">
        <f t="shared" si="12"/>
        <v>2393847</v>
      </c>
      <c r="Q23" s="223">
        <f t="shared" si="12"/>
        <v>3836618</v>
      </c>
      <c r="R23" s="224">
        <f t="shared" si="12"/>
        <v>0</v>
      </c>
      <c r="S23" s="380">
        <f>SUM(B23:D23)+SUM(G23:R23)</f>
        <v>12224903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4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4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Air'!$IL$57</f>
        <v>0</v>
      </c>
      <c r="C26" s="132">
        <f>[3]DHL!$IL$57</f>
        <v>0</v>
      </c>
      <c r="D26" s="132">
        <f>[3]Airborne!$IL$57</f>
        <v>0</v>
      </c>
      <c r="E26" s="132">
        <f>[3]DHL_Bemidji!$IL$57</f>
        <v>0</v>
      </c>
      <c r="F26" s="464"/>
      <c r="G26" s="132">
        <f>[3]DHL_Encore!$IL$57</f>
        <v>0</v>
      </c>
      <c r="H26" s="132">
        <f>[3]DHL_Mesa!$IL$57</f>
        <v>0</v>
      </c>
      <c r="I26" s="132">
        <f>[3]Encore!$IL$57</f>
        <v>0</v>
      </c>
      <c r="J26" s="132">
        <f>[3]FedEx!$IL$57</f>
        <v>0</v>
      </c>
      <c r="K26" s="132">
        <f>[3]IFL!$IL$57</f>
        <v>0</v>
      </c>
      <c r="L26" s="132">
        <f>[3]DHL_Kalitta!$IL$57</f>
        <v>0</v>
      </c>
      <c r="M26" s="95">
        <f>'[3]Mountain Cargo'!$IL$57</f>
        <v>0</v>
      </c>
      <c r="N26" s="132">
        <f>[3]DHL_Amerijet!$IL$57</f>
        <v>0</v>
      </c>
      <c r="O26" s="132">
        <f>[3]DHL_Swift!$IL$57</f>
        <v>0</v>
      </c>
      <c r="P26" s="132">
        <f>+'[3]Sun Country Cargo'!$IL$57</f>
        <v>0</v>
      </c>
      <c r="Q26" s="132">
        <f>[3]UPS!$IL$57</f>
        <v>0</v>
      </c>
      <c r="R26" s="95">
        <f>'[3]Misc Cargo'!$IL$57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Air'!$IL$58</f>
        <v>0</v>
      </c>
      <c r="C27" s="132">
        <f>[3]DHL!$IL$58</f>
        <v>0</v>
      </c>
      <c r="D27" s="132">
        <f>[3]Airborne!$IL$58</f>
        <v>0</v>
      </c>
      <c r="E27" s="132">
        <f>[3]DHL_Bemidji!$IL$58</f>
        <v>0</v>
      </c>
      <c r="F27" s="464"/>
      <c r="G27" s="132">
        <f>[3]DHL_Encore!$IL$58</f>
        <v>0</v>
      </c>
      <c r="H27" s="132">
        <f>[3]DHL_Mesa!$IL$58</f>
        <v>0</v>
      </c>
      <c r="I27" s="132">
        <f>[3]Encore!$IL$58</f>
        <v>0</v>
      </c>
      <c r="J27" s="132">
        <f>[3]FedEx!$IL$58</f>
        <v>0</v>
      </c>
      <c r="K27" s="132">
        <f>[3]IFL!$IL$58</f>
        <v>0</v>
      </c>
      <c r="L27" s="132">
        <f>[3]DHL_Kalitta!$IL$58</f>
        <v>0</v>
      </c>
      <c r="M27" s="95">
        <f>'[3]Mountain Cargo'!$IL$58</f>
        <v>0</v>
      </c>
      <c r="N27" s="132">
        <f>[3]DHL_Amerijet!$IL$58</f>
        <v>0</v>
      </c>
      <c r="O27" s="132">
        <f>[3]DHL_Swift!$IL$58</f>
        <v>0</v>
      </c>
      <c r="P27" s="132">
        <f>+'[3]Sun Country Cargo'!$IL$58</f>
        <v>0</v>
      </c>
      <c r="Q27" s="132">
        <f>[3]UPS!$IL$58</f>
        <v>0</v>
      </c>
      <c r="R27" s="95">
        <f>'[3]Misc Cargo'!$IL$58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4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4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4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105917</v>
      </c>
      <c r="C31" s="132">
        <f t="shared" ref="C31:R33" si="17">C26+C21+C16</f>
        <v>194908</v>
      </c>
      <c r="D31" s="132">
        <f t="shared" si="17"/>
        <v>96070</v>
      </c>
      <c r="E31" s="132">
        <f t="shared" si="17"/>
        <v>95771</v>
      </c>
      <c r="F31" s="464"/>
      <c r="G31" s="132">
        <f t="shared" ref="G31:P33" si="18">G26+G21+G16</f>
        <v>0</v>
      </c>
      <c r="H31" s="132">
        <f t="shared" ref="H31" si="19">H26+H21+H16</f>
        <v>769886</v>
      </c>
      <c r="I31" s="132">
        <f t="shared" si="18"/>
        <v>0</v>
      </c>
      <c r="J31" s="132">
        <f t="shared" si="18"/>
        <v>11541243</v>
      </c>
      <c r="K31" s="132">
        <f t="shared" si="18"/>
        <v>50447</v>
      </c>
      <c r="L31" s="132">
        <f t="shared" si="18"/>
        <v>0</v>
      </c>
      <c r="M31" s="95">
        <f>M26+M21+M16</f>
        <v>0</v>
      </c>
      <c r="N31" s="132">
        <f t="shared" si="18"/>
        <v>125951</v>
      </c>
      <c r="O31" s="132">
        <f t="shared" si="18"/>
        <v>112664</v>
      </c>
      <c r="P31" s="132">
        <f t="shared" si="18"/>
        <v>4631782</v>
      </c>
      <c r="Q31" s="132">
        <f t="shared" si="17"/>
        <v>8452750</v>
      </c>
      <c r="R31" s="95">
        <f>R26+R21+R16</f>
        <v>0</v>
      </c>
      <c r="S31" s="368">
        <f>SUM(B31:E31)+SUM(G31:R31)</f>
        <v>26177389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5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158682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258302</v>
      </c>
      <c r="R32" s="95">
        <f>R27+R22+R17</f>
        <v>0</v>
      </c>
      <c r="S32" s="368">
        <f>SUM(B32:E32)+SUM(G32:R32)</f>
        <v>416984</v>
      </c>
    </row>
    <row r="33" spans="1:19" ht="18" customHeight="1" thickBot="1" x14ac:dyDescent="0.25">
      <c r="A33" s="160" t="s">
        <v>46</v>
      </c>
      <c r="B33" s="373">
        <f>B28+B23+B18</f>
        <v>105917</v>
      </c>
      <c r="C33" s="161">
        <f t="shared" ref="C33:I33" si="21">C28+C23+C18</f>
        <v>194908</v>
      </c>
      <c r="D33" s="161">
        <f t="shared" si="21"/>
        <v>96070</v>
      </c>
      <c r="E33" s="161">
        <f t="shared" si="21"/>
        <v>95771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769886</v>
      </c>
      <c r="I33" s="161">
        <f t="shared" si="21"/>
        <v>0</v>
      </c>
      <c r="J33" s="161">
        <f t="shared" si="18"/>
        <v>11541243</v>
      </c>
      <c r="K33" s="161">
        <f t="shared" si="18"/>
        <v>50447</v>
      </c>
      <c r="L33" s="161">
        <f t="shared" si="18"/>
        <v>0</v>
      </c>
      <c r="M33" s="162">
        <f>M28+M23+M18</f>
        <v>158682</v>
      </c>
      <c r="N33" s="161">
        <f t="shared" si="18"/>
        <v>125951</v>
      </c>
      <c r="O33" s="161">
        <f t="shared" si="18"/>
        <v>112664</v>
      </c>
      <c r="P33" s="161">
        <f t="shared" si="17"/>
        <v>4631782</v>
      </c>
      <c r="Q33" s="161">
        <f t="shared" si="17"/>
        <v>8711052</v>
      </c>
      <c r="R33" s="162">
        <f t="shared" si="17"/>
        <v>0</v>
      </c>
      <c r="S33" s="374">
        <f>SUM(B33:E33)+SUM(G33:R33)</f>
        <v>26594373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July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F14" sqref="F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45108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3477896</v>
      </c>
      <c r="C5" s="95">
        <f>'Regional Major'!M25</f>
        <v>46865.4</v>
      </c>
      <c r="D5" s="95">
        <f>Cargo!S16</f>
        <v>14082670</v>
      </c>
      <c r="E5" s="95">
        <f>SUM(B5:D5)</f>
        <v>17607431.399999999</v>
      </c>
      <c r="F5" s="95">
        <f>E5*0.00045359237</f>
        <v>7986.5965383384173</v>
      </c>
      <c r="G5" s="95">
        <f>'[1]Cargo Summary'!F5</f>
        <v>10264.655626650039</v>
      </c>
      <c r="H5" s="77">
        <f>(F5-G5)/G5</f>
        <v>-0.22193234446142707</v>
      </c>
      <c r="I5" s="95">
        <f>+'[2]Cargo Summary'!I5+F5</f>
        <v>59443.065176435091</v>
      </c>
      <c r="J5" s="95">
        <f>+'[1]Cargo Summary'!I5</f>
        <v>66251.084858013739</v>
      </c>
      <c r="K5" s="65">
        <f>(I5-J5)/J5</f>
        <v>-0.10276087849986579</v>
      </c>
      <c r="M5" s="13"/>
      <c r="O5" s="400"/>
    </row>
    <row r="6" spans="1:18" x14ac:dyDescent="0.2">
      <c r="A6" s="45" t="s">
        <v>16</v>
      </c>
      <c r="B6" s="139">
        <f>'Major Airline Stats'!K29</f>
        <v>410436</v>
      </c>
      <c r="C6" s="95">
        <f>'Regional Major'!M26</f>
        <v>0</v>
      </c>
      <c r="D6" s="95">
        <f>Cargo!S17</f>
        <v>234272</v>
      </c>
      <c r="E6" s="95">
        <f>SUM(B6:D6)</f>
        <v>644708</v>
      </c>
      <c r="F6" s="95">
        <f>E6*0.00045359237</f>
        <v>292.43462967796</v>
      </c>
      <c r="G6" s="95">
        <f>'[1]Cargo Summary'!F6</f>
        <v>1237.2498462855299</v>
      </c>
      <c r="H6" s="3">
        <f>(F6-G6)/G6</f>
        <v>-0.76364140956985616</v>
      </c>
      <c r="I6" s="95">
        <f>+'[2]Cargo Summary'!I6+F6</f>
        <v>3775.6874657394201</v>
      </c>
      <c r="J6" s="95">
        <f>+'[1]Cargo Summary'!I6</f>
        <v>10605.704925767488</v>
      </c>
      <c r="K6" s="65">
        <f>(I6-J6)/J6</f>
        <v>-0.64399467153135126</v>
      </c>
      <c r="M6" s="13"/>
    </row>
    <row r="7" spans="1:18" ht="18" customHeight="1" thickBot="1" x14ac:dyDescent="0.25">
      <c r="A7" s="54" t="s">
        <v>71</v>
      </c>
      <c r="B7" s="141">
        <f>SUM(B5:B6)</f>
        <v>3888332</v>
      </c>
      <c r="C7" s="105">
        <f t="shared" ref="C7:J7" si="0">SUM(C5:C6)</f>
        <v>46865.4</v>
      </c>
      <c r="D7" s="105">
        <f t="shared" si="0"/>
        <v>14316942</v>
      </c>
      <c r="E7" s="105">
        <f t="shared" si="0"/>
        <v>18252139.399999999</v>
      </c>
      <c r="F7" s="105">
        <f t="shared" si="0"/>
        <v>8279.0311680163777</v>
      </c>
      <c r="G7" s="105">
        <f t="shared" si="0"/>
        <v>11501.905472935568</v>
      </c>
      <c r="H7" s="28">
        <f>(F7-G7)/G7</f>
        <v>-0.28020351171401464</v>
      </c>
      <c r="I7" s="105">
        <f t="shared" si="0"/>
        <v>63218.752642174513</v>
      </c>
      <c r="J7" s="105">
        <f t="shared" si="0"/>
        <v>76856.78978378122</v>
      </c>
      <c r="K7" s="238">
        <f>(I7-J7)/J7</f>
        <v>-0.17744739508342941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2203187</v>
      </c>
      <c r="C10" s="95">
        <f>'Regional Major'!M30</f>
        <v>43455.1</v>
      </c>
      <c r="D10" s="95">
        <f>Cargo!S21</f>
        <v>12094719</v>
      </c>
      <c r="E10" s="95">
        <f>SUM(B10:D10)</f>
        <v>14341361.1</v>
      </c>
      <c r="F10" s="95">
        <f>E10*0.00045359237</f>
        <v>6505.1319703748068</v>
      </c>
      <c r="G10" s="95">
        <f>'[1]Cargo Summary'!F10</f>
        <v>8003.8844404139381</v>
      </c>
      <c r="H10" s="3">
        <f>(F10-G10)/G10</f>
        <v>-0.18725313704824306</v>
      </c>
      <c r="I10" s="95">
        <f>+'[2]Cargo Summary'!I10+F10</f>
        <v>49624.460719837618</v>
      </c>
      <c r="J10" s="95">
        <f>+'[1]Cargo Summary'!I10</f>
        <v>51238.4650690337</v>
      </c>
      <c r="K10" s="65">
        <f>(I10-J10)/J10</f>
        <v>-3.1499857519571101E-2</v>
      </c>
      <c r="M10" s="13"/>
      <c r="O10" s="400"/>
    </row>
    <row r="11" spans="1:18" x14ac:dyDescent="0.2">
      <c r="A11" s="45" t="s">
        <v>16</v>
      </c>
      <c r="B11" s="139">
        <f>'Major Airline Stats'!K34</f>
        <v>377662</v>
      </c>
      <c r="C11" s="95">
        <f>'Regional Major'!M31</f>
        <v>0</v>
      </c>
      <c r="D11" s="95">
        <f>Cargo!S22</f>
        <v>182712</v>
      </c>
      <c r="E11" s="95">
        <f>SUM(B11:D11)</f>
        <v>560374</v>
      </c>
      <c r="F11" s="95">
        <f>E11*0.00045359237</f>
        <v>254.18137074638</v>
      </c>
      <c r="G11" s="95">
        <f>'[1]Cargo Summary'!F11</f>
        <v>1035.8740663220178</v>
      </c>
      <c r="H11" s="25">
        <f>(F11-G11)/G11</f>
        <v>-0.75462135889850168</v>
      </c>
      <c r="I11" s="95">
        <f>+'[2]Cargo Summary'!I11+F11</f>
        <v>3502.7876986602496</v>
      </c>
      <c r="J11" s="95">
        <f>+'[1]Cargo Summary'!I11</f>
        <v>8623.7368752283983</v>
      </c>
      <c r="K11" s="65">
        <f>(I11-J11)/J11</f>
        <v>-0.59382020238558375</v>
      </c>
      <c r="M11" s="13"/>
    </row>
    <row r="12" spans="1:18" ht="18" customHeight="1" thickBot="1" x14ac:dyDescent="0.25">
      <c r="A12" s="54" t="s">
        <v>72</v>
      </c>
      <c r="B12" s="141">
        <f>SUM(B10:B11)</f>
        <v>2580849</v>
      </c>
      <c r="C12" s="105">
        <f t="shared" ref="C12:J12" si="1">SUM(C10:C11)</f>
        <v>43455.1</v>
      </c>
      <c r="D12" s="105">
        <f t="shared" si="1"/>
        <v>12277431</v>
      </c>
      <c r="E12" s="105">
        <f t="shared" si="1"/>
        <v>14901735.1</v>
      </c>
      <c r="F12" s="105">
        <f t="shared" si="1"/>
        <v>6759.3133411211866</v>
      </c>
      <c r="G12" s="105">
        <f t="shared" si="1"/>
        <v>9039.758506735956</v>
      </c>
      <c r="H12" s="28">
        <f>(F12-G12)/G12</f>
        <v>-0.25226837242560196</v>
      </c>
      <c r="I12" s="105">
        <f>SUM(I10:I11)</f>
        <v>53127.248418497868</v>
      </c>
      <c r="J12" s="105">
        <f t="shared" si="1"/>
        <v>59862.201944262095</v>
      </c>
      <c r="K12" s="238">
        <f>(I12-J12)/J12</f>
        <v>-0.11250761427110827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5681083</v>
      </c>
      <c r="C20" s="95">
        <f t="shared" si="3"/>
        <v>90320.5</v>
      </c>
      <c r="D20" s="95">
        <f t="shared" si="3"/>
        <v>26177389</v>
      </c>
      <c r="E20" s="95">
        <f>SUM(B20:D20)</f>
        <v>31948792.5</v>
      </c>
      <c r="F20" s="95">
        <f>E20*0.00045359237</f>
        <v>14491.728508713224</v>
      </c>
      <c r="G20" s="95">
        <f>'[1]Cargo Summary'!F20</f>
        <v>18268.540067063979</v>
      </c>
      <c r="H20" s="3">
        <f>(F20-G20)/G20</f>
        <v>-0.2067385540654067</v>
      </c>
      <c r="I20" s="95">
        <f>+'[2]Cargo Summary'!I20+F20</f>
        <v>109067.52589627271</v>
      </c>
      <c r="J20" s="95">
        <f>+'[1]Cargo Summary'!I20</f>
        <v>117489.54992704747</v>
      </c>
      <c r="K20" s="65">
        <f>(I20-J20)/J20</f>
        <v>-7.1683175533519605E-2</v>
      </c>
      <c r="M20" s="13"/>
    </row>
    <row r="21" spans="1:13" x14ac:dyDescent="0.2">
      <c r="A21" s="45" t="s">
        <v>16</v>
      </c>
      <c r="B21" s="139">
        <f t="shared" si="3"/>
        <v>788098</v>
      </c>
      <c r="C21" s="96">
        <f t="shared" si="3"/>
        <v>0</v>
      </c>
      <c r="D21" s="96">
        <f t="shared" si="3"/>
        <v>416984</v>
      </c>
      <c r="E21" s="95">
        <f>SUM(B21:D21)</f>
        <v>1205082</v>
      </c>
      <c r="F21" s="95">
        <f>E21*0.00045359237</f>
        <v>546.61600042433997</v>
      </c>
      <c r="G21" s="95">
        <f>'[1]Cargo Summary'!F21</f>
        <v>2273.1239126075479</v>
      </c>
      <c r="H21" s="3">
        <f>(F21-G21)/G21</f>
        <v>-0.75953092684801982</v>
      </c>
      <c r="I21" s="95">
        <f>+'[2]Cargo Summary'!I21+F21</f>
        <v>7278.4751643996706</v>
      </c>
      <c r="J21" s="95">
        <f>+'[1]Cargo Summary'!I21</f>
        <v>19229.44180099589</v>
      </c>
      <c r="K21" s="65">
        <f>(I21-J21)/J21</f>
        <v>-0.62149316450658909</v>
      </c>
      <c r="M21" s="13"/>
    </row>
    <row r="22" spans="1:13" ht="18" customHeight="1" thickBot="1" x14ac:dyDescent="0.25">
      <c r="A22" s="67" t="s">
        <v>62</v>
      </c>
      <c r="B22" s="142">
        <f>SUM(B20:B21)</f>
        <v>6469181</v>
      </c>
      <c r="C22" s="143">
        <f t="shared" ref="C22:J22" si="4">SUM(C20:C21)</f>
        <v>90320.5</v>
      </c>
      <c r="D22" s="143">
        <f t="shared" si="4"/>
        <v>26594373</v>
      </c>
      <c r="E22" s="143">
        <f t="shared" si="4"/>
        <v>33153874.5</v>
      </c>
      <c r="F22" s="143">
        <f t="shared" si="4"/>
        <v>15038.344509137563</v>
      </c>
      <c r="G22" s="143">
        <f t="shared" si="4"/>
        <v>20541.663979671528</v>
      </c>
      <c r="H22" s="244">
        <f>(F22-G22)/G22</f>
        <v>-0.26791011068919091</v>
      </c>
      <c r="I22" s="143">
        <f>SUM(I20:I21)</f>
        <v>116346.00106067238</v>
      </c>
      <c r="J22" s="143">
        <f t="shared" si="4"/>
        <v>136718.99172804336</v>
      </c>
      <c r="K22" s="245">
        <f>(I22-J22)/J22</f>
        <v>-0.14901361112943415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July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J9" sqref="J9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2" t="s">
        <v>182</v>
      </c>
      <c r="B2" s="473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2" t="s">
        <v>178</v>
      </c>
      <c r="K2" s="473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4">
        <v>45108</v>
      </c>
      <c r="B3" s="475"/>
      <c r="C3" s="476" t="s">
        <v>9</v>
      </c>
      <c r="D3" s="477"/>
      <c r="E3" s="477"/>
      <c r="F3" s="477"/>
      <c r="G3" s="477"/>
      <c r="H3" s="478"/>
      <c r="I3" s="365"/>
      <c r="J3" s="474">
        <f>+A3</f>
        <v>45108</v>
      </c>
      <c r="K3" s="475"/>
      <c r="L3" s="469" t="s">
        <v>179</v>
      </c>
      <c r="M3" s="470"/>
      <c r="N3" s="470"/>
      <c r="O3" s="470"/>
      <c r="P3" s="470"/>
      <c r="Q3" s="470"/>
      <c r="R3" s="471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184</v>
      </c>
      <c r="D5" s="382">
        <f>SUM(D6:D7)</f>
        <v>114</v>
      </c>
      <c r="E5" s="383">
        <f>(C5-D5)/D5</f>
        <v>0.61403508771929827</v>
      </c>
      <c r="F5" s="382">
        <f>SUM(F6:F7)</f>
        <v>1224</v>
      </c>
      <c r="G5" s="382">
        <f>SUM(G6:G7)</f>
        <v>1047</v>
      </c>
      <c r="H5" s="384">
        <f>(F5-G5)/G5</f>
        <v>0.16905444126074498</v>
      </c>
      <c r="I5" s="383">
        <f>+F5/$F$34</f>
        <v>0.15167286245353159</v>
      </c>
      <c r="J5" s="258" t="s">
        <v>202</v>
      </c>
      <c r="K5" s="39"/>
      <c r="L5" s="382">
        <f>SUM(L6:L7)</f>
        <v>4737699</v>
      </c>
      <c r="M5" s="382">
        <f>SUM(M6:M7)</f>
        <v>6160227</v>
      </c>
      <c r="N5" s="383">
        <f>(L5-M5)/M5</f>
        <v>-0.23092136052778575</v>
      </c>
      <c r="O5" s="382">
        <f>SUM(O6:O7)</f>
        <v>36977185</v>
      </c>
      <c r="P5" s="382">
        <f>SUM(P6:P7)</f>
        <v>39024906</v>
      </c>
      <c r="Q5" s="384">
        <f>(O5-P5)/P5</f>
        <v>-5.2472157139853204E-2</v>
      </c>
      <c r="R5" s="383">
        <f>O5/$O$34</f>
        <v>0.17807501596331929</v>
      </c>
      <c r="T5" s="391"/>
    </row>
    <row r="6" spans="1:20" ht="14.1" customHeight="1" x14ac:dyDescent="0.2">
      <c r="A6" s="37"/>
      <c r="B6" s="318" t="s">
        <v>203</v>
      </c>
      <c r="C6" s="322">
        <f>+'[3]Atlas Air'!$IL$19</f>
        <v>4</v>
      </c>
      <c r="D6" s="217">
        <f>+'[3]Atlas Air'!$HX$19</f>
        <v>58</v>
      </c>
      <c r="E6" s="324">
        <f>(C6-D6)/D6</f>
        <v>-0.93103448275862066</v>
      </c>
      <c r="F6" s="322">
        <f>+SUM('[3]Atlas Air'!$IF$19:$IL$19)</f>
        <v>324</v>
      </c>
      <c r="G6" s="217">
        <f>+SUM('[3]Atlas Air'!$HR$19:$HX$19)</f>
        <v>420</v>
      </c>
      <c r="H6" s="323">
        <f>(F6-G6)/G6</f>
        <v>-0.22857142857142856</v>
      </c>
      <c r="I6" s="324">
        <f>+F6/$F$34</f>
        <v>4.0148698884758367E-2</v>
      </c>
      <c r="J6" s="37"/>
      <c r="K6" s="318" t="s">
        <v>203</v>
      </c>
      <c r="L6" s="322">
        <f>+'[3]Atlas Air'!$IL$64</f>
        <v>105917</v>
      </c>
      <c r="M6" s="217">
        <f>+'[3]Atlas Air'!$HX$64</f>
        <v>3888273</v>
      </c>
      <c r="N6" s="324">
        <f>(L6-M6)/M6</f>
        <v>-0.97275988594422258</v>
      </c>
      <c r="O6" s="217">
        <f>+SUM('[3]Atlas Air'!$IF$64:$IL$64)</f>
        <v>15516990</v>
      </c>
      <c r="P6" s="217">
        <f>+SUM('[3]Atlas Air'!$HR$64:$HX$64)</f>
        <v>22550550</v>
      </c>
      <c r="Q6" s="323">
        <f>(O6-P6)/P6</f>
        <v>-0.31190192700399766</v>
      </c>
      <c r="R6" s="324">
        <f>O6/$O$34</f>
        <v>7.4726841482191414E-2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Cargo'!$IL$19</f>
        <v>180</v>
      </c>
      <c r="D7" s="217">
        <f>+'[3]Sun Country Cargo'!$HX$19</f>
        <v>56</v>
      </c>
      <c r="E7" s="324">
        <f>(C7-D7)/D7</f>
        <v>2.2142857142857144</v>
      </c>
      <c r="F7" s="322">
        <f>+SUM('[3]Sun Country Cargo'!$IF$19:$IL$19)</f>
        <v>900</v>
      </c>
      <c r="G7" s="217">
        <f>+SUM('[3]Sun Country Cargo'!$HR$19:$HX$19)</f>
        <v>627</v>
      </c>
      <c r="H7" s="323">
        <f>(F7-G7)/G7</f>
        <v>0.4354066985645933</v>
      </c>
      <c r="I7" s="324">
        <f>+F7/$F$34</f>
        <v>0.11152416356877323</v>
      </c>
      <c r="J7" s="37"/>
      <c r="K7" s="318" t="s">
        <v>49</v>
      </c>
      <c r="L7" s="322">
        <f>+'[3]Sun Country Cargo'!$IL$64</f>
        <v>4631782</v>
      </c>
      <c r="M7" s="217">
        <f>+'[3]Sun Country Cargo'!$HX$64</f>
        <v>2271954</v>
      </c>
      <c r="N7" s="324">
        <f>(L7-M7)/M7</f>
        <v>1.0386777197073531</v>
      </c>
      <c r="O7" s="217">
        <f>+SUM('[3]Sun Country Cargo'!$IF$64:$IL$64)</f>
        <v>21460195</v>
      </c>
      <c r="P7" s="217">
        <f>+SUM('[3]Sun Country Cargo'!$HR$64:$HX$64)</f>
        <v>16474356</v>
      </c>
      <c r="Q7" s="323">
        <f>(O7-P7)/P7</f>
        <v>0.30264242195567465</v>
      </c>
      <c r="R7" s="324">
        <f>O7/$O$34</f>
        <v>0.10334817448112789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124</v>
      </c>
      <c r="D9" s="382">
        <f>SUM(D10:D18)</f>
        <v>180</v>
      </c>
      <c r="E9" s="383">
        <f>(C9-D9)/D9</f>
        <v>-0.31111111111111112</v>
      </c>
      <c r="F9" s="382">
        <f>SUM(F10:F18)</f>
        <v>970</v>
      </c>
      <c r="G9" s="382">
        <f>SUM(G10:G18)</f>
        <v>1016</v>
      </c>
      <c r="H9" s="384">
        <f>(F9-G9)/G9</f>
        <v>-4.5275590551181105E-2</v>
      </c>
      <c r="I9" s="383">
        <f t="shared" ref="I9:I18" si="0">+F9/$F$34</f>
        <v>0.12019826517967781</v>
      </c>
      <c r="J9" s="258" t="s">
        <v>204</v>
      </c>
      <c r="K9" s="39"/>
      <c r="L9" s="382">
        <f>SUM(L10:L18)</f>
        <v>1395250</v>
      </c>
      <c r="M9" s="382">
        <f>SUM(M10:M18)</f>
        <v>2075272</v>
      </c>
      <c r="N9" s="383">
        <f t="shared" ref="N9:N18" si="1">(L9-M9)/M9</f>
        <v>-0.32767849226511031</v>
      </c>
      <c r="O9" s="382">
        <f>SUM(O10:O18)</f>
        <v>10015530</v>
      </c>
      <c r="P9" s="382">
        <f>SUM(P10:P18)</f>
        <v>11877395</v>
      </c>
      <c r="Q9" s="384">
        <f t="shared" ref="Q9:Q18" si="2">(O9-P9)/P9</f>
        <v>-0.15675701616389789</v>
      </c>
      <c r="R9" s="383">
        <f t="shared" ref="R9:R18" si="3">O9/$O$34</f>
        <v>4.8232867500084264E-2</v>
      </c>
      <c r="T9" s="391"/>
    </row>
    <row r="10" spans="1:20" ht="14.1" customHeight="1" x14ac:dyDescent="0.2">
      <c r="A10" s="258"/>
      <c r="B10" s="318" t="s">
        <v>205</v>
      </c>
      <c r="C10" s="322">
        <f>+[3]Airborne!$IL$19</f>
        <v>4</v>
      </c>
      <c r="D10" s="217">
        <f>+[3]Airborne!$HX$19</f>
        <v>0</v>
      </c>
      <c r="E10" s="324" t="e">
        <f>(C10-D10)/D10</f>
        <v>#DIV/0!</v>
      </c>
      <c r="F10" s="322">
        <f>+SUM([3]Airborne!$IF$19:$IL$19)</f>
        <v>26</v>
      </c>
      <c r="G10" s="217">
        <f>+SUM([3]Airborne!$HR$19:$HX$19)</f>
        <v>12</v>
      </c>
      <c r="H10" s="323">
        <f>(F10-G10)/G10</f>
        <v>1.1666666666666667</v>
      </c>
      <c r="I10" s="324">
        <f t="shared" si="0"/>
        <v>3.22180916976456E-3</v>
      </c>
      <c r="J10" s="258"/>
      <c r="K10" s="318" t="s">
        <v>205</v>
      </c>
      <c r="L10" s="322">
        <f>+[3]Airborne!$IL$64</f>
        <v>96070</v>
      </c>
      <c r="M10" s="217">
        <f>+[3]Airborne!$HX$64</f>
        <v>0</v>
      </c>
      <c r="N10" s="324" t="e">
        <f t="shared" si="1"/>
        <v>#DIV/0!</v>
      </c>
      <c r="O10" s="322">
        <f>+SUM([3]Airborne!$IF$64:$IL$64)</f>
        <v>650516</v>
      </c>
      <c r="P10" s="217">
        <f>+SUM([3]Airborne!$HR$64:$HX$64)</f>
        <v>352522</v>
      </c>
      <c r="Q10" s="323">
        <f t="shared" si="2"/>
        <v>0.84532029206687809</v>
      </c>
      <c r="R10" s="324">
        <f t="shared" si="3"/>
        <v>3.1327600271463234E-3</v>
      </c>
      <c r="T10" s="391"/>
    </row>
    <row r="11" spans="1:20" ht="14.1" customHeight="1" x14ac:dyDescent="0.2">
      <c r="A11" s="258"/>
      <c r="B11" s="39" t="s">
        <v>203</v>
      </c>
      <c r="C11" s="322">
        <f>+[3]DHL_Atlas!$IL$19</f>
        <v>0</v>
      </c>
      <c r="D11" s="217">
        <f>+[3]DHL_Atlas!$HX$19</f>
        <v>0</v>
      </c>
      <c r="E11" s="324" t="e">
        <f t="shared" ref="E11:E18" si="4">(C11-D11)/D11</f>
        <v>#DIV/0!</v>
      </c>
      <c r="F11" s="322">
        <f>+SUM([3]DHL_Atlas!$IF$19:$IL$19)</f>
        <v>0</v>
      </c>
      <c r="G11" s="217">
        <f>+SUM([3]DHL_Atlas!$HR$19:$HX$19)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+[3]DHL_Atlas!$IL$64</f>
        <v>0</v>
      </c>
      <c r="M11" s="217">
        <f>+[3]DHL_Atlas!$HX$64</f>
        <v>0</v>
      </c>
      <c r="N11" s="324" t="e">
        <f t="shared" si="1"/>
        <v>#DIV/0!</v>
      </c>
      <c r="O11" s="322">
        <f>+SUM([3]DHL_Atlas!$IF$64:$IL$64)</f>
        <v>0</v>
      </c>
      <c r="P11" s="217">
        <f>+SUM([3]DHL_Atlas!$HR$64:$HX$64)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+[3]DHL!$IL$19</f>
        <v>6</v>
      </c>
      <c r="D12" s="217">
        <f>+[3]DHL!$HX$19</f>
        <v>0</v>
      </c>
      <c r="E12" s="324" t="e">
        <f t="shared" si="4"/>
        <v>#DIV/0!</v>
      </c>
      <c r="F12" s="322">
        <f>+SUM([3]DHL!$IF$19:$IL$19)</f>
        <v>12</v>
      </c>
      <c r="G12" s="217">
        <f>+SUM([3]DHL!$HR$19:$HX$19)</f>
        <v>0</v>
      </c>
      <c r="H12" s="323" t="e">
        <f t="shared" si="5"/>
        <v>#DIV/0!</v>
      </c>
      <c r="I12" s="324">
        <f t="shared" si="0"/>
        <v>1.4869888475836431E-3</v>
      </c>
      <c r="J12" s="258"/>
      <c r="K12" s="39" t="s">
        <v>206</v>
      </c>
      <c r="L12" s="322">
        <f>+[3]DHL!$IL$64</f>
        <v>194908</v>
      </c>
      <c r="M12" s="217">
        <f>+[3]DHL!$HX$64</f>
        <v>0</v>
      </c>
      <c r="N12" s="324" t="e">
        <f t="shared" si="1"/>
        <v>#DIV/0!</v>
      </c>
      <c r="O12" s="322">
        <f>+SUM([3]DHL!$IF$64:$IL$64)</f>
        <v>326824</v>
      </c>
      <c r="P12" s="217">
        <f>+SUM([3]DHL!$HR$64:$HX$64)</f>
        <v>0</v>
      </c>
      <c r="Q12" s="323" t="e">
        <f t="shared" si="2"/>
        <v>#DIV/0!</v>
      </c>
      <c r="R12" s="324">
        <f t="shared" si="3"/>
        <v>1.5739215685887356E-3</v>
      </c>
      <c r="T12" s="391"/>
    </row>
    <row r="13" spans="1:20" ht="14.1" customHeight="1" x14ac:dyDescent="0.2">
      <c r="A13" s="258"/>
      <c r="B13" s="318" t="s">
        <v>83</v>
      </c>
      <c r="C13" s="322">
        <f>+[3]DHL_Bemidji!$IL$19</f>
        <v>72</v>
      </c>
      <c r="D13" s="217">
        <f>+[3]DHL_Bemidji!$HX$19</f>
        <v>78</v>
      </c>
      <c r="E13" s="324">
        <f>(C13-D13)/D13</f>
        <v>-7.6923076923076927E-2</v>
      </c>
      <c r="F13" s="322">
        <f>+SUM([3]DHL_Bemidji!$IF$19:$IL$19)</f>
        <v>498</v>
      </c>
      <c r="G13" s="217">
        <f>+SUM([3]DHL_Bemidji!$HR$19:$HX$19)</f>
        <v>552</v>
      </c>
      <c r="H13" s="323">
        <f t="shared" si="5"/>
        <v>-9.7826086956521743E-2</v>
      </c>
      <c r="I13" s="324">
        <f t="shared" si="0"/>
        <v>6.1710037174721191E-2</v>
      </c>
      <c r="J13" s="258"/>
      <c r="K13" s="318" t="s">
        <v>83</v>
      </c>
      <c r="L13" s="322">
        <f>+[3]DHL_Bemidji!$IL$64</f>
        <v>95771</v>
      </c>
      <c r="M13" s="217">
        <f>+[3]DHL_Bemidji!$HX$64</f>
        <v>97644</v>
      </c>
      <c r="N13" s="324">
        <f t="shared" ref="N13" si="6">(L13-M13)/M13</f>
        <v>-1.9181926180820121E-2</v>
      </c>
      <c r="O13" s="322">
        <f>+SUM([3]DHL_Bemidji!$IF$64:$IL$64)</f>
        <v>634975</v>
      </c>
      <c r="P13" s="217">
        <f>+SUM([3]DHL_Bemidji!$HR$64:$HX$64)</f>
        <v>751353</v>
      </c>
      <c r="Q13" s="323">
        <f t="shared" ref="Q13" si="7">(O13-P13)/P13</f>
        <v>-0.15489124286453904</v>
      </c>
      <c r="R13" s="324">
        <f t="shared" si="3"/>
        <v>3.0579175581188422E-3</v>
      </c>
      <c r="T13" s="391"/>
    </row>
    <row r="14" spans="1:20" ht="14.1" customHeight="1" x14ac:dyDescent="0.2">
      <c r="A14" s="258"/>
      <c r="B14" s="39" t="s">
        <v>194</v>
      </c>
      <c r="C14" s="322">
        <f>+[3]Encore!$IL$19+[3]DHL_Encore!$IL$12</f>
        <v>0</v>
      </c>
      <c r="D14" s="217">
        <f>+[3]Encore!$HX$19+[3]DHL_Encore!$HX$19</f>
        <v>34</v>
      </c>
      <c r="E14" s="324">
        <f t="shared" si="4"/>
        <v>-1</v>
      </c>
      <c r="F14" s="322">
        <f>+SUM([3]Encore!$IF$19:$IL$19)+SUM([3]DHL_Encore!$IF$19:$IL$19)</f>
        <v>0</v>
      </c>
      <c r="G14" s="217">
        <f>+SUM([3]Encore!$HR$19:$HX$19)+SUM([3]DHL_Encore!$HR$19:$HX$19)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+[3]Encore!$IL$64+[3]DHL_Encore!$IL$64</f>
        <v>0</v>
      </c>
      <c r="M14" s="217">
        <f>+[3]Encore!$HX$64+[3]DHL_Encore!$HX$64</f>
        <v>769886</v>
      </c>
      <c r="N14" s="324">
        <f t="shared" si="1"/>
        <v>-1</v>
      </c>
      <c r="O14" s="322">
        <f>+SUM([3]Encore!$IF$64:$IL$64)+SUM([3]DHL_Encore!$IF$64:$IL$64)</f>
        <v>0</v>
      </c>
      <c r="P14" s="217">
        <f>+SUM([3]Encore!$HR$64:$HX$64)+SUM([3]DHL_Encore!$HR$64:$HX$64)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+[3]DHL_Kalitta!$IL$19</f>
        <v>0</v>
      </c>
      <c r="D15" s="217">
        <f>+[3]DHL_Kalitta!$HX$19</f>
        <v>0</v>
      </c>
      <c r="E15" s="324" t="e">
        <f t="shared" si="4"/>
        <v>#DIV/0!</v>
      </c>
      <c r="F15" s="322">
        <f>+SUM([3]DHL_Kalitta!$IF$19:$IL$19)</f>
        <v>0</v>
      </c>
      <c r="G15" s="217">
        <f>+SUM([3]DHL_Kalitta!$HR$19:$HX$19)</f>
        <v>2</v>
      </c>
      <c r="H15" s="323">
        <f t="shared" si="5"/>
        <v>-1</v>
      </c>
      <c r="I15" s="324">
        <f t="shared" si="0"/>
        <v>0</v>
      </c>
      <c r="J15" s="258"/>
      <c r="K15" s="39" t="s">
        <v>207</v>
      </c>
      <c r="L15" s="322">
        <f>+[3]DHL_Kalitta!$IL$64</f>
        <v>0</v>
      </c>
      <c r="M15" s="217">
        <f>+[3]DHL_Kalitta!$HX$64</f>
        <v>0</v>
      </c>
      <c r="N15" s="324" t="e">
        <f t="shared" si="1"/>
        <v>#DIV/0!</v>
      </c>
      <c r="O15" s="322">
        <f>+SUM([3]DHL_Kalitta!$IF$64:$IL$64)</f>
        <v>0</v>
      </c>
      <c r="P15" s="217">
        <f>+SUM([3]DHL_Kalitta!$HR$64:$HX$64)</f>
        <v>43161</v>
      </c>
      <c r="Q15" s="323">
        <f t="shared" si="2"/>
        <v>-1</v>
      </c>
      <c r="R15" s="324">
        <f t="shared" si="3"/>
        <v>0</v>
      </c>
      <c r="T15" s="391"/>
    </row>
    <row r="16" spans="1:20" ht="14.1" customHeight="1" x14ac:dyDescent="0.2">
      <c r="A16" s="258"/>
      <c r="B16" s="39" t="s">
        <v>51</v>
      </c>
      <c r="C16" s="322">
        <f>+[3]DHL_Mesa!$IL$19</f>
        <v>34</v>
      </c>
      <c r="D16" s="217">
        <f>+[3]DHL_Mesa!$HX$19</f>
        <v>68</v>
      </c>
      <c r="E16" s="324">
        <f t="shared" ref="E16" si="8">(C16-D16)/D16</f>
        <v>-0.5</v>
      </c>
      <c r="F16" s="322">
        <f>+SUM([3]DHL_Mesa!$IF$19:$IL$19)</f>
        <v>170</v>
      </c>
      <c r="G16" s="217">
        <f>+SUM([3]DHL_Mesa!$HR$19:$HX$19)</f>
        <v>146</v>
      </c>
      <c r="H16" s="323">
        <f t="shared" ref="H16" si="9">(F16-G16)/G16</f>
        <v>0.16438356164383561</v>
      </c>
      <c r="I16" s="324">
        <f t="shared" ref="I16" si="10">+F16/$F$34</f>
        <v>2.1065675340768277E-2</v>
      </c>
      <c r="J16" s="258"/>
      <c r="K16" s="39" t="s">
        <v>51</v>
      </c>
      <c r="L16" s="322">
        <f>+[3]DHL_Mesa!$IL$64</f>
        <v>769886</v>
      </c>
      <c r="M16" s="217">
        <f>+[3]DHL_Mesa!$HX$64</f>
        <v>1207742</v>
      </c>
      <c r="N16" s="324">
        <f t="shared" ref="N16" si="11">(L16-M16)/M16</f>
        <v>-0.36254100627451891</v>
      </c>
      <c r="O16" s="322">
        <f>+SUM([3]DHL_Mesa!$IF$64:$IL$64)</f>
        <v>3057732</v>
      </c>
      <c r="P16" s="217">
        <f>+SUM([3]DHL_Mesa!$HR$64:$HX$64)</f>
        <v>2747836</v>
      </c>
      <c r="Q16" s="323">
        <f t="shared" ref="Q16" si="12">(O16-P16)/P16</f>
        <v>0.11277820073687075</v>
      </c>
      <c r="R16" s="324">
        <f t="shared" ref="R16" si="13">O16/$O$34</f>
        <v>1.4725449617420911E-2</v>
      </c>
      <c r="T16" s="391"/>
    </row>
    <row r="17" spans="1:20" x14ac:dyDescent="0.2">
      <c r="A17" s="258"/>
      <c r="B17" s="39" t="s">
        <v>239</v>
      </c>
      <c r="C17" s="322">
        <f>+[3]DHL_Amerijet!$IL$19</f>
        <v>4</v>
      </c>
      <c r="D17" s="217">
        <f>+[3]DHL_Amerijet!$HX$19</f>
        <v>0</v>
      </c>
      <c r="E17" s="324" t="e">
        <f t="shared" si="4"/>
        <v>#DIV/0!</v>
      </c>
      <c r="F17" s="322">
        <f>+SUM([3]DHL_Amerijet!$IF$19:$IL$19)</f>
        <v>82</v>
      </c>
      <c r="G17" s="217">
        <f>+SUM([3]DHL_Amerijet!$HR$19:$HX$19)</f>
        <v>0</v>
      </c>
      <c r="H17" s="323" t="e">
        <f t="shared" si="5"/>
        <v>#DIV/0!</v>
      </c>
      <c r="I17" s="324">
        <f t="shared" si="0"/>
        <v>1.0161090458488228E-2</v>
      </c>
      <c r="J17" s="258"/>
      <c r="K17" s="39" t="s">
        <v>239</v>
      </c>
      <c r="L17" s="322">
        <f>+[3]DHL_Amerijet!$IL$64</f>
        <v>125951</v>
      </c>
      <c r="M17" s="217">
        <f>+[3]DHL_Amerijet!$HX$64</f>
        <v>0</v>
      </c>
      <c r="N17" s="324" t="e">
        <f t="shared" si="1"/>
        <v>#DIV/0!</v>
      </c>
      <c r="O17" s="322">
        <f>+SUM([3]DHL_Amerijet!$IF$64:$IL$64)</f>
        <v>2347965</v>
      </c>
      <c r="P17" s="217">
        <f>+SUM([3]DHL_Amerijet!$HR$64:$HX$64)</f>
        <v>0</v>
      </c>
      <c r="Q17" s="323" t="e">
        <f t="shared" si="2"/>
        <v>#DIV/0!</v>
      </c>
      <c r="R17" s="324">
        <f t="shared" si="3"/>
        <v>1.1307348162287503E-2</v>
      </c>
      <c r="T17" s="391"/>
    </row>
    <row r="18" spans="1:20" ht="14.1" customHeight="1" x14ac:dyDescent="0.2">
      <c r="A18" s="258"/>
      <c r="B18" s="39" t="s">
        <v>208</v>
      </c>
      <c r="C18" s="322">
        <f>+[3]DHL_Swift!$IL$19</f>
        <v>4</v>
      </c>
      <c r="D18" s="217">
        <f>+[3]DHL_Swift!$HX$19</f>
        <v>0</v>
      </c>
      <c r="E18" s="324" t="e">
        <f t="shared" si="4"/>
        <v>#DIV/0!</v>
      </c>
      <c r="F18" s="322">
        <f>+SUM([3]DHL_Swift!$IF$19:$IL$19)</f>
        <v>182</v>
      </c>
      <c r="G18" s="217">
        <f>+SUM([3]DHL_Swift!$HR$19:$HX$19)</f>
        <v>270</v>
      </c>
      <c r="H18" s="323">
        <f t="shared" si="5"/>
        <v>-0.32592592592592595</v>
      </c>
      <c r="I18" s="324">
        <f t="shared" si="0"/>
        <v>2.2552664188351921E-2</v>
      </c>
      <c r="J18" s="258"/>
      <c r="K18" s="39" t="s">
        <v>208</v>
      </c>
      <c r="L18" s="322">
        <f>+[3]DHL_Swift!$IL$64</f>
        <v>112664</v>
      </c>
      <c r="M18" s="217">
        <f>+[3]DHL_Swift!$HX$64</f>
        <v>0</v>
      </c>
      <c r="N18" s="324" t="e">
        <f t="shared" si="1"/>
        <v>#DIV/0!</v>
      </c>
      <c r="O18" s="322">
        <f>+SUM([3]DHL_Swift!$IF$64:$IL$64)</f>
        <v>2997518</v>
      </c>
      <c r="P18" s="217">
        <f>+SUM([3]DHL_Swift!$HR$64:$HX$64)</f>
        <v>7212637</v>
      </c>
      <c r="Q18" s="323">
        <f t="shared" si="2"/>
        <v>-0.58440747815258132</v>
      </c>
      <c r="R18" s="324">
        <f t="shared" si="3"/>
        <v>1.443547056652195E-2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236</v>
      </c>
      <c r="D20" s="382">
        <f>SUM(D21:D24)</f>
        <v>322</v>
      </c>
      <c r="E20" s="383">
        <f>(C20-D20)/D20</f>
        <v>-0.26708074534161491</v>
      </c>
      <c r="F20" s="386">
        <f>SUM(F21:F24)</f>
        <v>1802</v>
      </c>
      <c r="G20" s="382">
        <f>SUM(G21:G24)</f>
        <v>2308</v>
      </c>
      <c r="H20" s="384">
        <f t="shared" ref="H20:H21" si="14">(F20-G20)/G20</f>
        <v>-0.21923743500866552</v>
      </c>
      <c r="I20" s="383">
        <f>+F20/$F$34</f>
        <v>0.22329615861214375</v>
      </c>
      <c r="J20" s="258" t="s">
        <v>180</v>
      </c>
      <c r="K20" s="39"/>
      <c r="L20" s="386">
        <f>SUM(L21:L24)</f>
        <v>11750372</v>
      </c>
      <c r="M20" s="382">
        <f>SUM(M21:M24)</f>
        <v>14453438</v>
      </c>
      <c r="N20" s="383">
        <f>(L20-M20)/M20</f>
        <v>-0.18701889474324379</v>
      </c>
      <c r="O20" s="386">
        <f>SUM(O21:O24)</f>
        <v>87643092</v>
      </c>
      <c r="P20" s="382">
        <f>SUM(P21:P24)</f>
        <v>104371702</v>
      </c>
      <c r="Q20" s="384">
        <f t="shared" ref="Q20:Q22" si="15">(O20-P20)/P20</f>
        <v>-0.16027917222237115</v>
      </c>
      <c r="R20" s="383">
        <f>O20/$O$34</f>
        <v>0.42207228611303599</v>
      </c>
      <c r="T20" s="391"/>
    </row>
    <row r="21" spans="1:20" ht="14.1" customHeight="1" x14ac:dyDescent="0.2">
      <c r="A21" s="37"/>
      <c r="B21" s="318" t="s">
        <v>180</v>
      </c>
      <c r="C21" s="322">
        <f>+[3]FedEx!$IL$19</f>
        <v>168</v>
      </c>
      <c r="D21" s="217">
        <f>+[3]FedEx!$HX$19</f>
        <v>248</v>
      </c>
      <c r="E21" s="324">
        <f>(C21-D21)/D21</f>
        <v>-0.32258064516129031</v>
      </c>
      <c r="F21" s="322">
        <f>+SUM([3]FedEx!$IF$19:$IL$19)</f>
        <v>1312</v>
      </c>
      <c r="G21" s="217">
        <f>+SUM([3]FedEx!$HR$19:$HX$19)</f>
        <v>1808</v>
      </c>
      <c r="H21" s="323">
        <f t="shared" si="14"/>
        <v>-0.27433628318584069</v>
      </c>
      <c r="I21" s="324">
        <f>+F21/$F$34</f>
        <v>0.16257744733581164</v>
      </c>
      <c r="J21" s="258"/>
      <c r="K21" s="318" t="s">
        <v>180</v>
      </c>
      <c r="L21" s="322">
        <f>+[3]FedEx!$IL$64</f>
        <v>11541243</v>
      </c>
      <c r="M21" s="217">
        <f>+[3]FedEx!$HX$64</f>
        <v>14236175</v>
      </c>
      <c r="N21" s="324">
        <f>(L21-M21)/M21</f>
        <v>-0.18930169093875285</v>
      </c>
      <c r="O21" s="322">
        <f>+SUM([3]FedEx!$IF$64:$IL$64)</f>
        <v>86193592</v>
      </c>
      <c r="P21" s="217">
        <f>+SUM([3]FedEx!$HR$64:$HX$64)</f>
        <v>102983550</v>
      </c>
      <c r="Q21" s="323">
        <f t="shared" si="15"/>
        <v>-0.16303533913911494</v>
      </c>
      <c r="R21" s="324">
        <f>O21/$O$34</f>
        <v>0.41509177270621955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Cargo'!$IL$19</f>
        <v>40</v>
      </c>
      <c r="D22" s="217">
        <f>+'[3]Mountain Cargo'!$HX$19</f>
        <v>42</v>
      </c>
      <c r="E22" s="324">
        <f>(C22-D22)/D22</f>
        <v>-4.7619047619047616E-2</v>
      </c>
      <c r="F22" s="322">
        <f>+SUM('[3]Mountain Cargo'!$IF$19:$IL$19)</f>
        <v>288</v>
      </c>
      <c r="G22" s="217">
        <f>+SUM('[3]Mountain Cargo'!$HR$19:$HX$19)</f>
        <v>290</v>
      </c>
      <c r="H22" s="323">
        <f>(F22-G22)/G22</f>
        <v>-6.8965517241379309E-3</v>
      </c>
      <c r="I22" s="324">
        <f>+F22/$F$34</f>
        <v>3.5687732342007436E-2</v>
      </c>
      <c r="J22" s="363"/>
      <c r="K22" s="318" t="s">
        <v>209</v>
      </c>
      <c r="L22" s="322">
        <f>+'[3]Mountain Cargo'!$IL$64</f>
        <v>158682</v>
      </c>
      <c r="M22" s="217">
        <f>+'[3]Mountain Cargo'!$HX$64</f>
        <v>152476</v>
      </c>
      <c r="N22" s="324">
        <f>(L22-M22)/M22</f>
        <v>4.0701487447204809E-2</v>
      </c>
      <c r="O22" s="322">
        <f>+SUM('[3]Mountain Cargo'!$IF$64:$IL$64)</f>
        <v>1063875</v>
      </c>
      <c r="P22" s="217">
        <f>+SUM('[3]Mountain Cargo'!$HR$64:$HX$64)</f>
        <v>986328</v>
      </c>
      <c r="Q22" s="323">
        <f t="shared" si="15"/>
        <v>7.8621918874857047E-2</v>
      </c>
      <c r="R22" s="324">
        <f>O22/$O$34</f>
        <v>5.1234175237508299E-3</v>
      </c>
      <c r="T22" s="391"/>
    </row>
    <row r="23" spans="1:20" ht="14.1" customHeight="1" x14ac:dyDescent="0.2">
      <c r="A23" s="37"/>
      <c r="B23" s="318" t="s">
        <v>174</v>
      </c>
      <c r="C23" s="322">
        <f>+[3]IFL!$IL$19</f>
        <v>28</v>
      </c>
      <c r="D23" s="217">
        <f>+[3]IFL!$HX$19</f>
        <v>32</v>
      </c>
      <c r="E23" s="324">
        <f>(C23-D23)/D23</f>
        <v>-0.125</v>
      </c>
      <c r="F23" s="322">
        <f>+SUM([3]IFL!$IF$19:$IL$19)</f>
        <v>202</v>
      </c>
      <c r="G23" s="217">
        <f>+SUM([3]IFL!$HR$19:$HX$19)</f>
        <v>210</v>
      </c>
      <c r="H23" s="323">
        <f>(F23-G23)/G23</f>
        <v>-3.8095238095238099E-2</v>
      </c>
      <c r="I23" s="324">
        <f>+F23/$F$34</f>
        <v>2.5030978934324658E-2</v>
      </c>
      <c r="J23" s="363"/>
      <c r="K23" s="318" t="s">
        <v>174</v>
      </c>
      <c r="L23" s="322">
        <f>+[3]IFL!$IL$64</f>
        <v>50447</v>
      </c>
      <c r="M23" s="217">
        <f>+[3]IFL!$HX$64</f>
        <v>64787</v>
      </c>
      <c r="N23" s="324">
        <f>(L23-M23)/M23</f>
        <v>-0.221340701066572</v>
      </c>
      <c r="O23" s="322">
        <f>+SUM([3]IFL!$IF$64:$IL$64)</f>
        <v>385625</v>
      </c>
      <c r="P23" s="217">
        <f>+SUM([3]IFL!$HR$64:$HX$64)</f>
        <v>401824</v>
      </c>
      <c r="Q23" s="323">
        <f>(O23-P23)/P23</f>
        <v>-4.0313669666321571E-2</v>
      </c>
      <c r="R23" s="324">
        <f>O23/$O$34</f>
        <v>1.8570958830655985E-3</v>
      </c>
      <c r="T23" s="391"/>
    </row>
    <row r="24" spans="1:20" ht="14.1" customHeight="1" x14ac:dyDescent="0.2">
      <c r="A24" s="258"/>
      <c r="B24" s="318" t="s">
        <v>84</v>
      </c>
      <c r="C24" s="322">
        <f>+'[3]CSA Air'!$IL$19</f>
        <v>0</v>
      </c>
      <c r="D24" s="217">
        <f>+'[3]CSA Air'!$HX$19</f>
        <v>0</v>
      </c>
      <c r="E24" s="324" t="e">
        <f>(C24-D24)/D24</f>
        <v>#DIV/0!</v>
      </c>
      <c r="F24" s="322">
        <f>+SUM('[3]CSA Air'!$IF$19:$IL$19)</f>
        <v>0</v>
      </c>
      <c r="G24" s="217">
        <f>+SUM('[3]CSA Air'!$HR$19:$HX$19)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Air'!$IL$64</f>
        <v>0</v>
      </c>
      <c r="M24" s="217">
        <f>+'[3]CSA Air'!$HX$64</f>
        <v>0</v>
      </c>
      <c r="N24" s="324" t="e">
        <f>(L24-M24)/M24</f>
        <v>#DIV/0!</v>
      </c>
      <c r="O24" s="322">
        <f>+SUM('[3]CSA Air'!$IF$64:$IL$64)</f>
        <v>0</v>
      </c>
      <c r="P24" s="217">
        <f>+SUM('[3]CSA Air'!$HR$64:$HX$64)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508</v>
      </c>
      <c r="D26" s="382">
        <f>SUM(D27:D28)</f>
        <v>630</v>
      </c>
      <c r="E26" s="383">
        <f>(C26-D26)/D26</f>
        <v>-0.19365079365079366</v>
      </c>
      <c r="F26" s="382">
        <f>SUM(F27:F28)</f>
        <v>4074</v>
      </c>
      <c r="G26" s="382">
        <f>SUM(G27:G28)</f>
        <v>4693</v>
      </c>
      <c r="H26" s="384">
        <f>(F26-G26)/G26</f>
        <v>-0.13189857234178565</v>
      </c>
      <c r="I26" s="383">
        <f>+F26/$F$34</f>
        <v>0.50483271375464689</v>
      </c>
      <c r="J26" s="258" t="s">
        <v>82</v>
      </c>
      <c r="K26" s="39"/>
      <c r="L26" s="382">
        <f>SUM(L27:L28)</f>
        <v>8711052</v>
      </c>
      <c r="M26" s="382">
        <f>SUM(M27:M28)</f>
        <v>12026061</v>
      </c>
      <c r="N26" s="383">
        <f>(L26-M26)/M26</f>
        <v>-0.27565210254629507</v>
      </c>
      <c r="O26" s="382">
        <f>SUM(O27:O28)</f>
        <v>73013676</v>
      </c>
      <c r="P26" s="382">
        <f>SUM(P27:P28)</f>
        <v>88398175</v>
      </c>
      <c r="Q26" s="384">
        <f>(O26-P26)/P26</f>
        <v>-0.1740363870634207</v>
      </c>
      <c r="R26" s="383">
        <f>O26/$O$34</f>
        <v>0.35161983042356043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+[3]UPS!$IL$19</f>
        <v>184</v>
      </c>
      <c r="D27" s="217">
        <f>+[3]UPS!$HX$19</f>
        <v>250</v>
      </c>
      <c r="E27" s="324">
        <f>(C27-D27)/D27</f>
        <v>-0.26400000000000001</v>
      </c>
      <c r="F27" s="322">
        <f>+SUM([3]UPS!$IF$19:$IL$19)</f>
        <v>1664</v>
      </c>
      <c r="G27" s="217">
        <f>+SUM([3]UPS!$HR$19:$HX$19)</f>
        <v>1969</v>
      </c>
      <c r="H27" s="323">
        <f>(F27-G27)/G27</f>
        <v>-0.15490096495683087</v>
      </c>
      <c r="I27" s="324">
        <f>+F27/$F$34</f>
        <v>0.20619578686493184</v>
      </c>
      <c r="J27" s="258"/>
      <c r="K27" s="318" t="s">
        <v>82</v>
      </c>
      <c r="L27" s="322">
        <f>+[3]UPS!$IL$64</f>
        <v>8711052</v>
      </c>
      <c r="M27" s="217">
        <f>+[3]UPS!$HX$64</f>
        <v>12026061</v>
      </c>
      <c r="N27" s="324">
        <f>(L27-M27)/M27</f>
        <v>-0.27565210254629507</v>
      </c>
      <c r="O27" s="322">
        <f>+SUM([3]UPS!$IF$64:$IL$64)</f>
        <v>73013676</v>
      </c>
      <c r="P27" s="217">
        <f>+SUM([3]UPS!$HR$64:$HX$64)</f>
        <v>88398175</v>
      </c>
      <c r="Q27" s="323">
        <f>(O27-P27)/P27</f>
        <v>-0.1740363870634207</v>
      </c>
      <c r="R27" s="324">
        <f>O27/$O$34</f>
        <v>0.35161983042356043</v>
      </c>
      <c r="S27" s="340"/>
      <c r="T27" s="393"/>
    </row>
    <row r="28" spans="1:20" x14ac:dyDescent="0.2">
      <c r="A28" s="258"/>
      <c r="B28" s="318" t="s">
        <v>83</v>
      </c>
      <c r="C28" s="322">
        <f>+[3]Bemidji!$IL$19</f>
        <v>324</v>
      </c>
      <c r="D28" s="217">
        <f>+[3]Bemidji!$HX$19</f>
        <v>380</v>
      </c>
      <c r="E28" s="324">
        <f>(C28-D28)/D28</f>
        <v>-0.14736842105263157</v>
      </c>
      <c r="F28" s="322">
        <f>+SUM([3]Bemidji!$IF$19:$IL$19)</f>
        <v>2410</v>
      </c>
      <c r="G28" s="217">
        <f>+SUM([3]Bemidji!$HR$19:$HX$19)</f>
        <v>2724</v>
      </c>
      <c r="H28" s="323">
        <f t="shared" ref="H28" si="18">(F28-G28)/G28</f>
        <v>-0.11527165932452275</v>
      </c>
      <c r="I28" s="324">
        <f>+F28/$F$34</f>
        <v>0.29863692688971499</v>
      </c>
      <c r="J28" s="258"/>
      <c r="K28" s="318" t="s">
        <v>83</v>
      </c>
      <c r="L28" s="466" t="s">
        <v>183</v>
      </c>
      <c r="M28" s="467"/>
      <c r="N28" s="467"/>
      <c r="O28" s="467"/>
      <c r="P28" s="467"/>
      <c r="Q28" s="467"/>
      <c r="R28" s="468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Cargo'!$IL$19</f>
        <v>0</v>
      </c>
      <c r="D30" s="382">
        <f>+'[3]Misc Cargo'!$HX$19</f>
        <v>0</v>
      </c>
      <c r="E30" s="383" t="e">
        <f>(C30-D30)/D30</f>
        <v>#DIV/0!</v>
      </c>
      <c r="F30" s="386">
        <f>+SUM('[3]Misc Cargo'!$IF$19:$IL$19)</f>
        <v>0</v>
      </c>
      <c r="G30" s="382">
        <f>+SUM('[3]Misc Cargo'!$HR$19:$HX$19)</f>
        <v>2</v>
      </c>
      <c r="H30" s="384">
        <f>(F30-G30)/G30</f>
        <v>-1</v>
      </c>
      <c r="I30" s="383">
        <f>+F30/$F$34</f>
        <v>0</v>
      </c>
      <c r="J30" s="258" t="s">
        <v>126</v>
      </c>
      <c r="K30" s="39"/>
      <c r="L30" s="386">
        <f>+'[3]Misc Cargo'!$IL$64</f>
        <v>0</v>
      </c>
      <c r="M30" s="382">
        <f>+'[3]Misc Cargo'!$HX$64</f>
        <v>0</v>
      </c>
      <c r="N30" s="383" t="e">
        <f>(L30-M30)/M30</f>
        <v>#DIV/0!</v>
      </c>
      <c r="O30" s="386">
        <f>+SUM('[3]Misc Cargo'!$IF$64:$IL$64)</f>
        <v>0</v>
      </c>
      <c r="P30" s="382">
        <f>+SUM('[3]Misc Cargo'!$HR$64:$HX$64)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1052</v>
      </c>
      <c r="D34" s="344">
        <f>+D30+D26+D20+D9+D5</f>
        <v>1246</v>
      </c>
      <c r="E34" s="345">
        <f>(C34-D34)/D34</f>
        <v>-0.15569823434991975</v>
      </c>
      <c r="F34" s="344">
        <f>+F30+F26+F20+F9+F5</f>
        <v>8070</v>
      </c>
      <c r="G34" s="344">
        <f>+G30+G26+G20+G9+G5</f>
        <v>9066</v>
      </c>
      <c r="H34" s="346">
        <f>(F34-G34)/G34</f>
        <v>-0.10986101919258769</v>
      </c>
      <c r="I34" s="352"/>
      <c r="K34" s="343" t="s">
        <v>181</v>
      </c>
      <c r="L34" s="344">
        <f>+L30+L26+L20+L9+L5</f>
        <v>26594373</v>
      </c>
      <c r="M34" s="344">
        <f>+M30+M26+M20+M9+M5</f>
        <v>34714998</v>
      </c>
      <c r="N34" s="347">
        <f>(L34-M34)/M34</f>
        <v>-0.23392266938917872</v>
      </c>
      <c r="O34" s="344">
        <f>+O30+O26+O20+O9+O5</f>
        <v>207649483</v>
      </c>
      <c r="P34" s="344">
        <f>+P30+P26+P20+P9+P5</f>
        <v>243672178</v>
      </c>
      <c r="Q34" s="346">
        <f t="shared" ref="Q34" si="19">(O34-P34)/P34</f>
        <v>-0.14783261386533839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July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2024-01-17T16:28:23Z</dcterms:modified>
</cp:coreProperties>
</file>