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7134074D-E31B-4202-BBFE-0D3DB7EDF96F}" xr6:coauthVersionLast="47" xr6:coauthVersionMax="47" xr10:uidLastSave="{00000000-0000-0000-0000-000000000000}"/>
  <bookViews>
    <workbookView xWindow="27705" yWindow="390" windowWidth="20445" windowHeight="1384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Activity'!$A$1:$AA$70</definedName>
    <definedName name="_xlnm.Print_Area" localSheetId="2">'Other Major Airline Stats'!$A$2:$J$50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" l="1"/>
  <c r="F29" i="17"/>
  <c r="G27" i="17"/>
  <c r="F27" i="17"/>
  <c r="G26" i="17"/>
  <c r="G25" i="17" s="1"/>
  <c r="F26" i="17"/>
  <c r="G22" i="17"/>
  <c r="F22" i="17"/>
  <c r="G21" i="17"/>
  <c r="F21" i="17"/>
  <c r="G20" i="17"/>
  <c r="F20" i="17"/>
  <c r="G19" i="17"/>
  <c r="F19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7" i="17"/>
  <c r="F7" i="17"/>
  <c r="G6" i="17"/>
  <c r="F6" i="17"/>
  <c r="H6" i="17" s="1"/>
  <c r="P29" i="17"/>
  <c r="M29" i="17"/>
  <c r="D29" i="17"/>
  <c r="D27" i="17"/>
  <c r="P26" i="17"/>
  <c r="P25" i="17" s="1"/>
  <c r="M26" i="17"/>
  <c r="M25" i="17" s="1"/>
  <c r="D26" i="17"/>
  <c r="P22" i="17"/>
  <c r="M22" i="17"/>
  <c r="D22" i="17"/>
  <c r="P21" i="17"/>
  <c r="M21" i="17"/>
  <c r="D21" i="17"/>
  <c r="P20" i="17"/>
  <c r="M20" i="17"/>
  <c r="D20" i="17"/>
  <c r="P19" i="17"/>
  <c r="M19" i="17"/>
  <c r="D19" i="17"/>
  <c r="P16" i="17"/>
  <c r="M16" i="17"/>
  <c r="D16" i="17"/>
  <c r="P15" i="17"/>
  <c r="M15" i="17"/>
  <c r="D15" i="17"/>
  <c r="P14" i="17"/>
  <c r="M14" i="17"/>
  <c r="D14" i="17"/>
  <c r="P13" i="17"/>
  <c r="M13" i="17"/>
  <c r="D13" i="17"/>
  <c r="P12" i="17"/>
  <c r="M12" i="17"/>
  <c r="D12" i="17"/>
  <c r="P11" i="17"/>
  <c r="M11" i="17"/>
  <c r="D11" i="17"/>
  <c r="P10" i="17"/>
  <c r="M10" i="17"/>
  <c r="D10" i="17"/>
  <c r="P7" i="17"/>
  <c r="M7" i="17"/>
  <c r="D7" i="17"/>
  <c r="P6" i="17"/>
  <c r="M6" i="17"/>
  <c r="D6" i="17"/>
  <c r="D5" i="17" s="1"/>
  <c r="O29" i="17"/>
  <c r="L29" i="17"/>
  <c r="N29" i="17" s="1"/>
  <c r="C29" i="17"/>
  <c r="C27" i="17"/>
  <c r="O26" i="17"/>
  <c r="L26" i="17"/>
  <c r="C26" i="17"/>
  <c r="C25" i="17" s="1"/>
  <c r="O22" i="17"/>
  <c r="L22" i="17"/>
  <c r="C22" i="17"/>
  <c r="O21" i="17"/>
  <c r="Q21" i="17" s="1"/>
  <c r="L21" i="17"/>
  <c r="C21" i="17"/>
  <c r="O20" i="17"/>
  <c r="L20" i="17"/>
  <c r="C20" i="17"/>
  <c r="O19" i="17"/>
  <c r="L19" i="17"/>
  <c r="C19" i="17"/>
  <c r="E19" i="17" s="1"/>
  <c r="O16" i="17"/>
  <c r="L16" i="17"/>
  <c r="C16" i="17"/>
  <c r="O15" i="17"/>
  <c r="L15" i="17"/>
  <c r="C15" i="17"/>
  <c r="O14" i="17"/>
  <c r="Q14" i="17" s="1"/>
  <c r="L14" i="17"/>
  <c r="C14" i="17"/>
  <c r="O13" i="17"/>
  <c r="L13" i="17"/>
  <c r="C13" i="17"/>
  <c r="O12" i="17"/>
  <c r="L12" i="17"/>
  <c r="C12" i="17"/>
  <c r="O11" i="17"/>
  <c r="L11" i="17"/>
  <c r="C11" i="17"/>
  <c r="O10" i="17"/>
  <c r="L10" i="17"/>
  <c r="C10" i="17"/>
  <c r="O7" i="17"/>
  <c r="L7" i="17"/>
  <c r="N7" i="17" s="1"/>
  <c r="C7" i="17"/>
  <c r="O6" i="17"/>
  <c r="L6" i="17"/>
  <c r="C6" i="17"/>
  <c r="H14" i="17"/>
  <c r="H10" i="17"/>
  <c r="J3" i="17"/>
  <c r="M5" i="17" l="1"/>
  <c r="H20" i="17"/>
  <c r="E13" i="17"/>
  <c r="Q16" i="17"/>
  <c r="E6" i="17"/>
  <c r="M18" i="17"/>
  <c r="Q10" i="17"/>
  <c r="O5" i="17"/>
  <c r="N12" i="17"/>
  <c r="E10" i="17"/>
  <c r="O18" i="17"/>
  <c r="G5" i="17"/>
  <c r="G9" i="17"/>
  <c r="O9" i="17"/>
  <c r="P9" i="17"/>
  <c r="F18" i="17"/>
  <c r="G18" i="17"/>
  <c r="E14" i="17"/>
  <c r="E11" i="17"/>
  <c r="E21" i="17"/>
  <c r="D25" i="17"/>
  <c r="E25" i="17" s="1"/>
  <c r="C5" i="17"/>
  <c r="E5" i="17" s="1"/>
  <c r="P5" i="17"/>
  <c r="Q19" i="17"/>
  <c r="D9" i="17"/>
  <c r="D18" i="17"/>
  <c r="N11" i="17"/>
  <c r="N13" i="17"/>
  <c r="N15" i="17"/>
  <c r="N21" i="17"/>
  <c r="P18" i="17"/>
  <c r="C9" i="17"/>
  <c r="E16" i="17"/>
  <c r="E22" i="17"/>
  <c r="N10" i="17"/>
  <c r="F9" i="17"/>
  <c r="L5" i="17"/>
  <c r="N5" i="17" s="1"/>
  <c r="H15" i="17"/>
  <c r="H11" i="17"/>
  <c r="H26" i="17"/>
  <c r="N26" i="17"/>
  <c r="N19" i="17"/>
  <c r="M9" i="17"/>
  <c r="N14" i="17"/>
  <c r="N16" i="17"/>
  <c r="N20" i="17"/>
  <c r="N22" i="17"/>
  <c r="E29" i="17"/>
  <c r="H19" i="17"/>
  <c r="E15" i="17"/>
  <c r="E7" i="17"/>
  <c r="E12" i="17"/>
  <c r="Q13" i="17"/>
  <c r="Q22" i="17"/>
  <c r="E27" i="17"/>
  <c r="N6" i="17"/>
  <c r="H13" i="17"/>
  <c r="H22" i="17"/>
  <c r="L25" i="17"/>
  <c r="Q29" i="17"/>
  <c r="Q7" i="17"/>
  <c r="Q12" i="17"/>
  <c r="E20" i="17"/>
  <c r="E26" i="17"/>
  <c r="H29" i="17"/>
  <c r="H7" i="17"/>
  <c r="L9" i="17"/>
  <c r="H12" i="17"/>
  <c r="H16" i="17"/>
  <c r="L18" i="17"/>
  <c r="N18" i="17" s="1"/>
  <c r="H21" i="17"/>
  <c r="H27" i="17"/>
  <c r="Q6" i="17"/>
  <c r="Q11" i="17"/>
  <c r="Q15" i="17"/>
  <c r="C18" i="17"/>
  <c r="Q20" i="17"/>
  <c r="O25" i="17"/>
  <c r="Q26" i="17"/>
  <c r="F5" i="17"/>
  <c r="F25" i="17"/>
  <c r="Q9" i="17" l="1"/>
  <c r="M33" i="17"/>
  <c r="Q5" i="17"/>
  <c r="Q18" i="17"/>
  <c r="G33" i="17"/>
  <c r="E9" i="17"/>
  <c r="P33" i="17"/>
  <c r="H18" i="17"/>
  <c r="H9" i="17"/>
  <c r="D33" i="17"/>
  <c r="E18" i="17"/>
  <c r="C33" i="17"/>
  <c r="N9" i="17"/>
  <c r="Q25" i="17"/>
  <c r="O33" i="17"/>
  <c r="F33" i="17"/>
  <c r="H25" i="17"/>
  <c r="N25" i="17"/>
  <c r="L33" i="17"/>
  <c r="N33" i="17" s="1"/>
  <c r="H5" i="17"/>
  <c r="E33" i="17" l="1"/>
  <c r="I26" i="17"/>
  <c r="I20" i="17"/>
  <c r="I15" i="17"/>
  <c r="I11" i="17"/>
  <c r="I6" i="17"/>
  <c r="H33" i="17"/>
  <c r="I13" i="17"/>
  <c r="I16" i="17"/>
  <c r="I14" i="17"/>
  <c r="I7" i="17"/>
  <c r="I27" i="17"/>
  <c r="I21" i="17"/>
  <c r="I22" i="17"/>
  <c r="I12" i="17"/>
  <c r="I29" i="17"/>
  <c r="I18" i="17"/>
  <c r="I9" i="17"/>
  <c r="I19" i="17"/>
  <c r="I10" i="17"/>
  <c r="I25" i="17"/>
  <c r="Q33" i="17"/>
  <c r="R19" i="17"/>
  <c r="R5" i="17"/>
  <c r="R10" i="17"/>
  <c r="R14" i="17"/>
  <c r="R18" i="17"/>
  <c r="R13" i="17"/>
  <c r="R21" i="17"/>
  <c r="R20" i="17"/>
  <c r="R29" i="17"/>
  <c r="R16" i="17"/>
  <c r="R15" i="17"/>
  <c r="R11" i="17"/>
  <c r="R26" i="17"/>
  <c r="R12" i="17"/>
  <c r="R7" i="17"/>
  <c r="R22" i="17"/>
  <c r="R6" i="17"/>
  <c r="R9" i="17"/>
  <c r="I5" i="17"/>
  <c r="R25" i="17"/>
  <c r="O27" i="8" l="1"/>
  <c r="N27" i="8"/>
  <c r="M27" i="8"/>
  <c r="L27" i="8"/>
  <c r="K27" i="8"/>
  <c r="J27" i="8"/>
  <c r="I27" i="8"/>
  <c r="H27" i="8"/>
  <c r="G27" i="8"/>
  <c r="F27" i="8"/>
  <c r="E27" i="8"/>
  <c r="C27" i="8"/>
  <c r="B27" i="8"/>
  <c r="O26" i="8"/>
  <c r="N26" i="8"/>
  <c r="M26" i="8"/>
  <c r="L26" i="8"/>
  <c r="K26" i="8"/>
  <c r="J26" i="8"/>
  <c r="I26" i="8"/>
  <c r="H26" i="8"/>
  <c r="G26" i="8"/>
  <c r="F26" i="8"/>
  <c r="E26" i="8"/>
  <c r="E28" i="8" s="1"/>
  <c r="C26" i="8"/>
  <c r="B26" i="8"/>
  <c r="O22" i="8"/>
  <c r="N22" i="8"/>
  <c r="M22" i="8"/>
  <c r="L22" i="8"/>
  <c r="K22" i="8"/>
  <c r="J22" i="8"/>
  <c r="I22" i="8"/>
  <c r="H22" i="8"/>
  <c r="G22" i="8"/>
  <c r="F22" i="8"/>
  <c r="E22" i="8"/>
  <c r="C22" i="8"/>
  <c r="B22" i="8"/>
  <c r="O21" i="8"/>
  <c r="O23" i="8" s="1"/>
  <c r="N21" i="8"/>
  <c r="M21" i="8"/>
  <c r="L21" i="8"/>
  <c r="K21" i="8"/>
  <c r="J21" i="8"/>
  <c r="I21" i="8"/>
  <c r="H21" i="8"/>
  <c r="G21" i="8"/>
  <c r="G23" i="8" s="1"/>
  <c r="F21" i="8"/>
  <c r="E21" i="8"/>
  <c r="C21" i="8"/>
  <c r="B21" i="8"/>
  <c r="O17" i="8"/>
  <c r="N17" i="8"/>
  <c r="M17" i="8"/>
  <c r="L17" i="8"/>
  <c r="L32" i="8" s="1"/>
  <c r="K17" i="8"/>
  <c r="J17" i="8"/>
  <c r="I17" i="8"/>
  <c r="H17" i="8"/>
  <c r="G17" i="8"/>
  <c r="F17" i="8"/>
  <c r="E17" i="8"/>
  <c r="C17" i="8"/>
  <c r="B17" i="8"/>
  <c r="O16" i="8"/>
  <c r="N16" i="8"/>
  <c r="M16" i="8"/>
  <c r="L16" i="8"/>
  <c r="K16" i="8"/>
  <c r="J16" i="8"/>
  <c r="I16" i="8"/>
  <c r="I18" i="8" s="1"/>
  <c r="H16" i="8"/>
  <c r="G16" i="8"/>
  <c r="F16" i="8"/>
  <c r="E16" i="8"/>
  <c r="C16" i="8"/>
  <c r="B16" i="8"/>
  <c r="O9" i="8"/>
  <c r="P9" i="8" s="1"/>
  <c r="O8" i="8"/>
  <c r="P8" i="8" s="1"/>
  <c r="O5" i="8"/>
  <c r="N5" i="8"/>
  <c r="M5" i="8"/>
  <c r="L5" i="8"/>
  <c r="K5" i="8"/>
  <c r="J5" i="8"/>
  <c r="J6" i="8" s="1"/>
  <c r="J12" i="8" s="1"/>
  <c r="I5" i="8"/>
  <c r="H5" i="8"/>
  <c r="G5" i="8"/>
  <c r="F5" i="8"/>
  <c r="E5" i="8"/>
  <c r="D5" i="8"/>
  <c r="C5" i="8"/>
  <c r="B5" i="8"/>
  <c r="B6" i="8" s="1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D33" i="8"/>
  <c r="F18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C18" i="8" l="1"/>
  <c r="M18" i="8"/>
  <c r="B23" i="8"/>
  <c r="K23" i="8"/>
  <c r="D6" i="8"/>
  <c r="D12" i="8" s="1"/>
  <c r="L6" i="8"/>
  <c r="L12" i="8" s="1"/>
  <c r="M23" i="8"/>
  <c r="H18" i="8"/>
  <c r="F23" i="8"/>
  <c r="N23" i="8"/>
  <c r="M32" i="8"/>
  <c r="I6" i="8"/>
  <c r="I12" i="8" s="1"/>
  <c r="E32" i="8"/>
  <c r="G18" i="8"/>
  <c r="O18" i="8"/>
  <c r="B28" i="8"/>
  <c r="B33" i="8" s="1"/>
  <c r="K28" i="8"/>
  <c r="N32" i="8"/>
  <c r="G32" i="8"/>
  <c r="J18" i="8"/>
  <c r="H31" i="8"/>
  <c r="F28" i="8"/>
  <c r="F33" i="8" s="1"/>
  <c r="N28" i="8"/>
  <c r="I28" i="8"/>
  <c r="N6" i="8"/>
  <c r="N12" i="8" s="1"/>
  <c r="G6" i="8"/>
  <c r="G12" i="8" s="1"/>
  <c r="B18" i="8"/>
  <c r="K31" i="8"/>
  <c r="F32" i="8"/>
  <c r="I23" i="8"/>
  <c r="G28" i="8"/>
  <c r="G33" i="8" s="1"/>
  <c r="O28" i="8"/>
  <c r="O33" i="8" s="1"/>
  <c r="M31" i="8"/>
  <c r="J32" i="8"/>
  <c r="O6" i="8"/>
  <c r="F6" i="8"/>
  <c r="F12" i="8" s="1"/>
  <c r="E6" i="8"/>
  <c r="E12" i="8" s="1"/>
  <c r="M6" i="8"/>
  <c r="M12" i="8" s="1"/>
  <c r="O32" i="8"/>
  <c r="N18" i="8"/>
  <c r="C23" i="8"/>
  <c r="L23" i="8"/>
  <c r="J28" i="8"/>
  <c r="C31" i="8"/>
  <c r="L31" i="8"/>
  <c r="E23" i="8"/>
  <c r="I32" i="8"/>
  <c r="K6" i="8"/>
  <c r="K12" i="8" s="1"/>
  <c r="C6" i="8"/>
  <c r="C12" i="8" s="1"/>
  <c r="K18" i="8"/>
  <c r="B31" i="8"/>
  <c r="K32" i="8"/>
  <c r="P5" i="8"/>
  <c r="P17" i="8"/>
  <c r="P27" i="8"/>
  <c r="E18" i="8"/>
  <c r="E33" i="8" s="1"/>
  <c r="J31" i="8"/>
  <c r="J23" i="8"/>
  <c r="C32" i="8"/>
  <c r="H6" i="8"/>
  <c r="H12" i="8" s="1"/>
  <c r="H28" i="8"/>
  <c r="H32" i="8"/>
  <c r="P21" i="8"/>
  <c r="E31" i="8"/>
  <c r="L18" i="8"/>
  <c r="P22" i="8"/>
  <c r="O10" i="8"/>
  <c r="M28" i="8"/>
  <c r="M33" i="8" s="1"/>
  <c r="B12" i="8"/>
  <c r="P26" i="8"/>
  <c r="C28" i="8"/>
  <c r="L28" i="8"/>
  <c r="F31" i="8"/>
  <c r="N31" i="8"/>
  <c r="G31" i="8"/>
  <c r="O31" i="8"/>
  <c r="P4" i="8"/>
  <c r="I31" i="8"/>
  <c r="B32" i="8"/>
  <c r="P16" i="8"/>
  <c r="H23" i="8"/>
  <c r="K33" i="8" l="1"/>
  <c r="N33" i="8"/>
  <c r="I33" i="8"/>
  <c r="O12" i="8"/>
  <c r="P12" i="8" s="1"/>
  <c r="C33" i="8"/>
  <c r="P18" i="8"/>
  <c r="J33" i="8"/>
  <c r="P23" i="8"/>
  <c r="P31" i="8"/>
  <c r="L33" i="8"/>
  <c r="P32" i="8"/>
  <c r="P6" i="8"/>
  <c r="H33" i="8"/>
  <c r="P10" i="8"/>
  <c r="P28" i="8"/>
  <c r="P33" i="8" l="1"/>
  <c r="Y33" i="9"/>
  <c r="X33" i="9"/>
  <c r="V33" i="9"/>
  <c r="U33" i="9"/>
  <c r="P33" i="9"/>
  <c r="O33" i="9"/>
  <c r="M33" i="9"/>
  <c r="L33" i="9"/>
  <c r="G33" i="9"/>
  <c r="F33" i="9"/>
  <c r="D33" i="9"/>
  <c r="C33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60" i="9"/>
  <c r="V60" i="9"/>
  <c r="P60" i="9"/>
  <c r="M60" i="9"/>
  <c r="G60" i="9"/>
  <c r="D60" i="9"/>
  <c r="Y59" i="9"/>
  <c r="V59" i="9"/>
  <c r="P59" i="9"/>
  <c r="M59" i="9"/>
  <c r="G59" i="9"/>
  <c r="D59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7" i="9"/>
  <c r="V37" i="9"/>
  <c r="P37" i="9"/>
  <c r="M37" i="9"/>
  <c r="G37" i="9"/>
  <c r="D37" i="9"/>
  <c r="Y36" i="9"/>
  <c r="V36" i="9"/>
  <c r="P36" i="9"/>
  <c r="M36" i="9"/>
  <c r="G36" i="9"/>
  <c r="D36" i="9"/>
  <c r="Y31" i="9"/>
  <c r="V31" i="9"/>
  <c r="P31" i="9"/>
  <c r="M31" i="9"/>
  <c r="G31" i="9"/>
  <c r="D31" i="9"/>
  <c r="Y29" i="9"/>
  <c r="V29" i="9"/>
  <c r="P29" i="9"/>
  <c r="M29" i="9"/>
  <c r="G29" i="9"/>
  <c r="D29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18" i="9"/>
  <c r="V18" i="9"/>
  <c r="P18" i="9"/>
  <c r="M18" i="9"/>
  <c r="G18" i="9"/>
  <c r="D18" i="9"/>
  <c r="Y17" i="9"/>
  <c r="V17" i="9"/>
  <c r="P17" i="9"/>
  <c r="M17" i="9"/>
  <c r="G17" i="9"/>
  <c r="D17" i="9"/>
  <c r="Y16" i="9"/>
  <c r="V16" i="9"/>
  <c r="P16" i="9"/>
  <c r="M16" i="9"/>
  <c r="G16" i="9"/>
  <c r="D16" i="9"/>
  <c r="Y13" i="9"/>
  <c r="V13" i="9"/>
  <c r="P13" i="9"/>
  <c r="M13" i="9"/>
  <c r="G13" i="9"/>
  <c r="D13" i="9"/>
  <c r="Y11" i="9"/>
  <c r="V11" i="9"/>
  <c r="P11" i="9"/>
  <c r="M11" i="9"/>
  <c r="G11" i="9"/>
  <c r="D11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60" i="9"/>
  <c r="U60" i="9"/>
  <c r="O60" i="9"/>
  <c r="L60" i="9"/>
  <c r="F60" i="9"/>
  <c r="C60" i="9"/>
  <c r="X59" i="9"/>
  <c r="U59" i="9"/>
  <c r="O59" i="9"/>
  <c r="L59" i="9"/>
  <c r="F59" i="9"/>
  <c r="C59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7" i="9"/>
  <c r="U37" i="9"/>
  <c r="O37" i="9"/>
  <c r="L37" i="9"/>
  <c r="F37" i="9"/>
  <c r="C37" i="9"/>
  <c r="X36" i="9"/>
  <c r="U36" i="9"/>
  <c r="O36" i="9"/>
  <c r="L36" i="9"/>
  <c r="F36" i="9"/>
  <c r="C36" i="9"/>
  <c r="X31" i="9"/>
  <c r="U31" i="9"/>
  <c r="O31" i="9"/>
  <c r="L31" i="9"/>
  <c r="F31" i="9"/>
  <c r="C31" i="9"/>
  <c r="X29" i="9"/>
  <c r="U29" i="9"/>
  <c r="O29" i="9"/>
  <c r="L29" i="9"/>
  <c r="F29" i="9"/>
  <c r="C29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18" i="9"/>
  <c r="U18" i="9"/>
  <c r="O18" i="9"/>
  <c r="L18" i="9"/>
  <c r="F18" i="9"/>
  <c r="C18" i="9"/>
  <c r="X17" i="9"/>
  <c r="U17" i="9"/>
  <c r="O17" i="9"/>
  <c r="L17" i="9"/>
  <c r="F17" i="9"/>
  <c r="C17" i="9"/>
  <c r="X16" i="9"/>
  <c r="U16" i="9"/>
  <c r="O16" i="9"/>
  <c r="L16" i="9"/>
  <c r="F16" i="9"/>
  <c r="C16" i="9"/>
  <c r="X13" i="9"/>
  <c r="U13" i="9"/>
  <c r="O13" i="9"/>
  <c r="L13" i="9"/>
  <c r="F13" i="9"/>
  <c r="C13" i="9"/>
  <c r="X11" i="9"/>
  <c r="U11" i="9"/>
  <c r="O11" i="9"/>
  <c r="L11" i="9"/>
  <c r="F11" i="9"/>
  <c r="C11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J26" i="7"/>
  <c r="O26" i="7"/>
  <c r="O25" i="7"/>
  <c r="E26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H49" i="3"/>
  <c r="G49" i="3"/>
  <c r="H48" i="3"/>
  <c r="G48" i="3"/>
  <c r="I39" i="3"/>
  <c r="H39" i="3"/>
  <c r="G39" i="3"/>
  <c r="F39" i="3"/>
  <c r="D39" i="3"/>
  <c r="C39" i="3"/>
  <c r="B39" i="3"/>
  <c r="I38" i="3"/>
  <c r="H38" i="3"/>
  <c r="G38" i="3"/>
  <c r="F38" i="3"/>
  <c r="D38" i="3"/>
  <c r="C38" i="3"/>
  <c r="B38" i="3"/>
  <c r="I34" i="3"/>
  <c r="H34" i="3"/>
  <c r="G34" i="3"/>
  <c r="F34" i="3"/>
  <c r="D34" i="3"/>
  <c r="C34" i="3"/>
  <c r="B34" i="3"/>
  <c r="I33" i="3"/>
  <c r="H33" i="3"/>
  <c r="G33" i="3"/>
  <c r="F33" i="3"/>
  <c r="D33" i="3"/>
  <c r="C33" i="3"/>
  <c r="B33" i="3"/>
  <c r="I29" i="3"/>
  <c r="H29" i="3"/>
  <c r="G29" i="3"/>
  <c r="F29" i="3"/>
  <c r="D29" i="3"/>
  <c r="C29" i="3"/>
  <c r="B29" i="3"/>
  <c r="I28" i="3"/>
  <c r="H28" i="3"/>
  <c r="G28" i="3"/>
  <c r="F28" i="3"/>
  <c r="D28" i="3"/>
  <c r="C28" i="3"/>
  <c r="B28" i="3"/>
  <c r="I21" i="3"/>
  <c r="H21" i="3"/>
  <c r="G21" i="3"/>
  <c r="F21" i="3"/>
  <c r="D21" i="3"/>
  <c r="C21" i="3"/>
  <c r="B21" i="3"/>
  <c r="I20" i="3"/>
  <c r="H20" i="3"/>
  <c r="G20" i="3"/>
  <c r="F20" i="3"/>
  <c r="D20" i="3"/>
  <c r="C20" i="3"/>
  <c r="B20" i="3"/>
  <c r="I17" i="3"/>
  <c r="H17" i="3"/>
  <c r="G17" i="3"/>
  <c r="F17" i="3"/>
  <c r="D17" i="3"/>
  <c r="C17" i="3"/>
  <c r="B17" i="3"/>
  <c r="I16" i="3"/>
  <c r="H16" i="3"/>
  <c r="G16" i="3"/>
  <c r="F16" i="3"/>
  <c r="D16" i="3"/>
  <c r="C16" i="3"/>
  <c r="B16" i="3"/>
  <c r="I11" i="3"/>
  <c r="H11" i="3"/>
  <c r="G11" i="3"/>
  <c r="F11" i="3"/>
  <c r="D11" i="3"/>
  <c r="C11" i="3"/>
  <c r="B11" i="3"/>
  <c r="I10" i="3"/>
  <c r="H10" i="3"/>
  <c r="G10" i="3"/>
  <c r="F10" i="3"/>
  <c r="D10" i="3"/>
  <c r="C10" i="3"/>
  <c r="B10" i="3"/>
  <c r="I6" i="3"/>
  <c r="H6" i="3"/>
  <c r="G6" i="3"/>
  <c r="F6" i="3"/>
  <c r="D6" i="3"/>
  <c r="C6" i="3"/>
  <c r="B6" i="3"/>
  <c r="I5" i="3"/>
  <c r="H5" i="3"/>
  <c r="G5" i="3"/>
  <c r="F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E33" i="9" l="1"/>
  <c r="W33" i="9"/>
  <c r="N33" i="9"/>
  <c r="Q33" i="9"/>
  <c r="H33" i="9"/>
  <c r="Z33" i="9"/>
  <c r="Y58" i="9"/>
  <c r="Z9" i="9"/>
  <c r="X58" i="9" l="1"/>
  <c r="W65" i="9" l="1"/>
  <c r="W64" i="9"/>
  <c r="W63" i="9"/>
  <c r="Z62" i="9"/>
  <c r="W62" i="9"/>
  <c r="Z61" i="9"/>
  <c r="W61" i="9"/>
  <c r="W60" i="9"/>
  <c r="U58" i="9"/>
  <c r="W56" i="9"/>
  <c r="W54" i="9"/>
  <c r="W50" i="9"/>
  <c r="Z46" i="9"/>
  <c r="W46" i="9"/>
  <c r="Z44" i="9"/>
  <c r="W44" i="9"/>
  <c r="W42" i="9"/>
  <c r="W40" i="9"/>
  <c r="Z38" i="9"/>
  <c r="W38" i="9"/>
  <c r="Z37" i="9"/>
  <c r="V35" i="9"/>
  <c r="Z36" i="9"/>
  <c r="Z31" i="9"/>
  <c r="W31" i="9"/>
  <c r="W29" i="9"/>
  <c r="W27" i="9"/>
  <c r="W26" i="9"/>
  <c r="Z25" i="9"/>
  <c r="Z24" i="9"/>
  <c r="W24" i="9"/>
  <c r="W23" i="9"/>
  <c r="Z22" i="9"/>
  <c r="W21" i="9"/>
  <c r="W18" i="9"/>
  <c r="Z13" i="9"/>
  <c r="W13" i="9"/>
  <c r="Z11" i="9"/>
  <c r="W11" i="9"/>
  <c r="W9" i="9"/>
  <c r="Z8" i="9"/>
  <c r="Y6" i="9"/>
  <c r="W7" i="9"/>
  <c r="V6" i="9"/>
  <c r="W4" i="9"/>
  <c r="Z16" i="9" l="1"/>
  <c r="W17" i="9"/>
  <c r="X20" i="9"/>
  <c r="W22" i="9"/>
  <c r="X35" i="9"/>
  <c r="Z59" i="9"/>
  <c r="U6" i="9"/>
  <c r="W6" i="9" s="1"/>
  <c r="U20" i="9"/>
  <c r="Y35" i="9"/>
  <c r="Z21" i="9"/>
  <c r="W52" i="9"/>
  <c r="U15" i="9"/>
  <c r="W48" i="9"/>
  <c r="Z50" i="9"/>
  <c r="U69" i="9"/>
  <c r="W37" i="9"/>
  <c r="V69" i="9"/>
  <c r="Z63" i="9"/>
  <c r="X69" i="9"/>
  <c r="Z4" i="9"/>
  <c r="W8" i="9"/>
  <c r="Z23" i="9"/>
  <c r="W25" i="9"/>
  <c r="W36" i="9"/>
  <c r="W39" i="9"/>
  <c r="W41" i="9"/>
  <c r="Z42" i="9"/>
  <c r="Z48" i="9"/>
  <c r="W59" i="9"/>
  <c r="Z60" i="9"/>
  <c r="W16" i="9"/>
  <c r="Z29" i="9"/>
  <c r="Z41" i="9"/>
  <c r="Z7" i="9"/>
  <c r="Z18" i="9"/>
  <c r="Z27" i="9"/>
  <c r="U35" i="9"/>
  <c r="W35" i="9" s="1"/>
  <c r="Z40" i="9"/>
  <c r="Z54" i="9"/>
  <c r="Z56" i="9"/>
  <c r="Z65" i="9"/>
  <c r="X6" i="9"/>
  <c r="X15" i="9"/>
  <c r="Z17" i="9"/>
  <c r="Z26" i="9"/>
  <c r="Z39" i="9"/>
  <c r="Z52" i="9"/>
  <c r="Z64" i="9"/>
  <c r="V15" i="9"/>
  <c r="Y15" i="9"/>
  <c r="V20" i="9"/>
  <c r="V58" i="9"/>
  <c r="Y69" i="9"/>
  <c r="Y20" i="9"/>
  <c r="O24" i="7"/>
  <c r="M24" i="7"/>
  <c r="L24" i="7"/>
  <c r="J25" i="7"/>
  <c r="E25" i="7"/>
  <c r="E24" i="7"/>
  <c r="C24" i="7"/>
  <c r="B24" i="7"/>
  <c r="X70" i="9" l="1"/>
  <c r="AA70" i="9" s="1"/>
  <c r="V70" i="9"/>
  <c r="V68" i="9" s="1"/>
  <c r="N24" i="7"/>
  <c r="D24" i="7"/>
  <c r="Y70" i="9"/>
  <c r="Y68" i="9" s="1"/>
  <c r="U70" i="9"/>
  <c r="W69" i="9"/>
  <c r="Z69" i="9"/>
  <c r="Z35" i="9"/>
  <c r="W15" i="9"/>
  <c r="Z20" i="9"/>
  <c r="Z58" i="9"/>
  <c r="W20" i="9"/>
  <c r="W58" i="9"/>
  <c r="Z15" i="9"/>
  <c r="Z6" i="9"/>
  <c r="M23" i="7"/>
  <c r="L23" i="7"/>
  <c r="J24" i="7"/>
  <c r="C23" i="7"/>
  <c r="B23" i="7"/>
  <c r="AA33" i="9" l="1"/>
  <c r="W70" i="9"/>
  <c r="U68" i="9"/>
  <c r="W68" i="9" s="1"/>
  <c r="AA59" i="9"/>
  <c r="AA44" i="9"/>
  <c r="AA35" i="9"/>
  <c r="AA22" i="9"/>
  <c r="AA11" i="9"/>
  <c r="AA65" i="9"/>
  <c r="AA41" i="9"/>
  <c r="AA20" i="9"/>
  <c r="AA64" i="9"/>
  <c r="AA40" i="9"/>
  <c r="AA27" i="9"/>
  <c r="AA7" i="9"/>
  <c r="AA15" i="9"/>
  <c r="AA46" i="9"/>
  <c r="AA36" i="9"/>
  <c r="AA13" i="9"/>
  <c r="AA42" i="9"/>
  <c r="AA31" i="9"/>
  <c r="AA21" i="9"/>
  <c r="AA9" i="9"/>
  <c r="AA56" i="9"/>
  <c r="AA29" i="9"/>
  <c r="AA8" i="9"/>
  <c r="AA55" i="9"/>
  <c r="AA18" i="9"/>
  <c r="AA60" i="9"/>
  <c r="AA63" i="9"/>
  <c r="AA54" i="9"/>
  <c r="AA39" i="9"/>
  <c r="AA26" i="9"/>
  <c r="AA17" i="9"/>
  <c r="AA6" i="9"/>
  <c r="AA62" i="9"/>
  <c r="AA52" i="9"/>
  <c r="AA38" i="9"/>
  <c r="AA25" i="9"/>
  <c r="AA16" i="9"/>
  <c r="AA4" i="9"/>
  <c r="AA61" i="9"/>
  <c r="AA48" i="9"/>
  <c r="AA37" i="9"/>
  <c r="AA24" i="9"/>
  <c r="AA50" i="9"/>
  <c r="AA23" i="9"/>
  <c r="AA58" i="9"/>
  <c r="X68" i="9"/>
  <c r="AA68" i="9" s="1"/>
  <c r="AA69" i="9"/>
  <c r="Z70" i="9"/>
  <c r="D23" i="7"/>
  <c r="N23" i="7"/>
  <c r="Z68" i="9" l="1"/>
  <c r="O23" i="7"/>
  <c r="J23" i="7"/>
  <c r="E23" i="7"/>
  <c r="E22" i="7" l="1"/>
  <c r="J22" i="7"/>
  <c r="E36" i="15" l="1"/>
  <c r="M6" i="16" l="1"/>
  <c r="O22" i="7"/>
  <c r="O21" i="7"/>
  <c r="M21" i="7"/>
  <c r="L21" i="7"/>
  <c r="J21" i="7"/>
  <c r="E21" i="7"/>
  <c r="J17" i="4"/>
  <c r="G17" i="4"/>
  <c r="H17" i="4" l="1"/>
  <c r="F17" i="4"/>
  <c r="M23" i="16"/>
  <c r="M30" i="16"/>
  <c r="E17" i="4"/>
  <c r="M11" i="16"/>
  <c r="M37" i="16"/>
  <c r="M18" i="16"/>
  <c r="E4" i="9"/>
  <c r="N4" i="9"/>
  <c r="Q4" i="9"/>
  <c r="H4" i="9"/>
  <c r="C21" i="7" l="1"/>
  <c r="B21" i="7"/>
  <c r="D40" i="3" l="1"/>
  <c r="D35" i="3"/>
  <c r="D18" i="3"/>
  <c r="D12" i="3"/>
  <c r="D7" i="3"/>
  <c r="D30" i="3"/>
  <c r="D44" i="3" l="1"/>
  <c r="D22" i="3"/>
  <c r="D23" i="3" s="1"/>
  <c r="D43" i="3"/>
  <c r="D45" i="3" l="1"/>
  <c r="D69" i="9" l="1"/>
  <c r="L69" i="9" l="1"/>
  <c r="G69" i="9"/>
  <c r="O69" i="9"/>
  <c r="C69" i="9"/>
  <c r="F69" i="9"/>
  <c r="M69" i="9"/>
  <c r="P69" i="9"/>
  <c r="E69" i="9" l="1"/>
  <c r="H69" i="9"/>
  <c r="Q69" i="9"/>
  <c r="N69" i="9"/>
  <c r="Q65" i="9"/>
  <c r="E65" i="9"/>
  <c r="N65" i="9"/>
  <c r="E48" i="9" l="1"/>
  <c r="N48" i="9"/>
  <c r="Q48" i="9"/>
  <c r="H48" i="9"/>
  <c r="H65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27" i="4"/>
  <c r="C15" i="9"/>
  <c r="G12" i="4"/>
  <c r="G20" i="4"/>
  <c r="G32" i="4"/>
  <c r="C20" i="9"/>
  <c r="C35" i="9"/>
  <c r="C6" i="9"/>
  <c r="C58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70" i="9" l="1"/>
  <c r="G21" i="4"/>
  <c r="D21" i="15"/>
  <c r="G42" i="4"/>
  <c r="D42" i="15"/>
  <c r="O58" i="9"/>
  <c r="N64" i="9"/>
  <c r="H64" i="9"/>
  <c r="E64" i="9"/>
  <c r="Q63" i="9"/>
  <c r="N62" i="9"/>
  <c r="H62" i="9"/>
  <c r="E62" i="9"/>
  <c r="Q61" i="9"/>
  <c r="N60" i="9"/>
  <c r="H60" i="9"/>
  <c r="E60" i="9"/>
  <c r="P58" i="9"/>
  <c r="Q59" i="9"/>
  <c r="M58" i="9"/>
  <c r="D58" i="9"/>
  <c r="Q56" i="9"/>
  <c r="N56" i="9"/>
  <c r="E56" i="9"/>
  <c r="N54" i="9"/>
  <c r="E54" i="9"/>
  <c r="Q52" i="9"/>
  <c r="N52" i="9"/>
  <c r="H52" i="9"/>
  <c r="Q50" i="9"/>
  <c r="N50" i="9"/>
  <c r="H50" i="9"/>
  <c r="N46" i="9"/>
  <c r="E46" i="9"/>
  <c r="N44" i="9"/>
  <c r="E44" i="9"/>
  <c r="N42" i="9"/>
  <c r="H42" i="9"/>
  <c r="Q40" i="9"/>
  <c r="N40" i="9"/>
  <c r="H40" i="9"/>
  <c r="N39" i="9"/>
  <c r="E39" i="9"/>
  <c r="N38" i="9"/>
  <c r="H38" i="9"/>
  <c r="M35" i="9"/>
  <c r="E37" i="9"/>
  <c r="Q36" i="9"/>
  <c r="N36" i="9"/>
  <c r="H36" i="9"/>
  <c r="G35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70" i="9" l="1"/>
  <c r="M68" i="9" s="1"/>
  <c r="C68" i="9"/>
  <c r="N9" i="9"/>
  <c r="L35" i="9"/>
  <c r="N35" i="9" s="1"/>
  <c r="D35" i="9"/>
  <c r="E35" i="9" s="1"/>
  <c r="G6" i="9"/>
  <c r="P6" i="9"/>
  <c r="Q6" i="9" s="1"/>
  <c r="N11" i="9"/>
  <c r="E13" i="9"/>
  <c r="L15" i="9"/>
  <c r="N15" i="9" s="1"/>
  <c r="Q16" i="9"/>
  <c r="E40" i="9"/>
  <c r="P35" i="9"/>
  <c r="E8" i="9"/>
  <c r="N8" i="9"/>
  <c r="F20" i="9"/>
  <c r="H20" i="9" s="1"/>
  <c r="O35" i="9"/>
  <c r="O70" i="9" s="1"/>
  <c r="R33" i="9" s="1"/>
  <c r="N37" i="9"/>
  <c r="Q38" i="9"/>
  <c r="E41" i="9"/>
  <c r="N41" i="9"/>
  <c r="Q42" i="9"/>
  <c r="E61" i="9"/>
  <c r="N61" i="9"/>
  <c r="E63" i="9"/>
  <c r="N63" i="9"/>
  <c r="H39" i="9"/>
  <c r="H54" i="9"/>
  <c r="F6" i="9"/>
  <c r="L6" i="9"/>
  <c r="N6" i="9" s="1"/>
  <c r="H8" i="9"/>
  <c r="D15" i="9"/>
  <c r="E18" i="9"/>
  <c r="E21" i="9"/>
  <c r="H24" i="9"/>
  <c r="E31" i="9"/>
  <c r="F35" i="9"/>
  <c r="H37" i="9"/>
  <c r="E42" i="9"/>
  <c r="E50" i="9"/>
  <c r="E52" i="9"/>
  <c r="H15" i="9"/>
  <c r="H22" i="9"/>
  <c r="E6" i="9"/>
  <c r="E9" i="9"/>
  <c r="L20" i="9"/>
  <c r="N20" i="9" s="1"/>
  <c r="D20" i="9"/>
  <c r="E23" i="9"/>
  <c r="H26" i="9"/>
  <c r="H44" i="9"/>
  <c r="Q58" i="9"/>
  <c r="G58" i="9"/>
  <c r="Q60" i="9"/>
  <c r="H17" i="9"/>
  <c r="E25" i="9"/>
  <c r="H29" i="9"/>
  <c r="E36" i="9"/>
  <c r="E38" i="9"/>
  <c r="H41" i="9"/>
  <c r="H46" i="9"/>
  <c r="E59" i="9"/>
  <c r="N59" i="9"/>
  <c r="Q62" i="9"/>
  <c r="Q64" i="9"/>
  <c r="Q11" i="9"/>
  <c r="Q15" i="9"/>
  <c r="Q17" i="9"/>
  <c r="Q20" i="9"/>
  <c r="Q22" i="9"/>
  <c r="Q24" i="9"/>
  <c r="Q26" i="9"/>
  <c r="Q29" i="9"/>
  <c r="Q37" i="9"/>
  <c r="Q39" i="9"/>
  <c r="Q41" i="9"/>
  <c r="Q44" i="9"/>
  <c r="Q46" i="9"/>
  <c r="Q54" i="9"/>
  <c r="H56" i="9"/>
  <c r="F58" i="9"/>
  <c r="L58" i="9"/>
  <c r="H59" i="9"/>
  <c r="H61" i="9"/>
  <c r="H63" i="9"/>
  <c r="P70" i="9" l="1"/>
  <c r="P68" i="9" s="1"/>
  <c r="G70" i="9"/>
  <c r="G68" i="9" s="1"/>
  <c r="F70" i="9"/>
  <c r="I33" i="9" s="1"/>
  <c r="L70" i="9"/>
  <c r="N70" i="9" s="1"/>
  <c r="D70" i="9"/>
  <c r="D68" i="9" s="1"/>
  <c r="R70" i="9"/>
  <c r="O68" i="9"/>
  <c r="R69" i="9"/>
  <c r="Q35" i="9"/>
  <c r="E20" i="9"/>
  <c r="H58" i="9"/>
  <c r="H35" i="9"/>
  <c r="H6" i="9"/>
  <c r="N58" i="9"/>
  <c r="E15" i="9"/>
  <c r="E58" i="9"/>
  <c r="E70" i="9" l="1"/>
  <c r="E68" i="9"/>
  <c r="R68" i="9"/>
  <c r="Q70" i="9"/>
  <c r="H70" i="9"/>
  <c r="I70" i="9" s="1"/>
  <c r="I69" i="9"/>
  <c r="F68" i="9"/>
  <c r="I4" i="9"/>
  <c r="L68" i="9"/>
  <c r="Q68" i="9"/>
  <c r="R48" i="9"/>
  <c r="R4" i="9"/>
  <c r="I48" i="9"/>
  <c r="I6" i="9"/>
  <c r="I65" i="9"/>
  <c r="R61" i="9"/>
  <c r="R65" i="9"/>
  <c r="R59" i="9"/>
  <c r="R39" i="9"/>
  <c r="R24" i="9"/>
  <c r="R50" i="9"/>
  <c r="R35" i="9"/>
  <c r="R25" i="9"/>
  <c r="R37" i="9"/>
  <c r="R26" i="9"/>
  <c r="R21" i="9"/>
  <c r="R46" i="9"/>
  <c r="R16" i="9"/>
  <c r="R58" i="9"/>
  <c r="R22" i="9"/>
  <c r="R64" i="9"/>
  <c r="R15" i="9"/>
  <c r="R60" i="9"/>
  <c r="R11" i="9"/>
  <c r="R54" i="9"/>
  <c r="R29" i="9"/>
  <c r="R63" i="9"/>
  <c r="R9" i="9"/>
  <c r="R8" i="9"/>
  <c r="R36" i="9"/>
  <c r="R56" i="9"/>
  <c r="R44" i="9"/>
  <c r="R62" i="9"/>
  <c r="R7" i="9"/>
  <c r="R38" i="9"/>
  <c r="R18" i="9"/>
  <c r="R27" i="9"/>
  <c r="R20" i="9"/>
  <c r="R31" i="9"/>
  <c r="R55" i="9"/>
  <c r="R17" i="9"/>
  <c r="R6" i="9"/>
  <c r="R41" i="9"/>
  <c r="R40" i="9"/>
  <c r="R23" i="9"/>
  <c r="R52" i="9"/>
  <c r="R13" i="9"/>
  <c r="R42" i="9"/>
  <c r="I35" i="9"/>
  <c r="I58" i="9"/>
  <c r="I64" i="9"/>
  <c r="I62" i="9"/>
  <c r="I11" i="9"/>
  <c r="I60" i="9"/>
  <c r="I7" i="9"/>
  <c r="I40" i="9"/>
  <c r="I56" i="9"/>
  <c r="I15" i="9"/>
  <c r="I16" i="9"/>
  <c r="I26" i="9"/>
  <c r="I44" i="9"/>
  <c r="I21" i="9"/>
  <c r="I41" i="9"/>
  <c r="I46" i="9"/>
  <c r="I63" i="9"/>
  <c r="I8" i="9"/>
  <c r="I54" i="9"/>
  <c r="I25" i="9"/>
  <c r="I36" i="9"/>
  <c r="I38" i="9"/>
  <c r="I23" i="9"/>
  <c r="I31" i="9"/>
  <c r="I52" i="9"/>
  <c r="I39" i="9"/>
  <c r="I24" i="9"/>
  <c r="I37" i="9"/>
  <c r="I22" i="9"/>
  <c r="I13" i="9"/>
  <c r="I61" i="9"/>
  <c r="I18" i="9"/>
  <c r="I29" i="9"/>
  <c r="I20" i="9"/>
  <c r="I59" i="9"/>
  <c r="I9" i="9"/>
  <c r="I27" i="9"/>
  <c r="I17" i="9"/>
  <c r="I42" i="9"/>
  <c r="I50" i="9"/>
  <c r="I68" i="9" l="1"/>
  <c r="N68" i="9"/>
  <c r="H68" i="9"/>
  <c r="J2" i="9"/>
  <c r="S2" i="9" s="1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F41" i="4" l="1"/>
  <c r="F20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B30" i="3"/>
  <c r="C27" i="4"/>
  <c r="K27" i="4"/>
  <c r="D35" i="2"/>
  <c r="B35" i="3"/>
  <c r="F35" i="3"/>
  <c r="H35" i="3"/>
  <c r="E32" i="4"/>
  <c r="B32" i="15"/>
  <c r="H32" i="15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D29" i="7"/>
  <c r="F29" i="7" s="1"/>
  <c r="N27" i="7"/>
  <c r="P27" i="7" s="1"/>
  <c r="N28" i="7"/>
  <c r="P28" i="7" s="1"/>
  <c r="D27" i="7"/>
  <c r="F27" i="7" s="1"/>
  <c r="D28" i="7"/>
  <c r="F28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P29" i="7"/>
  <c r="I29" i="7"/>
  <c r="K29" i="7" s="1"/>
  <c r="I28" i="7"/>
  <c r="K28" i="7" s="1"/>
  <c r="I27" i="7"/>
  <c r="K27" i="7" s="1"/>
  <c r="J45" i="15"/>
  <c r="J44" i="15"/>
  <c r="P20" i="16"/>
  <c r="P8" i="16"/>
  <c r="K42" i="2"/>
  <c r="K37" i="2"/>
  <c r="K36" i="2"/>
  <c r="K32" i="2"/>
  <c r="K8" i="2"/>
  <c r="M34" i="4"/>
  <c r="M33" i="4"/>
  <c r="M14" i="4"/>
  <c r="O37" i="16" l="1"/>
  <c r="H18" i="3"/>
  <c r="H23" i="3" s="1"/>
  <c r="C17" i="4"/>
  <c r="K37" i="4"/>
  <c r="J37" i="16"/>
  <c r="H37" i="16"/>
  <c r="B18" i="3"/>
  <c r="B37" i="16"/>
  <c r="E37" i="16"/>
  <c r="H44" i="3"/>
  <c r="J48" i="3"/>
  <c r="J50" i="2" s="1"/>
  <c r="K50" i="2" s="1"/>
  <c r="D30" i="16"/>
  <c r="H30" i="16"/>
  <c r="O11" i="16"/>
  <c r="K41" i="4"/>
  <c r="C23" i="16"/>
  <c r="B22" i="3"/>
  <c r="K20" i="4"/>
  <c r="K17" i="4"/>
  <c r="B46" i="4"/>
  <c r="B47" i="4" s="1"/>
  <c r="B44" i="3"/>
  <c r="D44" i="2"/>
  <c r="N18" i="16"/>
  <c r="D6" i="16"/>
  <c r="C7" i="7"/>
  <c r="G18" i="3"/>
  <c r="H20" i="15"/>
  <c r="H37" i="15"/>
  <c r="E40" i="2"/>
  <c r="B40" i="2"/>
  <c r="G40" i="15"/>
  <c r="O18" i="16"/>
  <c r="B27" i="15"/>
  <c r="B30" i="16"/>
  <c r="E30" i="16"/>
  <c r="N30" i="16"/>
  <c r="J18" i="16"/>
  <c r="E6" i="2"/>
  <c r="F12" i="15"/>
  <c r="I22" i="3"/>
  <c r="I23" i="3" s="1"/>
  <c r="B17" i="15"/>
  <c r="F12" i="7"/>
  <c r="B12" i="7"/>
  <c r="D20" i="1"/>
  <c r="F41" i="15"/>
  <c r="B41" i="15"/>
  <c r="D41" i="4"/>
  <c r="K40" i="4"/>
  <c r="H18" i="16"/>
  <c r="E43" i="2"/>
  <c r="B43" i="2"/>
  <c r="G32" i="15"/>
  <c r="C32" i="15"/>
  <c r="G44" i="3"/>
  <c r="B23" i="16"/>
  <c r="G11" i="16"/>
  <c r="E6" i="16"/>
  <c r="B6" i="16"/>
  <c r="J11" i="16"/>
  <c r="H6" i="16"/>
  <c r="H12" i="15"/>
  <c r="H12" i="4"/>
  <c r="G12" i="3"/>
  <c r="C21" i="2"/>
  <c r="C23" i="2" s="1"/>
  <c r="H20" i="4"/>
  <c r="H17" i="15"/>
  <c r="D32" i="4"/>
  <c r="I35" i="3"/>
  <c r="F27" i="15"/>
  <c r="J28" i="3"/>
  <c r="J28" i="2" s="1"/>
  <c r="K28" i="2" s="1"/>
  <c r="B5" i="5" s="1"/>
  <c r="C30" i="16"/>
  <c r="G30" i="16"/>
  <c r="G7" i="3"/>
  <c r="E7" i="7"/>
  <c r="C12" i="7"/>
  <c r="K32" i="4"/>
  <c r="D27" i="4"/>
  <c r="H23" i="16"/>
  <c r="G6" i="16"/>
  <c r="C6" i="16"/>
  <c r="F7" i="3"/>
  <c r="I7" i="3"/>
  <c r="B40" i="4"/>
  <c r="J23" i="16"/>
  <c r="K7" i="4"/>
  <c r="C7" i="4"/>
  <c r="J10" i="3"/>
  <c r="J9" i="2" s="1"/>
  <c r="B17" i="2"/>
  <c r="D21" i="1"/>
  <c r="G41" i="15"/>
  <c r="J36" i="15"/>
  <c r="L36" i="4" s="1"/>
  <c r="M36" i="4" s="1"/>
  <c r="C16" i="5" s="1"/>
  <c r="B37" i="4"/>
  <c r="D40" i="4"/>
  <c r="H40" i="3"/>
  <c r="B40" i="3"/>
  <c r="D40" i="2"/>
  <c r="F44" i="3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J20" i="3"/>
  <c r="J19" i="2" s="1"/>
  <c r="K19" i="2" s="1"/>
  <c r="G43" i="3"/>
  <c r="B27" i="4"/>
  <c r="L19" i="4"/>
  <c r="M19" i="4" s="1"/>
  <c r="D7" i="4"/>
  <c r="J39" i="3"/>
  <c r="J39" i="2" s="1"/>
  <c r="K39" i="2" s="1"/>
  <c r="B16" i="5" s="1"/>
  <c r="B32" i="4"/>
  <c r="E35" i="2"/>
  <c r="B35" i="2"/>
  <c r="D43" i="2"/>
  <c r="E23" i="16"/>
  <c r="N11" i="16"/>
  <c r="C40" i="4"/>
  <c r="F43" i="3"/>
  <c r="B41" i="4"/>
  <c r="C32" i="4"/>
  <c r="B18" i="16"/>
  <c r="E18" i="16"/>
  <c r="P21" i="16"/>
  <c r="H7" i="3"/>
  <c r="C6" i="2"/>
  <c r="G7" i="15"/>
  <c r="E7" i="4"/>
  <c r="J16" i="3"/>
  <c r="J15" i="2" s="1"/>
  <c r="K15" i="2" s="1"/>
  <c r="H40" i="15"/>
  <c r="C19" i="1"/>
  <c r="D16" i="5"/>
  <c r="C44" i="2"/>
  <c r="G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B11" i="5" s="1"/>
  <c r="J29" i="3"/>
  <c r="J29" i="2" s="1"/>
  <c r="F12" i="3"/>
  <c r="G35" i="3"/>
  <c r="J31" i="15"/>
  <c r="L31" i="4" s="1"/>
  <c r="C30" i="2"/>
  <c r="I40" i="3"/>
  <c r="I44" i="3"/>
  <c r="J30" i="16"/>
  <c r="P28" i="16"/>
  <c r="P17" i="16"/>
  <c r="G18" i="16"/>
  <c r="D23" i="16"/>
  <c r="H40" i="4"/>
  <c r="H37" i="4"/>
  <c r="J38" i="3"/>
  <c r="J38" i="2" s="1"/>
  <c r="F40" i="3"/>
  <c r="D5" i="5"/>
  <c r="G37" i="15"/>
  <c r="L18" i="4"/>
  <c r="M18" i="4" s="1"/>
  <c r="P10" i="16"/>
  <c r="B11" i="16"/>
  <c r="K51" i="2"/>
  <c r="J21" i="3"/>
  <c r="J20" i="2" s="1"/>
  <c r="K20" i="2" s="1"/>
  <c r="G22" i="3"/>
  <c r="H41" i="4"/>
  <c r="D15" i="5"/>
  <c r="C37" i="15"/>
  <c r="G30" i="3"/>
  <c r="J46" i="15"/>
  <c r="L44" i="4" s="1"/>
  <c r="M44" i="4" s="1"/>
  <c r="N37" i="16"/>
  <c r="E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D11" i="5"/>
  <c r="G27" i="15"/>
  <c r="C41" i="15"/>
  <c r="E41" i="4"/>
  <c r="F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D12" i="7"/>
  <c r="E12" i="7"/>
  <c r="H41" i="15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B19" i="1"/>
  <c r="B43" i="3"/>
  <c r="C11" i="16"/>
  <c r="P9" i="16"/>
  <c r="B26" i="7" s="1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C26" i="7" l="1"/>
  <c r="F24" i="7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I45" i="3"/>
  <c r="C21" i="4"/>
  <c r="B23" i="2"/>
  <c r="B33" i="1"/>
  <c r="H45" i="3"/>
  <c r="G45" i="3"/>
  <c r="D45" i="2"/>
  <c r="G23" i="3"/>
  <c r="G42" i="15"/>
  <c r="H21" i="15"/>
  <c r="B42" i="4"/>
  <c r="D7" i="1"/>
  <c r="J17" i="2"/>
  <c r="K17" i="2" s="1"/>
  <c r="J12" i="3"/>
  <c r="J44" i="3"/>
  <c r="E45" i="2"/>
  <c r="E21" i="4"/>
  <c r="D17" i="5"/>
  <c r="F45" i="3"/>
  <c r="F42" i="15"/>
  <c r="D18" i="1"/>
  <c r="C10" i="1"/>
  <c r="L27" i="4"/>
  <c r="M27" i="4" s="1"/>
  <c r="C21" i="15"/>
  <c r="D42" i="4"/>
  <c r="J11" i="2"/>
  <c r="K11" i="2" s="1"/>
  <c r="K9" i="2"/>
  <c r="J35" i="3"/>
  <c r="J40" i="3"/>
  <c r="J44" i="2"/>
  <c r="K44" i="2" s="1"/>
  <c r="J32" i="15"/>
  <c r="M25" i="4"/>
  <c r="C5" i="5" s="1"/>
  <c r="J30" i="3"/>
  <c r="P6" i="16"/>
  <c r="J7" i="3"/>
  <c r="B21" i="4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H42" i="15"/>
  <c r="J22" i="3"/>
  <c r="E23" i="2"/>
  <c r="J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G7" i="7"/>
  <c r="P30" i="16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J37" i="15"/>
  <c r="J18" i="3"/>
  <c r="L17" i="4"/>
  <c r="M17" i="4" s="1"/>
  <c r="D10" i="5"/>
  <c r="E42" i="4"/>
  <c r="C42" i="15"/>
  <c r="J40" i="15"/>
  <c r="J41" i="15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D26" i="7" l="1"/>
  <c r="F26" i="7" s="1"/>
  <c r="F23" i="7"/>
  <c r="B8" i="1"/>
  <c r="F18" i="1"/>
  <c r="J21" i="15"/>
  <c r="D6" i="1"/>
  <c r="C8" i="1"/>
  <c r="C33" i="1" s="1"/>
  <c r="B10" i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J42" i="15"/>
  <c r="J23" i="3"/>
  <c r="B17" i="1"/>
  <c r="D17" i="1" s="1"/>
  <c r="K43" i="2"/>
  <c r="C11" i="5"/>
  <c r="C28" i="1"/>
  <c r="C27" i="1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D8" i="1"/>
  <c r="F8" i="1" s="1"/>
  <c r="F6" i="1"/>
  <c r="C11" i="1"/>
  <c r="B32" i="1"/>
  <c r="B11" i="1"/>
  <c r="L26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G26" i="7" l="1"/>
  <c r="M26" i="7"/>
  <c r="H23" i="7"/>
  <c r="H24" i="7"/>
  <c r="P24" i="7"/>
  <c r="G24" i="7"/>
  <c r="G23" i="7"/>
  <c r="P23" i="7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H26" i="7" l="1"/>
  <c r="I26" i="7" s="1"/>
  <c r="K26" i="7" s="1"/>
  <c r="N26" i="7"/>
  <c r="P26" i="7" s="1"/>
  <c r="I24" i="7"/>
  <c r="K24" i="7" s="1"/>
  <c r="I23" i="7"/>
  <c r="K23" i="7" s="1"/>
  <c r="F22" i="5"/>
  <c r="H22" i="5" s="1"/>
  <c r="H20" i="5"/>
  <c r="D21" i="7" l="1"/>
  <c r="F21" i="7" l="1"/>
  <c r="G21" i="7"/>
  <c r="N21" i="7" l="1"/>
  <c r="H21" i="7"/>
  <c r="P21" i="7" l="1"/>
  <c r="I21" i="7"/>
  <c r="K21" i="7" s="1"/>
  <c r="B22" i="7" l="1"/>
  <c r="C22" i="7" l="1"/>
  <c r="D22" i="7" l="1"/>
  <c r="F22" i="7" l="1"/>
  <c r="M22" i="7"/>
  <c r="L22" i="7"/>
  <c r="N22" i="7" l="1"/>
  <c r="G22" i="7"/>
  <c r="H22" i="7"/>
  <c r="I22" i="7" l="1"/>
  <c r="P22" i="7"/>
  <c r="K22" i="7" l="1"/>
  <c r="G20" i="1" l="1"/>
  <c r="B25" i="7"/>
  <c r="I20" i="1" l="1"/>
  <c r="B33" i="7"/>
  <c r="G21" i="1"/>
  <c r="C25" i="7"/>
  <c r="C33" i="7" s="1"/>
  <c r="D33" i="1"/>
  <c r="I16" i="5"/>
  <c r="I21" i="1" l="1"/>
  <c r="D25" i="7"/>
  <c r="I5" i="5"/>
  <c r="G18" i="1"/>
  <c r="G19" i="1"/>
  <c r="G5" i="1"/>
  <c r="G7" i="1"/>
  <c r="G17" i="1"/>
  <c r="I10" i="5"/>
  <c r="I18" i="1" l="1"/>
  <c r="I7" i="1"/>
  <c r="I19" i="1"/>
  <c r="I17" i="1"/>
  <c r="K5" i="5"/>
  <c r="K10" i="5"/>
  <c r="I5" i="1"/>
  <c r="F25" i="7"/>
  <c r="D33" i="7"/>
  <c r="F33" i="7" s="1"/>
  <c r="I6" i="5"/>
  <c r="G6" i="1"/>
  <c r="G16" i="1"/>
  <c r="D32" i="1"/>
  <c r="L25" i="7"/>
  <c r="G28" i="1"/>
  <c r="I11" i="5"/>
  <c r="G27" i="1"/>
  <c r="I6" i="1" l="1"/>
  <c r="K11" i="5"/>
  <c r="I28" i="1"/>
  <c r="G8" i="1"/>
  <c r="G22" i="1"/>
  <c r="I22" i="1" s="1"/>
  <c r="I16" i="1"/>
  <c r="K6" i="5"/>
  <c r="I21" i="5"/>
  <c r="K21" i="5" s="1"/>
  <c r="I12" i="5"/>
  <c r="K12" i="5" s="1"/>
  <c r="D34" i="1"/>
  <c r="E33" i="1" s="1"/>
  <c r="M25" i="7"/>
  <c r="N25" i="7" s="1"/>
  <c r="I15" i="5"/>
  <c r="G25" i="7"/>
  <c r="L33" i="7"/>
  <c r="I27" i="1"/>
  <c r="G29" i="1"/>
  <c r="I29" i="1" s="1"/>
  <c r="I7" i="5"/>
  <c r="K7" i="5" s="1"/>
  <c r="G10" i="1"/>
  <c r="E32" i="1" l="1"/>
  <c r="I10" i="1"/>
  <c r="G33" i="7"/>
  <c r="P25" i="7"/>
  <c r="N33" i="7"/>
  <c r="P33" i="7" s="1"/>
  <c r="I17" i="5"/>
  <c r="K17" i="5" s="1"/>
  <c r="K15" i="5"/>
  <c r="I20" i="5"/>
  <c r="H25" i="7"/>
  <c r="H33" i="7" s="1"/>
  <c r="M33" i="7"/>
  <c r="G11" i="1"/>
  <c r="I11" i="1" s="1"/>
  <c r="I8" i="1"/>
  <c r="I22" i="5" l="1"/>
  <c r="K22" i="5" s="1"/>
  <c r="K20" i="5"/>
  <c r="I25" i="7"/>
  <c r="K25" i="7" l="1"/>
  <c r="I33" i="7"/>
  <c r="K33" i="7" s="1"/>
</calcChain>
</file>

<file path=xl/sharedStrings.xml><?xml version="1.0" encoding="utf-8"?>
<sst xmlns="http://schemas.openxmlformats.org/spreadsheetml/2006/main" count="681" uniqueCount="242">
  <si>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</si>
  <si>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</si>
  <si>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</si>
  <si>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</si>
  <si>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</si>
  <si>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</si>
  <si>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</si>
  <si>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</si>
  <si>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</si>
  <si>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</si>
  <si>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</si>
  <si>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</si>
  <si>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</si>
  <si>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</si>
  <si>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</si>
  <si>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</si>
  <si>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</si>
  <si>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</si>
  <si>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</si>
  <si>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</si>
  <si>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</si>
  <si>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</si>
  <si>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</si>
  <si>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</si>
  <si>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</si>
  <si>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</si>
  <si>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</si>
  <si>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</si>
  <si>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</si>
  <si>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</si>
  <si>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</si>
  <si>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</si>
  <si>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</si>
  <si>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</si>
  <si>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</si>
  <si>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</si>
  <si>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</si>
  <si>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</si>
  <si>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</si>
  <si>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</si>
  <si>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</si>
  <si>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</si>
  <si>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</si>
  <si>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</si>
  <si>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</si>
  <si>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</si>
  <si>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</si>
  <si>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</si>
  <si>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</si>
  <si>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</si>
  <si>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</si>
  <si>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</si>
  <si>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</si>
  <si>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</si>
  <si>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</si>
  <si>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</si>
  <si>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</si>
  <si>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</si>
  <si>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</si>
  <si>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</si>
  <si>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</si>
  <si>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</si>
  <si>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</si>
  <si>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</si>
  <si>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</si>
  <si>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</si>
  <si>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</si>
  <si>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</si>
  <si>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</si>
  <si>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</si>
  <si>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</si>
  <si>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</si>
  <si>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</si>
  <si>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</si>
  <si>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</si>
  <si>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</si>
  <si>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</si>
  <si>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</si>
  <si>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</si>
  <si>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</si>
  <si>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</si>
  <si>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</si>
  <si>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</si>
  <si>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</si>
  <si>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</si>
  <si>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</si>
  <si>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</si>
  <si>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</si>
  <si>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</si>
  <si>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</si>
  <si>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</si>
  <si>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</si>
  <si>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</si>
  <si>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</si>
  <si>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</si>
  <si>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</si>
  <si>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</si>
  <si>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</si>
  <si>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</si>
  <si>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</si>
  <si>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</si>
  <si>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</si>
  <si>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</si>
  <si>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</si>
  <si>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</si>
  <si>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</si>
  <si>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</si>
  <si>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</si>
  <si>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</si>
  <si>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</si>
  <si>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</si>
  <si>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</si>
  <si>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</si>
  <si>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</si>
  <si>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</si>
  <si>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</si>
  <si>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</si>
  <si>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</si>
  <si>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</si>
  <si>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</si>
  <si>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</si>
  <si>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</si>
  <si>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</si>
  <si>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</si>
  <si>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</si>
  <si>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</si>
  <si>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</si>
  <si>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</si>
  <si>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</si>
  <si>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</si>
  <si>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</si>
  <si>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</si>
  <si>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</si>
  <si>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</si>
  <si>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</si>
  <si>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</si>
  <si>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</si>
  <si>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</si>
  <si>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</si>
  <si>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</si>
  <si>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</si>
  <si>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</si>
  <si>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</si>
  <si>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</si>
  <si>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</si>
  <si>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</si>
  <si>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</si>
  <si>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</si>
  <si>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</si>
  <si>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</si>
  <si>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</si>
  <si>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</si>
  <si>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</si>
  <si>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</si>
  <si>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</si>
  <si>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</si>
  <si>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</si>
  <si>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</si>
  <si>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</si>
  <si>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</si>
  <si>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</si>
  <si>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</si>
  <si>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</si>
  <si>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</si>
  <si>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</si>
  <si>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</si>
  <si>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</si>
  <si>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</si>
  <si>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</si>
  <si>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</si>
  <si>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</si>
  <si>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</si>
  <si>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</si>
  <si>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</si>
  <si>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</si>
  <si>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</si>
  <si>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</si>
  <si>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</si>
  <si>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</si>
  <si>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</si>
  <si>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</si>
  <si>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</si>
  <si>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</si>
  <si>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</si>
  <si>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</si>
  <si>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</si>
  <si>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</si>
  <si>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</si>
  <si>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</si>
  <si>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</si>
  <si>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</si>
  <si>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</si>
  <si>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</si>
  <si>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</si>
  <si>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</si>
  <si>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</si>
  <si>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</si>
  <si>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</si>
  <si>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</si>
  <si>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</si>
  <si>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</si>
  <si>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</si>
  <si>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</si>
  <si>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</si>
  <si>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</si>
  <si>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</si>
  <si>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</si>
  <si>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</si>
  <si>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</si>
  <si>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 Air Cargo</t>
  </si>
  <si>
    <t>Encore</t>
  </si>
  <si>
    <t>Aer Lingus</t>
  </si>
  <si>
    <t xml:space="preserve">2019 YTD 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</si>
  <si>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</si>
  <si>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</si>
  <si>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</si>
  <si>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</si>
  <si>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</si>
  <si>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</si>
  <si>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</si>
  <si>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</si>
  <si>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</si>
  <si>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Air Wisconsin - American</t>
  </si>
  <si>
    <t>Belly Cargo/Mail in Pounds</t>
  </si>
  <si>
    <t>Belly Cargo/Mail In Pounds</t>
  </si>
  <si>
    <t>June 2019</t>
  </si>
  <si>
    <t>Denver Air</t>
  </si>
  <si>
    <t>Sun Country - Amazon</t>
  </si>
  <si>
    <t>MSP Cargo</t>
  </si>
  <si>
    <t>Encore -DHL</t>
  </si>
  <si>
    <t>Kalitta - DHL</t>
  </si>
  <si>
    <t>Southern Air - DHL</t>
  </si>
  <si>
    <t>Swift Air - DHL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</si>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</sst>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1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5" xfId="0" applyFont="1" applyBorder="1" applyAlignment="1">
      <alignment horizontal="right"/>
    </xf>
    <xf numFmtId="10" fontId="10" fillId="3" borderId="6" xfId="3" applyNumberFormat="1" applyFont="1" applyFill="1" applyBorder="1"/>
    <xf numFmtId="3" fontId="0" fillId="2" borderId="7" xfId="0" applyNumberFormat="1" applyFill="1" applyBorder="1"/>
    <xf numFmtId="164" fontId="0" fillId="2" borderId="7" xfId="0" applyNumberFormat="1" applyFill="1" applyBorder="1"/>
    <xf numFmtId="3" fontId="0" fillId="0" borderId="0" xfId="0" applyNumberFormat="1" applyAlignment="1">
      <alignment horizontal="right"/>
    </xf>
    <xf numFmtId="3" fontId="0" fillId="5" borderId="7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165" fontId="7" fillId="3" borderId="10" xfId="0" applyNumberFormat="1" applyFont="1" applyFill="1" applyBorder="1"/>
    <xf numFmtId="0" fontId="0" fillId="0" borderId="11" xfId="0" applyBorder="1"/>
    <xf numFmtId="0" fontId="0" fillId="5" borderId="7" xfId="0" applyFill="1" applyBorder="1"/>
    <xf numFmtId="0" fontId="7" fillId="0" borderId="0" xfId="0" applyFont="1"/>
    <xf numFmtId="0" fontId="7" fillId="0" borderId="12" xfId="0" applyFont="1" applyBorder="1"/>
    <xf numFmtId="0" fontId="7" fillId="2" borderId="13" xfId="0" applyFont="1" applyFill="1" applyBorder="1"/>
    <xf numFmtId="0" fontId="0" fillId="0" borderId="12" xfId="0" applyBorder="1"/>
    <xf numFmtId="0" fontId="7" fillId="0" borderId="14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5" fillId="0" borderId="12" xfId="0" applyFont="1" applyBorder="1"/>
    <xf numFmtId="0" fontId="3" fillId="0" borderId="12" xfId="0" applyFont="1" applyBorder="1"/>
    <xf numFmtId="0" fontId="7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 wrapText="1"/>
    </xf>
    <xf numFmtId="10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0" fillId="4" borderId="7" xfId="0" applyNumberFormat="1" applyFill="1" applyBorder="1"/>
    <xf numFmtId="4" fontId="0" fillId="4" borderId="7" xfId="0" applyNumberFormat="1" applyFill="1" applyBorder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0" borderId="11" xfId="0" applyNumberFormat="1" applyBorder="1"/>
    <xf numFmtId="0" fontId="4" fillId="4" borderId="13" xfId="0" applyFont="1" applyFill="1" applyBorder="1"/>
    <xf numFmtId="0" fontId="11" fillId="0" borderId="14" xfId="0" applyFont="1" applyBorder="1" applyAlignment="1">
      <alignment horizontal="right"/>
    </xf>
    <xf numFmtId="3" fontId="0" fillId="4" borderId="16" xfId="0" applyNumberFormat="1" applyFill="1" applyBorder="1"/>
    <xf numFmtId="10" fontId="4" fillId="0" borderId="17" xfId="0" applyNumberFormat="1" applyFont="1" applyBorder="1" applyAlignment="1">
      <alignment horizontal="center"/>
    </xf>
    <xf numFmtId="10" fontId="5" fillId="0" borderId="18" xfId="0" applyNumberFormat="1" applyFont="1" applyBorder="1"/>
    <xf numFmtId="10" fontId="5" fillId="0" borderId="19" xfId="0" applyNumberFormat="1" applyFont="1" applyBorder="1"/>
    <xf numFmtId="10" fontId="0" fillId="0" borderId="1" xfId="0" applyNumberFormat="1" applyBorder="1"/>
    <xf numFmtId="10" fontId="7" fillId="3" borderId="20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1" xfId="0" applyNumberFormat="1" applyBorder="1"/>
    <xf numFmtId="10" fontId="7" fillId="3" borderId="22" xfId="0" applyNumberFormat="1" applyFont="1" applyFill="1" applyBorder="1"/>
    <xf numFmtId="10" fontId="0" fillId="0" borderId="0" xfId="3" applyNumberFormat="1" applyFont="1"/>
    <xf numFmtId="10" fontId="7" fillId="3" borderId="10" xfId="3" applyNumberFormat="1" applyFont="1" applyFill="1" applyBorder="1"/>
    <xf numFmtId="10" fontId="0" fillId="0" borderId="11" xfId="3" applyNumberFormat="1" applyFont="1" applyBorder="1"/>
    <xf numFmtId="10" fontId="7" fillId="3" borderId="23" xfId="3" applyNumberFormat="1" applyFont="1" applyFill="1" applyBorder="1"/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5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8" fillId="0" borderId="0" xfId="0" applyNumberFormat="1" applyFont="1"/>
    <xf numFmtId="41" fontId="9" fillId="0" borderId="0" xfId="0" applyNumberFormat="1" applyFont="1"/>
    <xf numFmtId="41" fontId="10" fillId="3" borderId="6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0" fillId="0" borderId="19" xfId="0" applyNumberFormat="1" applyBorder="1"/>
    <xf numFmtId="41" fontId="3" fillId="0" borderId="19" xfId="0" applyNumberFormat="1" applyFont="1" applyBorder="1"/>
    <xf numFmtId="41" fontId="0" fillId="2" borderId="3" xfId="1" applyNumberFormat="1" applyFont="1" applyFill="1" applyBorder="1" applyAlignment="1">
      <alignment horizontal="center"/>
    </xf>
    <xf numFmtId="41" fontId="5" fillId="0" borderId="19" xfId="0" applyNumberFormat="1" applyFont="1" applyBorder="1"/>
    <xf numFmtId="41" fontId="7" fillId="3" borderId="4" xfId="1" applyNumberFormat="1" applyFont="1" applyFill="1" applyBorder="1" applyAlignment="1">
      <alignment horizontal="center"/>
    </xf>
    <xf numFmtId="41" fontId="0" fillId="0" borderId="0" xfId="1" applyNumberFormat="1" applyFont="1" applyAlignment="1">
      <alignment horizontal="center"/>
    </xf>
    <xf numFmtId="41" fontId="7" fillId="3" borderId="19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9" xfId="1" applyNumberFormat="1" applyFont="1" applyBorder="1" applyAlignment="1">
      <alignment horizontal="center"/>
    </xf>
    <xf numFmtId="41" fontId="5" fillId="0" borderId="0" xfId="1" applyNumberFormat="1" applyFont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9" xfId="0" applyNumberFormat="1" applyBorder="1"/>
    <xf numFmtId="41" fontId="0" fillId="0" borderId="11" xfId="0" applyNumberFormat="1" applyBorder="1"/>
    <xf numFmtId="41" fontId="10" fillId="3" borderId="25" xfId="0" applyNumberFormat="1" applyFont="1" applyFill="1" applyBorder="1"/>
    <xf numFmtId="41" fontId="11" fillId="3" borderId="26" xfId="0" applyNumberFormat="1" applyFont="1" applyFill="1" applyBorder="1"/>
    <xf numFmtId="41" fontId="11" fillId="3" borderId="1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2" borderId="13" xfId="0" applyNumberFormat="1" applyFont="1" applyFill="1" applyBorder="1"/>
    <xf numFmtId="3" fontId="0" fillId="0" borderId="12" xfId="0" applyNumberFormat="1" applyBorder="1"/>
    <xf numFmtId="0" fontId="4" fillId="0" borderId="14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0" fillId="0" borderId="1" xfId="0" applyNumberFormat="1" applyBorder="1" applyAlignment="1">
      <alignment horizontal="center"/>
    </xf>
    <xf numFmtId="0" fontId="7" fillId="2" borderId="16" xfId="0" applyFont="1" applyFill="1" applyBorder="1"/>
    <xf numFmtId="0" fontId="0" fillId="2" borderId="7" xfId="0" applyFill="1" applyBorder="1" applyAlignment="1">
      <alignment horizontal="center"/>
    </xf>
    <xf numFmtId="0" fontId="5" fillId="0" borderId="9" xfId="0" applyFont="1" applyBorder="1"/>
    <xf numFmtId="41" fontId="5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right"/>
    </xf>
    <xf numFmtId="41" fontId="4" fillId="3" borderId="10" xfId="0" applyNumberFormat="1" applyFont="1" applyFill="1" applyBorder="1" applyAlignment="1">
      <alignment horizontal="center"/>
    </xf>
    <xf numFmtId="41" fontId="4" fillId="3" borderId="10" xfId="0" applyNumberFormat="1" applyFont="1" applyFill="1" applyBorder="1"/>
    <xf numFmtId="0" fontId="7" fillId="4" borderId="16" xfId="0" applyFont="1" applyFill="1" applyBorder="1"/>
    <xf numFmtId="41" fontId="0" fillId="4" borderId="7" xfId="0" applyNumberFormat="1" applyFill="1" applyBorder="1" applyAlignment="1">
      <alignment horizontal="center"/>
    </xf>
    <xf numFmtId="0" fontId="14" fillId="0" borderId="9" xfId="0" applyFont="1" applyBorder="1"/>
    <xf numFmtId="0" fontId="4" fillId="0" borderId="9" xfId="0" applyFont="1" applyBorder="1" applyAlignment="1">
      <alignment horizontal="right"/>
    </xf>
    <xf numFmtId="0" fontId="15" fillId="0" borderId="9" xfId="0" applyFont="1" applyBorder="1"/>
    <xf numFmtId="1" fontId="0" fillId="0" borderId="2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0" xfId="0" applyBorder="1"/>
    <xf numFmtId="2" fontId="0" fillId="0" borderId="0" xfId="0" applyNumberFormat="1"/>
    <xf numFmtId="17" fontId="0" fillId="0" borderId="0" xfId="0" applyNumberFormat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2" xfId="3" applyNumberFormat="1" applyBorder="1" applyAlignment="1">
      <alignment horizontal="center"/>
    </xf>
    <xf numFmtId="10" fontId="4" fillId="3" borderId="32" xfId="3" applyNumberFormat="1" applyFont="1" applyFill="1" applyBorder="1" applyAlignment="1">
      <alignment horizontal="center"/>
    </xf>
    <xf numFmtId="10" fontId="4" fillId="3" borderId="33" xfId="3" applyNumberFormat="1" applyFont="1" applyFill="1" applyBorder="1" applyAlignment="1">
      <alignment horizontal="center"/>
    </xf>
    <xf numFmtId="10" fontId="4" fillId="3" borderId="34" xfId="3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1" fillId="0" borderId="12" xfId="3" applyNumberFormat="1" applyBorder="1" applyAlignment="1">
      <alignment horizontal="center"/>
    </xf>
    <xf numFmtId="0" fontId="4" fillId="3" borderId="36" xfId="0" applyFont="1" applyFill="1" applyBorder="1"/>
    <xf numFmtId="17" fontId="0" fillId="0" borderId="37" xfId="0" applyNumberFormat="1" applyBorder="1"/>
    <xf numFmtId="10" fontId="1" fillId="0" borderId="38" xfId="3" applyNumberFormat="1" applyBorder="1" applyAlignment="1">
      <alignment horizontal="center"/>
    </xf>
    <xf numFmtId="17" fontId="0" fillId="0" borderId="39" xfId="0" applyNumberFormat="1" applyBorder="1"/>
    <xf numFmtId="164" fontId="1" fillId="0" borderId="40" xfId="3" applyNumberFormat="1" applyBorder="1" applyAlignment="1">
      <alignment horizontal="center"/>
    </xf>
    <xf numFmtId="10" fontId="1" fillId="0" borderId="40" xfId="3" applyNumberFormat="1" applyBorder="1" applyAlignment="1">
      <alignment horizontal="center"/>
    </xf>
    <xf numFmtId="17" fontId="0" fillId="0" borderId="41" xfId="0" applyNumberFormat="1" applyBorder="1"/>
    <xf numFmtId="10" fontId="1" fillId="0" borderId="42" xfId="3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4" fillId="3" borderId="43" xfId="0" applyNumberFormat="1" applyFont="1" applyFill="1" applyBorder="1" applyAlignment="1">
      <alignment horizontal="center"/>
    </xf>
    <xf numFmtId="41" fontId="16" fillId="3" borderId="17" xfId="0" applyNumberFormat="1" applyFont="1" applyFill="1" applyBorder="1" applyAlignment="1">
      <alignment horizontal="center"/>
    </xf>
    <xf numFmtId="41" fontId="16" fillId="3" borderId="34" xfId="0" applyNumberFormat="1" applyFont="1" applyFill="1" applyBorder="1" applyAlignment="1">
      <alignment horizontal="center"/>
    </xf>
    <xf numFmtId="41" fontId="16" fillId="3" borderId="43" xfId="0" applyNumberFormat="1" applyFont="1" applyFill="1" applyBorder="1" applyAlignment="1">
      <alignment horizontal="center"/>
    </xf>
    <xf numFmtId="41" fontId="16" fillId="3" borderId="44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8" xfId="0" applyNumberFormat="1" applyFill="1" applyBorder="1"/>
    <xf numFmtId="10" fontId="0" fillId="0" borderId="11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4" fillId="2" borderId="45" xfId="0" applyNumberFormat="1" applyFont="1" applyFill="1" applyBorder="1" applyAlignment="1">
      <alignment horizontal="center" wrapText="1"/>
    </xf>
    <xf numFmtId="1" fontId="4" fillId="2" borderId="45" xfId="0" applyNumberFormat="1" applyFont="1" applyFill="1" applyBorder="1" applyAlignment="1">
      <alignment horizontal="center" wrapText="1"/>
    </xf>
    <xf numFmtId="10" fontId="4" fillId="2" borderId="46" xfId="0" applyNumberFormat="1" applyFont="1" applyFill="1" applyBorder="1" applyAlignment="1">
      <alignment horizontal="center" wrapText="1"/>
    </xf>
    <xf numFmtId="0" fontId="4" fillId="5" borderId="45" xfId="0" applyFont="1" applyFill="1" applyBorder="1" applyAlignment="1">
      <alignment horizontal="center" wrapText="1"/>
    </xf>
    <xf numFmtId="10" fontId="7" fillId="3" borderId="20" xfId="3" applyNumberFormat="1" applyFont="1" applyFill="1" applyBorder="1" applyAlignment="1">
      <alignment horizontal="right"/>
    </xf>
    <xf numFmtId="10" fontId="7" fillId="3" borderId="22" xfId="0" applyNumberFormat="1" applyFont="1" applyFill="1" applyBorder="1" applyAlignment="1">
      <alignment horizontal="right"/>
    </xf>
    <xf numFmtId="41" fontId="7" fillId="3" borderId="20" xfId="0" applyNumberFormat="1" applyFont="1" applyFill="1" applyBorder="1"/>
    <xf numFmtId="41" fontId="7" fillId="3" borderId="20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4" xfId="0" applyNumberFormat="1" applyFont="1" applyBorder="1"/>
    <xf numFmtId="0" fontId="4" fillId="5" borderId="13" xfId="0" applyFont="1" applyFill="1" applyBorder="1"/>
    <xf numFmtId="0" fontId="7" fillId="5" borderId="12" xfId="0" applyFont="1" applyFill="1" applyBorder="1"/>
    <xf numFmtId="165" fontId="7" fillId="3" borderId="20" xfId="1" applyNumberFormat="1" applyFont="1" applyFill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0" xfId="1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1" fontId="4" fillId="3" borderId="19" xfId="0" applyNumberFormat="1" applyFont="1" applyFill="1" applyBorder="1" applyAlignment="1">
      <alignment horizontal="center"/>
    </xf>
    <xf numFmtId="41" fontId="4" fillId="3" borderId="19" xfId="0" applyNumberFormat="1" applyFont="1" applyFill="1" applyBorder="1"/>
    <xf numFmtId="41" fontId="4" fillId="3" borderId="20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5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4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0" xfId="3" applyNumberFormat="1" applyFont="1" applyFill="1" applyBorder="1"/>
    <xf numFmtId="10" fontId="10" fillId="3" borderId="23" xfId="3" applyNumberFormat="1" applyFont="1" applyFill="1" applyBorder="1"/>
    <xf numFmtId="9" fontId="5" fillId="0" borderId="0" xfId="1" applyNumberFormat="1" applyFont="1"/>
    <xf numFmtId="41" fontId="0" fillId="0" borderId="48" xfId="0" applyNumberFormat="1" applyBorder="1" applyAlignment="1">
      <alignment horizontal="center"/>
    </xf>
    <xf numFmtId="41" fontId="0" fillId="0" borderId="49" xfId="0" applyNumberFormat="1" applyBorder="1" applyAlignment="1">
      <alignment horizontal="center"/>
    </xf>
    <xf numFmtId="41" fontId="0" fillId="0" borderId="50" xfId="0" applyNumberFormat="1" applyBorder="1" applyAlignment="1">
      <alignment horizontal="center"/>
    </xf>
    <xf numFmtId="164" fontId="1" fillId="0" borderId="51" xfId="3" applyNumberFormat="1" applyBorder="1" applyAlignment="1">
      <alignment horizontal="center"/>
    </xf>
    <xf numFmtId="41" fontId="0" fillId="0" borderId="52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41" fontId="0" fillId="0" borderId="54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1" fillId="0" borderId="56" xfId="3" applyNumberFormat="1" applyBorder="1" applyAlignment="1">
      <alignment horizontal="center"/>
    </xf>
    <xf numFmtId="165" fontId="0" fillId="0" borderId="57" xfId="1" applyNumberFormat="1" applyFont="1" applyBorder="1" applyAlignment="1">
      <alignment horizontal="center"/>
    </xf>
    <xf numFmtId="10" fontId="4" fillId="5" borderId="4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3" fontId="0" fillId="0" borderId="16" xfId="0" applyNumberFormat="1" applyBorder="1"/>
    <xf numFmtId="3" fontId="0" fillId="0" borderId="7" xfId="0" applyNumberFormat="1" applyBorder="1"/>
    <xf numFmtId="10" fontId="0" fillId="0" borderId="8" xfId="0" applyNumberFormat="1" applyBorder="1"/>
    <xf numFmtId="10" fontId="0" fillId="0" borderId="16" xfId="0" applyNumberFormat="1" applyBorder="1"/>
    <xf numFmtId="0" fontId="0" fillId="0" borderId="7" xfId="0" applyBorder="1"/>
    <xf numFmtId="0" fontId="4" fillId="0" borderId="9" xfId="0" applyFont="1" applyBorder="1"/>
    <xf numFmtId="3" fontId="4" fillId="0" borderId="9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3" fontId="0" fillId="0" borderId="9" xfId="0" applyNumberFormat="1" applyBorder="1"/>
    <xf numFmtId="0" fontId="4" fillId="0" borderId="11" xfId="0" applyFont="1" applyBorder="1"/>
    <xf numFmtId="0" fontId="0" fillId="0" borderId="11" xfId="0" applyBorder="1" applyAlignment="1">
      <alignment wrapText="1"/>
    </xf>
    <xf numFmtId="3" fontId="0" fillId="0" borderId="28" xfId="0" applyNumberFormat="1" applyBorder="1"/>
    <xf numFmtId="10" fontId="0" fillId="0" borderId="20" xfId="0" applyNumberFormat="1" applyBorder="1"/>
    <xf numFmtId="3" fontId="0" fillId="0" borderId="20" xfId="0" applyNumberFormat="1" applyBorder="1"/>
    <xf numFmtId="10" fontId="0" fillId="0" borderId="22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0" fontId="5" fillId="0" borderId="15" xfId="0" applyFont="1" applyBorder="1"/>
    <xf numFmtId="0" fontId="5" fillId="0" borderId="58" xfId="0" applyFont="1" applyBorder="1"/>
    <xf numFmtId="0" fontId="18" fillId="0" borderId="59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0" xfId="1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9" xfId="0" applyFont="1" applyBorder="1"/>
    <xf numFmtId="0" fontId="5" fillId="0" borderId="13" xfId="0" applyFont="1" applyBorder="1"/>
    <xf numFmtId="165" fontId="5" fillId="0" borderId="8" xfId="1" applyNumberFormat="1" applyFont="1" applyBorder="1"/>
    <xf numFmtId="9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9" fontId="0" fillId="0" borderId="13" xfId="3" applyFont="1" applyBorder="1" applyAlignment="1">
      <alignment horizontal="center"/>
    </xf>
    <xf numFmtId="0" fontId="5" fillId="0" borderId="14" xfId="0" applyFont="1" applyBorder="1"/>
    <xf numFmtId="165" fontId="5" fillId="0" borderId="22" xfId="1" applyNumberFormat="1" applyFont="1" applyBorder="1"/>
    <xf numFmtId="9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9" fontId="0" fillId="0" borderId="14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7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0" fillId="2" borderId="16" xfId="0" applyNumberFormat="1" applyFill="1" applyBorder="1"/>
    <xf numFmtId="3" fontId="7" fillId="3" borderId="26" xfId="0" applyNumberFormat="1" applyFont="1" applyFill="1" applyBorder="1" applyAlignment="1">
      <alignment horizontal="center"/>
    </xf>
    <xf numFmtId="0" fontId="1" fillId="0" borderId="11" xfId="0" applyFont="1" applyBorder="1"/>
    <xf numFmtId="1" fontId="4" fillId="0" borderId="0" xfId="0" applyNumberFormat="1" applyFont="1"/>
    <xf numFmtId="0" fontId="0" fillId="0" borderId="28" xfId="0" applyBorder="1"/>
    <xf numFmtId="0" fontId="0" fillId="0" borderId="22" xfId="0" applyBorder="1" applyAlignment="1">
      <alignment wrapText="1"/>
    </xf>
    <xf numFmtId="3" fontId="1" fillId="0" borderId="9" xfId="0" applyNumberFormat="1" applyFont="1" applyBorder="1"/>
    <xf numFmtId="10" fontId="1" fillId="0" borderId="0" xfId="0" applyNumberFormat="1" applyFont="1"/>
    <xf numFmtId="10" fontId="1" fillId="0" borderId="1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16" xfId="0" applyNumberFormat="1" applyFont="1" applyBorder="1"/>
    <xf numFmtId="10" fontId="13" fillId="0" borderId="8" xfId="0" applyNumberFormat="1" applyFont="1" applyBorder="1"/>
    <xf numFmtId="3" fontId="13" fillId="0" borderId="9" xfId="0" applyNumberFormat="1" applyFont="1" applyBorder="1"/>
    <xf numFmtId="3" fontId="13" fillId="0" borderId="28" xfId="0" applyNumberFormat="1" applyFont="1" applyBorder="1"/>
    <xf numFmtId="10" fontId="13" fillId="0" borderId="22" xfId="0" applyNumberFormat="1" applyFont="1" applyBorder="1"/>
    <xf numFmtId="3" fontId="4" fillId="2" borderId="46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35" xfId="0" applyNumberFormat="1" applyFont="1" applyFill="1" applyBorder="1" applyAlignment="1">
      <alignment horizontal="center" wrapText="1"/>
    </xf>
    <xf numFmtId="10" fontId="4" fillId="10" borderId="45" xfId="0" applyNumberFormat="1" applyFont="1" applyFill="1" applyBorder="1" applyAlignment="1">
      <alignment horizontal="center" wrapText="1"/>
    </xf>
    <xf numFmtId="3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 wrapText="1"/>
    </xf>
    <xf numFmtId="1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wrapText="1"/>
    </xf>
    <xf numFmtId="1" fontId="0" fillId="0" borderId="16" xfId="0" applyNumberFormat="1" applyBorder="1"/>
    <xf numFmtId="0" fontId="1" fillId="0" borderId="0" xfId="0" applyFont="1"/>
    <xf numFmtId="0" fontId="4" fillId="0" borderId="28" xfId="0" applyFont="1" applyBorder="1"/>
    <xf numFmtId="0" fontId="0" fillId="0" borderId="22" xfId="0" applyBorder="1"/>
    <xf numFmtId="3" fontId="4" fillId="0" borderId="28" xfId="0" applyNumberFormat="1" applyFont="1" applyBorder="1"/>
    <xf numFmtId="10" fontId="4" fillId="0" borderId="20" xfId="0" applyNumberFormat="1" applyFont="1" applyBorder="1"/>
    <xf numFmtId="3" fontId="4" fillId="0" borderId="20" xfId="0" applyNumberFormat="1" applyFont="1" applyBorder="1"/>
    <xf numFmtId="10" fontId="4" fillId="0" borderId="22" xfId="0" applyNumberFormat="1" applyFont="1" applyBorder="1"/>
    <xf numFmtId="0" fontId="27" fillId="11" borderId="0" xfId="0" applyFont="1" applyFill="1" applyAlignment="1">
      <alignment horizontal="center"/>
    </xf>
    <xf numFmtId="3" fontId="28" fillId="0" borderId="63" xfId="0" applyNumberFormat="1" applyFont="1" applyBorder="1"/>
    <xf numFmtId="10" fontId="28" fillId="0" borderId="63" xfId="0" applyNumberFormat="1" applyFont="1" applyBorder="1"/>
    <xf numFmtId="10" fontId="28" fillId="0" borderId="46" xfId="3" applyNumberFormat="1" applyFont="1" applyBorder="1"/>
    <xf numFmtId="10" fontId="28" fillId="0" borderId="46" xfId="0" applyNumberFormat="1" applyFont="1" applyBorder="1"/>
    <xf numFmtId="10" fontId="0" fillId="0" borderId="7" xfId="0" applyNumberFormat="1" applyBorder="1"/>
    <xf numFmtId="10" fontId="13" fillId="0" borderId="0" xfId="0" applyNumberFormat="1" applyFont="1"/>
    <xf numFmtId="0" fontId="4" fillId="5" borderId="45" xfId="0" applyFont="1" applyFill="1" applyBorder="1" applyAlignment="1">
      <alignment horizontal="center"/>
    </xf>
    <xf numFmtId="10" fontId="13" fillId="0" borderId="7" xfId="0" applyNumberFormat="1" applyFont="1" applyBorder="1"/>
    <xf numFmtId="10" fontId="13" fillId="0" borderId="20" xfId="0" applyNumberFormat="1" applyFont="1" applyBorder="1"/>
    <xf numFmtId="0" fontId="4" fillId="5" borderId="35" xfId="0" applyFont="1" applyFill="1" applyBorder="1" applyAlignment="1">
      <alignment horizontal="center" wrapText="1"/>
    </xf>
    <xf numFmtId="10" fontId="4" fillId="5" borderId="46" xfId="0" applyNumberFormat="1" applyFont="1" applyFill="1" applyBorder="1" applyAlignment="1">
      <alignment horizontal="center" wrapText="1"/>
    </xf>
    <xf numFmtId="10" fontId="4" fillId="0" borderId="8" xfId="3" applyNumberFormat="1" applyFont="1" applyBorder="1"/>
    <xf numFmtId="10" fontId="4" fillId="0" borderId="11" xfId="3" applyNumberFormat="1" applyFont="1" applyBorder="1"/>
    <xf numFmtId="10" fontId="4" fillId="0" borderId="22" xfId="3" applyNumberFormat="1" applyFont="1" applyBorder="1"/>
    <xf numFmtId="10" fontId="30" fillId="13" borderId="46" xfId="3" applyNumberFormat="1" applyFont="1" applyFill="1" applyBorder="1"/>
    <xf numFmtId="0" fontId="4" fillId="10" borderId="45" xfId="0" applyFont="1" applyFill="1" applyBorder="1" applyAlignment="1">
      <alignment horizontal="center"/>
    </xf>
    <xf numFmtId="10" fontId="13" fillId="0" borderId="13" xfId="0" applyNumberFormat="1" applyFont="1" applyBorder="1"/>
    <xf numFmtId="10" fontId="13" fillId="0" borderId="12" xfId="0" applyNumberFormat="1" applyFont="1" applyBorder="1"/>
    <xf numFmtId="10" fontId="13" fillId="0" borderId="14" xfId="0" applyNumberFormat="1" applyFont="1" applyBorder="1"/>
    <xf numFmtId="0" fontId="0" fillId="5" borderId="0" xfId="0" applyFill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7" fontId="0" fillId="0" borderId="55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9" xfId="0" applyNumberFormat="1" applyBorder="1"/>
    <xf numFmtId="0" fontId="0" fillId="0" borderId="0" xfId="0" applyBorder="1"/>
    <xf numFmtId="0" fontId="4" fillId="0" borderId="20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wrapText="1"/>
    </xf>
    <xf numFmtId="165" fontId="0" fillId="0" borderId="12" xfId="1" applyNumberFormat="1" applyFont="1" applyBorder="1"/>
    <xf numFmtId="165" fontId="0" fillId="0" borderId="66" xfId="1" applyNumberFormat="1" applyFont="1" applyBorder="1"/>
    <xf numFmtId="165" fontId="7" fillId="3" borderId="12" xfId="1" applyNumberFormat="1" applyFont="1" applyFill="1" applyBorder="1"/>
    <xf numFmtId="165" fontId="7" fillId="3" borderId="14" xfId="1" applyNumberFormat="1" applyFont="1" applyFill="1" applyBorder="1"/>
    <xf numFmtId="165" fontId="0" fillId="2" borderId="13" xfId="1" applyNumberFormat="1" applyFont="1" applyFill="1" applyBorder="1"/>
    <xf numFmtId="165" fontId="5" fillId="0" borderId="65" xfId="1" applyNumberFormat="1" applyFont="1" applyBorder="1"/>
    <xf numFmtId="165" fontId="0" fillId="0" borderId="65" xfId="1" applyNumberFormat="1" applyFont="1" applyBorder="1"/>
    <xf numFmtId="0" fontId="0" fillId="4" borderId="13" xfId="0" applyFill="1" applyBorder="1"/>
    <xf numFmtId="165" fontId="7" fillId="3" borderId="67" xfId="1" applyNumberFormat="1" applyFont="1" applyFill="1" applyBorder="1" applyAlignment="1">
      <alignment horizontal="center"/>
    </xf>
    <xf numFmtId="41" fontId="0" fillId="5" borderId="13" xfId="0" applyNumberFormat="1" applyFill="1" applyBorder="1"/>
    <xf numFmtId="41" fontId="0" fillId="0" borderId="12" xfId="0" applyNumberFormat="1" applyBorder="1"/>
    <xf numFmtId="41" fontId="0" fillId="0" borderId="12" xfId="1" applyNumberFormat="1" applyFont="1" applyBorder="1"/>
    <xf numFmtId="41" fontId="7" fillId="3" borderId="65" xfId="1" applyNumberFormat="1" applyFont="1" applyFill="1" applyBorder="1"/>
    <xf numFmtId="41" fontId="7" fillId="3" borderId="67" xfId="1" applyNumberFormat="1" applyFont="1" applyFill="1" applyBorder="1"/>
    <xf numFmtId="41" fontId="0" fillId="2" borderId="13" xfId="1" applyNumberFormat="1" applyFont="1" applyFill="1" applyBorder="1"/>
    <xf numFmtId="41" fontId="0" fillId="0" borderId="65" xfId="1" applyNumberFormat="1" applyFont="1" applyBorder="1"/>
    <xf numFmtId="41" fontId="7" fillId="3" borderId="14" xfId="1" applyNumberFormat="1" applyFont="1" applyFill="1" applyBorder="1"/>
    <xf numFmtId="41" fontId="0" fillId="4" borderId="13" xfId="0" applyNumberFormat="1" applyFill="1" applyBorder="1"/>
    <xf numFmtId="41" fontId="5" fillId="0" borderId="65" xfId="0" applyNumberFormat="1" applyFont="1" applyBorder="1"/>
    <xf numFmtId="41" fontId="0" fillId="0" borderId="66" xfId="1" applyNumberFormat="1" applyFont="1" applyBorder="1"/>
    <xf numFmtId="41" fontId="7" fillId="3" borderId="67" xfId="1" applyNumberFormat="1" applyFont="1" applyFill="1" applyBorder="1" applyAlignment="1">
      <alignment horizontal="center"/>
    </xf>
    <xf numFmtId="41" fontId="3" fillId="5" borderId="13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66" xfId="0" applyNumberFormat="1" applyFont="1" applyBorder="1" applyAlignment="1">
      <alignment horizontal="right"/>
    </xf>
    <xf numFmtId="41" fontId="10" fillId="3" borderId="68" xfId="0" applyNumberFormat="1" applyFont="1" applyFill="1" applyBorder="1"/>
    <xf numFmtId="41" fontId="3" fillId="0" borderId="69" xfId="0" applyNumberFormat="1" applyFont="1" applyBorder="1" applyAlignment="1">
      <alignment horizontal="right"/>
    </xf>
    <xf numFmtId="41" fontId="10" fillId="3" borderId="67" xfId="0" applyNumberFormat="1" applyFont="1" applyFill="1" applyBorder="1"/>
    <xf numFmtId="0" fontId="4" fillId="0" borderId="15" xfId="0" applyFont="1" applyBorder="1" applyAlignment="1">
      <alignment horizontal="center" vertical="center" wrapText="1"/>
    </xf>
    <xf numFmtId="41" fontId="0" fillId="2" borderId="13" xfId="0" applyNumberFormat="1" applyFill="1" applyBorder="1"/>
    <xf numFmtId="41" fontId="5" fillId="0" borderId="12" xfId="0" applyNumberFormat="1" applyFont="1" applyBorder="1" applyAlignment="1">
      <alignment horizontal="right"/>
    </xf>
    <xf numFmtId="41" fontId="7" fillId="3" borderId="67" xfId="0" applyNumberFormat="1" applyFont="1" applyFill="1" applyBorder="1"/>
    <xf numFmtId="41" fontId="3" fillId="4" borderId="13" xfId="0" applyNumberFormat="1" applyFont="1" applyFill="1" applyBorder="1" applyAlignment="1">
      <alignment horizontal="right"/>
    </xf>
    <xf numFmtId="41" fontId="0" fillId="0" borderId="65" xfId="0" applyNumberFormat="1" applyBorder="1"/>
    <xf numFmtId="41" fontId="0" fillId="5" borderId="13" xfId="0" applyNumberFormat="1" applyFill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3" fontId="7" fillId="3" borderId="67" xfId="1" applyNumberFormat="1" applyFont="1" applyFill="1" applyBorder="1" applyAlignment="1">
      <alignment horizontal="center"/>
    </xf>
    <xf numFmtId="0" fontId="0" fillId="2" borderId="13" xfId="0" applyFill="1" applyBorder="1"/>
    <xf numFmtId="3" fontId="7" fillId="3" borderId="67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41" fontId="4" fillId="0" borderId="12" xfId="0" applyNumberFormat="1" applyFont="1" applyBorder="1"/>
    <xf numFmtId="41" fontId="4" fillId="0" borderId="66" xfId="0" applyNumberFormat="1" applyFont="1" applyBorder="1"/>
    <xf numFmtId="41" fontId="4" fillId="3" borderId="67" xfId="0" applyNumberFormat="1" applyFont="1" applyFill="1" applyBorder="1"/>
    <xf numFmtId="3" fontId="0" fillId="4" borderId="13" xfId="0" applyNumberFormat="1" applyFill="1" applyBorder="1"/>
    <xf numFmtId="41" fontId="4" fillId="3" borderId="65" xfId="0" applyNumberFormat="1" applyFont="1" applyFill="1" applyBorder="1"/>
    <xf numFmtId="165" fontId="7" fillId="3" borderId="67" xfId="1" applyNumberFormat="1" applyFont="1" applyFill="1" applyBorder="1"/>
    <xf numFmtId="0" fontId="4" fillId="0" borderId="35" xfId="0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7" fontId="0" fillId="0" borderId="49" xfId="0" applyNumberFormat="1" applyBorder="1" applyAlignment="1">
      <alignment horizontal="center"/>
    </xf>
    <xf numFmtId="37" fontId="0" fillId="0" borderId="48" xfId="0" applyNumberFormat="1" applyBorder="1" applyAlignment="1">
      <alignment horizontal="center"/>
    </xf>
    <xf numFmtId="37" fontId="0" fillId="0" borderId="50" xfId="0" applyNumberForma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3" fontId="3" fillId="0" borderId="0" xfId="0" applyNumberFormat="1" applyFont="1"/>
    <xf numFmtId="41" fontId="0" fillId="14" borderId="3" xfId="0" applyNumberForma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10" fontId="4" fillId="14" borderId="46" xfId="0" applyNumberFormat="1" applyFont="1" applyFill="1" applyBorder="1" applyAlignment="1">
      <alignment horizontal="center"/>
    </xf>
    <xf numFmtId="0" fontId="4" fillId="14" borderId="3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/>
    </xf>
    <xf numFmtId="10" fontId="4" fillId="14" borderId="46" xfId="0" applyNumberFormat="1" applyFont="1" applyFill="1" applyBorder="1" applyAlignment="1">
      <alignment horizontal="center" wrapText="1"/>
    </xf>
    <xf numFmtId="3" fontId="29" fillId="11" borderId="45" xfId="0" applyNumberFormat="1" applyFont="1" applyFill="1" applyBorder="1" applyAlignment="1">
      <alignment horizontal="center" wrapText="1"/>
    </xf>
    <xf numFmtId="166" fontId="1" fillId="0" borderId="0" xfId="0" applyNumberFormat="1" applyFont="1" applyAlignment="1">
      <alignment horizontal="center"/>
    </xf>
    <xf numFmtId="0" fontId="0" fillId="2" borderId="16" xfId="0" applyFill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41" fontId="4" fillId="3" borderId="26" xfId="0" applyNumberFormat="1" applyFont="1" applyFill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0" fillId="4" borderId="16" xfId="0" applyNumberFormat="1" applyFill="1" applyBorder="1" applyAlignment="1">
      <alignment horizontal="center"/>
    </xf>
    <xf numFmtId="41" fontId="4" fillId="3" borderId="70" xfId="0" applyNumberFormat="1" applyFont="1" applyFill="1" applyBorder="1" applyAlignment="1">
      <alignment horizontal="center"/>
    </xf>
    <xf numFmtId="3" fontId="4" fillId="15" borderId="0" xfId="0" applyNumberFormat="1" applyFont="1" applyFill="1"/>
    <xf numFmtId="10" fontId="4" fillId="15" borderId="11" xfId="0" applyNumberFormat="1" applyFont="1" applyFill="1" applyBorder="1"/>
    <xf numFmtId="10" fontId="4" fillId="15" borderId="0" xfId="0" applyNumberFormat="1" applyFont="1" applyFill="1"/>
    <xf numFmtId="1" fontId="0" fillId="0" borderId="9" xfId="0" applyNumberFormat="1" applyBorder="1"/>
    <xf numFmtId="3" fontId="4" fillId="15" borderId="9" xfId="0" applyNumberFormat="1" applyFont="1" applyFill="1" applyBorder="1"/>
    <xf numFmtId="17" fontId="4" fillId="0" borderId="35" xfId="0" quotePrefix="1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6" borderId="61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4" fillId="3" borderId="35" xfId="0" applyFont="1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0" fontId="31" fillId="6" borderId="35" xfId="0" applyFont="1" applyFill="1" applyBorder="1" applyAlignment="1">
      <alignment horizontal="center"/>
    </xf>
    <xf numFmtId="0" fontId="31" fillId="6" borderId="45" xfId="0" applyFont="1" applyFill="1" applyBorder="1" applyAlignment="1">
      <alignment horizontal="center"/>
    </xf>
    <xf numFmtId="0" fontId="31" fillId="6" borderId="46" xfId="0" applyFont="1" applyFill="1" applyBorder="1" applyAlignment="1">
      <alignment horizontal="center"/>
    </xf>
    <xf numFmtId="3" fontId="0" fillId="7" borderId="15" xfId="0" applyNumberFormat="1" applyFill="1" applyBorder="1" applyAlignment="1">
      <alignment vertical="center" textRotation="255"/>
    </xf>
    <xf numFmtId="0" fontId="0" fillId="7" borderId="58" xfId="0" applyFill="1" applyBorder="1" applyAlignment="1">
      <alignment vertical="center" textRotation="255"/>
    </xf>
    <xf numFmtId="0" fontId="0" fillId="7" borderId="59" xfId="0" applyFill="1" applyBorder="1" applyAlignment="1">
      <alignment vertical="center" textRotation="255"/>
    </xf>
    <xf numFmtId="3" fontId="4" fillId="0" borderId="48" xfId="0" applyNumberFormat="1" applyFont="1" applyBorder="1" applyAlignment="1">
      <alignment horizontal="center"/>
    </xf>
    <xf numFmtId="3" fontId="4" fillId="0" borderId="50" xfId="0" applyNumberFormat="1" applyFont="1" applyBorder="1" applyAlignment="1">
      <alignment horizontal="center"/>
    </xf>
    <xf numFmtId="3" fontId="4" fillId="0" borderId="71" xfId="0" applyNumberFormat="1" applyFont="1" applyBorder="1" applyAlignment="1">
      <alignment horizontal="center"/>
    </xf>
    <xf numFmtId="3" fontId="4" fillId="12" borderId="35" xfId="0" applyNumberFormat="1" applyFont="1" applyFill="1" applyBorder="1" applyAlignment="1">
      <alignment horizontal="center" wrapText="1"/>
    </xf>
    <xf numFmtId="3" fontId="4" fillId="12" borderId="45" xfId="0" applyNumberFormat="1" applyFont="1" applyFill="1" applyBorder="1" applyAlignment="1">
      <alignment horizontal="center" wrapText="1"/>
    </xf>
    <xf numFmtId="3" fontId="4" fillId="12" borderId="46" xfId="0" applyNumberFormat="1" applyFont="1" applyFill="1" applyBorder="1" applyAlignment="1">
      <alignment horizontal="center" wrapText="1"/>
    </xf>
    <xf numFmtId="0" fontId="13" fillId="10" borderId="35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46" xfId="0" applyNumberFormat="1" applyFont="1" applyBorder="1" applyAlignment="1">
      <alignment horizontal="center"/>
    </xf>
    <xf numFmtId="3" fontId="29" fillId="11" borderId="35" xfId="0" applyNumberFormat="1" applyFont="1" applyFill="1" applyBorder="1" applyAlignment="1">
      <alignment horizontal="center" wrapText="1"/>
    </xf>
    <xf numFmtId="3" fontId="29" fillId="11" borderId="45" xfId="0" applyNumberFormat="1" applyFont="1" applyFill="1" applyBorder="1" applyAlignment="1">
      <alignment horizontal="center" wrapText="1"/>
    </xf>
    <xf numFmtId="3" fontId="29" fillId="11" borderId="46" xfId="0" applyNumberFormat="1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4" fillId="9" borderId="16" xfId="0" applyFont="1" applyFill="1" applyBorder="1" applyAlignment="1">
      <alignment horizontal="center"/>
    </xf>
    <xf numFmtId="0" fontId="24" fillId="9" borderId="7" xfId="0" applyFont="1" applyFill="1" applyBorder="1" applyAlignment="1">
      <alignment horizontal="center"/>
    </xf>
    <xf numFmtId="0" fontId="24" fillId="9" borderId="8" xfId="0" applyFont="1" applyFill="1" applyBorder="1" applyAlignment="1">
      <alignment horizontal="center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46" xfId="0" applyFont="1" applyFill="1" applyBorder="1" applyAlignment="1">
      <alignment horizontal="center" vertical="center" wrapText="1"/>
    </xf>
    <xf numFmtId="166" fontId="3" fillId="0" borderId="35" xfId="0" applyNumberFormat="1" applyFont="1" applyFill="1" applyBorder="1" applyAlignment="1">
      <alignment horizontal="center"/>
    </xf>
    <xf numFmtId="166" fontId="3" fillId="0" borderId="46" xfId="0" applyNumberFormat="1" applyFon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3" fontId="4" fillId="14" borderId="46" xfId="0" applyNumberFormat="1" applyFont="1" applyFill="1" applyBorder="1" applyAlignment="1">
      <alignment horizontal="center" wrapText="1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5" borderId="46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166" fontId="3" fillId="0" borderId="35" xfId="0" applyNumberFormat="1" applyFont="1" applyBorder="1" applyAlignment="1">
      <alignment horizontal="center"/>
    </xf>
    <xf numFmtId="166" fontId="3" fillId="0" borderId="46" xfId="0" applyNumberFormat="1" applyFont="1" applyBorder="1" applyAlignment="1">
      <alignment horizontal="center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ne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pril%20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y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Februar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rch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2860490</v>
          </cell>
          <cell r="G5">
            <v>14712510</v>
          </cell>
        </row>
        <row r="6">
          <cell r="D6">
            <v>700336</v>
          </cell>
          <cell r="G6">
            <v>3727353</v>
          </cell>
        </row>
        <row r="7">
          <cell r="D7">
            <v>600</v>
          </cell>
          <cell r="G7">
            <v>3008</v>
          </cell>
        </row>
        <row r="10">
          <cell r="D10">
            <v>105919</v>
          </cell>
          <cell r="G10">
            <v>600572</v>
          </cell>
        </row>
        <row r="16">
          <cell r="D16">
            <v>20240</v>
          </cell>
          <cell r="G16">
            <v>110334</v>
          </cell>
        </row>
        <row r="17">
          <cell r="D17">
            <v>12546</v>
          </cell>
          <cell r="G17">
            <v>70486</v>
          </cell>
        </row>
        <row r="18">
          <cell r="D18">
            <v>11</v>
          </cell>
          <cell r="G18">
            <v>45</v>
          </cell>
        </row>
        <row r="19">
          <cell r="D19">
            <v>1155</v>
          </cell>
          <cell r="G19">
            <v>7002</v>
          </cell>
        </row>
        <row r="20">
          <cell r="D20">
            <v>1505</v>
          </cell>
          <cell r="G20">
            <v>9667</v>
          </cell>
        </row>
        <row r="21">
          <cell r="D21">
            <v>100</v>
          </cell>
          <cell r="G21">
            <v>551</v>
          </cell>
        </row>
        <row r="27">
          <cell r="D27">
            <v>17852.859990611028</v>
          </cell>
          <cell r="G27">
            <v>99667.453205999132</v>
          </cell>
        </row>
        <row r="28">
          <cell r="D28">
            <v>1975.8247769167601</v>
          </cell>
          <cell r="G28">
            <v>12612.669726069489</v>
          </cell>
        </row>
        <row r="32">
          <cell r="B32">
            <v>1077711</v>
          </cell>
          <cell r="D32">
            <v>5918996</v>
          </cell>
        </row>
        <row r="33">
          <cell r="B33">
            <v>696791</v>
          </cell>
          <cell r="D33">
            <v>3275858</v>
          </cell>
        </row>
      </sheetData>
      <sheetData sheetId="1"/>
      <sheetData sheetId="2"/>
      <sheetData sheetId="3"/>
      <sheetData sheetId="4"/>
      <sheetData sheetId="5">
        <row r="26">
          <cell r="D26">
            <v>288101</v>
          </cell>
          <cell r="I26">
            <v>3379244</v>
          </cell>
          <cell r="N26">
            <v>3667345</v>
          </cell>
        </row>
      </sheetData>
      <sheetData sheetId="6"/>
      <sheetData sheetId="7">
        <row r="5">
          <cell r="F5">
            <v>10019.476703671049</v>
          </cell>
          <cell r="I5">
            <v>53678.85225670044</v>
          </cell>
        </row>
        <row r="6">
          <cell r="F6">
            <v>846.6528382235</v>
          </cell>
          <cell r="I6">
            <v>5102.4505910978605</v>
          </cell>
        </row>
        <row r="10">
          <cell r="F10">
            <v>7833.3832869399794</v>
          </cell>
          <cell r="I10">
            <v>45988.600949298692</v>
          </cell>
        </row>
        <row r="11">
          <cell r="F11">
            <v>1129.17193869326</v>
          </cell>
          <cell r="I11">
            <v>7510.2191349716295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17852.859990611028</v>
          </cell>
        </row>
        <row r="21">
          <cell r="F21">
            <v>1975.8247769167599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347</v>
          </cell>
          <cell r="C24">
            <v>541</v>
          </cell>
          <cell r="L24">
            <v>80991</v>
          </cell>
          <cell r="M24">
            <v>70492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249952</v>
          </cell>
          <cell r="I24">
            <v>2886078</v>
          </cell>
          <cell r="N24">
            <v>3136030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253273</v>
          </cell>
          <cell r="I25">
            <v>3087539</v>
          </cell>
          <cell r="N25">
            <v>3340812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6086002</v>
          </cell>
        </row>
        <row r="6">
          <cell r="G6">
            <v>1608223</v>
          </cell>
        </row>
        <row r="7">
          <cell r="G7">
            <v>893</v>
          </cell>
        </row>
        <row r="10">
          <cell r="G10">
            <v>304602</v>
          </cell>
        </row>
        <row r="16">
          <cell r="G16">
            <v>57666</v>
          </cell>
        </row>
        <row r="17">
          <cell r="G17">
            <v>42132</v>
          </cell>
        </row>
        <row r="18">
          <cell r="G18">
            <v>8</v>
          </cell>
        </row>
        <row r="19">
          <cell r="G19">
            <v>5803</v>
          </cell>
        </row>
        <row r="20">
          <cell r="G20">
            <v>4297</v>
          </cell>
        </row>
        <row r="21">
          <cell r="G21">
            <v>324</v>
          </cell>
        </row>
        <row r="27">
          <cell r="G27">
            <v>76661.482706854425</v>
          </cell>
        </row>
        <row r="28">
          <cell r="G28">
            <v>6973.3803180826399</v>
          </cell>
        </row>
        <row r="32">
          <cell r="D32">
            <v>2515940</v>
          </cell>
        </row>
        <row r="33">
          <cell r="D33">
            <v>1283802</v>
          </cell>
        </row>
      </sheetData>
      <sheetData sheetId="1"/>
      <sheetData sheetId="2"/>
      <sheetData sheetId="3"/>
      <sheetData sheetId="4"/>
      <sheetData sheetId="5">
        <row r="25">
          <cell r="B25">
            <v>965</v>
          </cell>
          <cell r="C25">
            <v>487</v>
          </cell>
          <cell r="L25">
            <v>145310</v>
          </cell>
          <cell r="M25">
            <v>138760</v>
          </cell>
        </row>
      </sheetData>
      <sheetData sheetId="6"/>
      <sheetData sheetId="7">
        <row r="5">
          <cell r="I5">
            <v>42379.933451671197</v>
          </cell>
        </row>
        <row r="6">
          <cell r="I6">
            <v>2728.0596417705397</v>
          </cell>
        </row>
        <row r="10">
          <cell r="I10">
            <v>34281.549255183229</v>
          </cell>
        </row>
        <row r="11">
          <cell r="I11">
            <v>4245.3206763121007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U4">
            <v>74</v>
          </cell>
        </row>
        <row r="5">
          <cell r="GU5">
            <v>74</v>
          </cell>
        </row>
        <row r="8">
          <cell r="GU8"/>
        </row>
        <row r="9">
          <cell r="GU9"/>
        </row>
        <row r="19"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P19">
            <v>192</v>
          </cell>
          <cell r="GQ19">
            <v>172</v>
          </cell>
          <cell r="GR19">
            <v>192</v>
          </cell>
          <cell r="GS19">
            <v>186</v>
          </cell>
          <cell r="GT19">
            <v>188</v>
          </cell>
          <cell r="GU19">
            <v>148</v>
          </cell>
        </row>
        <row r="22">
          <cell r="GU22">
            <v>96</v>
          </cell>
        </row>
        <row r="23">
          <cell r="GU23">
            <v>106</v>
          </cell>
        </row>
        <row r="27">
          <cell r="GU27"/>
        </row>
        <row r="28">
          <cell r="GU28"/>
        </row>
        <row r="41"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P41">
            <v>771</v>
          </cell>
          <cell r="GQ41">
            <v>680</v>
          </cell>
          <cell r="GR41">
            <v>444</v>
          </cell>
          <cell r="GS41">
            <v>102</v>
          </cell>
          <cell r="GT41">
            <v>180</v>
          </cell>
          <cell r="GU41">
            <v>202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3"/>
      <sheetData sheetId="4">
        <row r="4">
          <cell r="GU4"/>
        </row>
        <row r="5">
          <cell r="GU5"/>
        </row>
        <row r="8">
          <cell r="GU8"/>
        </row>
        <row r="9">
          <cell r="GU9"/>
        </row>
        <row r="15">
          <cell r="GP15"/>
          <cell r="GQ15"/>
          <cell r="GR15"/>
          <cell r="GS15"/>
          <cell r="GT15"/>
        </row>
        <row r="16">
          <cell r="GP16"/>
          <cell r="GQ16"/>
          <cell r="GR16"/>
          <cell r="GS16"/>
          <cell r="GT16"/>
        </row>
        <row r="19"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32">
          <cell r="GP32"/>
          <cell r="GQ32"/>
          <cell r="GR32"/>
          <cell r="GS32"/>
          <cell r="GT32"/>
          <cell r="GU32"/>
        </row>
        <row r="33">
          <cell r="GP33"/>
          <cell r="GQ33"/>
          <cell r="GR33"/>
          <cell r="GS33"/>
          <cell r="GT33"/>
          <cell r="GU33"/>
        </row>
        <row r="37">
          <cell r="GP37"/>
          <cell r="GQ37"/>
          <cell r="GR37"/>
          <cell r="GS37"/>
          <cell r="GT37"/>
          <cell r="GU37"/>
        </row>
        <row r="38">
          <cell r="GP38"/>
          <cell r="GQ38"/>
          <cell r="GR38"/>
          <cell r="GS38"/>
          <cell r="GT38"/>
          <cell r="GU38"/>
        </row>
        <row r="41"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323534</v>
          </cell>
          <cell r="GG64">
            <v>400912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5"/>
      <sheetData sheetId="6">
        <row r="8">
          <cell r="GU8"/>
        </row>
        <row r="9">
          <cell r="GU9"/>
        </row>
        <row r="15">
          <cell r="GP15">
            <v>19</v>
          </cell>
          <cell r="GQ15">
            <v>16</v>
          </cell>
          <cell r="GR15">
            <v>9</v>
          </cell>
          <cell r="GS15">
            <v>0</v>
          </cell>
          <cell r="GT15"/>
        </row>
        <row r="16">
          <cell r="GP16">
            <v>19</v>
          </cell>
          <cell r="GQ16">
            <v>16</v>
          </cell>
          <cell r="GR16">
            <v>9</v>
          </cell>
          <cell r="GS16">
            <v>0</v>
          </cell>
          <cell r="GT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38</v>
          </cell>
          <cell r="GQ19">
            <v>32</v>
          </cell>
          <cell r="GR19">
            <v>18</v>
          </cell>
          <cell r="GS19">
            <v>0</v>
          </cell>
          <cell r="GT19">
            <v>0</v>
          </cell>
          <cell r="GU19">
            <v>0</v>
          </cell>
        </row>
        <row r="32">
          <cell r="GP32">
            <v>2632</v>
          </cell>
          <cell r="GQ32">
            <v>1343</v>
          </cell>
          <cell r="GR32">
            <v>1053</v>
          </cell>
          <cell r="GS32"/>
          <cell r="GT32"/>
          <cell r="GU32"/>
        </row>
        <row r="33">
          <cell r="GP33">
            <v>2360</v>
          </cell>
          <cell r="GQ33">
            <v>1355</v>
          </cell>
          <cell r="GR33">
            <v>879</v>
          </cell>
          <cell r="GS33"/>
          <cell r="GT33"/>
          <cell r="GU33"/>
        </row>
        <row r="37">
          <cell r="GP37">
            <v>20</v>
          </cell>
          <cell r="GQ37">
            <v>10</v>
          </cell>
          <cell r="GR37">
            <v>5</v>
          </cell>
          <cell r="GS37"/>
          <cell r="GT37"/>
          <cell r="GU37"/>
        </row>
        <row r="38">
          <cell r="GP38">
            <v>22</v>
          </cell>
          <cell r="GQ38">
            <v>8</v>
          </cell>
          <cell r="GR38">
            <v>7</v>
          </cell>
          <cell r="GS38"/>
          <cell r="GT38"/>
          <cell r="GU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P41">
            <v>4992</v>
          </cell>
          <cell r="GQ41">
            <v>2698</v>
          </cell>
          <cell r="GR41">
            <v>1932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6208</v>
          </cell>
          <cell r="GQ64">
            <v>2314</v>
          </cell>
          <cell r="GR64">
            <v>1819</v>
          </cell>
          <cell r="GS64">
            <v>0</v>
          </cell>
          <cell r="GT64">
            <v>0</v>
          </cell>
          <cell r="GU64">
            <v>0</v>
          </cell>
        </row>
      </sheetData>
      <sheetData sheetId="7">
        <row r="4">
          <cell r="GU4">
            <v>60</v>
          </cell>
        </row>
        <row r="5">
          <cell r="GU5">
            <v>59</v>
          </cell>
        </row>
        <row r="8">
          <cell r="GU8"/>
        </row>
        <row r="9">
          <cell r="GU9"/>
        </row>
        <row r="19"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P19">
            <v>111</v>
          </cell>
          <cell r="GQ19">
            <v>101</v>
          </cell>
          <cell r="GR19">
            <v>108</v>
          </cell>
          <cell r="GS19">
            <v>93</v>
          </cell>
          <cell r="GT19">
            <v>122</v>
          </cell>
          <cell r="GU19">
            <v>119</v>
          </cell>
        </row>
        <row r="22">
          <cell r="GU22">
            <v>3708</v>
          </cell>
        </row>
        <row r="23">
          <cell r="GU23">
            <v>3670</v>
          </cell>
        </row>
        <row r="27">
          <cell r="GU27">
            <v>290</v>
          </cell>
        </row>
        <row r="28">
          <cell r="GU28">
            <v>287</v>
          </cell>
        </row>
        <row r="41"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P41">
            <v>13705</v>
          </cell>
          <cell r="GQ41">
            <v>12039</v>
          </cell>
          <cell r="GR41">
            <v>7911</v>
          </cell>
          <cell r="GS41">
            <v>1298</v>
          </cell>
          <cell r="GT41">
            <v>3640</v>
          </cell>
          <cell r="GU41">
            <v>7378</v>
          </cell>
        </row>
        <row r="47">
          <cell r="GU47">
            <v>16034</v>
          </cell>
        </row>
        <row r="48">
          <cell r="GU48">
            <v>1268</v>
          </cell>
        </row>
        <row r="52">
          <cell r="GU52">
            <v>3319</v>
          </cell>
        </row>
        <row r="53">
          <cell r="GU53"/>
        </row>
        <row r="57">
          <cell r="GU57"/>
        </row>
        <row r="58">
          <cell r="GU58"/>
        </row>
        <row r="64">
          <cell r="GB64">
            <v>22116</v>
          </cell>
          <cell r="GC64">
            <v>16924</v>
          </cell>
          <cell r="GD64">
            <v>26258</v>
          </cell>
          <cell r="GE64">
            <v>58046</v>
          </cell>
          <cell r="GF64">
            <v>51736</v>
          </cell>
          <cell r="GG64">
            <v>44188</v>
          </cell>
          <cell r="GP64">
            <v>17977</v>
          </cell>
          <cell r="GQ64">
            <v>21060</v>
          </cell>
          <cell r="GR64">
            <v>19782</v>
          </cell>
          <cell r="GS64">
            <v>20711</v>
          </cell>
          <cell r="GT64">
            <v>39138</v>
          </cell>
          <cell r="GU64">
            <v>20621</v>
          </cell>
        </row>
      </sheetData>
      <sheetData sheetId="8"/>
      <sheetData sheetId="9">
        <row r="4">
          <cell r="GU4">
            <v>205</v>
          </cell>
        </row>
        <row r="5">
          <cell r="GU5">
            <v>204</v>
          </cell>
        </row>
        <row r="8">
          <cell r="GU8"/>
        </row>
        <row r="9">
          <cell r="GU9"/>
        </row>
        <row r="19"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P19">
            <v>813</v>
          </cell>
          <cell r="GQ19">
            <v>852</v>
          </cell>
          <cell r="GR19">
            <v>865</v>
          </cell>
          <cell r="GS19">
            <v>371</v>
          </cell>
          <cell r="GT19">
            <v>303</v>
          </cell>
          <cell r="GU19">
            <v>409</v>
          </cell>
        </row>
        <row r="22">
          <cell r="GU22">
            <v>21475</v>
          </cell>
        </row>
        <row r="23">
          <cell r="GU23">
            <v>21049</v>
          </cell>
        </row>
        <row r="27">
          <cell r="GU27">
            <v>860</v>
          </cell>
        </row>
        <row r="28">
          <cell r="GU28">
            <v>961</v>
          </cell>
        </row>
        <row r="41"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P41">
            <v>102557</v>
          </cell>
          <cell r="GQ41">
            <v>110301</v>
          </cell>
          <cell r="GR41">
            <v>72173</v>
          </cell>
          <cell r="GS41">
            <v>9119</v>
          </cell>
          <cell r="GT41">
            <v>24357</v>
          </cell>
          <cell r="GU41">
            <v>42524</v>
          </cell>
        </row>
        <row r="47">
          <cell r="GU47">
            <v>31647</v>
          </cell>
        </row>
        <row r="48">
          <cell r="GU48">
            <v>97491</v>
          </cell>
        </row>
        <row r="52">
          <cell r="GU52">
            <v>8445</v>
          </cell>
        </row>
        <row r="53">
          <cell r="GU53">
            <v>104432</v>
          </cell>
        </row>
        <row r="57">
          <cell r="GU57"/>
        </row>
        <row r="58">
          <cell r="GU58"/>
        </row>
        <row r="64">
          <cell r="GB64">
            <v>141626</v>
          </cell>
          <cell r="GC64">
            <v>136211</v>
          </cell>
          <cell r="GD64">
            <v>180344</v>
          </cell>
          <cell r="GE64">
            <v>180297</v>
          </cell>
          <cell r="GF64">
            <v>148617</v>
          </cell>
          <cell r="GG64">
            <v>107024</v>
          </cell>
          <cell r="GP64">
            <v>181885</v>
          </cell>
          <cell r="GQ64">
            <v>160284</v>
          </cell>
          <cell r="GR64">
            <v>173704</v>
          </cell>
          <cell r="GS64">
            <v>169911</v>
          </cell>
          <cell r="GT64">
            <v>260013</v>
          </cell>
          <cell r="GU64">
            <v>242015</v>
          </cell>
        </row>
      </sheetData>
      <sheetData sheetId="10"/>
      <sheetData sheetId="11">
        <row r="4">
          <cell r="GU4">
            <v>309</v>
          </cell>
        </row>
        <row r="5">
          <cell r="GU5">
            <v>310</v>
          </cell>
        </row>
        <row r="8">
          <cell r="GU8">
            <v>45</v>
          </cell>
        </row>
        <row r="9">
          <cell r="GU9">
            <v>46</v>
          </cell>
        </row>
        <row r="15">
          <cell r="GP15">
            <v>166</v>
          </cell>
          <cell r="GQ15">
            <v>224</v>
          </cell>
          <cell r="GR15">
            <v>227</v>
          </cell>
          <cell r="GS15">
            <v>1</v>
          </cell>
          <cell r="GT15"/>
          <cell r="GU15">
            <v>0</v>
          </cell>
        </row>
        <row r="16">
          <cell r="GP16">
            <v>170</v>
          </cell>
          <cell r="GQ16">
            <v>226</v>
          </cell>
          <cell r="GR16">
            <v>227</v>
          </cell>
          <cell r="GS16">
            <v>1</v>
          </cell>
          <cell r="GT16"/>
          <cell r="GU16">
            <v>0</v>
          </cell>
        </row>
        <row r="19"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P19">
            <v>1816</v>
          </cell>
          <cell r="GQ19">
            <v>1940</v>
          </cell>
          <cell r="GR19">
            <v>1802</v>
          </cell>
          <cell r="GS19">
            <v>241</v>
          </cell>
          <cell r="GT19">
            <v>454</v>
          </cell>
          <cell r="GU19">
            <v>710</v>
          </cell>
        </row>
        <row r="22">
          <cell r="GU22">
            <v>34700</v>
          </cell>
        </row>
        <row r="23">
          <cell r="GU23">
            <v>34200</v>
          </cell>
        </row>
        <row r="27">
          <cell r="GU27">
            <v>818</v>
          </cell>
        </row>
        <row r="28">
          <cell r="GU28">
            <v>812</v>
          </cell>
        </row>
        <row r="32">
          <cell r="GP32">
            <v>22253</v>
          </cell>
          <cell r="GQ32">
            <v>31287</v>
          </cell>
          <cell r="GR32">
            <v>32497</v>
          </cell>
          <cell r="GS32">
            <v>0</v>
          </cell>
          <cell r="GT32"/>
          <cell r="GU32"/>
        </row>
        <row r="33">
          <cell r="GP33">
            <v>22143</v>
          </cell>
          <cell r="GQ33">
            <v>33919</v>
          </cell>
          <cell r="GR33">
            <v>22888</v>
          </cell>
          <cell r="GS33">
            <v>0</v>
          </cell>
          <cell r="GT33"/>
          <cell r="GU33"/>
        </row>
        <row r="37">
          <cell r="GP37">
            <v>350</v>
          </cell>
          <cell r="GQ37">
            <v>418</v>
          </cell>
          <cell r="GR37">
            <v>238</v>
          </cell>
          <cell r="GS37">
            <v>5</v>
          </cell>
          <cell r="GT37"/>
          <cell r="GU37"/>
        </row>
        <row r="38">
          <cell r="GP38">
            <v>332</v>
          </cell>
          <cell r="GQ38">
            <v>456</v>
          </cell>
          <cell r="GR38">
            <v>166</v>
          </cell>
          <cell r="GS38">
            <v>2</v>
          </cell>
          <cell r="GT38"/>
          <cell r="GU38"/>
        </row>
        <row r="41"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P41">
            <v>239850</v>
          </cell>
          <cell r="GQ41">
            <v>270893</v>
          </cell>
          <cell r="GR41">
            <v>209869</v>
          </cell>
          <cell r="GS41">
            <v>7400</v>
          </cell>
          <cell r="GT41">
            <v>33197</v>
          </cell>
          <cell r="GU41">
            <v>68900</v>
          </cell>
        </row>
        <row r="47">
          <cell r="GU47">
            <v>35123</v>
          </cell>
        </row>
        <row r="48">
          <cell r="GU48">
            <v>78482</v>
          </cell>
        </row>
        <row r="52">
          <cell r="GU52">
            <v>156</v>
          </cell>
        </row>
        <row r="53">
          <cell r="GU53">
            <v>100756</v>
          </cell>
        </row>
        <row r="57">
          <cell r="GU57"/>
        </row>
        <row r="58">
          <cell r="GU58"/>
        </row>
        <row r="64">
          <cell r="GB64">
            <v>558618</v>
          </cell>
          <cell r="GC64">
            <v>619656</v>
          </cell>
          <cell r="GD64">
            <v>566894</v>
          </cell>
          <cell r="GE64">
            <v>961871</v>
          </cell>
          <cell r="GF64">
            <v>796997</v>
          </cell>
          <cell r="GG64">
            <v>1102460</v>
          </cell>
          <cell r="GP64">
            <v>629675</v>
          </cell>
          <cell r="GQ64">
            <v>480980</v>
          </cell>
          <cell r="GR64">
            <v>312860</v>
          </cell>
          <cell r="GS64">
            <v>56442</v>
          </cell>
          <cell r="GT64">
            <v>75346</v>
          </cell>
          <cell r="GU64">
            <v>214517</v>
          </cell>
        </row>
        <row r="70">
          <cell r="GU70">
            <v>34200</v>
          </cell>
        </row>
        <row r="71">
          <cell r="GU71">
            <v>0</v>
          </cell>
        </row>
        <row r="73">
          <cell r="GU73"/>
        </row>
        <row r="74">
          <cell r="GU74"/>
        </row>
      </sheetData>
      <sheetData sheetId="12">
        <row r="19"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P19">
            <v>159</v>
          </cell>
          <cell r="GQ19">
            <v>197</v>
          </cell>
          <cell r="GR19">
            <v>155</v>
          </cell>
          <cell r="GS19">
            <v>140</v>
          </cell>
          <cell r="GT19">
            <v>152</v>
          </cell>
          <cell r="GU19">
            <v>0</v>
          </cell>
        </row>
        <row r="41"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P41">
            <v>846</v>
          </cell>
          <cell r="GQ41">
            <v>1011</v>
          </cell>
          <cell r="GR41">
            <v>456</v>
          </cell>
          <cell r="GS41">
            <v>66</v>
          </cell>
          <cell r="GT41">
            <v>77</v>
          </cell>
          <cell r="GU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13">
        <row r="4">
          <cell r="GU4"/>
        </row>
        <row r="5">
          <cell r="GU5"/>
        </row>
        <row r="8">
          <cell r="GU8"/>
        </row>
        <row r="9">
          <cell r="GU9"/>
        </row>
        <row r="15">
          <cell r="GP15"/>
          <cell r="GQ15"/>
          <cell r="GR15"/>
          <cell r="GS15"/>
          <cell r="GT15"/>
        </row>
        <row r="16">
          <cell r="GP16"/>
          <cell r="GQ16"/>
          <cell r="GR16"/>
          <cell r="GS16"/>
          <cell r="GT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32">
          <cell r="GP32"/>
          <cell r="GQ32"/>
          <cell r="GR32"/>
          <cell r="GS32"/>
          <cell r="GT32"/>
          <cell r="GU32"/>
        </row>
        <row r="33">
          <cell r="GP33"/>
          <cell r="GQ33"/>
          <cell r="GR33"/>
          <cell r="GS33"/>
          <cell r="GT33"/>
          <cell r="GU33"/>
        </row>
        <row r="37">
          <cell r="GP37"/>
          <cell r="GQ37"/>
          <cell r="GR37"/>
          <cell r="GS37"/>
          <cell r="GT37"/>
          <cell r="GU37"/>
        </row>
        <row r="38">
          <cell r="GP38"/>
          <cell r="GQ38"/>
          <cell r="GR38"/>
          <cell r="GS38"/>
          <cell r="GT38"/>
          <cell r="GU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1166</v>
          </cell>
          <cell r="GG64">
            <v>11191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14">
        <row r="4">
          <cell r="GU4">
            <v>1270</v>
          </cell>
        </row>
        <row r="5">
          <cell r="GU5">
            <v>1264</v>
          </cell>
        </row>
        <row r="8">
          <cell r="GU8"/>
        </row>
        <row r="9">
          <cell r="GU9"/>
        </row>
        <row r="15">
          <cell r="GP15">
            <v>606</v>
          </cell>
          <cell r="GQ15">
            <v>594</v>
          </cell>
          <cell r="GR15">
            <v>426</v>
          </cell>
          <cell r="GS15">
            <v>2</v>
          </cell>
          <cell r="GT15">
            <v>2</v>
          </cell>
          <cell r="GU15">
            <v>3</v>
          </cell>
        </row>
        <row r="16">
          <cell r="GP16">
            <v>602</v>
          </cell>
          <cell r="GQ16">
            <v>589</v>
          </cell>
          <cell r="GR16">
            <v>427</v>
          </cell>
          <cell r="GS16">
            <v>1</v>
          </cell>
          <cell r="GT16"/>
          <cell r="GU16">
            <v>1</v>
          </cell>
        </row>
        <row r="19"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P19">
            <v>11466</v>
          </cell>
          <cell r="GQ19">
            <v>10691</v>
          </cell>
          <cell r="GR19">
            <v>9897</v>
          </cell>
          <cell r="GS19">
            <v>2653</v>
          </cell>
          <cell r="GT19">
            <v>2021</v>
          </cell>
          <cell r="GU19">
            <v>2538</v>
          </cell>
        </row>
        <row r="22">
          <cell r="GU22">
            <v>97399</v>
          </cell>
        </row>
        <row r="23">
          <cell r="GU23">
            <v>96259</v>
          </cell>
        </row>
        <row r="27">
          <cell r="GU27">
            <v>8307</v>
          </cell>
        </row>
        <row r="28">
          <cell r="GU28">
            <v>8550</v>
          </cell>
        </row>
        <row r="32">
          <cell r="GP32">
            <v>95014</v>
          </cell>
          <cell r="GQ32">
            <v>90193</v>
          </cell>
          <cell r="GR32">
            <v>54807</v>
          </cell>
          <cell r="GS32">
            <v>15</v>
          </cell>
          <cell r="GT32">
            <v>476</v>
          </cell>
          <cell r="GU32">
            <v>425</v>
          </cell>
        </row>
        <row r="33">
          <cell r="GP33">
            <v>89201</v>
          </cell>
          <cell r="GQ33">
            <v>89765</v>
          </cell>
          <cell r="GR33">
            <v>42383</v>
          </cell>
          <cell r="GS33">
            <v>5</v>
          </cell>
          <cell r="GT33"/>
          <cell r="GU33">
            <v>0</v>
          </cell>
        </row>
        <row r="37">
          <cell r="GP37">
            <v>2723</v>
          </cell>
          <cell r="GQ37">
            <v>2645</v>
          </cell>
          <cell r="GR37">
            <v>1160</v>
          </cell>
          <cell r="GS37"/>
          <cell r="GT37">
            <v>6</v>
          </cell>
          <cell r="GU37">
            <v>7</v>
          </cell>
        </row>
        <row r="38">
          <cell r="GP38">
            <v>2526</v>
          </cell>
          <cell r="GQ38">
            <v>2342</v>
          </cell>
          <cell r="GR38">
            <v>855</v>
          </cell>
          <cell r="GS38">
            <v>1</v>
          </cell>
          <cell r="GT38"/>
          <cell r="GU38">
            <v>1</v>
          </cell>
        </row>
        <row r="41"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P41">
            <v>1535145</v>
          </cell>
          <cell r="GQ41">
            <v>1478123</v>
          </cell>
          <cell r="GR41">
            <v>879986</v>
          </cell>
          <cell r="GS41">
            <v>59376</v>
          </cell>
          <cell r="GT41">
            <v>105822</v>
          </cell>
          <cell r="GU41">
            <v>194083</v>
          </cell>
        </row>
        <row r="47">
          <cell r="GU47">
            <v>326110</v>
          </cell>
        </row>
        <row r="48">
          <cell r="GU48">
            <v>526370</v>
          </cell>
        </row>
        <row r="52">
          <cell r="GU52">
            <v>162003</v>
          </cell>
        </row>
        <row r="53">
          <cell r="GU53">
            <v>510777</v>
          </cell>
        </row>
        <row r="57">
          <cell r="GU57"/>
        </row>
        <row r="58">
          <cell r="GU58"/>
        </row>
        <row r="64">
          <cell r="GB64">
            <v>9219011</v>
          </cell>
          <cell r="GC64">
            <v>9235204</v>
          </cell>
          <cell r="GD64">
            <v>10006346</v>
          </cell>
          <cell r="GE64">
            <v>9885530</v>
          </cell>
          <cell r="GF64">
            <v>9194643</v>
          </cell>
          <cell r="GG64">
            <v>8854983</v>
          </cell>
          <cell r="GP64">
            <v>7347318</v>
          </cell>
          <cell r="GQ64">
            <v>7599132</v>
          </cell>
          <cell r="GR64">
            <v>4490860</v>
          </cell>
          <cell r="GS64">
            <v>1570416</v>
          </cell>
          <cell r="GT64">
            <v>1668911</v>
          </cell>
          <cell r="GU64">
            <v>1525260</v>
          </cell>
        </row>
        <row r="70">
          <cell r="GU70">
            <v>59121</v>
          </cell>
        </row>
        <row r="71">
          <cell r="GU71">
            <v>37138</v>
          </cell>
        </row>
        <row r="73">
          <cell r="GU73">
            <v>0</v>
          </cell>
        </row>
        <row r="74">
          <cell r="GU74">
            <v>0</v>
          </cell>
        </row>
      </sheetData>
      <sheetData sheetId="15">
        <row r="4">
          <cell r="GU4">
            <v>52</v>
          </cell>
        </row>
        <row r="5">
          <cell r="GU5">
            <v>52</v>
          </cell>
        </row>
        <row r="8">
          <cell r="GU8"/>
        </row>
        <row r="9">
          <cell r="GU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104</v>
          </cell>
        </row>
        <row r="22">
          <cell r="GU22">
            <v>76</v>
          </cell>
        </row>
        <row r="23">
          <cell r="GU23">
            <v>69</v>
          </cell>
        </row>
        <row r="27">
          <cell r="GU27">
            <v>17</v>
          </cell>
        </row>
        <row r="28">
          <cell r="GU28">
            <v>13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145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16">
        <row r="4">
          <cell r="GU4">
            <v>23</v>
          </cell>
        </row>
        <row r="5">
          <cell r="GU5">
            <v>23</v>
          </cell>
        </row>
        <row r="8">
          <cell r="GU8"/>
        </row>
        <row r="9">
          <cell r="GU9"/>
        </row>
        <row r="19"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P19">
            <v>218</v>
          </cell>
          <cell r="GQ19">
            <v>205</v>
          </cell>
          <cell r="GR19">
            <v>188</v>
          </cell>
          <cell r="GS19">
            <v>28</v>
          </cell>
          <cell r="GT19">
            <v>34</v>
          </cell>
          <cell r="GU19">
            <v>46</v>
          </cell>
        </row>
        <row r="22">
          <cell r="GU22">
            <v>3034</v>
          </cell>
        </row>
        <row r="23">
          <cell r="GU23">
            <v>2696</v>
          </cell>
        </row>
        <row r="27">
          <cell r="GU27">
            <v>77</v>
          </cell>
        </row>
        <row r="28">
          <cell r="GU28">
            <v>71</v>
          </cell>
        </row>
        <row r="41"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P41">
            <v>35278</v>
          </cell>
          <cell r="GQ41">
            <v>33209</v>
          </cell>
          <cell r="GR41">
            <v>21260</v>
          </cell>
          <cell r="GS41">
            <v>911</v>
          </cell>
          <cell r="GT41">
            <v>3430</v>
          </cell>
          <cell r="GU41">
            <v>5730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17"/>
      <sheetData sheetId="18">
        <row r="8">
          <cell r="GU8"/>
        </row>
        <row r="9">
          <cell r="GU9"/>
        </row>
        <row r="15">
          <cell r="GP15">
            <v>4</v>
          </cell>
          <cell r="GQ15"/>
          <cell r="GR15">
            <v>5</v>
          </cell>
          <cell r="GS15"/>
          <cell r="GT15"/>
        </row>
        <row r="16">
          <cell r="GP16">
            <v>4</v>
          </cell>
          <cell r="GQ16"/>
          <cell r="GR16">
            <v>5</v>
          </cell>
          <cell r="GS16"/>
          <cell r="GT16"/>
        </row>
        <row r="19"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P19">
            <v>8</v>
          </cell>
          <cell r="GQ19">
            <v>0</v>
          </cell>
          <cell r="GR19">
            <v>10</v>
          </cell>
          <cell r="GS19">
            <v>0</v>
          </cell>
          <cell r="GT19">
            <v>0</v>
          </cell>
          <cell r="GU19">
            <v>0</v>
          </cell>
        </row>
        <row r="32">
          <cell r="GP32">
            <v>705</v>
          </cell>
          <cell r="GQ32"/>
          <cell r="GR32">
            <v>306</v>
          </cell>
          <cell r="GS32"/>
          <cell r="GT32"/>
          <cell r="GU32"/>
        </row>
        <row r="33">
          <cell r="GP33">
            <v>387</v>
          </cell>
          <cell r="GQ33"/>
          <cell r="GR33">
            <v>660</v>
          </cell>
          <cell r="GS33"/>
          <cell r="GT33"/>
          <cell r="GU33"/>
        </row>
        <row r="37">
          <cell r="GP37">
            <v>11</v>
          </cell>
          <cell r="GQ37"/>
          <cell r="GR37">
            <v>11</v>
          </cell>
          <cell r="GS37"/>
          <cell r="GT37"/>
          <cell r="GU37"/>
        </row>
        <row r="38">
          <cell r="GP38">
            <v>9</v>
          </cell>
          <cell r="GQ38"/>
          <cell r="GR38">
            <v>11</v>
          </cell>
          <cell r="GS38"/>
          <cell r="GT38"/>
          <cell r="GU38"/>
        </row>
        <row r="41"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P41">
            <v>1092</v>
          </cell>
          <cell r="GQ41">
            <v>0</v>
          </cell>
          <cell r="GR41">
            <v>966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8977</v>
          </cell>
          <cell r="GE64">
            <v>47433</v>
          </cell>
          <cell r="GF64">
            <v>41695</v>
          </cell>
          <cell r="GG64">
            <v>95673</v>
          </cell>
          <cell r="GP64">
            <v>392</v>
          </cell>
          <cell r="GQ64">
            <v>0</v>
          </cell>
          <cell r="GR64">
            <v>2182</v>
          </cell>
          <cell r="GS64">
            <v>0</v>
          </cell>
          <cell r="GT64">
            <v>0</v>
          </cell>
          <cell r="GU64">
            <v>0</v>
          </cell>
        </row>
      </sheetData>
      <sheetData sheetId="19">
        <row r="4">
          <cell r="GU4"/>
        </row>
        <row r="5">
          <cell r="GU5"/>
        </row>
        <row r="8">
          <cell r="GU8"/>
        </row>
        <row r="9">
          <cell r="GU9"/>
        </row>
        <row r="19"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P19">
            <v>174</v>
          </cell>
          <cell r="GQ19">
            <v>146</v>
          </cell>
          <cell r="GR19">
            <v>148</v>
          </cell>
          <cell r="GS19">
            <v>19</v>
          </cell>
          <cell r="GT19">
            <v>10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41"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P41">
            <v>10473</v>
          </cell>
          <cell r="GQ41">
            <v>10069</v>
          </cell>
          <cell r="GR41">
            <v>8082</v>
          </cell>
          <cell r="GS41">
            <v>70</v>
          </cell>
          <cell r="GT41">
            <v>58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20">
        <row r="4">
          <cell r="GU4">
            <v>30</v>
          </cell>
        </row>
        <row r="5">
          <cell r="GU5">
            <v>30</v>
          </cell>
        </row>
        <row r="8">
          <cell r="GU8"/>
        </row>
        <row r="9">
          <cell r="GU9"/>
        </row>
        <row r="19"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P19">
            <v>562</v>
          </cell>
          <cell r="GQ19">
            <v>514</v>
          </cell>
          <cell r="GR19">
            <v>414</v>
          </cell>
          <cell r="GS19">
            <v>72</v>
          </cell>
          <cell r="GT19">
            <v>62</v>
          </cell>
          <cell r="GU19">
            <v>60</v>
          </cell>
        </row>
        <row r="22">
          <cell r="GU22">
            <v>2956</v>
          </cell>
        </row>
        <row r="23">
          <cell r="GU23">
            <v>2585</v>
          </cell>
        </row>
        <row r="27">
          <cell r="GU27">
            <v>77</v>
          </cell>
        </row>
        <row r="28">
          <cell r="GU28">
            <v>171</v>
          </cell>
        </row>
        <row r="41"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P41">
            <v>66400</v>
          </cell>
          <cell r="GQ41">
            <v>61722</v>
          </cell>
          <cell r="GR41">
            <v>34436</v>
          </cell>
          <cell r="GS41">
            <v>983</v>
          </cell>
          <cell r="GT41">
            <v>3227</v>
          </cell>
          <cell r="GU41">
            <v>5541</v>
          </cell>
        </row>
        <row r="47">
          <cell r="GU47">
            <v>6887</v>
          </cell>
        </row>
        <row r="48">
          <cell r="GU48"/>
        </row>
        <row r="52">
          <cell r="GU52">
            <v>817</v>
          </cell>
        </row>
        <row r="53">
          <cell r="GU53">
            <v>611</v>
          </cell>
        </row>
        <row r="57">
          <cell r="GU57"/>
        </row>
        <row r="58">
          <cell r="GU58"/>
        </row>
        <row r="64">
          <cell r="GB64">
            <v>144068</v>
          </cell>
          <cell r="GC64">
            <v>149765</v>
          </cell>
          <cell r="GD64">
            <v>167698</v>
          </cell>
          <cell r="GE64">
            <v>120514</v>
          </cell>
          <cell r="GF64">
            <v>176613</v>
          </cell>
          <cell r="GG64">
            <v>129965</v>
          </cell>
          <cell r="GP64">
            <v>126398</v>
          </cell>
          <cell r="GQ64">
            <v>99805</v>
          </cell>
          <cell r="GR64">
            <v>136827</v>
          </cell>
          <cell r="GS64">
            <v>18573</v>
          </cell>
          <cell r="GT64">
            <v>2750</v>
          </cell>
          <cell r="GU64">
            <v>8315</v>
          </cell>
        </row>
      </sheetData>
      <sheetData sheetId="21">
        <row r="4">
          <cell r="GU4"/>
        </row>
        <row r="5">
          <cell r="GU5"/>
        </row>
        <row r="8">
          <cell r="GU8"/>
        </row>
        <row r="9">
          <cell r="GU9"/>
        </row>
        <row r="15">
          <cell r="GP15">
            <v>16</v>
          </cell>
          <cell r="GQ15">
            <v>16</v>
          </cell>
          <cell r="GR15">
            <v>8</v>
          </cell>
          <cell r="GS15"/>
          <cell r="GT15"/>
        </row>
        <row r="16">
          <cell r="GP16">
            <v>16</v>
          </cell>
          <cell r="GQ16">
            <v>16</v>
          </cell>
          <cell r="GR16">
            <v>8</v>
          </cell>
          <cell r="GS16"/>
          <cell r="GT16"/>
        </row>
        <row r="19"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P19">
            <v>32</v>
          </cell>
          <cell r="GQ19">
            <v>32</v>
          </cell>
          <cell r="GR19">
            <v>16</v>
          </cell>
          <cell r="GS19">
            <v>0</v>
          </cell>
          <cell r="GT19">
            <v>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32">
          <cell r="GP32">
            <v>4308</v>
          </cell>
          <cell r="GQ32">
            <v>3420</v>
          </cell>
          <cell r="GR32">
            <v>1562</v>
          </cell>
          <cell r="GS32"/>
          <cell r="GT32"/>
          <cell r="GU32"/>
        </row>
        <row r="33">
          <cell r="GP33">
            <v>3030</v>
          </cell>
          <cell r="GQ33">
            <v>2577</v>
          </cell>
          <cell r="GR33">
            <v>1071</v>
          </cell>
          <cell r="GS33"/>
          <cell r="GT33"/>
          <cell r="GU33"/>
        </row>
        <row r="37">
          <cell r="GP37">
            <v>12</v>
          </cell>
          <cell r="GQ37">
            <v>10</v>
          </cell>
          <cell r="GR37">
            <v>13</v>
          </cell>
          <cell r="GS37"/>
          <cell r="GT37"/>
          <cell r="GU37"/>
        </row>
        <row r="38">
          <cell r="GP38">
            <v>5</v>
          </cell>
          <cell r="GQ38">
            <v>20</v>
          </cell>
          <cell r="GR38">
            <v>1</v>
          </cell>
          <cell r="GS38"/>
          <cell r="GT38"/>
          <cell r="GU38"/>
        </row>
        <row r="41"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P41">
            <v>7338</v>
          </cell>
          <cell r="GQ41">
            <v>5997</v>
          </cell>
          <cell r="GR41">
            <v>2633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720521</v>
          </cell>
          <cell r="GC64">
            <v>752745</v>
          </cell>
          <cell r="GD64">
            <v>777743</v>
          </cell>
          <cell r="GE64">
            <v>381171</v>
          </cell>
          <cell r="GF64">
            <v>523824</v>
          </cell>
          <cell r="GG64">
            <v>457524</v>
          </cell>
          <cell r="GP64">
            <v>303688</v>
          </cell>
          <cell r="GQ64">
            <v>337650</v>
          </cell>
          <cell r="GR64">
            <v>177071</v>
          </cell>
          <cell r="GS64">
            <v>0</v>
          </cell>
          <cell r="GT64">
            <v>0</v>
          </cell>
          <cell r="GU64">
            <v>0</v>
          </cell>
        </row>
      </sheetData>
      <sheetData sheetId="22"/>
      <sheetData sheetId="23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</row>
      </sheetData>
      <sheetData sheetId="24">
        <row r="4">
          <cell r="GU4">
            <v>264</v>
          </cell>
        </row>
        <row r="5">
          <cell r="GU5">
            <v>261</v>
          </cell>
        </row>
        <row r="8">
          <cell r="GU8"/>
        </row>
        <row r="9">
          <cell r="GU9"/>
        </row>
        <row r="19"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P19">
            <v>1165</v>
          </cell>
          <cell r="GQ19">
            <v>1099</v>
          </cell>
          <cell r="GR19">
            <v>1052</v>
          </cell>
          <cell r="GS19">
            <v>540</v>
          </cell>
          <cell r="GT19">
            <v>370</v>
          </cell>
          <cell r="GU19">
            <v>525</v>
          </cell>
        </row>
        <row r="22">
          <cell r="GU22">
            <v>22003</v>
          </cell>
        </row>
        <row r="23">
          <cell r="GU23">
            <v>21143</v>
          </cell>
        </row>
        <row r="27">
          <cell r="GU27">
            <v>734</v>
          </cell>
        </row>
        <row r="28">
          <cell r="GU28">
            <v>787</v>
          </cell>
        </row>
        <row r="41"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P41">
            <v>117956</v>
          </cell>
          <cell r="GQ41">
            <v>120520</v>
          </cell>
          <cell r="GR41">
            <v>71399</v>
          </cell>
          <cell r="GS41">
            <v>5226</v>
          </cell>
          <cell r="GT41">
            <v>16532</v>
          </cell>
          <cell r="GU41">
            <v>43146</v>
          </cell>
        </row>
        <row r="47">
          <cell r="GU47">
            <v>192127</v>
          </cell>
        </row>
        <row r="48">
          <cell r="GU48"/>
        </row>
        <row r="52">
          <cell r="GU52">
            <v>48094</v>
          </cell>
        </row>
        <row r="53">
          <cell r="GU53"/>
        </row>
        <row r="57">
          <cell r="GU57"/>
        </row>
        <row r="58">
          <cell r="GU58"/>
        </row>
        <row r="64">
          <cell r="GB64">
            <v>337406</v>
          </cell>
          <cell r="GC64">
            <v>315817</v>
          </cell>
          <cell r="GD64">
            <v>319941</v>
          </cell>
          <cell r="GE64">
            <v>319932</v>
          </cell>
          <cell r="GF64">
            <v>347128</v>
          </cell>
          <cell r="GG64">
            <v>321028</v>
          </cell>
          <cell r="GP64">
            <v>319282</v>
          </cell>
          <cell r="GQ64">
            <v>289355</v>
          </cell>
          <cell r="GR64">
            <v>294742</v>
          </cell>
          <cell r="GS64">
            <v>321396</v>
          </cell>
          <cell r="GT64">
            <v>8047</v>
          </cell>
          <cell r="GU64">
            <v>240221</v>
          </cell>
        </row>
        <row r="70">
          <cell r="GU70">
            <v>21102</v>
          </cell>
        </row>
        <row r="71">
          <cell r="GU71">
            <v>41</v>
          </cell>
        </row>
        <row r="73">
          <cell r="GU73"/>
        </row>
        <row r="74">
          <cell r="GU74"/>
        </row>
      </sheetData>
      <sheetData sheetId="25">
        <row r="4">
          <cell r="GU4">
            <v>11</v>
          </cell>
        </row>
        <row r="5">
          <cell r="GU5">
            <v>11</v>
          </cell>
        </row>
        <row r="8">
          <cell r="GU8"/>
        </row>
        <row r="9">
          <cell r="GU9"/>
        </row>
        <row r="19"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P19">
            <v>580</v>
          </cell>
          <cell r="GQ19">
            <v>603</v>
          </cell>
          <cell r="GR19">
            <v>682</v>
          </cell>
          <cell r="GS19">
            <v>136</v>
          </cell>
          <cell r="GT19">
            <v>6</v>
          </cell>
          <cell r="GU19">
            <v>22</v>
          </cell>
        </row>
        <row r="22">
          <cell r="GU22">
            <v>1140</v>
          </cell>
        </row>
        <row r="23">
          <cell r="GU23">
            <v>1105</v>
          </cell>
        </row>
        <row r="27">
          <cell r="GU27">
            <v>4</v>
          </cell>
        </row>
        <row r="28">
          <cell r="GU28">
            <v>15</v>
          </cell>
        </row>
        <row r="41"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P41">
            <v>89886</v>
          </cell>
          <cell r="GQ41">
            <v>93368</v>
          </cell>
          <cell r="GR41">
            <v>69154</v>
          </cell>
          <cell r="GS41">
            <v>3156</v>
          </cell>
          <cell r="GT41">
            <v>155</v>
          </cell>
          <cell r="GU41">
            <v>2245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  <row r="70">
          <cell r="GU70"/>
        </row>
        <row r="71">
          <cell r="GU71"/>
        </row>
        <row r="73">
          <cell r="GU73"/>
        </row>
        <row r="74">
          <cell r="GU74"/>
        </row>
      </sheetData>
      <sheetData sheetId="26"/>
      <sheetData sheetId="27"/>
      <sheetData sheetId="28">
        <row r="15">
          <cell r="GP15"/>
          <cell r="GQ15"/>
          <cell r="GR15"/>
          <cell r="GS15"/>
          <cell r="GT15"/>
        </row>
        <row r="16">
          <cell r="GP16"/>
          <cell r="GQ16"/>
          <cell r="GR16"/>
          <cell r="GS16"/>
          <cell r="GT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32">
          <cell r="GP32"/>
          <cell r="GQ32"/>
          <cell r="GR32"/>
          <cell r="GS32"/>
          <cell r="GT32"/>
          <cell r="GU32"/>
        </row>
        <row r="33">
          <cell r="GP33"/>
          <cell r="GQ33"/>
          <cell r="GR33"/>
          <cell r="GS33"/>
          <cell r="GT33"/>
          <cell r="GU33"/>
        </row>
        <row r="37">
          <cell r="GP37"/>
          <cell r="GQ37"/>
          <cell r="GR37"/>
          <cell r="GS37"/>
          <cell r="GT37"/>
          <cell r="GU37"/>
        </row>
        <row r="38">
          <cell r="GP38"/>
          <cell r="GQ38"/>
          <cell r="GR38"/>
          <cell r="GS38"/>
          <cell r="GT38"/>
          <cell r="GU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29">
        <row r="4">
          <cell r="GU4">
            <v>44</v>
          </cell>
        </row>
        <row r="5">
          <cell r="GU5">
            <v>44</v>
          </cell>
        </row>
        <row r="8">
          <cell r="GU8"/>
        </row>
        <row r="9">
          <cell r="GU9"/>
        </row>
        <row r="19"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P19">
            <v>183</v>
          </cell>
          <cell r="GQ19">
            <v>149</v>
          </cell>
          <cell r="GR19">
            <v>114</v>
          </cell>
          <cell r="GS19">
            <v>42</v>
          </cell>
          <cell r="GT19">
            <v>75</v>
          </cell>
          <cell r="GU19">
            <v>88</v>
          </cell>
        </row>
        <row r="22">
          <cell r="GU22">
            <v>2462</v>
          </cell>
        </row>
        <row r="23">
          <cell r="GU23">
            <v>2489</v>
          </cell>
        </row>
        <row r="27">
          <cell r="GU27">
            <v>179</v>
          </cell>
        </row>
        <row r="28">
          <cell r="GU28">
            <v>241</v>
          </cell>
        </row>
        <row r="41"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P41">
            <v>12315</v>
          </cell>
          <cell r="GQ41">
            <v>9939</v>
          </cell>
          <cell r="GR41">
            <v>4413</v>
          </cell>
          <cell r="GS41">
            <v>699</v>
          </cell>
          <cell r="GT41">
            <v>3319</v>
          </cell>
          <cell r="GU41">
            <v>4951</v>
          </cell>
        </row>
        <row r="47">
          <cell r="GU47">
            <v>616</v>
          </cell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129</v>
          </cell>
          <cell r="GE64">
            <v>0</v>
          </cell>
          <cell r="GF64">
            <v>144</v>
          </cell>
          <cell r="GG64">
            <v>9</v>
          </cell>
          <cell r="GP64">
            <v>137</v>
          </cell>
          <cell r="GQ64">
            <v>660</v>
          </cell>
          <cell r="GR64">
            <v>120</v>
          </cell>
          <cell r="GS64">
            <v>0</v>
          </cell>
          <cell r="GT64">
            <v>3519</v>
          </cell>
          <cell r="GU64">
            <v>616</v>
          </cell>
        </row>
      </sheetData>
      <sheetData sheetId="30">
        <row r="4">
          <cell r="GU4"/>
        </row>
        <row r="5">
          <cell r="GU5"/>
        </row>
        <row r="8">
          <cell r="GU8"/>
        </row>
        <row r="9">
          <cell r="GU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0</v>
          </cell>
          <cell r="GQ19">
            <v>4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P41">
            <v>0</v>
          </cell>
          <cell r="GQ41">
            <v>161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31">
        <row r="4">
          <cell r="GU4">
            <v>9</v>
          </cell>
        </row>
        <row r="5">
          <cell r="GU5">
            <v>9</v>
          </cell>
        </row>
        <row r="8">
          <cell r="GU8"/>
        </row>
        <row r="9">
          <cell r="GU9"/>
        </row>
        <row r="19"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62</v>
          </cell>
          <cell r="GQ19">
            <v>58</v>
          </cell>
          <cell r="GR19">
            <v>42</v>
          </cell>
          <cell r="GS19">
            <v>4</v>
          </cell>
          <cell r="GT19">
            <v>0</v>
          </cell>
          <cell r="GU19">
            <v>18</v>
          </cell>
        </row>
        <row r="22">
          <cell r="GU22">
            <v>413</v>
          </cell>
        </row>
        <row r="23">
          <cell r="GU23">
            <v>356</v>
          </cell>
        </row>
        <row r="27">
          <cell r="GU27">
            <v>32</v>
          </cell>
        </row>
        <row r="28">
          <cell r="GU28">
            <v>24</v>
          </cell>
        </row>
        <row r="41"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P41">
            <v>4129</v>
          </cell>
          <cell r="GQ41">
            <v>4045</v>
          </cell>
          <cell r="GR41">
            <v>1991</v>
          </cell>
          <cell r="GS41">
            <v>46</v>
          </cell>
          <cell r="GT41">
            <v>0</v>
          </cell>
          <cell r="GU41">
            <v>769</v>
          </cell>
        </row>
        <row r="47">
          <cell r="GU47">
            <v>3659</v>
          </cell>
        </row>
        <row r="48">
          <cell r="GU48"/>
        </row>
        <row r="52">
          <cell r="GU52">
            <v>566</v>
          </cell>
        </row>
        <row r="53">
          <cell r="GU53"/>
        </row>
        <row r="57">
          <cell r="GU57"/>
        </row>
        <row r="58">
          <cell r="BF58"/>
        </row>
        <row r="64">
          <cell r="GB64">
            <v>998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3642</v>
          </cell>
          <cell r="GQ64">
            <v>2650</v>
          </cell>
          <cell r="GR64">
            <v>2104</v>
          </cell>
          <cell r="GS64">
            <v>0</v>
          </cell>
          <cell r="GT64">
            <v>0</v>
          </cell>
          <cell r="GU64">
            <v>4225</v>
          </cell>
        </row>
      </sheetData>
      <sheetData sheetId="32">
        <row r="4">
          <cell r="GU4"/>
        </row>
        <row r="5">
          <cell r="GU5"/>
        </row>
        <row r="8">
          <cell r="GU8"/>
        </row>
        <row r="9">
          <cell r="GU9"/>
        </row>
        <row r="15">
          <cell r="GP15"/>
          <cell r="GQ15"/>
          <cell r="GR15"/>
          <cell r="GS15"/>
          <cell r="GT15"/>
        </row>
        <row r="16">
          <cell r="GP16"/>
          <cell r="GQ16"/>
          <cell r="GR16"/>
          <cell r="GS16"/>
          <cell r="GT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32">
          <cell r="GP32"/>
          <cell r="GQ32"/>
          <cell r="GR32"/>
          <cell r="GS32"/>
          <cell r="GT32"/>
          <cell r="GU32"/>
        </row>
        <row r="33">
          <cell r="GP33"/>
          <cell r="GQ33"/>
          <cell r="GR33"/>
          <cell r="GS33"/>
          <cell r="GT33"/>
          <cell r="GU33"/>
        </row>
        <row r="37">
          <cell r="GP37"/>
          <cell r="GQ37"/>
          <cell r="GR37"/>
          <cell r="GS37"/>
          <cell r="GT37"/>
          <cell r="GU37"/>
        </row>
        <row r="38">
          <cell r="GP38"/>
          <cell r="GQ38"/>
          <cell r="GR38"/>
          <cell r="GS38"/>
          <cell r="GT38"/>
          <cell r="GU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  <row r="70">
          <cell r="GU70"/>
        </row>
        <row r="71">
          <cell r="GU71"/>
        </row>
        <row r="73">
          <cell r="GU73"/>
        </row>
        <row r="74">
          <cell r="GU74"/>
        </row>
      </sheetData>
      <sheetData sheetId="33"/>
      <sheetData sheetId="34"/>
      <sheetData sheetId="35"/>
      <sheetData sheetId="36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37"/>
      <sheetData sheetId="38">
        <row r="4">
          <cell r="GU4"/>
        </row>
        <row r="5">
          <cell r="GU5"/>
        </row>
        <row r="8">
          <cell r="GU8"/>
        </row>
        <row r="9">
          <cell r="GU9"/>
        </row>
        <row r="19"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P19">
            <v>80</v>
          </cell>
          <cell r="GQ19">
            <v>64</v>
          </cell>
          <cell r="GR19">
            <v>92</v>
          </cell>
          <cell r="GS19">
            <v>0</v>
          </cell>
          <cell r="GT19">
            <v>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41"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P41">
            <v>4459</v>
          </cell>
          <cell r="GQ41">
            <v>3177</v>
          </cell>
          <cell r="GR41">
            <v>3347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39"/>
      <sheetData sheetId="40">
        <row r="4">
          <cell r="GU4"/>
        </row>
        <row r="5">
          <cell r="GU5"/>
        </row>
        <row r="8">
          <cell r="GU8"/>
        </row>
        <row r="9">
          <cell r="GU9"/>
        </row>
        <row r="15">
          <cell r="GP15"/>
          <cell r="GQ15"/>
          <cell r="GR15"/>
          <cell r="GS15"/>
          <cell r="GT15"/>
        </row>
        <row r="16">
          <cell r="GP16"/>
          <cell r="GQ16"/>
          <cell r="GR16"/>
          <cell r="GS16"/>
          <cell r="GT16"/>
        </row>
        <row r="19"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P19">
            <v>44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32">
          <cell r="GP32"/>
          <cell r="GQ32"/>
          <cell r="GR32"/>
          <cell r="GS32"/>
          <cell r="GT32"/>
          <cell r="GU32"/>
        </row>
        <row r="33">
          <cell r="GP33"/>
          <cell r="GQ33"/>
          <cell r="GR33"/>
          <cell r="GS33"/>
          <cell r="GT33"/>
          <cell r="GU33"/>
        </row>
        <row r="37">
          <cell r="GP37"/>
          <cell r="GQ37"/>
          <cell r="GR37"/>
          <cell r="GS37"/>
          <cell r="GT37"/>
          <cell r="GU37"/>
        </row>
        <row r="38">
          <cell r="GP38"/>
          <cell r="GQ38"/>
          <cell r="GR38"/>
          <cell r="GS38"/>
          <cell r="GT38"/>
          <cell r="GU38"/>
        </row>
        <row r="41"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P41">
            <v>2644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BK58"/>
        </row>
        <row r="64">
          <cell r="GB64">
            <v>0</v>
          </cell>
          <cell r="GC64">
            <v>0</v>
          </cell>
          <cell r="GD64">
            <v>23</v>
          </cell>
          <cell r="GE64">
            <v>69</v>
          </cell>
          <cell r="GF64">
            <v>79</v>
          </cell>
          <cell r="GG64">
            <v>101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  <row r="70">
          <cell r="GU70"/>
        </row>
        <row r="71">
          <cell r="GU71"/>
        </row>
        <row r="73">
          <cell r="GU73"/>
        </row>
        <row r="74">
          <cell r="GU74"/>
        </row>
      </sheetData>
      <sheetData sheetId="41">
        <row r="4">
          <cell r="GU4"/>
        </row>
        <row r="5">
          <cell r="GU5"/>
        </row>
        <row r="8">
          <cell r="GU8"/>
        </row>
        <row r="9">
          <cell r="GU9"/>
        </row>
        <row r="19"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P19">
            <v>2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41"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P41">
            <v>83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AJ57"/>
        </row>
        <row r="58">
          <cell r="AJ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42">
        <row r="4">
          <cell r="GU4">
            <v>57</v>
          </cell>
        </row>
        <row r="5">
          <cell r="GU5">
            <v>57</v>
          </cell>
        </row>
        <row r="8">
          <cell r="GU8"/>
        </row>
        <row r="9">
          <cell r="GU9"/>
        </row>
        <row r="19"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P19">
            <v>160</v>
          </cell>
          <cell r="GQ19">
            <v>126</v>
          </cell>
          <cell r="GR19">
            <v>118</v>
          </cell>
          <cell r="GS19">
            <v>62</v>
          </cell>
          <cell r="GT19">
            <v>60</v>
          </cell>
          <cell r="GU19">
            <v>114</v>
          </cell>
        </row>
        <row r="22">
          <cell r="GU22">
            <v>2797</v>
          </cell>
        </row>
        <row r="23">
          <cell r="GU23">
            <v>2915</v>
          </cell>
        </row>
        <row r="27">
          <cell r="GU27">
            <v>60</v>
          </cell>
        </row>
        <row r="28">
          <cell r="GU28">
            <v>35</v>
          </cell>
        </row>
        <row r="41"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P41">
            <v>10255</v>
          </cell>
          <cell r="GQ41">
            <v>10997</v>
          </cell>
          <cell r="GR41">
            <v>4270</v>
          </cell>
          <cell r="GS41">
            <v>810</v>
          </cell>
          <cell r="GT41">
            <v>1985</v>
          </cell>
          <cell r="GU41">
            <v>5712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43"/>
      <sheetData sheetId="44">
        <row r="4">
          <cell r="GU4"/>
        </row>
        <row r="5">
          <cell r="GU5"/>
        </row>
        <row r="8">
          <cell r="GU8"/>
        </row>
        <row r="9">
          <cell r="GU9"/>
        </row>
        <row r="19"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P19">
            <v>226</v>
          </cell>
          <cell r="GQ19">
            <v>242</v>
          </cell>
          <cell r="GR19">
            <v>270</v>
          </cell>
          <cell r="GS19">
            <v>66</v>
          </cell>
          <cell r="GT19">
            <v>6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41"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P41">
            <v>13806</v>
          </cell>
          <cell r="GQ41">
            <v>15339</v>
          </cell>
          <cell r="GR41">
            <v>10869</v>
          </cell>
          <cell r="GS41">
            <v>689</v>
          </cell>
          <cell r="GT41">
            <v>129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45"/>
      <sheetData sheetId="46"/>
      <sheetData sheetId="47">
        <row r="4">
          <cell r="GU4">
            <v>948</v>
          </cell>
        </row>
        <row r="5">
          <cell r="GU5">
            <v>954</v>
          </cell>
        </row>
        <row r="8">
          <cell r="GU8"/>
        </row>
        <row r="9">
          <cell r="GU9">
            <v>1</v>
          </cell>
        </row>
        <row r="15">
          <cell r="GP15">
            <v>88</v>
          </cell>
          <cell r="GQ15">
            <v>74</v>
          </cell>
          <cell r="GR15">
            <v>67</v>
          </cell>
          <cell r="GS15">
            <v>1</v>
          </cell>
          <cell r="GT15"/>
        </row>
        <row r="16">
          <cell r="GP16">
            <v>87</v>
          </cell>
          <cell r="GQ16">
            <v>71</v>
          </cell>
          <cell r="GR16">
            <v>65</v>
          </cell>
          <cell r="GS16"/>
          <cell r="GT16"/>
        </row>
        <row r="19"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P19">
            <v>2466</v>
          </cell>
          <cell r="GQ19">
            <v>2241</v>
          </cell>
          <cell r="GR19">
            <v>2685</v>
          </cell>
          <cell r="GS19">
            <v>688</v>
          </cell>
          <cell r="GT19">
            <v>1498</v>
          </cell>
          <cell r="GU19">
            <v>1903</v>
          </cell>
        </row>
        <row r="22">
          <cell r="GU22">
            <v>29509</v>
          </cell>
        </row>
        <row r="23">
          <cell r="GU23">
            <v>29026</v>
          </cell>
        </row>
        <row r="27">
          <cell r="GU27">
            <v>1729</v>
          </cell>
        </row>
        <row r="28">
          <cell r="GU28">
            <v>1628</v>
          </cell>
        </row>
        <row r="32">
          <cell r="GP32">
            <v>5276</v>
          </cell>
          <cell r="GQ32">
            <v>4225</v>
          </cell>
          <cell r="GR32">
            <v>1929</v>
          </cell>
          <cell r="GS32"/>
          <cell r="GT32"/>
          <cell r="GU32"/>
        </row>
        <row r="33">
          <cell r="GP33">
            <v>5516</v>
          </cell>
          <cell r="GQ33">
            <v>4340</v>
          </cell>
          <cell r="GR33">
            <v>2321</v>
          </cell>
          <cell r="GS33"/>
          <cell r="GT33"/>
          <cell r="GU33"/>
        </row>
        <row r="37">
          <cell r="GP37">
            <v>101</v>
          </cell>
          <cell r="GQ37">
            <v>105</v>
          </cell>
          <cell r="GR37">
            <v>58</v>
          </cell>
          <cell r="GS37">
            <v>1</v>
          </cell>
          <cell r="GT37"/>
          <cell r="GU37"/>
        </row>
        <row r="38">
          <cell r="GP38">
            <v>48</v>
          </cell>
          <cell r="GQ38">
            <v>57</v>
          </cell>
          <cell r="GR38">
            <v>34</v>
          </cell>
          <cell r="GS38"/>
          <cell r="GT38"/>
          <cell r="GU38"/>
        </row>
        <row r="41"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P41">
            <v>135012</v>
          </cell>
          <cell r="GQ41">
            <v>124126</v>
          </cell>
          <cell r="GR41">
            <v>78558</v>
          </cell>
          <cell r="GS41">
            <v>5161</v>
          </cell>
          <cell r="GT41">
            <v>31194</v>
          </cell>
          <cell r="GU41">
            <v>58535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  <row r="70">
          <cell r="GU70">
            <v>9009</v>
          </cell>
        </row>
        <row r="71">
          <cell r="GU71">
            <v>20017</v>
          </cell>
        </row>
        <row r="73">
          <cell r="GU73"/>
        </row>
        <row r="74">
          <cell r="GU74"/>
        </row>
      </sheetData>
      <sheetData sheetId="48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49">
        <row r="4">
          <cell r="GU4">
            <v>48</v>
          </cell>
        </row>
        <row r="5">
          <cell r="GU5">
            <v>47</v>
          </cell>
        </row>
        <row r="8">
          <cell r="GU8"/>
        </row>
        <row r="9">
          <cell r="GU9"/>
        </row>
        <row r="19"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P19">
            <v>375</v>
          </cell>
          <cell r="GQ19">
            <v>380</v>
          </cell>
          <cell r="GR19">
            <v>380</v>
          </cell>
          <cell r="GS19">
            <v>123</v>
          </cell>
          <cell r="GT19">
            <v>42</v>
          </cell>
          <cell r="GU19">
            <v>95</v>
          </cell>
        </row>
        <row r="22">
          <cell r="GU22">
            <v>2492</v>
          </cell>
        </row>
        <row r="23">
          <cell r="GU23">
            <v>2248</v>
          </cell>
        </row>
        <row r="27">
          <cell r="GU27">
            <v>108</v>
          </cell>
        </row>
        <row r="28">
          <cell r="GU28">
            <v>115</v>
          </cell>
        </row>
        <row r="41"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P41">
            <v>18257</v>
          </cell>
          <cell r="GQ41">
            <v>19341</v>
          </cell>
          <cell r="GR41">
            <v>11372</v>
          </cell>
          <cell r="GS41">
            <v>732</v>
          </cell>
          <cell r="GT41">
            <v>1627</v>
          </cell>
          <cell r="GU41">
            <v>4740</v>
          </cell>
        </row>
        <row r="47">
          <cell r="GU47">
            <v>908</v>
          </cell>
        </row>
        <row r="48">
          <cell r="GU48"/>
        </row>
        <row r="52">
          <cell r="GU52">
            <v>37</v>
          </cell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658</v>
          </cell>
          <cell r="GG64">
            <v>737</v>
          </cell>
          <cell r="GP64">
            <v>300</v>
          </cell>
          <cell r="GQ64">
            <v>824</v>
          </cell>
          <cell r="GR64">
            <v>431</v>
          </cell>
          <cell r="GS64">
            <v>355</v>
          </cell>
          <cell r="GT64">
            <v>471</v>
          </cell>
          <cell r="GU64">
            <v>945</v>
          </cell>
        </row>
      </sheetData>
      <sheetData sheetId="50">
        <row r="4">
          <cell r="GU4"/>
        </row>
        <row r="5">
          <cell r="GU5"/>
        </row>
        <row r="8">
          <cell r="GU8"/>
        </row>
        <row r="9">
          <cell r="GU9"/>
        </row>
        <row r="19"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P19">
            <v>422</v>
          </cell>
          <cell r="GQ19">
            <v>408</v>
          </cell>
          <cell r="GR19">
            <v>418</v>
          </cell>
          <cell r="GS19">
            <v>98</v>
          </cell>
          <cell r="GT19">
            <v>8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41"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P41">
            <v>24846</v>
          </cell>
          <cell r="GQ41">
            <v>23828</v>
          </cell>
          <cell r="GR41">
            <v>15513</v>
          </cell>
          <cell r="GS41">
            <v>907</v>
          </cell>
          <cell r="GT41">
            <v>141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51">
        <row r="8">
          <cell r="GU8"/>
        </row>
        <row r="9">
          <cell r="GU9"/>
        </row>
        <row r="15">
          <cell r="GP15">
            <v>69</v>
          </cell>
          <cell r="GQ15">
            <v>69</v>
          </cell>
          <cell r="GR15">
            <v>57</v>
          </cell>
          <cell r="GS15"/>
          <cell r="GT15"/>
        </row>
        <row r="16">
          <cell r="GP16">
            <v>69</v>
          </cell>
          <cell r="GQ16">
            <v>69</v>
          </cell>
          <cell r="GR16">
            <v>57</v>
          </cell>
          <cell r="GS16"/>
          <cell r="GT16"/>
        </row>
        <row r="19"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P19">
            <v>138</v>
          </cell>
          <cell r="GQ19">
            <v>138</v>
          </cell>
          <cell r="GR19">
            <v>114</v>
          </cell>
          <cell r="GS19">
            <v>0</v>
          </cell>
          <cell r="GT19">
            <v>0</v>
          </cell>
          <cell r="GU19">
            <v>0</v>
          </cell>
        </row>
        <row r="32">
          <cell r="GP32">
            <v>3613</v>
          </cell>
          <cell r="GQ32">
            <v>3119</v>
          </cell>
          <cell r="GR32">
            <v>1757</v>
          </cell>
          <cell r="GS32"/>
          <cell r="GT32"/>
          <cell r="GU32"/>
        </row>
        <row r="33">
          <cell r="GP33">
            <v>3610</v>
          </cell>
          <cell r="GQ33">
            <v>3151</v>
          </cell>
          <cell r="GR33">
            <v>1691</v>
          </cell>
          <cell r="GS33"/>
          <cell r="GT33"/>
          <cell r="GU33"/>
        </row>
        <row r="37">
          <cell r="GP37">
            <v>48</v>
          </cell>
          <cell r="GQ37">
            <v>47</v>
          </cell>
          <cell r="GR37">
            <v>21</v>
          </cell>
          <cell r="GS37"/>
          <cell r="GT37"/>
          <cell r="GU37"/>
        </row>
        <row r="38">
          <cell r="GP38">
            <v>52</v>
          </cell>
          <cell r="GQ38">
            <v>44</v>
          </cell>
          <cell r="GR38">
            <v>20</v>
          </cell>
          <cell r="GS38"/>
          <cell r="GT38"/>
          <cell r="GU38"/>
        </row>
        <row r="41"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P41">
            <v>7223</v>
          </cell>
          <cell r="GQ41">
            <v>6270</v>
          </cell>
          <cell r="GR41">
            <v>3448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64">
          <cell r="GB64">
            <v>1808</v>
          </cell>
          <cell r="GC64">
            <v>2473</v>
          </cell>
          <cell r="GD64">
            <v>4209</v>
          </cell>
          <cell r="GE64">
            <v>4476</v>
          </cell>
          <cell r="GF64">
            <v>5940</v>
          </cell>
          <cell r="GG64">
            <v>9744</v>
          </cell>
          <cell r="GP64">
            <v>1424</v>
          </cell>
          <cell r="GQ64">
            <v>2842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52">
        <row r="4">
          <cell r="GU4">
            <v>671</v>
          </cell>
        </row>
        <row r="5">
          <cell r="GU5">
            <v>668</v>
          </cell>
        </row>
        <row r="8">
          <cell r="GU8"/>
        </row>
        <row r="9">
          <cell r="GU9">
            <v>1</v>
          </cell>
        </row>
        <row r="15">
          <cell r="GP15">
            <v>259</v>
          </cell>
          <cell r="GQ15">
            <v>237</v>
          </cell>
          <cell r="GR15">
            <v>222</v>
          </cell>
          <cell r="GS15">
            <v>52</v>
          </cell>
          <cell r="GT15">
            <v>47</v>
          </cell>
          <cell r="GU15">
            <v>64</v>
          </cell>
        </row>
        <row r="16">
          <cell r="GP16">
            <v>259</v>
          </cell>
          <cell r="GQ16">
            <v>237</v>
          </cell>
          <cell r="GR16">
            <v>221</v>
          </cell>
          <cell r="GS16">
            <v>52</v>
          </cell>
          <cell r="GT16">
            <v>47</v>
          </cell>
          <cell r="GU16">
            <v>64</v>
          </cell>
        </row>
        <row r="19"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P19">
            <v>7646</v>
          </cell>
          <cell r="GQ19">
            <v>7226</v>
          </cell>
          <cell r="GR19">
            <v>7227</v>
          </cell>
          <cell r="GS19">
            <v>3315</v>
          </cell>
          <cell r="GT19">
            <v>1550</v>
          </cell>
          <cell r="GU19">
            <v>1468</v>
          </cell>
        </row>
        <row r="22">
          <cell r="GU22">
            <v>18498</v>
          </cell>
        </row>
        <row r="23">
          <cell r="GU23">
            <v>18068</v>
          </cell>
        </row>
        <row r="27">
          <cell r="GU27">
            <v>1325</v>
          </cell>
        </row>
        <row r="28">
          <cell r="GU28">
            <v>1225</v>
          </cell>
        </row>
        <row r="32">
          <cell r="GP32">
            <v>16709</v>
          </cell>
          <cell r="GQ32">
            <v>15141</v>
          </cell>
          <cell r="GR32">
            <v>7322</v>
          </cell>
          <cell r="GS32">
            <v>317</v>
          </cell>
          <cell r="GT32">
            <v>476</v>
          </cell>
          <cell r="GU32">
            <v>1083</v>
          </cell>
        </row>
        <row r="33">
          <cell r="GP33">
            <v>15643</v>
          </cell>
          <cell r="GQ33">
            <v>15465</v>
          </cell>
          <cell r="GR33">
            <v>9318</v>
          </cell>
          <cell r="GS33">
            <v>527</v>
          </cell>
          <cell r="GT33">
            <v>483</v>
          </cell>
          <cell r="GU33">
            <v>767</v>
          </cell>
        </row>
        <row r="37">
          <cell r="GP37">
            <v>183</v>
          </cell>
          <cell r="GQ37">
            <v>151</v>
          </cell>
          <cell r="GR37">
            <v>145</v>
          </cell>
          <cell r="GS37">
            <v>9</v>
          </cell>
          <cell r="GT37">
            <v>7</v>
          </cell>
          <cell r="GU37">
            <v>14</v>
          </cell>
        </row>
        <row r="38">
          <cell r="GP38">
            <v>169</v>
          </cell>
          <cell r="GQ38">
            <v>173</v>
          </cell>
          <cell r="GR38">
            <v>137</v>
          </cell>
          <cell r="GS38">
            <v>6</v>
          </cell>
          <cell r="GT38">
            <v>4</v>
          </cell>
          <cell r="GU38">
            <v>12</v>
          </cell>
        </row>
        <row r="41"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P41">
            <v>361855</v>
          </cell>
          <cell r="GQ41">
            <v>350991</v>
          </cell>
          <cell r="GR41">
            <v>199331</v>
          </cell>
          <cell r="GS41">
            <v>28793</v>
          </cell>
          <cell r="GT41">
            <v>26012</v>
          </cell>
          <cell r="GU41">
            <v>38416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  <row r="70">
          <cell r="GU70">
            <v>6031</v>
          </cell>
        </row>
        <row r="71">
          <cell r="GU71">
            <v>12037</v>
          </cell>
        </row>
        <row r="73">
          <cell r="GU73">
            <v>256</v>
          </cell>
        </row>
        <row r="74">
          <cell r="GU74">
            <v>511</v>
          </cell>
        </row>
      </sheetData>
      <sheetData sheetId="53"/>
      <sheetData sheetId="54">
        <row r="4">
          <cell r="GU4"/>
        </row>
        <row r="5">
          <cell r="GU5"/>
        </row>
        <row r="8">
          <cell r="GU8"/>
        </row>
        <row r="9">
          <cell r="GU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72</v>
          </cell>
          <cell r="GQ19">
            <v>62</v>
          </cell>
          <cell r="GR19">
            <v>48</v>
          </cell>
          <cell r="GS19">
            <v>0</v>
          </cell>
          <cell r="GT19">
            <v>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P41">
            <v>4011</v>
          </cell>
          <cell r="GQ41">
            <v>3426</v>
          </cell>
          <cell r="GR41">
            <v>1967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148</v>
          </cell>
          <cell r="GQ64">
            <v>251</v>
          </cell>
          <cell r="GR64">
            <v>161</v>
          </cell>
          <cell r="GS64">
            <v>0</v>
          </cell>
          <cell r="GT64">
            <v>0</v>
          </cell>
          <cell r="GU64">
            <v>0</v>
          </cell>
        </row>
      </sheetData>
      <sheetData sheetId="55">
        <row r="4">
          <cell r="GU4">
            <v>13</v>
          </cell>
        </row>
        <row r="5">
          <cell r="GU5">
            <v>14</v>
          </cell>
        </row>
        <row r="8">
          <cell r="GU8"/>
        </row>
        <row r="9">
          <cell r="GU9"/>
        </row>
        <row r="19"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13</v>
          </cell>
          <cell r="GU19">
            <v>27</v>
          </cell>
        </row>
        <row r="22">
          <cell r="GU22">
            <v>470</v>
          </cell>
        </row>
        <row r="23">
          <cell r="GU23">
            <v>544</v>
          </cell>
        </row>
        <row r="27">
          <cell r="GU27">
            <v>31</v>
          </cell>
        </row>
        <row r="28">
          <cell r="GU28">
            <v>69</v>
          </cell>
        </row>
        <row r="41"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365</v>
          </cell>
          <cell r="GU41">
            <v>1014</v>
          </cell>
        </row>
        <row r="47">
          <cell r="GU47">
            <v>14</v>
          </cell>
        </row>
        <row r="48">
          <cell r="GU48"/>
        </row>
        <row r="52">
          <cell r="GU52">
            <v>202</v>
          </cell>
        </row>
        <row r="53">
          <cell r="GU53"/>
        </row>
        <row r="57">
          <cell r="GU57"/>
        </row>
        <row r="58">
          <cell r="GU58"/>
        </row>
        <row r="64">
          <cell r="GB64">
            <v>3990</v>
          </cell>
          <cell r="GC64">
            <v>1414</v>
          </cell>
          <cell r="GD64">
            <v>3447</v>
          </cell>
          <cell r="GE64">
            <v>6255</v>
          </cell>
          <cell r="GF64">
            <v>7899</v>
          </cell>
          <cell r="GG64">
            <v>8830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</v>
          </cell>
          <cell r="GU64">
            <v>216</v>
          </cell>
        </row>
      </sheetData>
      <sheetData sheetId="56">
        <row r="4">
          <cell r="GU4"/>
        </row>
        <row r="5">
          <cell r="GU5"/>
        </row>
        <row r="8">
          <cell r="GU8"/>
        </row>
        <row r="9">
          <cell r="GU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57">
        <row r="4">
          <cell r="GU4"/>
        </row>
        <row r="5">
          <cell r="GU5"/>
        </row>
        <row r="8">
          <cell r="GU8"/>
        </row>
        <row r="9">
          <cell r="GU9"/>
        </row>
        <row r="19"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22">
          <cell r="GU22"/>
        </row>
        <row r="23">
          <cell r="GU23"/>
        </row>
        <row r="27">
          <cell r="GU27"/>
        </row>
        <row r="28">
          <cell r="GU28"/>
        </row>
        <row r="41"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BH58"/>
        </row>
        <row r="64">
          <cell r="GB64">
            <v>0</v>
          </cell>
          <cell r="GC64">
            <v>0</v>
          </cell>
          <cell r="GD64">
            <v>137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  <row r="70">
          <cell r="GU70"/>
        </row>
        <row r="71">
          <cell r="GU71"/>
        </row>
        <row r="73">
          <cell r="GU73"/>
        </row>
        <row r="74">
          <cell r="GU74"/>
        </row>
      </sheetData>
      <sheetData sheetId="58"/>
      <sheetData sheetId="59"/>
      <sheetData sheetId="60"/>
      <sheetData sheetId="61">
        <row r="4">
          <cell r="GU4"/>
        </row>
        <row r="5">
          <cell r="GU5"/>
        </row>
        <row r="15">
          <cell r="GP15"/>
          <cell r="GQ15"/>
          <cell r="GR15"/>
          <cell r="GS15"/>
          <cell r="GT15"/>
        </row>
        <row r="16">
          <cell r="GP16"/>
          <cell r="GQ16"/>
          <cell r="GR16"/>
          <cell r="GS16"/>
          <cell r="GT16"/>
        </row>
        <row r="22">
          <cell r="GU22"/>
        </row>
        <row r="23">
          <cell r="GU23"/>
        </row>
        <row r="32">
          <cell r="GP32"/>
          <cell r="GQ32"/>
          <cell r="GR32"/>
          <cell r="GS32"/>
          <cell r="GT32"/>
          <cell r="GU32"/>
        </row>
        <row r="33">
          <cell r="GP33"/>
          <cell r="GQ33"/>
          <cell r="GR33"/>
          <cell r="GS33"/>
          <cell r="GT33"/>
          <cell r="GU33"/>
        </row>
        <row r="37">
          <cell r="GP37"/>
          <cell r="GQ37"/>
          <cell r="GR37"/>
          <cell r="GS37"/>
          <cell r="GT37"/>
          <cell r="GU37"/>
        </row>
        <row r="38">
          <cell r="GP38"/>
          <cell r="GQ38"/>
          <cell r="GR38"/>
          <cell r="GS38"/>
          <cell r="GT38"/>
          <cell r="GU38"/>
        </row>
      </sheetData>
      <sheetData sheetId="62">
        <row r="4">
          <cell r="GU4"/>
        </row>
        <row r="5">
          <cell r="GU5"/>
        </row>
        <row r="22">
          <cell r="GU22"/>
        </row>
        <row r="23">
          <cell r="GU23"/>
        </row>
        <row r="32">
          <cell r="GU32"/>
        </row>
        <row r="33">
          <cell r="GU33"/>
        </row>
      </sheetData>
      <sheetData sheetId="63">
        <row r="4">
          <cell r="GU4"/>
        </row>
        <row r="5">
          <cell r="GU5"/>
        </row>
        <row r="8">
          <cell r="GU8"/>
        </row>
        <row r="9">
          <cell r="GU9"/>
        </row>
        <row r="15">
          <cell r="GP15">
            <v>1</v>
          </cell>
          <cell r="GQ15"/>
          <cell r="GR15"/>
          <cell r="GS15"/>
          <cell r="GT15"/>
        </row>
        <row r="16">
          <cell r="GP16"/>
          <cell r="GQ16"/>
          <cell r="GR16"/>
          <cell r="GS16"/>
          <cell r="GT16"/>
        </row>
        <row r="23">
          <cell r="GU23"/>
        </row>
        <row r="32">
          <cell r="GP32">
            <v>60</v>
          </cell>
          <cell r="GQ32"/>
          <cell r="GR32"/>
          <cell r="GS32"/>
          <cell r="GT32"/>
          <cell r="GU32"/>
        </row>
        <row r="33">
          <cell r="GP33"/>
          <cell r="GQ33"/>
          <cell r="GR33"/>
          <cell r="GS33"/>
          <cell r="GT33"/>
          <cell r="GU33"/>
        </row>
        <row r="37">
          <cell r="GP37"/>
          <cell r="GQ37"/>
          <cell r="GR37"/>
          <cell r="GS37"/>
          <cell r="GT37"/>
          <cell r="GU37"/>
        </row>
        <row r="38">
          <cell r="GP38"/>
          <cell r="GQ38"/>
          <cell r="GR38"/>
          <cell r="GS38"/>
          <cell r="GT38"/>
          <cell r="GU38"/>
        </row>
      </sheetData>
      <sheetData sheetId="64">
        <row r="4">
          <cell r="GU4"/>
        </row>
        <row r="5">
          <cell r="GU5"/>
        </row>
        <row r="15">
          <cell r="GP15"/>
          <cell r="GQ15"/>
          <cell r="GR15"/>
          <cell r="GS15"/>
          <cell r="GT15"/>
        </row>
        <row r="16">
          <cell r="GP16"/>
          <cell r="GQ16"/>
          <cell r="GR16"/>
          <cell r="GS16"/>
          <cell r="GT16"/>
        </row>
        <row r="22">
          <cell r="GU22"/>
        </row>
        <row r="23">
          <cell r="GU23"/>
        </row>
        <row r="32">
          <cell r="GP32"/>
          <cell r="GQ32"/>
          <cell r="GR32"/>
          <cell r="GS32"/>
          <cell r="GT32"/>
          <cell r="GU32"/>
        </row>
        <row r="33">
          <cell r="GP33"/>
          <cell r="GQ33"/>
          <cell r="GR33"/>
          <cell r="GS33"/>
          <cell r="GT33"/>
          <cell r="GU33"/>
        </row>
        <row r="37">
          <cell r="GP37"/>
          <cell r="GQ37"/>
          <cell r="GR37"/>
          <cell r="GS37"/>
          <cell r="GT37"/>
          <cell r="GU37"/>
        </row>
        <row r="38">
          <cell r="GP38"/>
          <cell r="GQ38"/>
          <cell r="GR38"/>
          <cell r="GS38"/>
          <cell r="GT38"/>
          <cell r="GU38"/>
        </row>
      </sheetData>
      <sheetData sheetId="65">
        <row r="4">
          <cell r="GU4"/>
        </row>
        <row r="5">
          <cell r="GU5"/>
        </row>
        <row r="19">
          <cell r="GB19">
            <v>56</v>
          </cell>
          <cell r="GC19">
            <v>56</v>
          </cell>
          <cell r="GD19">
            <v>62</v>
          </cell>
          <cell r="GE19">
            <v>58</v>
          </cell>
          <cell r="GF19">
            <v>64</v>
          </cell>
          <cell r="GG19">
            <v>62</v>
          </cell>
          <cell r="GP19">
            <v>58</v>
          </cell>
          <cell r="GQ19">
            <v>58</v>
          </cell>
          <cell r="GR19">
            <v>60</v>
          </cell>
          <cell r="GS19">
            <v>60</v>
          </cell>
          <cell r="GT19">
            <v>40</v>
          </cell>
          <cell r="GU19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P64">
            <v>2115302</v>
          </cell>
          <cell r="GQ64">
            <v>1882428</v>
          </cell>
          <cell r="GR64">
            <v>2678702</v>
          </cell>
          <cell r="GS64">
            <v>3447822</v>
          </cell>
          <cell r="GT64">
            <v>2215535</v>
          </cell>
          <cell r="GU64">
            <v>0</v>
          </cell>
        </row>
      </sheetData>
      <sheetData sheetId="66">
        <row r="4">
          <cell r="GU4">
            <v>60</v>
          </cell>
        </row>
        <row r="5">
          <cell r="GU5">
            <v>58</v>
          </cell>
        </row>
        <row r="8">
          <cell r="GU8">
            <v>2</v>
          </cell>
        </row>
        <row r="9">
          <cell r="GU9">
            <v>4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124</v>
          </cell>
        </row>
        <row r="47">
          <cell r="GU47">
            <v>735104</v>
          </cell>
        </row>
        <row r="48">
          <cell r="GU48"/>
        </row>
        <row r="52">
          <cell r="GU52">
            <v>1346741</v>
          </cell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707600</v>
          </cell>
          <cell r="GU64">
            <v>2081845</v>
          </cell>
        </row>
      </sheetData>
      <sheetData sheetId="67">
        <row r="19">
          <cell r="GB19">
            <v>0</v>
          </cell>
          <cell r="GC19">
            <v>1</v>
          </cell>
          <cell r="GD19">
            <v>0</v>
          </cell>
          <cell r="GE19">
            <v>0</v>
          </cell>
          <cell r="GF19">
            <v>0</v>
          </cell>
          <cell r="GG19">
            <v>1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68">
        <row r="4">
          <cell r="GU4"/>
        </row>
        <row r="5">
          <cell r="GU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36</v>
          </cell>
          <cell r="GQ19">
            <v>40</v>
          </cell>
          <cell r="GR19">
            <v>41</v>
          </cell>
          <cell r="GS19">
            <v>44</v>
          </cell>
          <cell r="GT19">
            <v>2</v>
          </cell>
          <cell r="GU19"/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917705</v>
          </cell>
          <cell r="GQ64">
            <v>1265840</v>
          </cell>
          <cell r="GR64">
            <v>1504363</v>
          </cell>
          <cell r="GS64">
            <v>1506128</v>
          </cell>
          <cell r="GT64">
            <v>105861</v>
          </cell>
          <cell r="GU64"/>
        </row>
      </sheetData>
      <sheetData sheetId="69">
        <row r="4">
          <cell r="GU4">
            <v>2</v>
          </cell>
        </row>
        <row r="5">
          <cell r="GU5">
            <v>2</v>
          </cell>
        </row>
        <row r="8">
          <cell r="GU8"/>
        </row>
        <row r="9">
          <cell r="GU9"/>
        </row>
        <row r="19">
          <cell r="GB19">
            <v>0</v>
          </cell>
          <cell r="GC19">
            <v>2</v>
          </cell>
          <cell r="GD19">
            <v>0</v>
          </cell>
          <cell r="GE19">
            <v>0</v>
          </cell>
          <cell r="GF19">
            <v>2</v>
          </cell>
          <cell r="GG19">
            <v>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2</v>
          </cell>
          <cell r="GU19">
            <v>4</v>
          </cell>
        </row>
        <row r="47">
          <cell r="GU47">
            <v>51385</v>
          </cell>
        </row>
        <row r="52">
          <cell r="GU52">
            <v>74260</v>
          </cell>
        </row>
        <row r="64"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G64">
            <v>42928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60721</v>
          </cell>
          <cell r="GU64">
            <v>125645</v>
          </cell>
        </row>
      </sheetData>
      <sheetData sheetId="70"/>
      <sheetData sheetId="71">
        <row r="4">
          <cell r="GU4">
            <v>45</v>
          </cell>
        </row>
        <row r="5">
          <cell r="GU5">
            <v>45</v>
          </cell>
        </row>
        <row r="12">
          <cell r="GU12">
            <v>90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82</v>
          </cell>
          <cell r="GQ19">
            <v>82</v>
          </cell>
          <cell r="GR19">
            <v>90</v>
          </cell>
          <cell r="GS19">
            <v>82</v>
          </cell>
          <cell r="GT19">
            <v>84</v>
          </cell>
          <cell r="GU19">
            <v>90</v>
          </cell>
        </row>
        <row r="47">
          <cell r="GU47">
            <v>48807</v>
          </cell>
        </row>
        <row r="48">
          <cell r="GU48"/>
        </row>
        <row r="52">
          <cell r="GU52">
            <v>77920</v>
          </cell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99007</v>
          </cell>
          <cell r="GQ64">
            <v>101404</v>
          </cell>
          <cell r="GR64">
            <v>137241</v>
          </cell>
          <cell r="GS64">
            <v>134792</v>
          </cell>
          <cell r="GT64">
            <v>128008</v>
          </cell>
          <cell r="GU64">
            <v>126727</v>
          </cell>
        </row>
      </sheetData>
      <sheetData sheetId="72">
        <row r="4">
          <cell r="GU4"/>
        </row>
        <row r="5">
          <cell r="GU5"/>
        </row>
        <row r="19">
          <cell r="GB19">
            <v>40</v>
          </cell>
          <cell r="GC19">
            <v>40</v>
          </cell>
          <cell r="GD19">
            <v>42</v>
          </cell>
          <cell r="GE19">
            <v>44</v>
          </cell>
          <cell r="GF19">
            <v>44</v>
          </cell>
          <cell r="GG19">
            <v>36</v>
          </cell>
          <cell r="GP19">
            <v>34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G64">
            <v>1202490</v>
          </cell>
          <cell r="GP64">
            <v>835987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73">
        <row r="4">
          <cell r="GU4"/>
        </row>
        <row r="5">
          <cell r="GU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74">
        <row r="4">
          <cell r="GU4">
            <v>20</v>
          </cell>
        </row>
        <row r="5">
          <cell r="GU5">
            <v>20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40</v>
          </cell>
        </row>
        <row r="47">
          <cell r="GU47">
            <v>514600</v>
          </cell>
        </row>
        <row r="48">
          <cell r="GU48"/>
        </row>
        <row r="52">
          <cell r="GU52">
            <v>633304</v>
          </cell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1063472</v>
          </cell>
          <cell r="GU64">
            <v>1147904</v>
          </cell>
        </row>
      </sheetData>
      <sheetData sheetId="75">
        <row r="4">
          <cell r="GU4"/>
        </row>
        <row r="5">
          <cell r="GU5"/>
        </row>
        <row r="19">
          <cell r="GB19">
            <v>85</v>
          </cell>
          <cell r="GC19">
            <v>74</v>
          </cell>
          <cell r="GD19">
            <v>94</v>
          </cell>
          <cell r="GE19">
            <v>82</v>
          </cell>
          <cell r="GF19">
            <v>90</v>
          </cell>
          <cell r="GG19">
            <v>82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76"/>
      <sheetData sheetId="77">
        <row r="4">
          <cell r="GU4">
            <v>117</v>
          </cell>
        </row>
        <row r="5">
          <cell r="GU5">
            <v>117</v>
          </cell>
        </row>
        <row r="19">
          <cell r="GB19">
            <v>268</v>
          </cell>
          <cell r="GC19">
            <v>238</v>
          </cell>
          <cell r="GD19">
            <v>252</v>
          </cell>
          <cell r="GE19">
            <v>254</v>
          </cell>
          <cell r="GF19">
            <v>270</v>
          </cell>
          <cell r="GG19">
            <v>252</v>
          </cell>
          <cell r="GP19">
            <v>236</v>
          </cell>
          <cell r="GQ19">
            <v>214</v>
          </cell>
          <cell r="GR19">
            <v>228</v>
          </cell>
          <cell r="GS19">
            <v>244</v>
          </cell>
          <cell r="GT19">
            <v>236</v>
          </cell>
          <cell r="GU19">
            <v>234</v>
          </cell>
        </row>
        <row r="47">
          <cell r="GU47">
            <v>8224337</v>
          </cell>
        </row>
        <row r="48">
          <cell r="GU48"/>
        </row>
        <row r="52">
          <cell r="GU52">
            <v>7151882</v>
          </cell>
        </row>
        <row r="53">
          <cell r="GU53"/>
        </row>
        <row r="57">
          <cell r="GU57"/>
        </row>
        <row r="58">
          <cell r="GU58"/>
        </row>
        <row r="64"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P64">
            <v>15484789</v>
          </cell>
          <cell r="GQ64">
            <v>14876545</v>
          </cell>
          <cell r="GR64">
            <v>15796402</v>
          </cell>
          <cell r="GS64">
            <v>15827617</v>
          </cell>
          <cell r="GT64">
            <v>15683019</v>
          </cell>
          <cell r="GU64">
            <v>15376219</v>
          </cell>
        </row>
      </sheetData>
      <sheetData sheetId="78">
        <row r="4">
          <cell r="GU4">
            <v>21</v>
          </cell>
        </row>
        <row r="5">
          <cell r="GU5">
            <v>21</v>
          </cell>
        </row>
        <row r="19">
          <cell r="GB19">
            <v>0</v>
          </cell>
          <cell r="GC19">
            <v>38</v>
          </cell>
          <cell r="GD19">
            <v>42</v>
          </cell>
          <cell r="GE19">
            <v>38</v>
          </cell>
          <cell r="GF19">
            <v>42</v>
          </cell>
          <cell r="GG19">
            <v>42</v>
          </cell>
          <cell r="GP19">
            <v>42</v>
          </cell>
          <cell r="GQ19">
            <v>42</v>
          </cell>
          <cell r="GR19">
            <v>40</v>
          </cell>
          <cell r="GS19">
            <v>50</v>
          </cell>
          <cell r="GT19">
            <v>42</v>
          </cell>
          <cell r="GU19">
            <v>42</v>
          </cell>
        </row>
        <row r="47">
          <cell r="GU47"/>
        </row>
        <row r="48">
          <cell r="GU48">
            <v>45507</v>
          </cell>
        </row>
        <row r="52">
          <cell r="GU52"/>
        </row>
        <row r="53">
          <cell r="GU53">
            <v>106823</v>
          </cell>
        </row>
        <row r="57">
          <cell r="GU57"/>
        </row>
        <row r="58">
          <cell r="GU58"/>
        </row>
        <row r="64"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P64">
            <v>132698</v>
          </cell>
          <cell r="GQ64">
            <v>806428</v>
          </cell>
          <cell r="GR64">
            <v>132476</v>
          </cell>
          <cell r="GS64">
            <v>131103</v>
          </cell>
          <cell r="GT64">
            <v>182998</v>
          </cell>
          <cell r="GU64">
            <v>152330</v>
          </cell>
        </row>
      </sheetData>
      <sheetData sheetId="79">
        <row r="4">
          <cell r="GU4">
            <v>15</v>
          </cell>
        </row>
        <row r="5">
          <cell r="GU5">
            <v>15</v>
          </cell>
        </row>
        <row r="19">
          <cell r="GB19">
            <v>37</v>
          </cell>
          <cell r="GC19">
            <v>28</v>
          </cell>
          <cell r="GD19">
            <v>30</v>
          </cell>
          <cell r="GE19">
            <v>34</v>
          </cell>
          <cell r="GF19">
            <v>34</v>
          </cell>
          <cell r="GG19">
            <v>32</v>
          </cell>
          <cell r="GP19">
            <v>34</v>
          </cell>
          <cell r="GQ19">
            <v>31</v>
          </cell>
          <cell r="GR19">
            <v>36</v>
          </cell>
          <cell r="GS19">
            <v>28</v>
          </cell>
          <cell r="GT19">
            <v>30</v>
          </cell>
          <cell r="GU19">
            <v>30</v>
          </cell>
        </row>
        <row r="47">
          <cell r="GU47">
            <v>62630</v>
          </cell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P64">
            <v>43619</v>
          </cell>
          <cell r="GQ64">
            <v>33705</v>
          </cell>
          <cell r="GR64">
            <v>50222</v>
          </cell>
          <cell r="GS64">
            <v>34335</v>
          </cell>
          <cell r="GT64">
            <v>49063</v>
          </cell>
          <cell r="GU64">
            <v>62630</v>
          </cell>
        </row>
      </sheetData>
      <sheetData sheetId="80">
        <row r="4">
          <cell r="GU4">
            <v>121</v>
          </cell>
        </row>
        <row r="5">
          <cell r="GU5">
            <v>121</v>
          </cell>
        </row>
        <row r="15">
          <cell r="GU15">
            <v>17</v>
          </cell>
        </row>
        <row r="16">
          <cell r="GU16">
            <v>17</v>
          </cell>
        </row>
        <row r="19">
          <cell r="GB19">
            <v>282</v>
          </cell>
          <cell r="GC19">
            <v>246</v>
          </cell>
          <cell r="GD19">
            <v>278</v>
          </cell>
          <cell r="GE19">
            <v>264</v>
          </cell>
          <cell r="GF19">
            <v>300</v>
          </cell>
          <cell r="GG19">
            <v>276</v>
          </cell>
          <cell r="GP19">
            <v>282</v>
          </cell>
          <cell r="GQ19">
            <v>236</v>
          </cell>
          <cell r="GR19">
            <v>255</v>
          </cell>
          <cell r="GS19">
            <v>295</v>
          </cell>
          <cell r="GT19">
            <v>264</v>
          </cell>
          <cell r="GU19">
            <v>276</v>
          </cell>
        </row>
        <row r="47">
          <cell r="GU47">
            <v>6472520</v>
          </cell>
        </row>
        <row r="48">
          <cell r="GU48"/>
        </row>
        <row r="52">
          <cell r="GU52">
            <v>5278520</v>
          </cell>
        </row>
        <row r="53">
          <cell r="GU53">
            <v>551745</v>
          </cell>
        </row>
        <row r="57">
          <cell r="GU57"/>
        </row>
        <row r="58">
          <cell r="GU58"/>
        </row>
        <row r="64"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P64">
            <v>12586703</v>
          </cell>
          <cell r="GQ64">
            <v>9798684</v>
          </cell>
          <cell r="GR64">
            <v>11649110</v>
          </cell>
          <cell r="GS64">
            <v>11016823</v>
          </cell>
          <cell r="GT64">
            <v>11129346</v>
          </cell>
          <cell r="GU64">
            <v>12302785</v>
          </cell>
        </row>
      </sheetData>
      <sheetData sheetId="81"/>
      <sheetData sheetId="82"/>
      <sheetData sheetId="83"/>
      <sheetData sheetId="84">
        <row r="4">
          <cell r="GU4">
            <v>197</v>
          </cell>
        </row>
        <row r="5">
          <cell r="GU5">
            <v>197</v>
          </cell>
        </row>
        <row r="19">
          <cell r="GB19">
            <v>398</v>
          </cell>
          <cell r="GC19">
            <v>350</v>
          </cell>
          <cell r="GD19">
            <v>378</v>
          </cell>
          <cell r="GE19">
            <v>376</v>
          </cell>
          <cell r="GF19">
            <v>426</v>
          </cell>
          <cell r="GG19">
            <v>368</v>
          </cell>
          <cell r="GP19">
            <v>416</v>
          </cell>
          <cell r="GQ19">
            <v>370</v>
          </cell>
          <cell r="GR19">
            <v>398</v>
          </cell>
          <cell r="GS19">
            <v>390</v>
          </cell>
          <cell r="GT19">
            <v>384</v>
          </cell>
          <cell r="GU19">
            <v>394</v>
          </cell>
        </row>
      </sheetData>
      <sheetData sheetId="85">
        <row r="19">
          <cell r="GB19">
            <v>0</v>
          </cell>
          <cell r="GC19">
            <v>3</v>
          </cell>
          <cell r="GD19">
            <v>0</v>
          </cell>
          <cell r="GE19">
            <v>0</v>
          </cell>
          <cell r="GF19">
            <v>6</v>
          </cell>
          <cell r="GG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64"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86">
        <row r="4">
          <cell r="GU4"/>
        </row>
        <row r="5">
          <cell r="GU5"/>
        </row>
        <row r="8">
          <cell r="GU8"/>
        </row>
        <row r="9">
          <cell r="GU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2</v>
          </cell>
          <cell r="GP19">
            <v>9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</row>
        <row r="47">
          <cell r="GU47"/>
        </row>
        <row r="48">
          <cell r="GU48"/>
        </row>
        <row r="52">
          <cell r="GU52"/>
        </row>
        <row r="53">
          <cell r="GU53"/>
        </row>
        <row r="57">
          <cell r="GU57"/>
        </row>
        <row r="58">
          <cell r="GU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P64">
            <v>264695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</row>
      </sheetData>
      <sheetData sheetId="87">
        <row r="4">
          <cell r="GU4">
            <v>38</v>
          </cell>
        </row>
        <row r="5">
          <cell r="GU5">
            <v>38</v>
          </cell>
        </row>
      </sheetData>
      <sheetData sheetId="88">
        <row r="4">
          <cell r="GU4">
            <v>406</v>
          </cell>
        </row>
        <row r="5">
          <cell r="GU5">
            <v>407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154018</v>
          </cell>
          <cell r="C21">
            <v>145053</v>
          </cell>
          <cell r="L21">
            <v>1442870</v>
          </cell>
          <cell r="M21">
            <v>1472573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152114</v>
          </cell>
          <cell r="C22">
            <v>153672</v>
          </cell>
          <cell r="L22">
            <v>1422138</v>
          </cell>
          <cell r="M22">
            <v>1438475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274882</v>
          </cell>
          <cell r="I22">
            <v>2350129</v>
          </cell>
          <cell r="N22">
            <v>2625011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102884</v>
          </cell>
          <cell r="C23">
            <v>82442</v>
          </cell>
          <cell r="L23">
            <v>956790</v>
          </cell>
          <cell r="M23">
            <v>831321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366937</v>
          </cell>
          <cell r="I23">
            <v>3170467</v>
          </cell>
          <cell r="N23">
            <v>3537404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J15" sqref="J15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1.7109375" bestFit="1" customWidth="1"/>
    <col min="8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257">
        <v>43983</v>
      </c>
      <c r="B2" s="10"/>
      <c r="C2" s="10"/>
      <c r="D2" s="458" t="s">
        <v>213</v>
      </c>
      <c r="E2" s="458" t="s">
        <v>199</v>
      </c>
      <c r="F2" s="5"/>
      <c r="G2" s="5"/>
      <c r="H2" s="5"/>
      <c r="I2" s="5"/>
      <c r="J2" s="5"/>
    </row>
    <row r="3" spans="1:14" ht="13.5" thickBot="1" x14ac:dyDescent="0.25">
      <c r="A3" s="262"/>
      <c r="B3" s="5" t="s">
        <v>0</v>
      </c>
      <c r="C3" s="5" t="s">
        <v>1</v>
      </c>
      <c r="D3" s="459"/>
      <c r="E3" s="460"/>
      <c r="F3" s="5" t="s">
        <v>2</v>
      </c>
      <c r="G3" s="5" t="s">
        <v>214</v>
      </c>
      <c r="H3" s="5" t="s">
        <v>200</v>
      </c>
      <c r="I3" s="5" t="s">
        <v>2</v>
      </c>
    </row>
    <row r="4" spans="1:14" ht="12.75" customHeight="1" x14ac:dyDescent="0.25">
      <c r="A4" s="40" t="s">
        <v>3</v>
      </c>
      <c r="B4" s="26"/>
      <c r="C4" s="26"/>
      <c r="D4" s="26"/>
      <c r="E4" s="26"/>
      <c r="F4" s="27"/>
      <c r="G4" s="26"/>
      <c r="H4" s="26"/>
      <c r="I4" s="28"/>
    </row>
    <row r="5" spans="1:14" x14ac:dyDescent="0.2">
      <c r="A5" s="43" t="s">
        <v>4</v>
      </c>
      <c r="B5" s="192">
        <f>'Major Airline Stats'!K4</f>
        <v>187012</v>
      </c>
      <c r="C5" s="10">
        <f>'Major Airline Stats'!K5</f>
        <v>182882</v>
      </c>
      <c r="D5" s="2">
        <f>'Major Airline Stats'!K6</f>
        <v>369894</v>
      </c>
      <c r="E5" s="2">
        <f>'[1]Monthly Summary'!D5</f>
        <v>2860490</v>
      </c>
      <c r="F5" s="3">
        <f>(D5-E5)/E5</f>
        <v>-0.8706885883187846</v>
      </c>
      <c r="G5" s="2">
        <f>+D5+'[2]Monthly Summary'!G5</f>
        <v>6455896</v>
      </c>
      <c r="H5" s="2">
        <f>'[1]Monthly Summary'!G5</f>
        <v>14712510</v>
      </c>
      <c r="I5" s="58">
        <f>(G5-H5)/H5</f>
        <v>-0.56119683181183899</v>
      </c>
      <c r="J5" s="2"/>
    </row>
    <row r="6" spans="1:14" x14ac:dyDescent="0.2">
      <c r="A6" s="43" t="s">
        <v>5</v>
      </c>
      <c r="B6" s="192">
        <f>'Regional Major'!M5</f>
        <v>57724</v>
      </c>
      <c r="C6" s="192">
        <f>'Regional Major'!M6</f>
        <v>56413</v>
      </c>
      <c r="D6" s="2">
        <f>B6+C6</f>
        <v>114137</v>
      </c>
      <c r="E6" s="2">
        <f>'[1]Monthly Summary'!D6</f>
        <v>700336</v>
      </c>
      <c r="F6" s="3">
        <f>(D6-E6)/E6</f>
        <v>-0.83702537067921678</v>
      </c>
      <c r="G6" s="2">
        <f>+D6+'[2]Monthly Summary'!G6</f>
        <v>1722360</v>
      </c>
      <c r="H6" s="2">
        <f>'[1]Monthly Summary'!G6</f>
        <v>3727353</v>
      </c>
      <c r="I6" s="58">
        <f>(G6-H6)/H6</f>
        <v>-0.53791336640237719</v>
      </c>
      <c r="K6" s="2"/>
    </row>
    <row r="7" spans="1:14" x14ac:dyDescent="0.2">
      <c r="A7" s="43" t="s">
        <v>6</v>
      </c>
      <c r="B7" s="2">
        <f>Charter!G5</f>
        <v>0</v>
      </c>
      <c r="C7" s="192">
        <f>Charter!G6</f>
        <v>0</v>
      </c>
      <c r="D7" s="2">
        <f>B7+C7</f>
        <v>0</v>
      </c>
      <c r="E7" s="2">
        <f>'[1]Monthly Summary'!D7</f>
        <v>600</v>
      </c>
      <c r="F7" s="3">
        <f>(D7-E7)/E7</f>
        <v>-1</v>
      </c>
      <c r="G7" s="2">
        <f>+D7+'[2]Monthly Summary'!G7</f>
        <v>893</v>
      </c>
      <c r="H7" s="2">
        <f>'[1]Monthly Summary'!G7</f>
        <v>3008</v>
      </c>
      <c r="I7" s="58">
        <f>(G7-H7)/H7</f>
        <v>-0.703125</v>
      </c>
      <c r="K7" s="2"/>
    </row>
    <row r="8" spans="1:14" x14ac:dyDescent="0.2">
      <c r="A8" s="45" t="s">
        <v>7</v>
      </c>
      <c r="B8" s="98">
        <f>SUM(B5:B7)</f>
        <v>244736</v>
      </c>
      <c r="C8" s="98">
        <f>SUM(C5:C7)</f>
        <v>239295</v>
      </c>
      <c r="D8" s="98">
        <f>SUM(D5:D7)</f>
        <v>484031</v>
      </c>
      <c r="E8" s="98">
        <f>SUM(E5:E7)</f>
        <v>3561426</v>
      </c>
      <c r="F8" s="64">
        <f>(D8-E8)/E8</f>
        <v>-0.86409067603819367</v>
      </c>
      <c r="G8" s="98">
        <f>SUM(G5:G7)</f>
        <v>8179149</v>
      </c>
      <c r="H8" s="98">
        <f>SUM(H5:H7)</f>
        <v>18442871</v>
      </c>
      <c r="I8" s="63">
        <f>(G8-H8)/H8</f>
        <v>-0.55651433011704088</v>
      </c>
    </row>
    <row r="9" spans="1:14" x14ac:dyDescent="0.2">
      <c r="A9" s="43"/>
      <c r="B9" s="83"/>
      <c r="C9" s="83"/>
      <c r="D9" s="83"/>
      <c r="E9" s="83"/>
      <c r="F9" s="4"/>
      <c r="G9" s="83"/>
      <c r="H9" s="83"/>
      <c r="I9" s="58"/>
    </row>
    <row r="10" spans="1:14" x14ac:dyDescent="0.2">
      <c r="A10" s="43" t="s">
        <v>8</v>
      </c>
      <c r="B10" s="193">
        <f>'Major Airline Stats'!K9+'Regional Major'!M10</f>
        <v>14669</v>
      </c>
      <c r="C10" s="193">
        <f>'Major Airline Stats'!K10+'Regional Major'!M11</f>
        <v>15017</v>
      </c>
      <c r="D10" s="84">
        <f>SUM(B10:C10)</f>
        <v>29686</v>
      </c>
      <c r="E10" s="84">
        <f>'[1]Monthly Summary'!D10</f>
        <v>105919</v>
      </c>
      <c r="F10" s="65">
        <f>(D10-E10)/E10</f>
        <v>-0.71972922705085962</v>
      </c>
      <c r="G10" s="84">
        <f>+D10+'[2]Monthly Summary'!G10</f>
        <v>334288</v>
      </c>
      <c r="H10" s="84">
        <f>'[1]Monthly Summary'!G10</f>
        <v>600572</v>
      </c>
      <c r="I10" s="68">
        <f>(G10-H10)/H10</f>
        <v>-0.44338397394483925</v>
      </c>
      <c r="J10" s="140"/>
    </row>
    <row r="11" spans="1:14" ht="15.75" thickBot="1" x14ac:dyDescent="0.3">
      <c r="A11" s="44" t="s">
        <v>13</v>
      </c>
      <c r="B11" s="179">
        <f>B10+B8</f>
        <v>259405</v>
      </c>
      <c r="C11" s="179">
        <f>C10+C8</f>
        <v>254312</v>
      </c>
      <c r="D11" s="179">
        <f>D10+D8</f>
        <v>513717</v>
      </c>
      <c r="E11" s="179">
        <f>E10+E8</f>
        <v>3667345</v>
      </c>
      <c r="F11" s="66">
        <f>(D11-E11)/E11</f>
        <v>-0.85992127819989661</v>
      </c>
      <c r="G11" s="179">
        <f>G8+G10</f>
        <v>8513437</v>
      </c>
      <c r="H11" s="179">
        <f>H8+H10</f>
        <v>19043443</v>
      </c>
      <c r="I11" s="69">
        <f>(G11-H11)/H11</f>
        <v>-0.55294654438275681</v>
      </c>
    </row>
    <row r="12" spans="1:14" ht="15" x14ac:dyDescent="0.25">
      <c r="A12" s="8"/>
      <c r="B12" s="86"/>
      <c r="C12" s="86"/>
      <c r="D12" s="86"/>
      <c r="E12" s="86"/>
      <c r="F12" s="181"/>
      <c r="G12" s="86"/>
      <c r="H12" s="86"/>
      <c r="I12" s="182"/>
      <c r="K12" s="83"/>
    </row>
    <row r="13" spans="1:14" ht="16.5" customHeight="1" x14ac:dyDescent="0.2">
      <c r="B13" s="10"/>
      <c r="C13" s="10"/>
      <c r="D13" s="458" t="s">
        <v>213</v>
      </c>
      <c r="E13" s="458" t="s">
        <v>199</v>
      </c>
      <c r="F13" s="359"/>
      <c r="G13" s="359"/>
      <c r="H13" s="359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9"/>
      <c r="E14" s="460"/>
      <c r="F14" s="359" t="s">
        <v>2</v>
      </c>
      <c r="G14" s="359" t="s">
        <v>214</v>
      </c>
      <c r="H14" s="359" t="s">
        <v>200</v>
      </c>
      <c r="I14" s="5" t="s">
        <v>2</v>
      </c>
    </row>
    <row r="15" spans="1:14" ht="15" x14ac:dyDescent="0.25">
      <c r="A15" s="37" t="s">
        <v>9</v>
      </c>
      <c r="B15" s="23"/>
      <c r="C15" s="23"/>
      <c r="D15" s="23"/>
      <c r="E15" s="23"/>
      <c r="F15" s="24"/>
      <c r="G15" s="23"/>
      <c r="H15" s="23"/>
      <c r="I15" s="170"/>
    </row>
    <row r="16" spans="1:14" x14ac:dyDescent="0.2">
      <c r="A16" s="43" t="s">
        <v>4</v>
      </c>
      <c r="B16" s="199">
        <f>'Major Airline Stats'!K15+'Major Airline Stats'!K19</f>
        <v>2346</v>
      </c>
      <c r="C16" s="199">
        <f>'Major Airline Stats'!K16+'Major Airline Stats'!K20</f>
        <v>2335</v>
      </c>
      <c r="D16" s="25">
        <f t="shared" ref="D16:D21" si="0">SUM(B16:C16)</f>
        <v>4681</v>
      </c>
      <c r="E16" s="2">
        <f>'[1]Monthly Summary'!D16</f>
        <v>20240</v>
      </c>
      <c r="F16" s="67">
        <f t="shared" ref="F16:F22" si="1">(D16-E16)/E16</f>
        <v>-0.76872529644268772</v>
      </c>
      <c r="G16" s="2">
        <f>+D16+'[2]Monthly Summary'!G16</f>
        <v>62347</v>
      </c>
      <c r="H16" s="2">
        <f>'[1]Monthly Summary'!G16</f>
        <v>110334</v>
      </c>
      <c r="I16" s="171">
        <f t="shared" ref="I16:I22" si="2">(G16-H16)/H16</f>
        <v>-0.43492486450232931</v>
      </c>
      <c r="N16" s="83"/>
    </row>
    <row r="17" spans="1:12" x14ac:dyDescent="0.2">
      <c r="A17" s="43" t="s">
        <v>5</v>
      </c>
      <c r="B17" s="25">
        <f>'Regional Major'!M15+'Regional Major'!M18</f>
        <v>1854</v>
      </c>
      <c r="C17" s="25">
        <f>'Regional Major'!M16+'Regional Major'!M19</f>
        <v>1859</v>
      </c>
      <c r="D17" s="25">
        <f>SUM(B17:C17)</f>
        <v>3713</v>
      </c>
      <c r="E17" s="2">
        <f>'[1]Monthly Summary'!D17</f>
        <v>12546</v>
      </c>
      <c r="F17" s="67">
        <f t="shared" si="1"/>
        <v>-0.70404909931452253</v>
      </c>
      <c r="G17" s="2">
        <f>+D17+'[2]Monthly Summary'!G17</f>
        <v>45845</v>
      </c>
      <c r="H17" s="2">
        <f>'[1]Monthly Summary'!G17</f>
        <v>70486</v>
      </c>
      <c r="I17" s="171">
        <f t="shared" si="2"/>
        <v>-0.34958715205856483</v>
      </c>
    </row>
    <row r="18" spans="1:12" x14ac:dyDescent="0.2">
      <c r="A18" s="43" t="s">
        <v>10</v>
      </c>
      <c r="B18" s="25">
        <f>Charter!G10</f>
        <v>0</v>
      </c>
      <c r="C18" s="25">
        <f>Charter!G11</f>
        <v>0</v>
      </c>
      <c r="D18" s="25">
        <f t="shared" si="0"/>
        <v>0</v>
      </c>
      <c r="E18" s="2">
        <f>'[1]Monthly Summary'!D18</f>
        <v>11</v>
      </c>
      <c r="F18" s="67">
        <f t="shared" si="1"/>
        <v>-1</v>
      </c>
      <c r="G18" s="2">
        <f>+D18+'[2]Monthly Summary'!G18</f>
        <v>8</v>
      </c>
      <c r="H18" s="2">
        <f>'[1]Monthly Summary'!G18</f>
        <v>45</v>
      </c>
      <c r="I18" s="171">
        <f t="shared" si="2"/>
        <v>-0.82222222222222219</v>
      </c>
    </row>
    <row r="19" spans="1:12" x14ac:dyDescent="0.2">
      <c r="A19" s="43" t="s">
        <v>11</v>
      </c>
      <c r="B19" s="25">
        <f>Cargo!P4</f>
        <v>617</v>
      </c>
      <c r="C19" s="25">
        <f>Cargo!P5</f>
        <v>617</v>
      </c>
      <c r="D19" s="25">
        <f t="shared" si="0"/>
        <v>1234</v>
      </c>
      <c r="E19" s="2">
        <f>'[1]Monthly Summary'!D19</f>
        <v>1155</v>
      </c>
      <c r="F19" s="67">
        <f t="shared" si="1"/>
        <v>6.8398268398268403E-2</v>
      </c>
      <c r="G19" s="2">
        <f>+D19+'[2]Monthly Summary'!G19</f>
        <v>7037</v>
      </c>
      <c r="H19" s="2">
        <f>'[1]Monthly Summary'!G19</f>
        <v>7002</v>
      </c>
      <c r="I19" s="171">
        <f t="shared" si="2"/>
        <v>4.9985718366181093E-3</v>
      </c>
    </row>
    <row r="20" spans="1:12" x14ac:dyDescent="0.2">
      <c r="A20" s="43" t="s">
        <v>149</v>
      </c>
      <c r="B20" s="25">
        <f>'[3]General Avation'!$GU$4</f>
        <v>406</v>
      </c>
      <c r="C20" s="25">
        <f>'[3]General Avation'!$GU$5</f>
        <v>407</v>
      </c>
      <c r="D20" s="25">
        <f t="shared" si="0"/>
        <v>813</v>
      </c>
      <c r="E20" s="2">
        <f>'[1]Monthly Summary'!D20</f>
        <v>1505</v>
      </c>
      <c r="F20" s="67">
        <f t="shared" si="1"/>
        <v>-0.45980066445182727</v>
      </c>
      <c r="G20" s="2">
        <f>+D20+'[2]Monthly Summary'!G20</f>
        <v>5110</v>
      </c>
      <c r="H20" s="2">
        <f>'[1]Monthly Summary'!G20</f>
        <v>9667</v>
      </c>
      <c r="I20" s="171">
        <f t="shared" si="2"/>
        <v>-0.47139753801593048</v>
      </c>
    </row>
    <row r="21" spans="1:12" ht="12.75" customHeight="1" x14ac:dyDescent="0.2">
      <c r="A21" s="43" t="s">
        <v>12</v>
      </c>
      <c r="B21" s="11">
        <f>'[3]Military '!$GU$4</f>
        <v>38</v>
      </c>
      <c r="C21" s="11">
        <f>'[3]Military '!$GU$5</f>
        <v>38</v>
      </c>
      <c r="D21" s="11">
        <f t="shared" si="0"/>
        <v>76</v>
      </c>
      <c r="E21" s="84">
        <f>'[1]Monthly Summary'!D21</f>
        <v>100</v>
      </c>
      <c r="F21" s="169">
        <f t="shared" si="1"/>
        <v>-0.24</v>
      </c>
      <c r="G21" s="84">
        <f>+D21+'[2]Monthly Summary'!G21</f>
        <v>400</v>
      </c>
      <c r="H21" s="84">
        <f>'[1]Monthly Summary'!G21</f>
        <v>551</v>
      </c>
      <c r="I21" s="172">
        <f t="shared" si="2"/>
        <v>-0.27404718693284935</v>
      </c>
    </row>
    <row r="22" spans="1:12" ht="15.75" thickBot="1" x14ac:dyDescent="0.3">
      <c r="A22" s="44" t="s">
        <v>28</v>
      </c>
      <c r="B22" s="180">
        <f>SUM(B16:B21)</f>
        <v>5261</v>
      </c>
      <c r="C22" s="180">
        <f>SUM(C16:C21)</f>
        <v>5256</v>
      </c>
      <c r="D22" s="180">
        <f>SUM(D16:D21)</f>
        <v>10517</v>
      </c>
      <c r="E22" s="180">
        <f>SUM(E16:E21)</f>
        <v>35557</v>
      </c>
      <c r="F22" s="177">
        <f t="shared" si="1"/>
        <v>-0.70422139100599035</v>
      </c>
      <c r="G22" s="180">
        <f>SUM(G16:G21)</f>
        <v>120747</v>
      </c>
      <c r="H22" s="180">
        <f>SUM(H16:H21)</f>
        <v>198085</v>
      </c>
      <c r="I22" s="178">
        <f t="shared" si="2"/>
        <v>-0.39042835146528004</v>
      </c>
      <c r="K22" s="83"/>
    </row>
    <row r="23" spans="1:12" x14ac:dyDescent="0.2">
      <c r="B23" s="83"/>
      <c r="C23" s="83"/>
      <c r="L23" s="2"/>
    </row>
    <row r="24" spans="1:12" ht="12.75" customHeight="1" x14ac:dyDescent="0.2">
      <c r="B24" s="10"/>
      <c r="C24" s="10"/>
      <c r="D24" s="458" t="s">
        <v>213</v>
      </c>
      <c r="E24" s="458" t="s">
        <v>199</v>
      </c>
      <c r="F24" s="359"/>
      <c r="G24" s="359"/>
      <c r="H24" s="359"/>
      <c r="I24" s="5"/>
    </row>
    <row r="25" spans="1:12" ht="13.5" thickBot="1" x14ac:dyDescent="0.25">
      <c r="B25" s="5" t="s">
        <v>0</v>
      </c>
      <c r="C25" s="5" t="s">
        <v>1</v>
      </c>
      <c r="D25" s="459"/>
      <c r="E25" s="460"/>
      <c r="F25" s="359" t="s">
        <v>2</v>
      </c>
      <c r="G25" s="359" t="s">
        <v>214</v>
      </c>
      <c r="H25" s="359" t="s">
        <v>200</v>
      </c>
      <c r="I25" s="5" t="s">
        <v>2</v>
      </c>
    </row>
    <row r="26" spans="1:12" ht="15" x14ac:dyDescent="0.25">
      <c r="A26" s="41" t="s">
        <v>127</v>
      </c>
      <c r="B26" s="29"/>
      <c r="C26" s="29"/>
      <c r="D26" s="29"/>
      <c r="E26" s="29"/>
      <c r="F26" s="29"/>
      <c r="G26" s="29"/>
      <c r="H26" s="29"/>
      <c r="I26" s="30"/>
    </row>
    <row r="27" spans="1:12" x14ac:dyDescent="0.2">
      <c r="A27" s="38" t="s">
        <v>15</v>
      </c>
      <c r="B27" s="13">
        <f>(Cargo!P16+'Major Airline Stats'!K28+'Regional Major'!M25)*0.00045359237</f>
        <v>7585.2020360639599</v>
      </c>
      <c r="C27" s="13">
        <f>(Cargo!P21+'Major Airline Stats'!K33+'Regional Major'!M30)*0.00045359237</f>
        <v>6706.9374383904196</v>
      </c>
      <c r="D27" s="13">
        <f>(SUM(B27:C27)+('Cargo Summary'!E17*0.00045359237))</f>
        <v>14292.13947445438</v>
      </c>
      <c r="E27" s="2">
        <f>'[1]Monthly Summary'!D27</f>
        <v>17852.859990611028</v>
      </c>
      <c r="F27" s="70">
        <f>(D27-E27)/E27</f>
        <v>-0.19944818466224809</v>
      </c>
      <c r="G27" s="2">
        <f>+D27+'[2]Monthly Summary'!G27</f>
        <v>90953.622181308805</v>
      </c>
      <c r="H27" s="2">
        <f>'[1]Monthly Summary'!G27</f>
        <v>99667.453205999132</v>
      </c>
      <c r="I27" s="72">
        <f>(G27-H27)/H27</f>
        <v>-8.7429052758878245E-2</v>
      </c>
    </row>
    <row r="28" spans="1:12" x14ac:dyDescent="0.2">
      <c r="A28" s="38" t="s">
        <v>16</v>
      </c>
      <c r="B28" s="13">
        <f>(Cargo!P17+'Major Airline Stats'!K29+'Regional Major'!M26)*0.00045359237</f>
        <v>339.79420902966001</v>
      </c>
      <c r="C28" s="13">
        <f>(Cargo!P22+'Major Airline Stats'!K34+'Regional Major'!M31)*0.00045359237</f>
        <v>623.75482605128002</v>
      </c>
      <c r="D28" s="13">
        <f>SUM(B28:C28)</f>
        <v>963.54903508094003</v>
      </c>
      <c r="E28" s="2">
        <f>'[1]Monthly Summary'!D28</f>
        <v>1975.8247769167601</v>
      </c>
      <c r="F28" s="70">
        <f>(D28-E28)/E28</f>
        <v>-0.51233072571114258</v>
      </c>
      <c r="G28" s="2">
        <f>+D28+'[2]Monthly Summary'!G28</f>
        <v>7936.9293531635794</v>
      </c>
      <c r="H28" s="2">
        <f>'[1]Monthly Summary'!G28</f>
        <v>12612.669726069489</v>
      </c>
      <c r="I28" s="72">
        <f>(G28-H28)/H28</f>
        <v>-0.3707177365662313</v>
      </c>
    </row>
    <row r="29" spans="1:12" ht="15.75" thickBot="1" x14ac:dyDescent="0.3">
      <c r="A29" s="39" t="s">
        <v>62</v>
      </c>
      <c r="B29" s="32">
        <f>SUM(B27:B28)</f>
        <v>7924.99624509362</v>
      </c>
      <c r="C29" s="32">
        <f>SUM(C27:C28)</f>
        <v>7330.6922644417</v>
      </c>
      <c r="D29" s="32">
        <f>SUM(D27:D28)</f>
        <v>15255.688509535319</v>
      </c>
      <c r="E29" s="32">
        <f>SUM(E27:E28)</f>
        <v>19828.68476752779</v>
      </c>
      <c r="F29" s="71">
        <f>(D29-E29)/E29</f>
        <v>-0.23062529419406494</v>
      </c>
      <c r="G29" s="32">
        <f>SUM(G27:G28)</f>
        <v>98890.551534472383</v>
      </c>
      <c r="H29" s="32">
        <f>SUM(H27:H28)</f>
        <v>112280.12293206863</v>
      </c>
      <c r="I29" s="73">
        <f>(G29-H29)/H29</f>
        <v>-0.11925148501749647</v>
      </c>
    </row>
    <row r="30" spans="1:12" ht="4.5" customHeight="1" thickBot="1" x14ac:dyDescent="0.3">
      <c r="A30" s="35"/>
      <c r="B30" s="263"/>
      <c r="C30" s="263"/>
      <c r="D30" s="263"/>
      <c r="E30" s="263"/>
      <c r="F30" s="181"/>
      <c r="G30" s="263"/>
      <c r="H30" s="263"/>
      <c r="I30" s="181"/>
    </row>
    <row r="31" spans="1:12" ht="13.5" thickBot="1" x14ac:dyDescent="0.25">
      <c r="B31" s="457" t="s">
        <v>145</v>
      </c>
      <c r="C31" s="456"/>
      <c r="D31" s="457" t="s">
        <v>152</v>
      </c>
      <c r="E31" s="456"/>
      <c r="F31" s="285"/>
      <c r="G31" s="286"/>
    </row>
    <row r="32" spans="1:12" x14ac:dyDescent="0.2">
      <c r="A32" s="267" t="s">
        <v>146</v>
      </c>
      <c r="B32" s="268">
        <f>C8-B33</f>
        <v>169551</v>
      </c>
      <c r="C32" s="269">
        <f>B32/C8</f>
        <v>0.70854384755218458</v>
      </c>
      <c r="D32" s="270">
        <f>+B32+'[2]Monthly Summary'!$D$32</f>
        <v>2685491</v>
      </c>
      <c r="E32" s="271">
        <f>+D32/D34</f>
        <v>0.66488398100834434</v>
      </c>
      <c r="G32" s="2"/>
      <c r="I32" s="284"/>
    </row>
    <row r="33" spans="1:14" ht="13.5" thickBot="1" x14ac:dyDescent="0.25">
      <c r="A33" s="272" t="s">
        <v>147</v>
      </c>
      <c r="B33" s="273">
        <f>'Major Airline Stats'!K51+'Regional Major'!M45</f>
        <v>69744</v>
      </c>
      <c r="C33" s="274">
        <f>+B33/C8</f>
        <v>0.29145615244781548</v>
      </c>
      <c r="D33" s="275">
        <f>+B33+'[2]Monthly Summary'!$D$33</f>
        <v>1353546</v>
      </c>
      <c r="E33" s="276">
        <f>+D33/D34</f>
        <v>0.33511601899165566</v>
      </c>
      <c r="I33" s="284"/>
    </row>
    <row r="34" spans="1:14" ht="13.5" thickBot="1" x14ac:dyDescent="0.25">
      <c r="B34" s="203"/>
      <c r="D34" s="277">
        <f>SUM(D32:D33)</f>
        <v>4039037</v>
      </c>
    </row>
    <row r="35" spans="1:14" ht="13.5" thickBot="1" x14ac:dyDescent="0.25">
      <c r="B35" s="455" t="s">
        <v>225</v>
      </c>
      <c r="C35" s="456"/>
      <c r="D35" s="457" t="s">
        <v>212</v>
      </c>
      <c r="E35" s="456"/>
    </row>
    <row r="36" spans="1:14" x14ac:dyDescent="0.2">
      <c r="A36" s="267" t="s">
        <v>146</v>
      </c>
      <c r="B36" s="268">
        <f>'[1]Monthly Summary'!$B$32</f>
        <v>1077711</v>
      </c>
      <c r="C36" s="269">
        <f>+B36/B38</f>
        <v>0.60733152174525584</v>
      </c>
      <c r="D36" s="270">
        <f>'[1]Monthly Summary'!$D$32</f>
        <v>5918996</v>
      </c>
      <c r="E36" s="271">
        <f>+D36/D38</f>
        <v>0.64372919896281111</v>
      </c>
    </row>
    <row r="37" spans="1:14" ht="13.5" thickBot="1" x14ac:dyDescent="0.25">
      <c r="A37" s="272" t="s">
        <v>147</v>
      </c>
      <c r="B37" s="273">
        <f>'[1]Monthly Summary'!$B$33</f>
        <v>696791</v>
      </c>
      <c r="C37" s="276">
        <f>+B37/B38</f>
        <v>0.39266847825474416</v>
      </c>
      <c r="D37" s="275">
        <f>'[1]Monthly Summary'!$D$33</f>
        <v>3275858</v>
      </c>
      <c r="E37" s="276">
        <f>+D37/D38</f>
        <v>0.35627080103718883</v>
      </c>
      <c r="M37" s="1"/>
    </row>
    <row r="38" spans="1:14" x14ac:dyDescent="0.2">
      <c r="B38" s="289">
        <f>+SUM(B36:B37)</f>
        <v>1774502</v>
      </c>
      <c r="D38" s="277">
        <f>SUM(D36:D37)</f>
        <v>9194854</v>
      </c>
    </row>
    <row r="39" spans="1:14" x14ac:dyDescent="0.2">
      <c r="A39" s="281" t="s">
        <v>148</v>
      </c>
    </row>
    <row r="40" spans="1:14" x14ac:dyDescent="0.2">
      <c r="A40" s="141" t="s">
        <v>150</v>
      </c>
      <c r="I40" s="2"/>
    </row>
    <row r="41" spans="1:14" x14ac:dyDescent="0.2">
      <c r="N41" s="282"/>
    </row>
    <row r="42" spans="1:14" x14ac:dyDescent="0.2">
      <c r="G42" s="2"/>
      <c r="N42" s="282"/>
    </row>
    <row r="43" spans="1:14" x14ac:dyDescent="0.2">
      <c r="B43" s="203"/>
      <c r="J43" s="2"/>
      <c r="N43" s="282"/>
    </row>
    <row r="44" spans="1:14" x14ac:dyDescent="0.2">
      <c r="B44" s="203"/>
      <c r="N44" s="282"/>
    </row>
    <row r="45" spans="1:14" x14ac:dyDescent="0.2">
      <c r="J45" s="2"/>
      <c r="N45" s="282"/>
    </row>
    <row r="46" spans="1:14" x14ac:dyDescent="0.2">
      <c r="B46" s="2"/>
      <c r="F46" s="203"/>
    </row>
    <row r="47" spans="1:14" x14ac:dyDescent="0.2">
      <c r="N47" s="282"/>
    </row>
    <row r="51" spans="12:12" x14ac:dyDescent="0.2">
      <c r="L51" s="28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4" priority="15" stopIfTrue="1">
      <formula>"*.*"</formula>
    </cfRule>
  </conditionalFormatting>
  <conditionalFormatting sqref="B13:C13 I13:I14">
    <cfRule type="expression" dxfId="3" priority="10" stopIfTrue="1">
      <formula>"*.*"</formula>
    </cfRule>
  </conditionalFormatting>
  <conditionalFormatting sqref="B24:C24 I24:I25">
    <cfRule type="expression" dxfId="2" priority="9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June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topLeftCell="A13" zoomScaleNormal="100" zoomScaleSheetLayoutView="100" workbookViewId="0">
      <selection activeCell="P27" sqref="P2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257">
        <v>43983</v>
      </c>
      <c r="B1" s="304" t="s">
        <v>18</v>
      </c>
      <c r="C1" s="303" t="s">
        <v>195</v>
      </c>
      <c r="D1" s="369" t="s">
        <v>158</v>
      </c>
      <c r="E1" s="303" t="s">
        <v>164</v>
      </c>
      <c r="F1" s="303" t="s">
        <v>163</v>
      </c>
      <c r="G1" s="303" t="s">
        <v>49</v>
      </c>
      <c r="H1" s="303" t="s">
        <v>114</v>
      </c>
      <c r="I1" s="303" t="s">
        <v>194</v>
      </c>
      <c r="J1" s="303" t="s">
        <v>191</v>
      </c>
      <c r="K1" s="303" t="s">
        <v>196</v>
      </c>
      <c r="L1" s="303" t="s">
        <v>162</v>
      </c>
      <c r="M1" s="303" t="s">
        <v>211</v>
      </c>
      <c r="N1" s="303" t="s">
        <v>157</v>
      </c>
      <c r="O1" s="303" t="s">
        <v>140</v>
      </c>
      <c r="P1" s="303" t="s">
        <v>21</v>
      </c>
    </row>
    <row r="2" spans="1:16" ht="15" x14ac:dyDescent="0.25">
      <c r="A2" s="491" t="s">
        <v>141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3"/>
    </row>
    <row r="3" spans="1:16" x14ac:dyDescent="0.2">
      <c r="A3" s="38" t="s">
        <v>29</v>
      </c>
      <c r="P3" s="38"/>
    </row>
    <row r="4" spans="1:16" x14ac:dyDescent="0.2">
      <c r="A4" s="38" t="s">
        <v>30</v>
      </c>
      <c r="B4" s="12">
        <f>[3]Delta!$GU$32</f>
        <v>425</v>
      </c>
      <c r="C4" s="12">
        <f>'[3]Atlantic Southeast'!$GU$32</f>
        <v>0</v>
      </c>
      <c r="D4" s="12">
        <f>[3]Pinnacle!$GU$32</f>
        <v>0</v>
      </c>
      <c r="E4" s="12">
        <f>'[3]Sky West'!$GU$32</f>
        <v>1083</v>
      </c>
      <c r="F4" s="12">
        <f>'[3]Go Jet'!$GU$32</f>
        <v>0</v>
      </c>
      <c r="G4" s="12">
        <f>'[3]Sun Country'!$GU$32</f>
        <v>0</v>
      </c>
      <c r="H4" s="12">
        <f>[3]Icelandair!$GU$32</f>
        <v>0</v>
      </c>
      <c r="I4" s="12">
        <f>[3]KLM!$GU$32</f>
        <v>0</v>
      </c>
      <c r="J4" s="12">
        <f>'[3]Air Georgian'!$GU$32</f>
        <v>0</v>
      </c>
      <c r="K4" s="12">
        <f>'[3]Sky Regional'!$GU$32</f>
        <v>0</v>
      </c>
      <c r="L4" s="12">
        <f>[3]Condor!$GU$32</f>
        <v>0</v>
      </c>
      <c r="M4" s="12">
        <f>'[3]Aer Lingus'!$GU$32</f>
        <v>0</v>
      </c>
      <c r="N4" s="12">
        <f>'[3]Air France'!$GU$32</f>
        <v>0</v>
      </c>
      <c r="O4" s="12">
        <f>'[3]Charter Misc'!$GU$32+[3]Ryan!$GU$32+[3]Omni!$GU$32</f>
        <v>0</v>
      </c>
      <c r="P4" s="371">
        <f>SUM(B4:O4)</f>
        <v>1508</v>
      </c>
    </row>
    <row r="5" spans="1:16" x14ac:dyDescent="0.2">
      <c r="A5" s="38" t="s">
        <v>31</v>
      </c>
      <c r="B5" s="7">
        <f>[3]Delta!$GU$33</f>
        <v>0</v>
      </c>
      <c r="C5" s="7">
        <f>'[3]Atlantic Southeast'!$GU$33</f>
        <v>0</v>
      </c>
      <c r="D5" s="7">
        <f>[3]Pinnacle!$GU$33</f>
        <v>0</v>
      </c>
      <c r="E5" s="7">
        <f>'[3]Sky West'!$GU$33</f>
        <v>767</v>
      </c>
      <c r="F5" s="7">
        <f>'[3]Go Jet'!$GU$33</f>
        <v>0</v>
      </c>
      <c r="G5" s="7">
        <f>'[3]Sun Country'!$GU$33</f>
        <v>0</v>
      </c>
      <c r="H5" s="7">
        <f>[3]Icelandair!$GU$33</f>
        <v>0</v>
      </c>
      <c r="I5" s="7">
        <f>[3]KLM!$GU$33</f>
        <v>0</v>
      </c>
      <c r="J5" s="7">
        <f>'[3]Air Georgian'!$GU$33</f>
        <v>0</v>
      </c>
      <c r="K5" s="7">
        <f>'[3]Sky Regional'!$GU$33</f>
        <v>0</v>
      </c>
      <c r="L5" s="7">
        <f>[3]Condor!$GU$33</f>
        <v>0</v>
      </c>
      <c r="M5" s="7">
        <f>'[3]Aer Lingus'!$GU$33</f>
        <v>0</v>
      </c>
      <c r="N5" s="7">
        <f>'[3]Air France'!$GU$33</f>
        <v>0</v>
      </c>
      <c r="O5" s="7">
        <f>'[3]Charter Misc'!$GU$33++[3]Ryan!$GU$33+[3]Omni!$GU$33</f>
        <v>0</v>
      </c>
      <c r="P5" s="372">
        <f>SUM(B5:O5)</f>
        <v>767</v>
      </c>
    </row>
    <row r="6" spans="1:16" ht="15" x14ac:dyDescent="0.25">
      <c r="A6" s="36" t="s">
        <v>7</v>
      </c>
      <c r="B6" s="18">
        <f t="shared" ref="B6:O6" si="0">SUM(B4:B5)</f>
        <v>425</v>
      </c>
      <c r="C6" s="18">
        <f t="shared" si="0"/>
        <v>0</v>
      </c>
      <c r="D6" s="18">
        <f t="shared" si="0"/>
        <v>0</v>
      </c>
      <c r="E6" s="18">
        <f t="shared" si="0"/>
        <v>1850</v>
      </c>
      <c r="F6" s="18">
        <f t="shared" ref="F6" si="1">SUM(F4:F5)</f>
        <v>0</v>
      </c>
      <c r="G6" s="18">
        <f t="shared" si="0"/>
        <v>0</v>
      </c>
      <c r="H6" s="18">
        <f t="shared" si="0"/>
        <v>0</v>
      </c>
      <c r="I6" s="18">
        <f t="shared" ref="I6" si="2">SUM(I4:I5)</f>
        <v>0</v>
      </c>
      <c r="J6" s="18">
        <f t="shared" si="0"/>
        <v>0</v>
      </c>
      <c r="K6" s="18">
        <f t="shared" ref="K6" si="3">SUM(K4:K5)</f>
        <v>0</v>
      </c>
      <c r="L6" s="18">
        <f t="shared" ref="L6:M6" si="4">SUM(L4:L5)</f>
        <v>0</v>
      </c>
      <c r="M6" s="18">
        <f t="shared" si="4"/>
        <v>0</v>
      </c>
      <c r="N6" s="18">
        <f t="shared" si="0"/>
        <v>0</v>
      </c>
      <c r="O6" s="18">
        <f t="shared" si="0"/>
        <v>0</v>
      </c>
      <c r="P6" s="373">
        <f>SUM(B6:O6)</f>
        <v>2275</v>
      </c>
    </row>
    <row r="7" spans="1:16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1"/>
    </row>
    <row r="8" spans="1:16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71">
        <f>SUM(B8:O8)</f>
        <v>0</v>
      </c>
    </row>
    <row r="9" spans="1:16" x14ac:dyDescent="0.2">
      <c r="A9" s="38" t="s">
        <v>30</v>
      </c>
      <c r="B9" s="12">
        <f>[3]Delta!$GU$37</f>
        <v>7</v>
      </c>
      <c r="C9" s="12">
        <f>'[3]Atlantic Southeast'!$GU$37</f>
        <v>0</v>
      </c>
      <c r="D9" s="12">
        <f>[3]Pinnacle!$GU$37</f>
        <v>0</v>
      </c>
      <c r="E9" s="12">
        <f>'[3]Sky West'!$GU$37</f>
        <v>14</v>
      </c>
      <c r="F9" s="12">
        <f>'[3]Go Jet'!$GU$37</f>
        <v>0</v>
      </c>
      <c r="G9" s="12">
        <f>'[3]Sun Country'!$GU$37</f>
        <v>0</v>
      </c>
      <c r="H9" s="12">
        <f>[3]Icelandair!$GU$37</f>
        <v>0</v>
      </c>
      <c r="I9" s="12">
        <f>[3]KLM!$GU$37</f>
        <v>0</v>
      </c>
      <c r="J9" s="12">
        <f>'[3]Air Georgian'!$GU$37</f>
        <v>0</v>
      </c>
      <c r="K9" s="12">
        <f>'[3]Sky Regional'!$GU$37</f>
        <v>0</v>
      </c>
      <c r="L9" s="12">
        <f>[3]Condor!$GU$37</f>
        <v>0</v>
      </c>
      <c r="M9" s="12">
        <f>'[3]Aer Lingus'!$GU$37</f>
        <v>0</v>
      </c>
      <c r="N9" s="12">
        <f>'[3]Air France'!$GU$37</f>
        <v>0</v>
      </c>
      <c r="O9" s="12">
        <f>'[3]Charter Misc'!$GU$37+[3]Ryan!$GU$37+[3]Omni!$GU$37</f>
        <v>0</v>
      </c>
      <c r="P9" s="371">
        <f>SUM(B9:O9)</f>
        <v>21</v>
      </c>
    </row>
    <row r="10" spans="1:16" x14ac:dyDescent="0.2">
      <c r="A10" s="38" t="s">
        <v>33</v>
      </c>
      <c r="B10" s="7">
        <f>[3]Delta!$GU$38</f>
        <v>1</v>
      </c>
      <c r="C10" s="7">
        <f>'[3]Atlantic Southeast'!$GU$38</f>
        <v>0</v>
      </c>
      <c r="D10" s="7">
        <f>[3]Pinnacle!$GU$38</f>
        <v>0</v>
      </c>
      <c r="E10" s="7">
        <f>'[3]Sky West'!$GU$38</f>
        <v>12</v>
      </c>
      <c r="F10" s="7">
        <f>'[3]Go Jet'!$GU$38</f>
        <v>0</v>
      </c>
      <c r="G10" s="7">
        <f>'[3]Sun Country'!$GU$38</f>
        <v>0</v>
      </c>
      <c r="H10" s="7">
        <f>[3]Icelandair!$GU$38</f>
        <v>0</v>
      </c>
      <c r="I10" s="7">
        <f>[3]KLM!$GU$38</f>
        <v>0</v>
      </c>
      <c r="J10" s="7">
        <f>'[3]Air Georgian'!$GU$38</f>
        <v>0</v>
      </c>
      <c r="K10" s="7">
        <f>'[3]Sky Regional'!$GU$38</f>
        <v>0</v>
      </c>
      <c r="L10" s="7">
        <f>[3]Condor!$GU$38</f>
        <v>0</v>
      </c>
      <c r="M10" s="7">
        <f>'[3]Aer Lingus'!$GU$38</f>
        <v>0</v>
      </c>
      <c r="N10" s="7">
        <f>'[3]Air France'!$GU$38</f>
        <v>0</v>
      </c>
      <c r="O10" s="7">
        <f>'[3]Charter Misc'!$GU$38+[3]Ryan!$GU$38+[3]Omni!$GU$38</f>
        <v>0</v>
      </c>
      <c r="P10" s="372">
        <f>SUM(B10:O10)</f>
        <v>13</v>
      </c>
    </row>
    <row r="11" spans="1:16" ht="15.75" thickBot="1" x14ac:dyDescent="0.3">
      <c r="A11" s="39" t="s">
        <v>34</v>
      </c>
      <c r="B11" s="186">
        <f t="shared" ref="B11:G11" si="5">SUM(B9:B10)</f>
        <v>8</v>
      </c>
      <c r="C11" s="186">
        <f t="shared" si="5"/>
        <v>0</v>
      </c>
      <c r="D11" s="186">
        <f t="shared" si="5"/>
        <v>0</v>
      </c>
      <c r="E11" s="186">
        <f t="shared" si="5"/>
        <v>26</v>
      </c>
      <c r="F11" s="186">
        <f t="shared" ref="F11" si="6">SUM(F9:F10)</f>
        <v>0</v>
      </c>
      <c r="G11" s="186">
        <f t="shared" si="5"/>
        <v>0</v>
      </c>
      <c r="H11" s="186">
        <f t="shared" ref="H11:O11" si="7">SUM(H9:H10)</f>
        <v>0</v>
      </c>
      <c r="I11" s="186">
        <f t="shared" ref="I11" si="8">SUM(I9:I10)</f>
        <v>0</v>
      </c>
      <c r="J11" s="186">
        <f t="shared" si="7"/>
        <v>0</v>
      </c>
      <c r="K11" s="186">
        <f t="shared" ref="K11" si="9">SUM(K9:K10)</f>
        <v>0</v>
      </c>
      <c r="L11" s="186">
        <f t="shared" si="7"/>
        <v>0</v>
      </c>
      <c r="M11" s="186">
        <f t="shared" ref="M11" si="10">SUM(M9:M10)</f>
        <v>0</v>
      </c>
      <c r="N11" s="186">
        <f t="shared" si="7"/>
        <v>0</v>
      </c>
      <c r="O11" s="186">
        <f t="shared" si="7"/>
        <v>0</v>
      </c>
      <c r="P11" s="374">
        <f>SUM(B11:O11)</f>
        <v>34</v>
      </c>
    </row>
    <row r="12" spans="1:16" ht="15" x14ac:dyDescent="0.25">
      <c r="A12" s="261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9"/>
    </row>
    <row r="13" spans="1:16" ht="39" thickBot="1" x14ac:dyDescent="0.25">
      <c r="B13" s="304" t="s">
        <v>18</v>
      </c>
      <c r="C13" s="303" t="s">
        <v>195</v>
      </c>
      <c r="D13" s="369" t="s">
        <v>158</v>
      </c>
      <c r="E13" s="303" t="s">
        <v>164</v>
      </c>
      <c r="F13" s="303" t="s">
        <v>163</v>
      </c>
      <c r="G13" s="303" t="s">
        <v>49</v>
      </c>
      <c r="H13" s="303" t="s">
        <v>114</v>
      </c>
      <c r="I13" s="303" t="s">
        <v>194</v>
      </c>
      <c r="J13" s="303" t="s">
        <v>191</v>
      </c>
      <c r="K13" s="303" t="s">
        <v>196</v>
      </c>
      <c r="L13" s="303" t="s">
        <v>162</v>
      </c>
      <c r="M13" s="303" t="s">
        <v>211</v>
      </c>
      <c r="N13" s="303" t="s">
        <v>157</v>
      </c>
      <c r="O13" s="303" t="s">
        <v>140</v>
      </c>
      <c r="P13" s="303" t="s">
        <v>21</v>
      </c>
    </row>
    <row r="14" spans="1:16" ht="15" x14ac:dyDescent="0.25">
      <c r="A14" s="494" t="s">
        <v>142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6"/>
    </row>
    <row r="15" spans="1:16" x14ac:dyDescent="0.2">
      <c r="A15" s="38" t="s">
        <v>29</v>
      </c>
      <c r="P15" s="38"/>
    </row>
    <row r="16" spans="1:16" x14ac:dyDescent="0.2">
      <c r="A16" s="38" t="s">
        <v>30</v>
      </c>
      <c r="B16" s="12">
        <f>SUM([3]Delta!$GP$32:$GU$32)</f>
        <v>240930</v>
      </c>
      <c r="C16" s="12">
        <f>SUM('[3]Atlantic Southeast'!$GP$32:$GU$32)</f>
        <v>0</v>
      </c>
      <c r="D16" s="12">
        <f>SUM([3]Pinnacle!$GP$32:$GU$32)</f>
        <v>11430</v>
      </c>
      <c r="E16" s="12">
        <f>SUM('[3]Sky West'!$GP$32:$GU$32)</f>
        <v>41048</v>
      </c>
      <c r="F16" s="12">
        <f>SUM('[3]Go Jet'!$GP$32:$GU$32)</f>
        <v>0</v>
      </c>
      <c r="G16" s="12">
        <f>SUM('[3]Sun Country'!$GP$32:$GU$32)</f>
        <v>86037</v>
      </c>
      <c r="H16" s="12">
        <f>SUM([3]Icelandair!$GP$32:$GU$32)</f>
        <v>1011</v>
      </c>
      <c r="I16" s="12">
        <f>SUM([3]KLM!$GP$32:$GU$32)</f>
        <v>9290</v>
      </c>
      <c r="J16" s="12">
        <f>SUM('[3]Air Georgian'!$GP$32:$GU$32)</f>
        <v>0</v>
      </c>
      <c r="K16" s="12">
        <f>SUM('[3]Sky Regional'!$GP$32:$GU$32)</f>
        <v>8489</v>
      </c>
      <c r="L16" s="12">
        <f>SUM([3]Condor!$GP$32:$GU$32)</f>
        <v>0</v>
      </c>
      <c r="M16" s="12">
        <f>SUM('[3]Aer Lingus'!$GP$32:$GU$32)</f>
        <v>5028</v>
      </c>
      <c r="N16" s="12">
        <f>SUM('[3]Air France'!$GP$32:$GU$32)</f>
        <v>0</v>
      </c>
      <c r="O16" s="12">
        <f>SUM('[3]Charter Misc'!$GP$32:$GU$32)+SUM([3]Ryan!$GP$32:$GU$32)+SUM([3]Omni!$GP$32:$GU$32)</f>
        <v>60</v>
      </c>
      <c r="P16" s="371">
        <f>SUM(B16:O16)</f>
        <v>403323</v>
      </c>
    </row>
    <row r="17" spans="1:19" x14ac:dyDescent="0.2">
      <c r="A17" s="38" t="s">
        <v>31</v>
      </c>
      <c r="B17" s="7">
        <f>SUM([3]Delta!$GP$33:$GU$33)</f>
        <v>221354</v>
      </c>
      <c r="C17" s="7">
        <f>SUM('[3]Atlantic Southeast'!$GP$33:$GU$33)</f>
        <v>0</v>
      </c>
      <c r="D17" s="7">
        <f>SUM([3]Pinnacle!$GP$33:$GU$33)</f>
        <v>12177</v>
      </c>
      <c r="E17" s="7">
        <f>SUM('[3]Sky West'!$GP$33:$GU$33)</f>
        <v>42203</v>
      </c>
      <c r="F17" s="7">
        <f>SUM('[3]Go Jet'!$GP$33:$GU$33)</f>
        <v>0</v>
      </c>
      <c r="G17" s="7">
        <f>SUM('[3]Sun Country'!$GP$33:$GU$33)</f>
        <v>78950</v>
      </c>
      <c r="H17" s="7">
        <f>SUM([3]Icelandair!$GP$33:$GU$33)</f>
        <v>1047</v>
      </c>
      <c r="I17" s="7">
        <f>SUM([3]KLM!$GP$33:$GU$33)</f>
        <v>6678</v>
      </c>
      <c r="J17" s="7">
        <f>SUM('[3]Air Georgian'!$GP$33:$GU$33)</f>
        <v>0</v>
      </c>
      <c r="K17" s="7">
        <f>SUM('[3]Sky Regional'!$GP$33:$GU$33)</f>
        <v>8452</v>
      </c>
      <c r="L17" s="7">
        <f>SUM([3]Condor!$GP$33:$GU$33)</f>
        <v>0</v>
      </c>
      <c r="M17" s="7">
        <f>SUM('[3]Aer Lingus'!$GP$33:$GU$33)</f>
        <v>4594</v>
      </c>
      <c r="N17" s="7">
        <f>SUM('[3]Air France'!$GP$33:$GU$33)</f>
        <v>0</v>
      </c>
      <c r="O17" s="7">
        <f>SUM('[3]Charter Misc'!$GP$33:$GU$33)++SUM([3]Ryan!$GP$33:$GU$33)+SUM([3]Omni!$GP$33:$GU$33)</f>
        <v>0</v>
      </c>
      <c r="P17" s="372">
        <f>SUM(B17:O17)</f>
        <v>375455</v>
      </c>
    </row>
    <row r="18" spans="1:19" ht="15" x14ac:dyDescent="0.25">
      <c r="A18" s="36" t="s">
        <v>7</v>
      </c>
      <c r="B18" s="18">
        <f t="shared" ref="B18:O18" si="11">SUM(B16:B17)</f>
        <v>462284</v>
      </c>
      <c r="C18" s="18">
        <f t="shared" si="11"/>
        <v>0</v>
      </c>
      <c r="D18" s="18">
        <f t="shared" si="11"/>
        <v>23607</v>
      </c>
      <c r="E18" s="18">
        <f t="shared" si="11"/>
        <v>83251</v>
      </c>
      <c r="F18" s="18">
        <f t="shared" ref="F18" si="12">SUM(F16:F17)</f>
        <v>0</v>
      </c>
      <c r="G18" s="18">
        <f t="shared" si="11"/>
        <v>164987</v>
      </c>
      <c r="H18" s="18">
        <f t="shared" si="11"/>
        <v>2058</v>
      </c>
      <c r="I18" s="18">
        <f t="shared" ref="I18" si="13">SUM(I16:I17)</f>
        <v>15968</v>
      </c>
      <c r="J18" s="18">
        <f t="shared" si="11"/>
        <v>0</v>
      </c>
      <c r="K18" s="18">
        <f t="shared" ref="K18" si="14">SUM(K16:K17)</f>
        <v>16941</v>
      </c>
      <c r="L18" s="18">
        <f t="shared" ref="L18:M18" si="15">SUM(L16:L17)</f>
        <v>0</v>
      </c>
      <c r="M18" s="18">
        <f t="shared" si="15"/>
        <v>9622</v>
      </c>
      <c r="N18" s="18">
        <f t="shared" si="11"/>
        <v>0</v>
      </c>
      <c r="O18" s="18">
        <f t="shared" si="11"/>
        <v>60</v>
      </c>
      <c r="P18" s="373">
        <f>SUM(B18:O18)</f>
        <v>778778</v>
      </c>
      <c r="S18" s="203"/>
    </row>
    <row r="19" spans="1:19" x14ac:dyDescent="0.2">
      <c r="A19" s="3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71"/>
      <c r="S19" s="83"/>
    </row>
    <row r="20" spans="1:19" x14ac:dyDescent="0.2">
      <c r="A20" s="3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71">
        <f>SUM(B20:O20)</f>
        <v>0</v>
      </c>
    </row>
    <row r="21" spans="1:19" x14ac:dyDescent="0.2">
      <c r="A21" s="38" t="s">
        <v>30</v>
      </c>
      <c r="B21" s="12">
        <f>SUM([3]Delta!$GP$37:$GU$37)</f>
        <v>6541</v>
      </c>
      <c r="C21" s="12">
        <f>SUM('[3]Atlantic Southeast'!$GP$37:$GU$37)</f>
        <v>0</v>
      </c>
      <c r="D21" s="12">
        <f>SUM([3]Pinnacle!$GP$37:$GU$37)</f>
        <v>265</v>
      </c>
      <c r="E21" s="12">
        <f>SUM('[3]Sky West'!$GP$37:$GU$37)</f>
        <v>509</v>
      </c>
      <c r="F21" s="12">
        <f>SUM('[3]Go Jet'!$GP$37:$GU$37)</f>
        <v>0</v>
      </c>
      <c r="G21" s="12">
        <f>SUM('[3]Sun Country'!$GP$37:$GU$37)</f>
        <v>1011</v>
      </c>
      <c r="H21" s="12">
        <f>SUM([3]Icelandair!$GP$37:$GU$37)</f>
        <v>22</v>
      </c>
      <c r="I21" s="12">
        <f>SUM([3]KLM!$GP$37:$GU$37)</f>
        <v>35</v>
      </c>
      <c r="J21" s="12">
        <f>SUM('[3]Air Georgian'!$GP$37:$GU$37)</f>
        <v>0</v>
      </c>
      <c r="K21" s="12">
        <f>SUM('[3]Sky Regional'!$GP$37:$GU$37)</f>
        <v>116</v>
      </c>
      <c r="L21" s="12">
        <f>SUM([3]Condor!$GP$37:$GU$37)</f>
        <v>0</v>
      </c>
      <c r="M21" s="12">
        <f>SUM('[3]Aer Lingus'!$GP$37:$GU$37)</f>
        <v>35</v>
      </c>
      <c r="N21" s="12">
        <f>SUM('[3]Air France'!$GP$37:$GU$37)</f>
        <v>0</v>
      </c>
      <c r="O21" s="12">
        <f>SUM('[3]Charter Misc'!$GP$37:$GU$37)++SUM([3]Ryan!$GP$37:$GU$37)+SUM([3]Omni!$GP$37:$GU$37)</f>
        <v>0</v>
      </c>
      <c r="P21" s="371">
        <f>SUM(B21:O21)</f>
        <v>8534</v>
      </c>
    </row>
    <row r="22" spans="1:19" x14ac:dyDescent="0.2">
      <c r="A22" s="38" t="s">
        <v>33</v>
      </c>
      <c r="B22" s="7">
        <f>SUM([3]Delta!$GP$38:$GU$38)</f>
        <v>5725</v>
      </c>
      <c r="C22" s="7">
        <f>SUM('[3]Atlantic Southeast'!$GP$38:$GU$38)</f>
        <v>0</v>
      </c>
      <c r="D22" s="7">
        <f>SUM([3]Pinnacle!$GP$38:$GU$38)</f>
        <v>139</v>
      </c>
      <c r="E22" s="7">
        <f>SUM('[3]Sky West'!$GP$38:$GU$38)</f>
        <v>501</v>
      </c>
      <c r="F22" s="7">
        <f>SUM('[3]Go Jet'!$GP$38:$GU$38)</f>
        <v>0</v>
      </c>
      <c r="G22" s="7">
        <f>SUM('[3]Sun Country'!$GP$38:$GU$38)</f>
        <v>956</v>
      </c>
      <c r="H22" s="7">
        <f>SUM([3]Icelandair!$GP$38:$GU$38)</f>
        <v>20</v>
      </c>
      <c r="I22" s="7">
        <f>SUM([3]KLM!$GP$38:$GU$38)</f>
        <v>26</v>
      </c>
      <c r="J22" s="7">
        <f>SUM('[3]Air Georgian'!$GP$38:$GU$38)</f>
        <v>0</v>
      </c>
      <c r="K22" s="7">
        <f>SUM('[3]Sky Regional'!$GP$38:$GU$38)</f>
        <v>116</v>
      </c>
      <c r="L22" s="7">
        <f>SUM([3]Condor!$GP$38:$GU$38)</f>
        <v>0</v>
      </c>
      <c r="M22" s="7">
        <f>SUM('[3]Aer Lingus'!$GP$38:$GU$38)</f>
        <v>37</v>
      </c>
      <c r="N22" s="7">
        <f>SUM('[3]Air France'!$GP$38:$GU$38)</f>
        <v>0</v>
      </c>
      <c r="O22" s="7">
        <f>SUM('[3]Charter Misc'!$GP$38:$GU$38)++SUM([3]Ryan!$GP$38:$GU$38)+SUM([3]Omni!$GP$38:$GU$38)</f>
        <v>0</v>
      </c>
      <c r="P22" s="372">
        <f>SUM(B22:O22)</f>
        <v>7520</v>
      </c>
    </row>
    <row r="23" spans="1:19" ht="15.75" thickBot="1" x14ac:dyDescent="0.3">
      <c r="A23" s="39" t="s">
        <v>34</v>
      </c>
      <c r="B23" s="186">
        <f t="shared" ref="B23:O23" si="16">SUM(B21:B22)</f>
        <v>12266</v>
      </c>
      <c r="C23" s="186">
        <f t="shared" si="16"/>
        <v>0</v>
      </c>
      <c r="D23" s="186">
        <f t="shared" si="16"/>
        <v>404</v>
      </c>
      <c r="E23" s="186">
        <f t="shared" si="16"/>
        <v>1010</v>
      </c>
      <c r="F23" s="186">
        <f t="shared" ref="F23" si="17">SUM(F21:F22)</f>
        <v>0</v>
      </c>
      <c r="G23" s="186">
        <f t="shared" si="16"/>
        <v>1967</v>
      </c>
      <c r="H23" s="186">
        <f t="shared" si="16"/>
        <v>42</v>
      </c>
      <c r="I23" s="186">
        <f t="shared" ref="I23" si="18">SUM(I21:I22)</f>
        <v>61</v>
      </c>
      <c r="J23" s="186">
        <f t="shared" si="16"/>
        <v>0</v>
      </c>
      <c r="K23" s="186">
        <f t="shared" ref="K23" si="19">SUM(K21:K22)</f>
        <v>232</v>
      </c>
      <c r="L23" s="186">
        <f t="shared" ref="L23:M23" si="20">SUM(L21:L22)</f>
        <v>0</v>
      </c>
      <c r="M23" s="186">
        <f t="shared" si="20"/>
        <v>72</v>
      </c>
      <c r="N23" s="186">
        <f t="shared" si="16"/>
        <v>0</v>
      </c>
      <c r="O23" s="186">
        <f t="shared" si="16"/>
        <v>0</v>
      </c>
      <c r="P23" s="374">
        <f>SUM(B23:O23)</f>
        <v>16054</v>
      </c>
    </row>
    <row r="25" spans="1:19" ht="39" thickBot="1" x14ac:dyDescent="0.25">
      <c r="B25" s="304" t="s">
        <v>18</v>
      </c>
      <c r="C25" s="303" t="s">
        <v>195</v>
      </c>
      <c r="D25" s="369" t="s">
        <v>158</v>
      </c>
      <c r="E25" s="303" t="s">
        <v>164</v>
      </c>
      <c r="F25" s="303" t="s">
        <v>163</v>
      </c>
      <c r="G25" s="303" t="s">
        <v>49</v>
      </c>
      <c r="H25" s="303" t="s">
        <v>114</v>
      </c>
      <c r="I25" s="303" t="s">
        <v>194</v>
      </c>
      <c r="J25" s="303" t="s">
        <v>191</v>
      </c>
      <c r="K25" s="303" t="s">
        <v>196</v>
      </c>
      <c r="L25" s="303" t="s">
        <v>162</v>
      </c>
      <c r="M25" s="303" t="s">
        <v>211</v>
      </c>
      <c r="N25" s="303" t="s">
        <v>157</v>
      </c>
      <c r="O25" s="303" t="s">
        <v>140</v>
      </c>
      <c r="P25" s="303" t="s">
        <v>21</v>
      </c>
    </row>
    <row r="26" spans="1:19" ht="15" x14ac:dyDescent="0.25">
      <c r="A26" s="497" t="s">
        <v>143</v>
      </c>
      <c r="B26" s="498"/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9"/>
    </row>
    <row r="27" spans="1:19" x14ac:dyDescent="0.2">
      <c r="A27" s="38" t="s">
        <v>22</v>
      </c>
      <c r="B27" s="12">
        <f>[3]Delta!$GU$15</f>
        <v>3</v>
      </c>
      <c r="C27" s="12">
        <f>'[3]Atlantic Southeast'!$GU$15</f>
        <v>0</v>
      </c>
      <c r="D27" s="12">
        <f>[3]Pinnacle!$GU$15</f>
        <v>0</v>
      </c>
      <c r="E27" s="12">
        <f>'[3]Sky West'!$GU$15</f>
        <v>64</v>
      </c>
      <c r="F27" s="12">
        <f>'[3]Go Jet'!$GU$15</f>
        <v>0</v>
      </c>
      <c r="G27" s="12">
        <f>'[3]Sun Country'!$GU$15</f>
        <v>0</v>
      </c>
      <c r="H27" s="12">
        <f>[3]Icelandair!$GU$15</f>
        <v>0</v>
      </c>
      <c r="I27" s="12">
        <f>[3]KLM!$GU$15</f>
        <v>0</v>
      </c>
      <c r="J27" s="12">
        <f>'[3]Air Georgian'!$GU$15</f>
        <v>0</v>
      </c>
      <c r="K27" s="12">
        <f>'[3]Sky Regional'!$GU$15</f>
        <v>0</v>
      </c>
      <c r="L27" s="12">
        <f>[3]Condor!$GU$15</f>
        <v>0</v>
      </c>
      <c r="M27" s="12">
        <f>'[3]Aer Lingus'!$GU$15</f>
        <v>0</v>
      </c>
      <c r="N27" s="12">
        <f>'[3]Air France'!$GU$15</f>
        <v>0</v>
      </c>
      <c r="O27" s="12">
        <f>'[3]Charter Misc'!$GU$15+[3]Ryan!$GU$15+[3]Omni!$GU$15</f>
        <v>0</v>
      </c>
      <c r="P27" s="371">
        <f>SUM(B27:O27)</f>
        <v>67</v>
      </c>
    </row>
    <row r="28" spans="1:19" x14ac:dyDescent="0.2">
      <c r="A28" s="38" t="s">
        <v>23</v>
      </c>
      <c r="B28" s="12">
        <f>[3]Delta!$GU$16</f>
        <v>1</v>
      </c>
      <c r="C28" s="12">
        <f>'[3]Atlantic Southeast'!$GU$16</f>
        <v>0</v>
      </c>
      <c r="D28" s="12">
        <f>[3]Pinnacle!$GU$16</f>
        <v>0</v>
      </c>
      <c r="E28" s="12">
        <f>'[3]Sky West'!$GU$16</f>
        <v>64</v>
      </c>
      <c r="F28" s="12">
        <f>'[3]Go Jet'!$GU$16</f>
        <v>0</v>
      </c>
      <c r="G28" s="12">
        <f>'[3]Sun Country'!$GU$16</f>
        <v>0</v>
      </c>
      <c r="H28" s="12">
        <f>[3]Icelandair!$GU$16</f>
        <v>0</v>
      </c>
      <c r="I28" s="12">
        <f>[3]KLM!$GU$16</f>
        <v>0</v>
      </c>
      <c r="J28" s="12">
        <f>'[3]Air Georgian'!$GU$16</f>
        <v>0</v>
      </c>
      <c r="K28" s="12">
        <f>'[3]Sky Regional'!$GU$16</f>
        <v>0</v>
      </c>
      <c r="L28" s="12">
        <f>[3]Condor!$GU$16</f>
        <v>0</v>
      </c>
      <c r="M28" s="12">
        <f>'[3]Aer Lingus'!$GU$16</f>
        <v>0</v>
      </c>
      <c r="N28" s="12">
        <f>'[3]Air France'!$GU$16</f>
        <v>0</v>
      </c>
      <c r="O28" s="12">
        <f>'[3]Charter Misc'!$GU$16+[3]Ryan!$GU$16+[3]Omni!$GU$16</f>
        <v>0</v>
      </c>
      <c r="P28" s="371">
        <f>SUM(B28:O28)</f>
        <v>65</v>
      </c>
    </row>
    <row r="29" spans="1:19" x14ac:dyDescent="0.2">
      <c r="A29" s="3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71"/>
    </row>
    <row r="30" spans="1:19" ht="15.75" thickBot="1" x14ac:dyDescent="0.3">
      <c r="A30" s="39" t="s">
        <v>28</v>
      </c>
      <c r="B30" s="260">
        <f t="shared" ref="B30:J30" si="21">SUM(B27:B28)</f>
        <v>4</v>
      </c>
      <c r="C30" s="260">
        <f t="shared" si="21"/>
        <v>0</v>
      </c>
      <c r="D30" s="260">
        <f t="shared" si="21"/>
        <v>0</v>
      </c>
      <c r="E30" s="260">
        <f>SUM(E27:E28)</f>
        <v>128</v>
      </c>
      <c r="F30" s="260">
        <f>SUM(F27:F28)</f>
        <v>0</v>
      </c>
      <c r="G30" s="260">
        <f t="shared" si="21"/>
        <v>0</v>
      </c>
      <c r="H30" s="260">
        <f t="shared" si="21"/>
        <v>0</v>
      </c>
      <c r="I30" s="260">
        <f t="shared" ref="I30" si="22">SUM(I27:I28)</f>
        <v>0</v>
      </c>
      <c r="J30" s="260">
        <f t="shared" si="21"/>
        <v>0</v>
      </c>
      <c r="K30" s="260">
        <f t="shared" ref="K30" si="23">SUM(K27:K28)</f>
        <v>0</v>
      </c>
      <c r="L30" s="260">
        <f>SUM(L27:L28)</f>
        <v>0</v>
      </c>
      <c r="M30" s="260">
        <f>SUM(M27:M28)</f>
        <v>0</v>
      </c>
      <c r="N30" s="260">
        <f>SUM(N27:N28)</f>
        <v>0</v>
      </c>
      <c r="O30" s="260">
        <f>SUM(O27:O28)</f>
        <v>0</v>
      </c>
      <c r="P30" s="417">
        <f>SUM(B30:O30)</f>
        <v>132</v>
      </c>
    </row>
    <row r="31" spans="1:19" ht="15" x14ac:dyDescent="0.25">
      <c r="A31" s="261"/>
    </row>
    <row r="32" spans="1:19" ht="39" thickBot="1" x14ac:dyDescent="0.25">
      <c r="B32" s="304" t="s">
        <v>18</v>
      </c>
      <c r="C32" s="303" t="s">
        <v>195</v>
      </c>
      <c r="D32" s="369" t="s">
        <v>158</v>
      </c>
      <c r="E32" s="303" t="s">
        <v>164</v>
      </c>
      <c r="F32" s="303" t="s">
        <v>163</v>
      </c>
      <c r="G32" s="303" t="s">
        <v>49</v>
      </c>
      <c r="H32" s="303" t="s">
        <v>114</v>
      </c>
      <c r="I32" s="303" t="s">
        <v>194</v>
      </c>
      <c r="J32" s="303" t="s">
        <v>191</v>
      </c>
      <c r="K32" s="303" t="s">
        <v>196</v>
      </c>
      <c r="L32" s="303" t="s">
        <v>162</v>
      </c>
      <c r="M32" s="303" t="s">
        <v>211</v>
      </c>
      <c r="N32" s="303" t="s">
        <v>157</v>
      </c>
      <c r="O32" s="303" t="s">
        <v>140</v>
      </c>
      <c r="P32" s="303" t="s">
        <v>21</v>
      </c>
    </row>
    <row r="33" spans="1:16" ht="15" x14ac:dyDescent="0.25">
      <c r="A33" s="500" t="s">
        <v>144</v>
      </c>
      <c r="B33" s="501"/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2"/>
    </row>
    <row r="34" spans="1:16" x14ac:dyDescent="0.2">
      <c r="A34" s="38" t="s">
        <v>22</v>
      </c>
      <c r="B34" s="12">
        <f>SUM([3]Delta!$GP$15:$GU$15)</f>
        <v>1633</v>
      </c>
      <c r="C34" s="12">
        <f>SUM('[3]Atlantic Southeast'!$GP$15:$GU$15)</f>
        <v>0</v>
      </c>
      <c r="D34" s="12">
        <f>SUM([3]Pinnacle!$GP$15:$GU$15)</f>
        <v>230</v>
      </c>
      <c r="E34" s="12">
        <f>SUM('[3]Sky West'!$GP$15:$GU$15)</f>
        <v>881</v>
      </c>
      <c r="F34" s="12">
        <f>SUM('[3]Go Jet'!$GP$15:$GU$15)</f>
        <v>0</v>
      </c>
      <c r="G34" s="12">
        <f>SUM('[3]Sun Country'!$GP$15:$GU$15)</f>
        <v>618</v>
      </c>
      <c r="H34" s="12">
        <f>SUM([3]Icelandair!$GP$15:$GU$15)</f>
        <v>9</v>
      </c>
      <c r="I34" s="12">
        <f>SUM([3]KLM!$GP$15:$GU$15)</f>
        <v>40</v>
      </c>
      <c r="J34" s="12">
        <f>SUM('[3]Air Georgian'!$GP$15:$GU$15)</f>
        <v>0</v>
      </c>
      <c r="K34" s="12">
        <f>SUM('[3]Sky Regional'!$GP$15:$GU$15)</f>
        <v>195</v>
      </c>
      <c r="L34" s="12">
        <f>SUM([3]Condor!$GP$15:$GU$15)</f>
        <v>0</v>
      </c>
      <c r="M34" s="12">
        <f>SUM('[3]Aer Lingus'!$GP$15:$GU$15)</f>
        <v>44</v>
      </c>
      <c r="N34" s="12">
        <f>SUM('[3]Air France'!$GP$15:$GU$15)</f>
        <v>0</v>
      </c>
      <c r="O34" s="12">
        <f>SUM('[3]Charter Misc'!$GP$15:$GU$15)+SUM([3]Ryan!$GP$15:$GU$15)+SUM([3]Omni!$GP$15:$GU$15)</f>
        <v>1</v>
      </c>
      <c r="P34" s="371">
        <f>SUM(B34:O34)</f>
        <v>3651</v>
      </c>
    </row>
    <row r="35" spans="1:16" x14ac:dyDescent="0.2">
      <c r="A35" s="38" t="s">
        <v>23</v>
      </c>
      <c r="B35" s="12">
        <f>SUM([3]Delta!$GP$16:$GU$16)</f>
        <v>1620</v>
      </c>
      <c r="C35" s="12">
        <f>SUM('[3]Atlantic Southeast'!$GP$16:$GU$16)</f>
        <v>0</v>
      </c>
      <c r="D35" s="12">
        <f>SUM([3]Pinnacle!$GP$16:$GU$16)</f>
        <v>223</v>
      </c>
      <c r="E35" s="12">
        <f>SUM('[3]Sky West'!$GP$16:$GU$16)</f>
        <v>880</v>
      </c>
      <c r="F35" s="12">
        <f>SUM('[3]Go Jet'!$GP$16:$GU$16)</f>
        <v>0</v>
      </c>
      <c r="G35" s="12">
        <f>SUM('[3]Sun Country'!$GP$16:$GU$16)</f>
        <v>624</v>
      </c>
      <c r="H35" s="12">
        <f>SUM([3]Icelandair!$GP$16:$GU$16)</f>
        <v>9</v>
      </c>
      <c r="I35" s="12">
        <f>SUM([3]KLM!$GP$16:$GU$16)</f>
        <v>40</v>
      </c>
      <c r="J35" s="12">
        <f>SUM('[3]Air Georgian'!$GP$16:$GU$16)</f>
        <v>0</v>
      </c>
      <c r="K35" s="12">
        <f>SUM('[3]Sky Regional'!$GP$16:$GU$16)</f>
        <v>195</v>
      </c>
      <c r="L35" s="12">
        <f>SUM([3]Condor!$GP$16:$GU$16)</f>
        <v>0</v>
      </c>
      <c r="M35" s="12">
        <f>SUM('[3]Aer Lingus'!$GP$16:$GU$16)</f>
        <v>44</v>
      </c>
      <c r="N35" s="12">
        <f>SUM('[3]Air France'!$GP$16:$GU$16)</f>
        <v>0</v>
      </c>
      <c r="O35" s="12">
        <f>SUM('[3]Charter Misc'!$GP$16:$GU$16)+SUM([3]Ryan!$GP$16:$GU$16)+SUM([3]Omni!$GP$16:$GU$16)</f>
        <v>0</v>
      </c>
      <c r="P35" s="371">
        <f>SUM(B35:O35)</f>
        <v>3635</v>
      </c>
    </row>
    <row r="36" spans="1:16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71"/>
    </row>
    <row r="37" spans="1:16" ht="15.75" thickBot="1" x14ac:dyDescent="0.3">
      <c r="A37" s="39" t="s">
        <v>28</v>
      </c>
      <c r="B37" s="260">
        <f t="shared" ref="B37:J37" si="24">+SUM(B34:B35)</f>
        <v>3253</v>
      </c>
      <c r="C37" s="260">
        <f t="shared" si="24"/>
        <v>0</v>
      </c>
      <c r="D37" s="260">
        <f t="shared" si="24"/>
        <v>453</v>
      </c>
      <c r="E37" s="260">
        <f>+SUM(E34:E35)</f>
        <v>1761</v>
      </c>
      <c r="F37" s="260">
        <f>+SUM(F34:F35)</f>
        <v>0</v>
      </c>
      <c r="G37" s="260">
        <f t="shared" si="24"/>
        <v>1242</v>
      </c>
      <c r="H37" s="260">
        <f t="shared" si="24"/>
        <v>18</v>
      </c>
      <c r="I37" s="260">
        <f t="shared" ref="I37" si="25">+SUM(I34:I35)</f>
        <v>80</v>
      </c>
      <c r="J37" s="260">
        <f t="shared" si="24"/>
        <v>0</v>
      </c>
      <c r="K37" s="260">
        <f t="shared" ref="K37" si="26">+SUM(K34:K35)</f>
        <v>390</v>
      </c>
      <c r="L37" s="260">
        <f>+SUM(L34:L35)</f>
        <v>0</v>
      </c>
      <c r="M37" s="260">
        <f>+SUM(M34:M35)</f>
        <v>88</v>
      </c>
      <c r="N37" s="260">
        <f>+SUM(N34:N35)</f>
        <v>0</v>
      </c>
      <c r="O37" s="260">
        <f>+SUM(O34:O35)</f>
        <v>1</v>
      </c>
      <c r="P37" s="417">
        <f>SUM(B37:O37)</f>
        <v>7286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&amp;"Arial,Bold"June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09"/>
  <sheetViews>
    <sheetView topLeftCell="F1" zoomScaleNormal="100" zoomScaleSheetLayoutView="85" workbookViewId="0">
      <selection activeCell="S3" sqref="S1:AA1048576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.140625" style="2" bestFit="1" customWidth="1"/>
    <col min="5" max="5" width="9" style="3" bestFit="1" customWidth="1"/>
    <col min="6" max="6" width="8.7109375" style="139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43" bestFit="1" customWidth="1"/>
    <col min="12" max="13" width="14" style="2" bestFit="1" customWidth="1"/>
    <col min="14" max="14" width="11.7109375" style="3" customWidth="1"/>
    <col min="15" max="15" width="9.7109375" bestFit="1" customWidth="1"/>
    <col min="16" max="16" width="10.7109375" bestFit="1" customWidth="1"/>
    <col min="17" max="17" width="9.42578125" bestFit="1" customWidth="1"/>
    <col min="18" max="18" width="8.42578125" bestFit="1" customWidth="1"/>
    <col min="19" max="19" width="4.7109375" customWidth="1"/>
    <col min="20" max="20" width="14.42578125" bestFit="1" customWidth="1"/>
    <col min="21" max="21" width="9.7109375" bestFit="1" customWidth="1"/>
    <col min="22" max="22" width="10.7109375" bestFit="1" customWidth="1"/>
    <col min="24" max="25" width="10.71093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13" t="s">
        <v>133</v>
      </c>
      <c r="B1" s="514"/>
      <c r="C1" s="362" t="s">
        <v>217</v>
      </c>
      <c r="D1" s="363" t="s">
        <v>205</v>
      </c>
      <c r="E1" s="175" t="s">
        <v>96</v>
      </c>
      <c r="F1" s="174" t="s">
        <v>218</v>
      </c>
      <c r="G1" s="363" t="s">
        <v>206</v>
      </c>
      <c r="H1" s="173" t="s">
        <v>97</v>
      </c>
      <c r="I1" s="175" t="s">
        <v>221</v>
      </c>
      <c r="J1" s="519" t="s">
        <v>137</v>
      </c>
      <c r="K1" s="520"/>
      <c r="L1" s="360" t="s">
        <v>219</v>
      </c>
      <c r="M1" s="361" t="s">
        <v>207</v>
      </c>
      <c r="N1" s="230" t="s">
        <v>97</v>
      </c>
      <c r="O1" s="339" t="s">
        <v>220</v>
      </c>
      <c r="P1" s="176" t="s">
        <v>208</v>
      </c>
      <c r="Q1" s="336" t="s">
        <v>97</v>
      </c>
      <c r="R1" s="340" t="s">
        <v>221</v>
      </c>
      <c r="S1" s="503" t="s">
        <v>224</v>
      </c>
      <c r="T1" s="504"/>
      <c r="U1" s="434" t="s">
        <v>219</v>
      </c>
      <c r="V1" s="435" t="s">
        <v>207</v>
      </c>
      <c r="W1" s="436" t="s">
        <v>97</v>
      </c>
      <c r="X1" s="437" t="s">
        <v>220</v>
      </c>
      <c r="Y1" s="438" t="s">
        <v>208</v>
      </c>
      <c r="Z1" s="439" t="s">
        <v>97</v>
      </c>
      <c r="AA1" s="440" t="s">
        <v>221</v>
      </c>
    </row>
    <row r="2" spans="1:27" s="9" customFormat="1" ht="13.5" customHeight="1" thickBot="1" x14ac:dyDescent="0.25">
      <c r="A2" s="515">
        <v>43983</v>
      </c>
      <c r="B2" s="516"/>
      <c r="C2" s="517" t="s">
        <v>9</v>
      </c>
      <c r="D2" s="518"/>
      <c r="E2" s="518"/>
      <c r="F2" s="518"/>
      <c r="G2" s="518"/>
      <c r="H2" s="518"/>
      <c r="I2" s="310"/>
      <c r="J2" s="515">
        <f>+A2</f>
        <v>43983</v>
      </c>
      <c r="K2" s="516"/>
      <c r="L2" s="510" t="s">
        <v>139</v>
      </c>
      <c r="M2" s="511"/>
      <c r="N2" s="511"/>
      <c r="O2" s="511"/>
      <c r="P2" s="511"/>
      <c r="Q2" s="511"/>
      <c r="R2" s="512"/>
      <c r="S2" s="505">
        <f>+J2</f>
        <v>43983</v>
      </c>
      <c r="T2" s="506"/>
      <c r="U2" s="507" t="s">
        <v>223</v>
      </c>
      <c r="V2" s="508"/>
      <c r="W2" s="508"/>
      <c r="X2" s="508"/>
      <c r="Y2" s="508"/>
      <c r="Z2" s="508"/>
      <c r="AA2" s="509"/>
    </row>
    <row r="3" spans="1:27" x14ac:dyDescent="0.2">
      <c r="A3" s="231"/>
      <c r="B3" s="232"/>
      <c r="C3" s="233"/>
      <c r="D3" s="234"/>
      <c r="E3" s="235"/>
      <c r="F3" s="287"/>
      <c r="G3" s="234"/>
      <c r="H3" s="334"/>
      <c r="I3" s="235"/>
      <c r="J3" s="236"/>
      <c r="K3" s="232"/>
      <c r="L3" s="242"/>
      <c r="N3" s="58"/>
      <c r="O3" s="231"/>
      <c r="P3" s="237"/>
      <c r="Q3" s="237"/>
      <c r="R3" s="232"/>
      <c r="S3" s="236"/>
      <c r="T3" s="232"/>
      <c r="U3" s="242"/>
      <c r="V3" s="2"/>
      <c r="W3" s="58"/>
      <c r="X3" s="231"/>
      <c r="Y3" s="237"/>
      <c r="Z3" s="237"/>
      <c r="AA3" s="232"/>
    </row>
    <row r="4" spans="1:27" x14ac:dyDescent="0.2">
      <c r="A4" s="238" t="s">
        <v>211</v>
      </c>
      <c r="B4" s="33"/>
      <c r="C4" s="239">
        <f>'[3]Aer Lingus'!$GU$19</f>
        <v>0</v>
      </c>
      <c r="D4" s="115">
        <f>'[3]Aer Lingus'!$GG$19</f>
        <v>0</v>
      </c>
      <c r="E4" s="241" t="e">
        <f>(C4-D4)/D4</f>
        <v>#DIV/0!</v>
      </c>
      <c r="F4" s="115">
        <f>SUM('[3]Aer Lingus'!$GP$19:$GU$19)</f>
        <v>88</v>
      </c>
      <c r="G4" s="115">
        <f>SUM('[3]Aer Lingus'!$GB$19:$GG$19)</f>
        <v>0</v>
      </c>
      <c r="H4" s="240" t="e">
        <f>(F4-G4)/G4</f>
        <v>#DIV/0!</v>
      </c>
      <c r="I4" s="241">
        <f>F4/$F$70</f>
        <v>8.1336882579118605E-4</v>
      </c>
      <c r="J4" s="238" t="s">
        <v>211</v>
      </c>
      <c r="K4" s="33"/>
      <c r="L4" s="239">
        <f>'[3]Aer Lingus'!$GU$41</f>
        <v>0</v>
      </c>
      <c r="M4" s="115">
        <f>'[3]Aer Lingus'!$GG$41</f>
        <v>0</v>
      </c>
      <c r="N4" s="241" t="e">
        <f>(L4-M4)/M4</f>
        <v>#DIV/0!</v>
      </c>
      <c r="O4" s="239">
        <f>SUM('[3]Aer Lingus'!$GP$41:$GU$41)</f>
        <v>9622</v>
      </c>
      <c r="P4" s="115">
        <f>SUM('[3]Aer Lingus'!$GB$41:$GG$41)</f>
        <v>0</v>
      </c>
      <c r="Q4" s="240" t="e">
        <f>(O4-P4)/P4</f>
        <v>#DIV/0!</v>
      </c>
      <c r="R4" s="241">
        <f>O4/$O$70</f>
        <v>1.1765344591805392E-3</v>
      </c>
      <c r="S4" s="238" t="s">
        <v>211</v>
      </c>
      <c r="T4" s="33"/>
      <c r="U4" s="239">
        <f>'[3]Aer Lingus'!$GU$64</f>
        <v>0</v>
      </c>
      <c r="V4" s="115">
        <f>'[3]Aer Lingus'!$GG$64</f>
        <v>0</v>
      </c>
      <c r="W4" s="241" t="e">
        <f>(U4-V4)/V4</f>
        <v>#DIV/0!</v>
      </c>
      <c r="X4" s="239">
        <f>SUM('[3]Aer Lingus'!$GP$64:$GU$64)</f>
        <v>10341</v>
      </c>
      <c r="Y4" s="115">
        <f>SUM('[3]Aer Lingus'!$GB$64:$GG$64)</f>
        <v>0</v>
      </c>
      <c r="Z4" s="240" t="e">
        <f>(X4-Y4)/Y4</f>
        <v>#DIV/0!</v>
      </c>
      <c r="AA4" s="241">
        <f>X4/$X$70</f>
        <v>3.4444781827065014E-4</v>
      </c>
    </row>
    <row r="5" spans="1:27" x14ac:dyDescent="0.2">
      <c r="A5" s="31"/>
      <c r="B5" s="33"/>
      <c r="C5" s="242"/>
      <c r="D5" s="364"/>
      <c r="E5" s="58"/>
      <c r="F5" s="365"/>
      <c r="G5" s="364"/>
      <c r="H5" s="366"/>
      <c r="I5" s="58"/>
      <c r="J5" s="367"/>
      <c r="K5" s="33"/>
      <c r="L5" s="242"/>
      <c r="N5" s="58"/>
      <c r="O5" s="31"/>
      <c r="P5" s="368"/>
      <c r="Q5" s="368"/>
      <c r="R5" s="33"/>
      <c r="S5" s="367"/>
      <c r="T5" s="33"/>
      <c r="U5" s="242"/>
      <c r="V5" s="2"/>
      <c r="W5" s="58"/>
      <c r="X5" s="31"/>
      <c r="Y5" s="368"/>
      <c r="Z5" s="368"/>
      <c r="AA5" s="33"/>
    </row>
    <row r="6" spans="1:27" ht="14.1" customHeight="1" x14ac:dyDescent="0.2">
      <c r="A6" s="238" t="s">
        <v>99</v>
      </c>
      <c r="B6" s="33"/>
      <c r="C6" s="239">
        <f>SUM(C7:C9)</f>
        <v>0</v>
      </c>
      <c r="D6" s="115">
        <f>SUM(D7:D9)</f>
        <v>178</v>
      </c>
      <c r="E6" s="241">
        <f>(C6-D6)/D6</f>
        <v>-1</v>
      </c>
      <c r="F6" s="239">
        <f>SUM(F7:F9)</f>
        <v>390</v>
      </c>
      <c r="G6" s="115">
        <f>SUM(G7:G9)</f>
        <v>978</v>
      </c>
      <c r="H6" s="240">
        <f>(F6-G6)/G6</f>
        <v>-0.60122699386503065</v>
      </c>
      <c r="I6" s="241">
        <f>F6/$F$70</f>
        <v>3.6047027506654838E-3</v>
      </c>
      <c r="J6" s="238" t="s">
        <v>99</v>
      </c>
      <c r="K6" s="33"/>
      <c r="L6" s="239">
        <f>SUM(L7:L9)</f>
        <v>0</v>
      </c>
      <c r="M6" s="115">
        <f>SUM(M7:M9)</f>
        <v>11765</v>
      </c>
      <c r="N6" s="241">
        <f>(L6-M6)/M6</f>
        <v>-1</v>
      </c>
      <c r="O6" s="239">
        <f>SUM(O7:O9)</f>
        <v>16941</v>
      </c>
      <c r="P6" s="115">
        <f>SUM(P7:P9)</f>
        <v>54865</v>
      </c>
      <c r="Q6" s="240">
        <f>(O6-P6)/P6</f>
        <v>-0.69122391324159305</v>
      </c>
      <c r="R6" s="241">
        <f>O6/$O$70</f>
        <v>2.0714685380354932E-3</v>
      </c>
      <c r="S6" s="238" t="s">
        <v>99</v>
      </c>
      <c r="T6" s="33"/>
      <c r="U6" s="239">
        <f>SUM(U7:U9)</f>
        <v>0</v>
      </c>
      <c r="V6" s="115">
        <f>SUM(V7:V9)</f>
        <v>9744</v>
      </c>
      <c r="W6" s="241">
        <f>(U6-V6)/V6</f>
        <v>-1</v>
      </c>
      <c r="X6" s="239">
        <f>SUM(X7:X9)</f>
        <v>4266</v>
      </c>
      <c r="Y6" s="115">
        <f>SUM(Y7:Y9)</f>
        <v>28650</v>
      </c>
      <c r="Z6" s="240">
        <f>(X6-Y6)/Y6</f>
        <v>-0.85109947643979056</v>
      </c>
      <c r="AA6" s="241">
        <f>X6/$X$70</f>
        <v>1.4209596680616896E-4</v>
      </c>
    </row>
    <row r="7" spans="1:27" ht="14.1" customHeight="1" x14ac:dyDescent="0.2">
      <c r="A7" s="238"/>
      <c r="B7" s="295" t="s">
        <v>99</v>
      </c>
      <c r="C7" s="242">
        <f>+[3]AirCanada!$GU$19</f>
        <v>0</v>
      </c>
      <c r="D7" s="2">
        <f>+[3]AirCanada!$GG$19</f>
        <v>0</v>
      </c>
      <c r="E7" s="58" t="e">
        <f>(C7-D7)/D7</f>
        <v>#DIV/0!</v>
      </c>
      <c r="F7" s="192">
        <f>SUM([3]AirCanada!$GP$19:$GU$19)</f>
        <v>0</v>
      </c>
      <c r="G7" s="192">
        <f>SUM([3]AirCanada!$GB$19:$GG$19)</f>
        <v>0</v>
      </c>
      <c r="H7" s="300" t="e">
        <f>(F7-G7)/G7</f>
        <v>#DIV/0!</v>
      </c>
      <c r="I7" s="58">
        <f>F7/$F$70</f>
        <v>0</v>
      </c>
      <c r="J7" s="238"/>
      <c r="K7" s="295" t="s">
        <v>99</v>
      </c>
      <c r="L7" s="299">
        <f>+[3]AirCanada!$GU$41</f>
        <v>0</v>
      </c>
      <c r="M7" s="192">
        <f>+[3]AirCanada!$GG$41</f>
        <v>0</v>
      </c>
      <c r="N7" s="301" t="e">
        <f>(L7-M7)/M7</f>
        <v>#DIV/0!</v>
      </c>
      <c r="O7" s="299">
        <f>SUM([3]AirCanada!$GP$41:$GU$41)</f>
        <v>0</v>
      </c>
      <c r="P7" s="192">
        <f>SUM([3]AirCanada!$GB$41:$GG$41)</f>
        <v>0</v>
      </c>
      <c r="Q7" s="300" t="e">
        <f>(O7-P7)/P7</f>
        <v>#DIV/0!</v>
      </c>
      <c r="R7" s="301">
        <f>O7/$O$70</f>
        <v>0</v>
      </c>
      <c r="S7" s="238"/>
      <c r="T7" s="295" t="s">
        <v>99</v>
      </c>
      <c r="U7" s="299">
        <f>+[3]AirCanada!$GU$64</f>
        <v>0</v>
      </c>
      <c r="V7" s="192">
        <f>+[3]AirCanada!$GG$64</f>
        <v>0</v>
      </c>
      <c r="W7" s="301" t="e">
        <f>(U7-V7)/V7</f>
        <v>#DIV/0!</v>
      </c>
      <c r="X7" s="299">
        <f>SUM([3]AirCanada!$GP$64:$GU$64)</f>
        <v>0</v>
      </c>
      <c r="Y7" s="192">
        <f>SUM([3]AirCanada!$GB$64:$GG$64)</f>
        <v>0</v>
      </c>
      <c r="Z7" s="300" t="e">
        <f>(X7-Y7)/Y7</f>
        <v>#DIV/0!</v>
      </c>
      <c r="AA7" s="301">
        <f>X7/$X$70</f>
        <v>0</v>
      </c>
    </row>
    <row r="8" spans="1:27" ht="14.1" customHeight="1" x14ac:dyDescent="0.2">
      <c r="A8" s="238"/>
      <c r="B8" s="295" t="s">
        <v>165</v>
      </c>
      <c r="C8" s="242">
        <f>'[3]Air Georgian'!$GU$19</f>
        <v>0</v>
      </c>
      <c r="D8" s="2">
        <f>'[3]Air Georgian'!$GG$19</f>
        <v>0</v>
      </c>
      <c r="E8" s="58" t="e">
        <f>(C8-D8)/D8</f>
        <v>#DIV/0!</v>
      </c>
      <c r="F8" s="192">
        <f>SUM('[3]Air Georgian'!$GP$19:$GU$19)</f>
        <v>0</v>
      </c>
      <c r="G8" s="192">
        <f>SUM('[3]Air Georgian'!$GB$19:$GG$19)</f>
        <v>0</v>
      </c>
      <c r="H8" s="300" t="e">
        <f>(F8-G8)/G8</f>
        <v>#DIV/0!</v>
      </c>
      <c r="I8" s="58">
        <f>F8/$F$70</f>
        <v>0</v>
      </c>
      <c r="J8" s="238"/>
      <c r="K8" s="295" t="s">
        <v>165</v>
      </c>
      <c r="L8" s="242">
        <f>'[3]Air Georgian'!$GU$41</f>
        <v>0</v>
      </c>
      <c r="M8" s="2">
        <f>'[3]Air Georgian'!$GG$41</f>
        <v>0</v>
      </c>
      <c r="N8" s="58" t="e">
        <f>(L8-M8)/M8</f>
        <v>#DIV/0!</v>
      </c>
      <c r="O8" s="242">
        <f>SUM('[3]Air Georgian'!$GP$41:$GU$41)</f>
        <v>0</v>
      </c>
      <c r="P8" s="2">
        <f>SUM('[3]Air Georgian'!$GB$41:$GG$41)</f>
        <v>0</v>
      </c>
      <c r="Q8" s="3" t="e">
        <f>(O8-P8)/P8</f>
        <v>#DIV/0!</v>
      </c>
      <c r="R8" s="58">
        <f>O8/$O$70</f>
        <v>0</v>
      </c>
      <c r="S8" s="238"/>
      <c r="T8" s="295" t="s">
        <v>165</v>
      </c>
      <c r="U8" s="242">
        <f>'[3]Air Georgian'!$GU$64</f>
        <v>0</v>
      </c>
      <c r="V8" s="2">
        <f>'[3]Air Georgian'!$GG$64</f>
        <v>0</v>
      </c>
      <c r="W8" s="58" t="e">
        <f>(U8-V8)/V8</f>
        <v>#DIV/0!</v>
      </c>
      <c r="X8" s="242">
        <f>SUM('[3]Air Georgian'!$GP$64:$GU$64)</f>
        <v>0</v>
      </c>
      <c r="Y8" s="2">
        <f>SUM('[3]Air Georgian'!$GB$64:$GG$64)</f>
        <v>0</v>
      </c>
      <c r="Z8" s="3" t="e">
        <f>(X8-Y8)/Y8</f>
        <v>#DIV/0!</v>
      </c>
      <c r="AA8" s="58">
        <f>X8/$X$70</f>
        <v>0</v>
      </c>
    </row>
    <row r="9" spans="1:27" ht="14.1" customHeight="1" x14ac:dyDescent="0.2">
      <c r="A9" s="238"/>
      <c r="B9" s="295" t="s">
        <v>192</v>
      </c>
      <c r="C9" s="242">
        <f>'[3]Sky Regional'!$GU$19</f>
        <v>0</v>
      </c>
      <c r="D9" s="2">
        <f>'[3]Sky Regional'!$GG$19</f>
        <v>178</v>
      </c>
      <c r="E9" s="58">
        <f>(C9-D9)/D9</f>
        <v>-1</v>
      </c>
      <c r="F9" s="192">
        <f>SUM('[3]Sky Regional'!$GP$19:$GU$19)</f>
        <v>390</v>
      </c>
      <c r="G9" s="192">
        <f>SUM('[3]Sky Regional'!$GB$19:$GG$19)</f>
        <v>978</v>
      </c>
      <c r="H9" s="300">
        <f>(F9-G9)/G9</f>
        <v>-0.60122699386503065</v>
      </c>
      <c r="I9" s="58">
        <f>F9/$F$70</f>
        <v>3.6047027506654838E-3</v>
      </c>
      <c r="J9" s="238"/>
      <c r="K9" s="295" t="s">
        <v>192</v>
      </c>
      <c r="L9" s="242">
        <f>'[3]Sky Regional'!$GU$41</f>
        <v>0</v>
      </c>
      <c r="M9" s="2">
        <f>'[3]Sky Regional'!$GG$41</f>
        <v>11765</v>
      </c>
      <c r="N9" s="58">
        <f>(L9-M9)/M9</f>
        <v>-1</v>
      </c>
      <c r="O9" s="242">
        <f>SUM('[3]Sky Regional'!$GP$41:$GU$41)</f>
        <v>16941</v>
      </c>
      <c r="P9" s="2">
        <f>SUM('[3]Sky Regional'!$GB$41:$GG$41)</f>
        <v>54865</v>
      </c>
      <c r="Q9" s="3">
        <f>(O9-P9)/P9</f>
        <v>-0.69122391324159305</v>
      </c>
      <c r="R9" s="58">
        <f>O9/$O$70</f>
        <v>2.0714685380354932E-3</v>
      </c>
      <c r="S9" s="238"/>
      <c r="T9" s="295" t="s">
        <v>192</v>
      </c>
      <c r="U9" s="242">
        <f>'[3]Sky Regional'!$GU$64</f>
        <v>0</v>
      </c>
      <c r="V9" s="2">
        <f>'[3]Sky Regional'!$GG$64</f>
        <v>9744</v>
      </c>
      <c r="W9" s="58">
        <f>(U9-V9)/V9</f>
        <v>-1</v>
      </c>
      <c r="X9" s="242">
        <f>SUM('[3]Sky Regional'!$GP$64:$GU$64)</f>
        <v>4266</v>
      </c>
      <c r="Y9" s="2">
        <f>SUM('[3]Sky Regional'!$GB$64:$GG$64)</f>
        <v>28650</v>
      </c>
      <c r="Z9" s="3">
        <f>(X9-Y9)/Y9</f>
        <v>-0.85109947643979056</v>
      </c>
      <c r="AA9" s="58">
        <f>X9/$X$70</f>
        <v>1.4209596680616896E-4</v>
      </c>
    </row>
    <row r="10" spans="1:27" ht="14.1" customHeight="1" x14ac:dyDescent="0.2">
      <c r="A10" s="238"/>
      <c r="B10" s="33"/>
      <c r="C10" s="239"/>
      <c r="D10" s="115"/>
      <c r="E10" s="241"/>
      <c r="F10" s="115"/>
      <c r="G10" s="115"/>
      <c r="H10" s="240"/>
      <c r="I10" s="241"/>
      <c r="J10" s="238"/>
      <c r="K10" s="33"/>
      <c r="L10" s="242"/>
      <c r="N10" s="58"/>
      <c r="O10" s="242"/>
      <c r="P10" s="2"/>
      <c r="Q10" s="3"/>
      <c r="R10" s="58"/>
      <c r="S10" s="238"/>
      <c r="T10" s="33"/>
      <c r="U10" s="242"/>
      <c r="V10" s="2"/>
      <c r="W10" s="58"/>
      <c r="X10" s="242"/>
      <c r="Y10" s="2"/>
      <c r="Z10" s="3"/>
      <c r="AA10" s="58"/>
    </row>
    <row r="11" spans="1:27" ht="14.1" customHeight="1" x14ac:dyDescent="0.2">
      <c r="A11" s="238" t="s">
        <v>179</v>
      </c>
      <c r="B11" s="33"/>
      <c r="C11" s="239">
        <f>'[3]Air Choice One'!$GU$19</f>
        <v>148</v>
      </c>
      <c r="D11" s="115">
        <f>'[3]Air Choice One'!$GG$19</f>
        <v>200</v>
      </c>
      <c r="E11" s="241">
        <f>(C11-D11)/D11</f>
        <v>-0.26</v>
      </c>
      <c r="F11" s="115">
        <f>SUM('[3]Air Choice One'!$GP$19:$GU$19)</f>
        <v>1078</v>
      </c>
      <c r="G11" s="115">
        <f>SUM('[3]Air Choice One'!$GB$19:$GG$19)</f>
        <v>1184</v>
      </c>
      <c r="H11" s="240">
        <f>(F11-G11)/G11</f>
        <v>-8.9527027027027029E-2</v>
      </c>
      <c r="I11" s="241">
        <f>F11/$F$70</f>
        <v>9.9637681159420281E-3</v>
      </c>
      <c r="J11" s="238" t="s">
        <v>179</v>
      </c>
      <c r="K11" s="33"/>
      <c r="L11" s="239">
        <f>'[3]Air Choice One'!$GU$41</f>
        <v>202</v>
      </c>
      <c r="M11" s="115">
        <f>'[3]Air Choice One'!$GG$41</f>
        <v>897</v>
      </c>
      <c r="N11" s="241">
        <f>(L11-M11)/M11</f>
        <v>-0.77480490523968781</v>
      </c>
      <c r="O11" s="239">
        <f>SUM('[3]Air Choice One'!$GP$41:$GU$41)</f>
        <v>2379</v>
      </c>
      <c r="P11" s="115">
        <f>SUM('[3]Air Choice One'!$GB$41:$GG$41)</f>
        <v>4915</v>
      </c>
      <c r="Q11" s="240">
        <f>(O11-P11)/P11</f>
        <v>-0.515971515768057</v>
      </c>
      <c r="R11" s="241">
        <f>O11/$O$70</f>
        <v>2.9089331515178788E-4</v>
      </c>
      <c r="S11" s="238" t="s">
        <v>179</v>
      </c>
      <c r="T11" s="33"/>
      <c r="U11" s="239">
        <f>'[3]Air Choice One'!$GU$64</f>
        <v>0</v>
      </c>
      <c r="V11" s="115">
        <f>'[3]Air Choice One'!$GG$64</f>
        <v>0</v>
      </c>
      <c r="W11" s="241" t="e">
        <f>(U11-V11)/V11</f>
        <v>#DIV/0!</v>
      </c>
      <c r="X11" s="239">
        <f>SUM('[3]Air Choice One'!$GP$64:$GU$64)</f>
        <v>0</v>
      </c>
      <c r="Y11" s="115">
        <f>SUM('[3]Air Choice One'!$GB$64:$GG$64)</f>
        <v>0</v>
      </c>
      <c r="Z11" s="240" t="e">
        <f>(X11-Y11)/Y11</f>
        <v>#DIV/0!</v>
      </c>
      <c r="AA11" s="241">
        <f>X11/$X$70</f>
        <v>0</v>
      </c>
    </row>
    <row r="12" spans="1:27" ht="14.1" customHeight="1" x14ac:dyDescent="0.2">
      <c r="A12" s="238"/>
      <c r="B12" s="33"/>
      <c r="C12" s="239"/>
      <c r="D12" s="115"/>
      <c r="E12" s="241"/>
      <c r="F12" s="115"/>
      <c r="G12" s="115"/>
      <c r="H12" s="240"/>
      <c r="I12" s="241"/>
      <c r="J12" s="238"/>
      <c r="K12" s="33"/>
      <c r="L12" s="242"/>
      <c r="N12" s="58"/>
      <c r="O12" s="242"/>
      <c r="P12" s="2"/>
      <c r="Q12" s="3"/>
      <c r="R12" s="58"/>
      <c r="S12" s="238"/>
      <c r="T12" s="33"/>
      <c r="U12" s="242"/>
      <c r="V12" s="2"/>
      <c r="W12" s="58"/>
      <c r="X12" s="242"/>
      <c r="Y12" s="2"/>
      <c r="Z12" s="3"/>
      <c r="AA12" s="58"/>
    </row>
    <row r="13" spans="1:27" ht="14.1" customHeight="1" x14ac:dyDescent="0.2">
      <c r="A13" s="238" t="s">
        <v>157</v>
      </c>
      <c r="B13" s="33"/>
      <c r="C13" s="239">
        <f>'[3]Air France'!$GU$19</f>
        <v>0</v>
      </c>
      <c r="D13" s="115">
        <f>'[3]Air France'!$GG$19</f>
        <v>60</v>
      </c>
      <c r="E13" s="241">
        <f>(C13-D13)/D13</f>
        <v>-1</v>
      </c>
      <c r="F13" s="115">
        <f>SUM('[3]Air France'!$GP$19:$GU$19)</f>
        <v>0</v>
      </c>
      <c r="G13" s="115">
        <f>SUM('[3]Air France'!$GB$19:$GG$19)</f>
        <v>114</v>
      </c>
      <c r="H13" s="240">
        <f>(F13-G13)/G13</f>
        <v>-1</v>
      </c>
      <c r="I13" s="241">
        <f>F13/$F$70</f>
        <v>0</v>
      </c>
      <c r="J13" s="238" t="s">
        <v>157</v>
      </c>
      <c r="K13" s="33"/>
      <c r="L13" s="239">
        <f>'[3]Air France'!$GU$41</f>
        <v>0</v>
      </c>
      <c r="M13" s="115">
        <f>'[3]Air France'!$GG$41</f>
        <v>15605</v>
      </c>
      <c r="N13" s="241">
        <f>(L13-M13)/M13</f>
        <v>-1</v>
      </c>
      <c r="O13" s="239">
        <f>SUM('[3]Air France'!$GP$41:$GU$41)</f>
        <v>0</v>
      </c>
      <c r="P13" s="115">
        <f>SUM('[3]Air France'!$GB$41:$GG$41)</f>
        <v>28100</v>
      </c>
      <c r="Q13" s="240">
        <f>(O13-P13)/P13</f>
        <v>-1</v>
      </c>
      <c r="R13" s="241">
        <f>O13/$O$70</f>
        <v>0</v>
      </c>
      <c r="S13" s="238" t="s">
        <v>157</v>
      </c>
      <c r="T13" s="33"/>
      <c r="U13" s="239">
        <f>'[3]Air France'!$GU$64</f>
        <v>0</v>
      </c>
      <c r="V13" s="115">
        <f>'[3]Air France'!$GG$64</f>
        <v>400912</v>
      </c>
      <c r="W13" s="241">
        <f>(U13-V13)/V13</f>
        <v>-1</v>
      </c>
      <c r="X13" s="239">
        <f>SUM('[3]Air France'!$GP$64:$GU$64)</f>
        <v>0</v>
      </c>
      <c r="Y13" s="115">
        <f>SUM('[3]Air France'!$GB$64:$GG$64)</f>
        <v>724446</v>
      </c>
      <c r="Z13" s="240">
        <f>(X13-Y13)/Y13</f>
        <v>-1</v>
      </c>
      <c r="AA13" s="241">
        <f>X13/$X$70</f>
        <v>0</v>
      </c>
    </row>
    <row r="14" spans="1:27" ht="14.1" customHeight="1" x14ac:dyDescent="0.2">
      <c r="A14" s="238"/>
      <c r="B14" s="33"/>
      <c r="C14" s="239"/>
      <c r="D14" s="115"/>
      <c r="E14" s="241"/>
      <c r="F14" s="115"/>
      <c r="G14" s="115"/>
      <c r="H14" s="240"/>
      <c r="I14" s="241"/>
      <c r="J14" s="238"/>
      <c r="K14" s="33"/>
      <c r="L14" s="242"/>
      <c r="N14" s="58"/>
      <c r="O14" s="242"/>
      <c r="P14" s="2"/>
      <c r="Q14" s="3"/>
      <c r="R14" s="58"/>
      <c r="S14" s="238"/>
      <c r="T14" s="33"/>
      <c r="U14" s="242"/>
      <c r="V14" s="2"/>
      <c r="W14" s="58"/>
      <c r="X14" s="242"/>
      <c r="Y14" s="2"/>
      <c r="Z14" s="3"/>
      <c r="AA14" s="58"/>
    </row>
    <row r="15" spans="1:27" ht="14.1" customHeight="1" x14ac:dyDescent="0.2">
      <c r="A15" s="238" t="s">
        <v>129</v>
      </c>
      <c r="B15" s="33"/>
      <c r="C15" s="239">
        <f>SUM(C16:C18)</f>
        <v>164</v>
      </c>
      <c r="D15" s="115">
        <f>SUM(D16:D18)</f>
        <v>292</v>
      </c>
      <c r="E15" s="241">
        <f>(C15-D15)/D15</f>
        <v>-0.43835616438356162</v>
      </c>
      <c r="F15" s="115">
        <f>SUM(F16:F18)</f>
        <v>878</v>
      </c>
      <c r="G15" s="115">
        <f>SUM(G16:G18)</f>
        <v>1497</v>
      </c>
      <c r="H15" s="240">
        <f>(F15-G15)/G15</f>
        <v>-0.4134936539746159</v>
      </c>
      <c r="I15" s="241">
        <f>F15/$F$70</f>
        <v>8.1152026027802426E-3</v>
      </c>
      <c r="J15" s="238" t="s">
        <v>129</v>
      </c>
      <c r="K15" s="33"/>
      <c r="L15" s="239">
        <f>SUM(L16:L18)</f>
        <v>9161</v>
      </c>
      <c r="M15" s="115">
        <f>SUM(M16:M18)</f>
        <v>31979</v>
      </c>
      <c r="N15" s="241">
        <f>(L15-M15)/M15</f>
        <v>-0.71353075455767845</v>
      </c>
      <c r="O15" s="239">
        <f>SUM(O16:O18)</f>
        <v>58330</v>
      </c>
      <c r="P15" s="115">
        <f>SUM(P16:P18)</f>
        <v>161005</v>
      </c>
      <c r="Q15" s="240">
        <f>(O15-P15)/P15</f>
        <v>-0.6377131144995497</v>
      </c>
      <c r="R15" s="241">
        <f>O15/$O$70</f>
        <v>7.1323274791104604E-3</v>
      </c>
      <c r="S15" s="238" t="s">
        <v>129</v>
      </c>
      <c r="T15" s="33"/>
      <c r="U15" s="239">
        <f>SUM(U16:U18)</f>
        <v>25062</v>
      </c>
      <c r="V15" s="115">
        <f>SUM(V16:V18)</f>
        <v>53018</v>
      </c>
      <c r="W15" s="241">
        <f>(U15-V15)/V15</f>
        <v>-0.52729261760156931</v>
      </c>
      <c r="X15" s="239">
        <f>SUM(X16:X18)</f>
        <v>152196</v>
      </c>
      <c r="Y15" s="115">
        <f>SUM(Y16:Y18)</f>
        <v>252101</v>
      </c>
      <c r="Z15" s="240">
        <f>(X15-Y15)/Y15</f>
        <v>-0.39628958234993117</v>
      </c>
      <c r="AA15" s="241">
        <f>X15/$X$70</f>
        <v>5.0694884585165715E-3</v>
      </c>
    </row>
    <row r="16" spans="1:27" ht="14.1" customHeight="1" x14ac:dyDescent="0.2">
      <c r="A16" s="238"/>
      <c r="B16" s="295" t="s">
        <v>129</v>
      </c>
      <c r="C16" s="299">
        <f>[3]Alaska!$GU$19</f>
        <v>119</v>
      </c>
      <c r="D16" s="192">
        <f>[3]Alaska!$GG$19</f>
        <v>232</v>
      </c>
      <c r="E16" s="301">
        <f>(C16-D16)/D16</f>
        <v>-0.48706896551724138</v>
      </c>
      <c r="F16" s="192">
        <f>SUM([3]Alaska!$GP$19:$GU$19)</f>
        <v>654</v>
      </c>
      <c r="G16" s="192">
        <f>SUM([3]Alaska!$GB$19:$GG$19)</f>
        <v>1005</v>
      </c>
      <c r="H16" s="300">
        <f>(F16-G16)/G16</f>
        <v>-0.34925373134328358</v>
      </c>
      <c r="I16" s="301">
        <f>F16/$F$70</f>
        <v>6.0448092280390416E-3</v>
      </c>
      <c r="J16" s="238"/>
      <c r="K16" s="295" t="s">
        <v>129</v>
      </c>
      <c r="L16" s="299">
        <f>[3]Alaska!$GU$41</f>
        <v>7378</v>
      </c>
      <c r="M16" s="192">
        <f>[3]Alaska!$GG$41</f>
        <v>27787</v>
      </c>
      <c r="N16" s="301">
        <f>(L16-M16)/M16</f>
        <v>-0.7344801525893403</v>
      </c>
      <c r="O16" s="299">
        <f>SUM([3]Alaska!$GP$41:$GU$41)</f>
        <v>45971</v>
      </c>
      <c r="P16" s="192">
        <f>SUM([3]Alaska!$GB$41:$GG$41)</f>
        <v>128479</v>
      </c>
      <c r="Q16" s="300">
        <f>(O16-P16)/P16</f>
        <v>-0.64219055254166046</v>
      </c>
      <c r="R16" s="301">
        <f>O16/$O$70</f>
        <v>5.6211250907283903E-3</v>
      </c>
      <c r="S16" s="238"/>
      <c r="T16" s="295" t="s">
        <v>129</v>
      </c>
      <c r="U16" s="299">
        <f>[3]Alaska!$GU$64</f>
        <v>20621</v>
      </c>
      <c r="V16" s="192">
        <f>[3]Alaska!$GG$64</f>
        <v>44188</v>
      </c>
      <c r="W16" s="301">
        <f>(U16-V16)/V16</f>
        <v>-0.53333484203856252</v>
      </c>
      <c r="X16" s="299">
        <f>SUM([3]Alaska!$GP$64:$GU$64)</f>
        <v>139289</v>
      </c>
      <c r="Y16" s="192">
        <f>SUM([3]Alaska!$GB$64:$GG$64)</f>
        <v>219268</v>
      </c>
      <c r="Z16" s="300">
        <f>(X16-Y16)/Y16</f>
        <v>-0.36475454694711495</v>
      </c>
      <c r="AA16" s="301">
        <f>X16/$X$70</f>
        <v>4.6395698829030637E-3</v>
      </c>
    </row>
    <row r="17" spans="1:27" ht="14.1" customHeight="1" x14ac:dyDescent="0.2">
      <c r="A17" s="238"/>
      <c r="B17" s="295" t="s">
        <v>98</v>
      </c>
      <c r="C17" s="242">
        <f>'[3]Sky West_AS'!$GU$19</f>
        <v>27</v>
      </c>
      <c r="D17" s="2">
        <f>'[3]Sky West_AS'!$GG$19</f>
        <v>60</v>
      </c>
      <c r="E17" s="58">
        <f>(C17-D17)/D17</f>
        <v>-0.55000000000000004</v>
      </c>
      <c r="F17" s="2">
        <f>SUM('[3]Sky West_AS'!$GP$19:$GU$19)</f>
        <v>40</v>
      </c>
      <c r="G17" s="2">
        <f>SUM('[3]Sky West_AS'!$GB$19:$GG$19)</f>
        <v>480</v>
      </c>
      <c r="H17" s="3">
        <f>(F17-G17)/G17</f>
        <v>-0.91666666666666663</v>
      </c>
      <c r="I17" s="58">
        <f>F17/$F$70</f>
        <v>3.6971310263235729E-4</v>
      </c>
      <c r="J17" s="238"/>
      <c r="K17" s="295" t="s">
        <v>98</v>
      </c>
      <c r="L17" s="242">
        <f>'[3]Sky West_AS'!$GU$41</f>
        <v>1014</v>
      </c>
      <c r="M17" s="2">
        <f>'[3]Sky West_AS'!$GG$41</f>
        <v>4192</v>
      </c>
      <c r="N17" s="58">
        <f>(L17-M17)/M17</f>
        <v>-0.75811068702290074</v>
      </c>
      <c r="O17" s="242">
        <f>SUM('[3]Sky West_AS'!$GP$41:$GU$41)</f>
        <v>1379</v>
      </c>
      <c r="P17" s="2">
        <f>SUM('[3]Sky West_AS'!$GB$41:$GG$41)</f>
        <v>31707</v>
      </c>
      <c r="Q17" s="3">
        <f>(O17-P17)/P17</f>
        <v>-0.95650802661872769</v>
      </c>
      <c r="R17" s="301">
        <f>O17/$O$70</f>
        <v>1.6861785691228056E-4</v>
      </c>
      <c r="S17" s="238"/>
      <c r="T17" s="295" t="s">
        <v>98</v>
      </c>
      <c r="U17" s="242">
        <f>'[3]Sky West_AS'!$GU$64</f>
        <v>216</v>
      </c>
      <c r="V17" s="2">
        <f>'[3]Sky West_AS'!$GG$64</f>
        <v>8830</v>
      </c>
      <c r="W17" s="58">
        <f>(U17-V17)/V17</f>
        <v>-0.97553793884484707</v>
      </c>
      <c r="X17" s="242">
        <f>SUM('[3]Sky West_AS'!$GP$64:$GU$64)</f>
        <v>286</v>
      </c>
      <c r="Y17" s="2">
        <f>SUM('[3]Sky West_AS'!$GB$64:$GG$64)</f>
        <v>31835</v>
      </c>
      <c r="Z17" s="3">
        <f>(X17-Y17)/Y17</f>
        <v>-0.99101617716349932</v>
      </c>
      <c r="AA17" s="301">
        <f>X17/$X$70</f>
        <v>9.5263587685335972E-6</v>
      </c>
    </row>
    <row r="18" spans="1:27" ht="14.1" customHeight="1" x14ac:dyDescent="0.2">
      <c r="A18" s="238"/>
      <c r="B18" s="295" t="s">
        <v>193</v>
      </c>
      <c r="C18" s="242">
        <f>[3]Horizon_AS!$GU$19</f>
        <v>18</v>
      </c>
      <c r="D18" s="2">
        <f>[3]Horizon_AS!$GG$19</f>
        <v>0</v>
      </c>
      <c r="E18" s="58" t="e">
        <f>(C18-D18)/D18</f>
        <v>#DIV/0!</v>
      </c>
      <c r="F18" s="2">
        <f>SUM([3]Horizon_AS!$GP$19:$GU$19)</f>
        <v>184</v>
      </c>
      <c r="G18" s="2">
        <f>SUM([3]Horizon_AS!$GB$19:$GG$19)</f>
        <v>12</v>
      </c>
      <c r="H18" s="3">
        <f>(F18-G18)/G18</f>
        <v>14.333333333333334</v>
      </c>
      <c r="I18" s="58">
        <f>F18/$F$70</f>
        <v>1.7006802721088435E-3</v>
      </c>
      <c r="J18" s="238"/>
      <c r="K18" s="295" t="s">
        <v>193</v>
      </c>
      <c r="L18" s="242">
        <f>[3]Horizon_AS!$GU$41</f>
        <v>769</v>
      </c>
      <c r="M18" s="2">
        <f>[3]Horizon_AS!$GG$41</f>
        <v>0</v>
      </c>
      <c r="N18" s="58" t="e">
        <f>(L18-M18)/M18</f>
        <v>#DIV/0!</v>
      </c>
      <c r="O18" s="242">
        <f>SUM([3]Horizon_AS!$GP$41:$GU$41)</f>
        <v>10980</v>
      </c>
      <c r="P18" s="2">
        <f>SUM([3]Horizon_AS!$GB$41:$GG$41)</f>
        <v>819</v>
      </c>
      <c r="Q18" s="3">
        <f>(O18-P18)/P18</f>
        <v>12.406593406593407</v>
      </c>
      <c r="R18" s="301">
        <f>O18/$O$70</f>
        <v>1.3425845314697902E-3</v>
      </c>
      <c r="S18" s="238"/>
      <c r="T18" s="295" t="s">
        <v>193</v>
      </c>
      <c r="U18" s="242">
        <f>[3]Horizon_AS!$GU$64</f>
        <v>4225</v>
      </c>
      <c r="V18" s="2">
        <f>[3]Horizon_AS!$GG$64</f>
        <v>0</v>
      </c>
      <c r="W18" s="58" t="e">
        <f>(U18-V18)/V18</f>
        <v>#DIV/0!</v>
      </c>
      <c r="X18" s="242">
        <f>SUM([3]Horizon_AS!$GP$64:$GU$64)</f>
        <v>12621</v>
      </c>
      <c r="Y18" s="2">
        <f>SUM([3]Horizon_AS!$GB$64:$GG$64)</f>
        <v>998</v>
      </c>
      <c r="Z18" s="3">
        <f>(X18-Y18)/Y18</f>
        <v>11.646292585170341</v>
      </c>
      <c r="AA18" s="301">
        <f>X18/$X$70</f>
        <v>4.203922168449739E-4</v>
      </c>
    </row>
    <row r="19" spans="1:27" ht="14.1" customHeight="1" x14ac:dyDescent="0.2">
      <c r="A19" s="238"/>
      <c r="B19" s="33"/>
      <c r="C19" s="239"/>
      <c r="D19" s="125"/>
      <c r="E19" s="241"/>
      <c r="F19" s="125"/>
      <c r="G19" s="125"/>
      <c r="H19" s="240"/>
      <c r="I19" s="241"/>
      <c r="J19" s="238"/>
      <c r="K19" s="33"/>
      <c r="L19" s="108"/>
      <c r="M19" s="83"/>
      <c r="N19" s="58"/>
      <c r="O19" s="108"/>
      <c r="P19" s="83"/>
      <c r="Q19" s="3"/>
      <c r="R19" s="58"/>
      <c r="S19" s="238"/>
      <c r="T19" s="33"/>
      <c r="U19" s="108"/>
      <c r="V19" s="83"/>
      <c r="W19" s="58"/>
      <c r="X19" s="108"/>
      <c r="Y19" s="83"/>
      <c r="Z19" s="3"/>
      <c r="AA19" s="58"/>
    </row>
    <row r="20" spans="1:27" ht="14.1" customHeight="1" x14ac:dyDescent="0.2">
      <c r="A20" s="238" t="s">
        <v>17</v>
      </c>
      <c r="B20" s="243"/>
      <c r="C20" s="239">
        <f>SUM(C21:C27)</f>
        <v>592</v>
      </c>
      <c r="D20" s="115">
        <f>SUM(D21:D27)</f>
        <v>1643</v>
      </c>
      <c r="E20" s="241">
        <f t="shared" ref="E20:E27" si="0">(C20-D20)/D20</f>
        <v>-0.63968350578210587</v>
      </c>
      <c r="F20" s="239">
        <f>SUM(F21:F27)</f>
        <v>5845</v>
      </c>
      <c r="G20" s="115">
        <f>SUM(G21:G27)</f>
        <v>9593</v>
      </c>
      <c r="H20" s="240">
        <f t="shared" ref="H20:H27" si="1">(F20-G20)/G20</f>
        <v>-0.39070155321588657</v>
      </c>
      <c r="I20" s="241">
        <f t="shared" ref="I20:I27" si="2">F20/$F$70</f>
        <v>5.4024327122153208E-2</v>
      </c>
      <c r="J20" s="238" t="s">
        <v>17</v>
      </c>
      <c r="K20" s="243"/>
      <c r="L20" s="239">
        <f>SUM(L21:L27)</f>
        <v>52215</v>
      </c>
      <c r="M20" s="115">
        <f>SUM(M21:M27)</f>
        <v>178087</v>
      </c>
      <c r="N20" s="241">
        <f t="shared" ref="N20:N27" si="3">(L20-M20)/M20</f>
        <v>-0.7068006086912576</v>
      </c>
      <c r="O20" s="239">
        <f>SUM(O21:O27)</f>
        <v>462301</v>
      </c>
      <c r="P20" s="115">
        <f>SUM(P21:P27)</f>
        <v>1019893</v>
      </c>
      <c r="Q20" s="240">
        <f t="shared" ref="Q20:Q27" si="4">(O20-P20)/P20</f>
        <v>-0.54671617512817516</v>
      </c>
      <c r="R20" s="241">
        <f t="shared" ref="R20:R27" si="5">O20/$O$70</f>
        <v>5.6528066619582464E-2</v>
      </c>
      <c r="S20" s="238" t="s">
        <v>17</v>
      </c>
      <c r="T20" s="243"/>
      <c r="U20" s="239">
        <f>SUM(U21:U27)</f>
        <v>243576</v>
      </c>
      <c r="V20" s="115">
        <f>SUM(V21:V27)</f>
        <v>107770</v>
      </c>
      <c r="W20" s="241">
        <f t="shared" ref="W20:W24" si="6">(U20-V20)/V20</f>
        <v>1.2601466085181405</v>
      </c>
      <c r="X20" s="239">
        <f>SUM(X21:X27)</f>
        <v>1196750</v>
      </c>
      <c r="Y20" s="115">
        <f>SUM(Y21:Y27)</f>
        <v>895796</v>
      </c>
      <c r="Z20" s="240">
        <f t="shared" ref="Z20:Z24" si="7">(X20-Y20)/Y20</f>
        <v>0.33596265221099447</v>
      </c>
      <c r="AA20" s="241">
        <f t="shared" ref="AA20:AA27" si="8">X20/$X$70</f>
        <v>3.9862482014834208E-2</v>
      </c>
    </row>
    <row r="21" spans="1:27" ht="14.1" customHeight="1" x14ac:dyDescent="0.2">
      <c r="A21" s="31"/>
      <c r="B21" s="33" t="s">
        <v>17</v>
      </c>
      <c r="C21" s="242">
        <f>[3]American!$GU$19</f>
        <v>409</v>
      </c>
      <c r="D21" s="2">
        <f>[3]American!$GG$19</f>
        <v>1140</v>
      </c>
      <c r="E21" s="58">
        <f t="shared" si="0"/>
        <v>-0.64122807017543859</v>
      </c>
      <c r="F21" s="2">
        <f>SUM([3]American!$GP$19:$GU$19)</f>
        <v>3613</v>
      </c>
      <c r="G21" s="2">
        <f>SUM([3]American!$GB$19:$GG$19)</f>
        <v>7107</v>
      </c>
      <c r="H21" s="3">
        <f t="shared" si="1"/>
        <v>-0.4916279724215562</v>
      </c>
      <c r="I21" s="58">
        <f t="shared" si="2"/>
        <v>3.3394335995267671E-2</v>
      </c>
      <c r="J21" s="31"/>
      <c r="K21" s="33" t="s">
        <v>17</v>
      </c>
      <c r="L21" s="242">
        <f>[3]American!$GU$41</f>
        <v>42524</v>
      </c>
      <c r="M21" s="2">
        <f>[3]American!$GG$41</f>
        <v>146519</v>
      </c>
      <c r="N21" s="58">
        <f t="shared" si="3"/>
        <v>-0.70977142896143164</v>
      </c>
      <c r="O21" s="242">
        <f>SUM([3]American!$GP$41:$GU$41)</f>
        <v>361031</v>
      </c>
      <c r="P21" s="2">
        <f>SUM([3]American!$GB$41:$GG$41)</f>
        <v>877022</v>
      </c>
      <c r="Q21" s="3">
        <f t="shared" si="4"/>
        <v>-0.58834442009436483</v>
      </c>
      <c r="R21" s="58">
        <f t="shared" si="5"/>
        <v>4.4145230963667556E-2</v>
      </c>
      <c r="S21" s="31"/>
      <c r="T21" s="33" t="s">
        <v>17</v>
      </c>
      <c r="U21" s="242">
        <f>[3]American!$GU$64</f>
        <v>242015</v>
      </c>
      <c r="V21" s="2">
        <f>[3]American!$GG$64</f>
        <v>107024</v>
      </c>
      <c r="W21" s="58">
        <f t="shared" si="6"/>
        <v>1.2613152190162955</v>
      </c>
      <c r="X21" s="242">
        <f>SUM([3]American!$GP$64:$GU$64)</f>
        <v>1187812</v>
      </c>
      <c r="Y21" s="2">
        <f>SUM([3]American!$GB$64:$GG$64)</f>
        <v>894119</v>
      </c>
      <c r="Z21" s="3">
        <f t="shared" si="7"/>
        <v>0.3284719371806214</v>
      </c>
      <c r="AA21" s="58">
        <f t="shared" si="8"/>
        <v>3.956476664884416E-2</v>
      </c>
    </row>
    <row r="22" spans="1:27" ht="14.1" customHeight="1" x14ac:dyDescent="0.2">
      <c r="A22" s="31"/>
      <c r="B22" s="295" t="s">
        <v>166</v>
      </c>
      <c r="C22" s="242">
        <f>'[3]American Eagle'!$GU$19</f>
        <v>88</v>
      </c>
      <c r="D22" s="2">
        <f>'[3]American Eagle'!$GG$19</f>
        <v>108</v>
      </c>
      <c r="E22" s="58">
        <f t="shared" si="0"/>
        <v>-0.18518518518518517</v>
      </c>
      <c r="F22" s="2">
        <f>SUM('[3]American Eagle'!$GP$19:$GU$19)</f>
        <v>651</v>
      </c>
      <c r="G22" s="2">
        <f>SUM('[3]American Eagle'!$GB$19:$GG$19)</f>
        <v>506</v>
      </c>
      <c r="H22" s="3">
        <f t="shared" si="1"/>
        <v>0.2865612648221344</v>
      </c>
      <c r="I22" s="58">
        <f t="shared" si="2"/>
        <v>6.017080745341615E-3</v>
      </c>
      <c r="J22" s="31"/>
      <c r="K22" s="295" t="s">
        <v>166</v>
      </c>
      <c r="L22" s="242">
        <f>'[3]American Eagle'!$GU$41</f>
        <v>4951</v>
      </c>
      <c r="M22" s="2">
        <f>'[3]American Eagle'!$GG$41</f>
        <v>7311</v>
      </c>
      <c r="N22" s="58">
        <f t="shared" si="3"/>
        <v>-0.32280125837778689</v>
      </c>
      <c r="O22" s="242">
        <f>SUM('[3]American Eagle'!$GP$41:$GU$41)</f>
        <v>35636</v>
      </c>
      <c r="P22" s="2">
        <f>SUM('[3]American Eagle'!$GB$41:$GG$41)</f>
        <v>34628</v>
      </c>
      <c r="Q22" s="3">
        <f t="shared" si="4"/>
        <v>2.9109391244079935E-2</v>
      </c>
      <c r="R22" s="58">
        <f t="shared" si="5"/>
        <v>4.3574082298230817E-3</v>
      </c>
      <c r="S22" s="31"/>
      <c r="T22" s="295" t="s">
        <v>166</v>
      </c>
      <c r="U22" s="242">
        <f>'[3]American Eagle'!$GU$64</f>
        <v>616</v>
      </c>
      <c r="V22" s="2">
        <f>'[3]American Eagle'!$GG$64</f>
        <v>9</v>
      </c>
      <c r="W22" s="58">
        <f t="shared" si="6"/>
        <v>67.444444444444443</v>
      </c>
      <c r="X22" s="242">
        <f>SUM('[3]American Eagle'!$GP$64:$GU$64)</f>
        <v>5052</v>
      </c>
      <c r="Y22" s="2">
        <f>SUM('[3]American Eagle'!$GB$64:$GG$64)</f>
        <v>282</v>
      </c>
      <c r="Z22" s="3">
        <f t="shared" si="7"/>
        <v>16.914893617021278</v>
      </c>
      <c r="AA22" s="58">
        <f t="shared" si="8"/>
        <v>1.682767989462648E-4</v>
      </c>
    </row>
    <row r="23" spans="1:27" ht="14.1" customHeight="1" x14ac:dyDescent="0.2">
      <c r="A23" s="31"/>
      <c r="B23" s="295" t="s">
        <v>52</v>
      </c>
      <c r="C23" s="242">
        <f>[3]Republic!$GU$19</f>
        <v>95</v>
      </c>
      <c r="D23" s="2">
        <f>[3]Republic!$GG$19</f>
        <v>395</v>
      </c>
      <c r="E23" s="58">
        <f t="shared" si="0"/>
        <v>-0.759493670886076</v>
      </c>
      <c r="F23" s="2">
        <f>SUM([3]Republic!$GP$19:$GU$19)</f>
        <v>1395</v>
      </c>
      <c r="G23" s="2">
        <f>SUM([3]Republic!$GB$19:$GG$19)</f>
        <v>1980</v>
      </c>
      <c r="H23" s="3">
        <f t="shared" si="1"/>
        <v>-0.29545454545454547</v>
      </c>
      <c r="I23" s="58">
        <f t="shared" si="2"/>
        <v>1.289374445430346E-2</v>
      </c>
      <c r="J23" s="31"/>
      <c r="K23" s="244" t="s">
        <v>52</v>
      </c>
      <c r="L23" s="242">
        <f>[3]Republic!$GU$41</f>
        <v>4740</v>
      </c>
      <c r="M23" s="2">
        <f>[3]Republic!$GG$41</f>
        <v>24257</v>
      </c>
      <c r="N23" s="58">
        <f t="shared" si="3"/>
        <v>-0.80459248876612932</v>
      </c>
      <c r="O23" s="242">
        <f>SUM([3]Republic!$GP$41:$GU$41)</f>
        <v>56069</v>
      </c>
      <c r="P23" s="2">
        <f>SUM([3]Republic!$GB$41:$GG$41)</f>
        <v>108243</v>
      </c>
      <c r="Q23" s="3">
        <f t="shared" si="4"/>
        <v>-0.48200807442513605</v>
      </c>
      <c r="R23" s="58">
        <f t="shared" si="5"/>
        <v>6.8558626680309343E-3</v>
      </c>
      <c r="S23" s="31"/>
      <c r="T23" s="244" t="s">
        <v>52</v>
      </c>
      <c r="U23" s="242">
        <f>[3]Republic!$GU$64</f>
        <v>945</v>
      </c>
      <c r="V23" s="2">
        <f>[3]Republic!$GG$64</f>
        <v>737</v>
      </c>
      <c r="W23" s="58">
        <f t="shared" si="6"/>
        <v>0.28222523744911804</v>
      </c>
      <c r="X23" s="242">
        <f>SUM([3]Republic!$GP$64:$GU$64)</f>
        <v>3326</v>
      </c>
      <c r="Y23" s="2">
        <f>SUM([3]Republic!$GB$64:$GG$64)</f>
        <v>1395</v>
      </c>
      <c r="Z23" s="3">
        <f t="shared" si="7"/>
        <v>1.3842293906810035</v>
      </c>
      <c r="AA23" s="58">
        <f t="shared" si="8"/>
        <v>1.1078555686763198E-4</v>
      </c>
    </row>
    <row r="24" spans="1:27" ht="14.1" customHeight="1" x14ac:dyDescent="0.2">
      <c r="A24" s="31"/>
      <c r="B24" s="295" t="s">
        <v>182</v>
      </c>
      <c r="C24" s="242">
        <f>[3]PSA!$GU$19</f>
        <v>0</v>
      </c>
      <c r="D24" s="2">
        <f>[3]PSA!$GG$19</f>
        <v>0</v>
      </c>
      <c r="E24" s="58" t="e">
        <f t="shared" si="0"/>
        <v>#DIV/0!</v>
      </c>
      <c r="F24" s="2">
        <f>SUM([3]PSA!$GP$19:$GU$19)</f>
        <v>0</v>
      </c>
      <c r="G24" s="2">
        <f>SUM([3]PSA!$GB$19:$GG$19)</f>
        <v>0</v>
      </c>
      <c r="H24" s="3" t="e">
        <f t="shared" si="1"/>
        <v>#DIV/0!</v>
      </c>
      <c r="I24" s="58">
        <f t="shared" si="2"/>
        <v>0</v>
      </c>
      <c r="J24" s="31"/>
      <c r="K24" s="295" t="s">
        <v>182</v>
      </c>
      <c r="L24" s="242">
        <f>[3]PSA!$GU$41</f>
        <v>0</v>
      </c>
      <c r="M24" s="2">
        <f>[3]PSA!$GG$41</f>
        <v>0</v>
      </c>
      <c r="N24" s="58" t="e">
        <f t="shared" si="3"/>
        <v>#DIV/0!</v>
      </c>
      <c r="O24" s="242">
        <f>SUM([3]PSA!$GP$41:$GU$41)</f>
        <v>0</v>
      </c>
      <c r="P24" s="2">
        <f>SUM([3]PSA!$GB$41:$GG$41)</f>
        <v>0</v>
      </c>
      <c r="Q24" s="3" t="e">
        <f t="shared" si="4"/>
        <v>#DIV/0!</v>
      </c>
      <c r="R24" s="58">
        <f t="shared" si="5"/>
        <v>0</v>
      </c>
      <c r="S24" s="31"/>
      <c r="T24" s="295" t="s">
        <v>182</v>
      </c>
      <c r="U24" s="242">
        <f>[3]PSA!$GU$64</f>
        <v>0</v>
      </c>
      <c r="V24" s="2">
        <f>[3]PSA!$GG$64</f>
        <v>0</v>
      </c>
      <c r="W24" s="58" t="e">
        <f t="shared" si="6"/>
        <v>#DIV/0!</v>
      </c>
      <c r="X24" s="242">
        <f>SUM([3]PSA!$GP$64:$GU$64)</f>
        <v>0</v>
      </c>
      <c r="Y24" s="2">
        <f>SUM([3]PSA!$GB$64:$GG$64)</f>
        <v>0</v>
      </c>
      <c r="Z24" s="3" t="e">
        <f t="shared" si="7"/>
        <v>#DIV/0!</v>
      </c>
      <c r="AA24" s="58">
        <f t="shared" si="8"/>
        <v>0</v>
      </c>
    </row>
    <row r="25" spans="1:27" ht="14.1" customHeight="1" x14ac:dyDescent="0.2">
      <c r="A25" s="31"/>
      <c r="B25" s="295" t="s">
        <v>98</v>
      </c>
      <c r="C25" s="242">
        <f>'[3]Sky West_AA'!$GU$19</f>
        <v>0</v>
      </c>
      <c r="D25" s="2">
        <f>'[3]Sky West_AA'!$GG$19</f>
        <v>0</v>
      </c>
      <c r="E25" s="58" t="e">
        <f>(C25-D25)/D25</f>
        <v>#DIV/0!</v>
      </c>
      <c r="F25" s="2">
        <f>SUM('[3]Sky West_AA'!$GP$19:$GU$19)</f>
        <v>182</v>
      </c>
      <c r="G25" s="2">
        <f>SUM('[3]Sky West_AA'!$GB$19:$GG$19)</f>
        <v>0</v>
      </c>
      <c r="H25" s="3" t="e">
        <f>(F25-G25)/G25</f>
        <v>#DIV/0!</v>
      </c>
      <c r="I25" s="58">
        <f t="shared" si="2"/>
        <v>1.6821946169772257E-3</v>
      </c>
      <c r="J25" s="31"/>
      <c r="K25" s="295" t="s">
        <v>98</v>
      </c>
      <c r="L25" s="242">
        <f>'[3]Sky West_AA'!$GU$41</f>
        <v>0</v>
      </c>
      <c r="M25" s="2">
        <f>'[3]Sky West_AA'!$GG$41</f>
        <v>0</v>
      </c>
      <c r="N25" s="58" t="e">
        <f>(L25-M25)/M25</f>
        <v>#DIV/0!</v>
      </c>
      <c r="O25" s="242">
        <f>SUM('[3]Sky West_AA'!$GP$41:$GU$41)</f>
        <v>9404</v>
      </c>
      <c r="P25" s="2">
        <f>SUM('[3]Sky West_AA'!$GB$41:$GG$41)</f>
        <v>0</v>
      </c>
      <c r="Q25" s="3" t="e">
        <f>(O25-P25)/P25</f>
        <v>#DIV/0!</v>
      </c>
      <c r="R25" s="301">
        <f t="shared" si="5"/>
        <v>1.1498784092843267E-3</v>
      </c>
      <c r="S25" s="31"/>
      <c r="T25" s="295" t="s">
        <v>98</v>
      </c>
      <c r="U25" s="242">
        <f>'[3]Sky West_AA'!$GU$64</f>
        <v>0</v>
      </c>
      <c r="V25" s="2">
        <f>'[3]Sky West_AA'!$GG$64</f>
        <v>0</v>
      </c>
      <c r="W25" s="58" t="e">
        <f>(U25-V25)/V25</f>
        <v>#DIV/0!</v>
      </c>
      <c r="X25" s="242">
        <f>SUM('[3]Sky West_AA'!$GP$64:$GU$64)</f>
        <v>560</v>
      </c>
      <c r="Y25" s="2">
        <f>SUM('[3]Sky West_AA'!$GB$64:$GG$64)</f>
        <v>0</v>
      </c>
      <c r="Z25" s="3" t="e">
        <f>(X25-Y25)/Y25</f>
        <v>#DIV/0!</v>
      </c>
      <c r="AA25" s="301">
        <f t="shared" si="8"/>
        <v>1.86530101761497E-5</v>
      </c>
    </row>
    <row r="26" spans="1:27" ht="14.1" customHeight="1" x14ac:dyDescent="0.2">
      <c r="A26" s="31"/>
      <c r="B26" s="295" t="s">
        <v>51</v>
      </c>
      <c r="C26" s="242">
        <f>[3]MESA!$GU$19</f>
        <v>0</v>
      </c>
      <c r="D26" s="2">
        <f>[3]MESA!$GG$19</f>
        <v>0</v>
      </c>
      <c r="E26" s="58" t="e">
        <f t="shared" si="0"/>
        <v>#DIV/0!</v>
      </c>
      <c r="F26" s="2">
        <f>SUM([3]MESA!$GP$19:$GU$19)</f>
        <v>0</v>
      </c>
      <c r="G26" s="2">
        <f>SUM([3]MESA!$GB$19:$GG$19)</f>
        <v>0</v>
      </c>
      <c r="H26" s="3" t="e">
        <f t="shared" si="1"/>
        <v>#DIV/0!</v>
      </c>
      <c r="I26" s="58">
        <f t="shared" si="2"/>
        <v>0</v>
      </c>
      <c r="J26" s="31"/>
      <c r="K26" s="295" t="s">
        <v>51</v>
      </c>
      <c r="L26" s="242">
        <f>[3]MESA!$GU$41</f>
        <v>0</v>
      </c>
      <c r="M26" s="2">
        <f>[3]MESA!$GG$41</f>
        <v>0</v>
      </c>
      <c r="N26" s="58" t="e">
        <f t="shared" si="3"/>
        <v>#DIV/0!</v>
      </c>
      <c r="O26" s="242">
        <f>SUM([3]MESA!$GP$41:$GU$41)</f>
        <v>0</v>
      </c>
      <c r="P26" s="2">
        <f>SUM([3]MESA!$GB$41:$GG$41)</f>
        <v>0</v>
      </c>
      <c r="Q26" s="3" t="e">
        <f t="shared" si="4"/>
        <v>#DIV/0!</v>
      </c>
      <c r="R26" s="58">
        <f t="shared" si="5"/>
        <v>0</v>
      </c>
      <c r="S26" s="31"/>
      <c r="T26" s="295" t="s">
        <v>51</v>
      </c>
      <c r="U26" s="242">
        <f>[3]MESA!$GU$64</f>
        <v>0</v>
      </c>
      <c r="V26" s="2">
        <f>[3]MESA!$GG$64</f>
        <v>0</v>
      </c>
      <c r="W26" s="58" t="e">
        <f t="shared" ref="W26:W27" si="9">(U26-V26)/V26</f>
        <v>#DIV/0!</v>
      </c>
      <c r="X26" s="242">
        <f>SUM([3]MESA!$GP$64:$GU$64)</f>
        <v>0</v>
      </c>
      <c r="Y26" s="2">
        <f>SUM([3]MESA!$GB$64:$GG$64)</f>
        <v>0</v>
      </c>
      <c r="Z26" s="3" t="e">
        <f t="shared" ref="Z26:Z27" si="10">(X26-Y26)/Y26</f>
        <v>#DIV/0!</v>
      </c>
      <c r="AA26" s="58">
        <f t="shared" si="8"/>
        <v>0</v>
      </c>
    </row>
    <row r="27" spans="1:27" ht="14.1" customHeight="1" x14ac:dyDescent="0.2">
      <c r="A27" s="31"/>
      <c r="B27" s="295" t="s">
        <v>50</v>
      </c>
      <c r="C27" s="242">
        <f>'[3]Air Wisconsin'!$GU$19</f>
        <v>0</v>
      </c>
      <c r="D27" s="2">
        <f>'[3]Air Wisconsin'!$GG$19</f>
        <v>0</v>
      </c>
      <c r="E27" s="58" t="e">
        <f t="shared" si="0"/>
        <v>#DIV/0!</v>
      </c>
      <c r="F27" s="2">
        <f>SUM('[3]Air Wisconsin'!$GP$19:$GU$19)</f>
        <v>4</v>
      </c>
      <c r="G27" s="2">
        <f>SUM('[3]Air Wisconsin'!$GB$19:$GG$19)</f>
        <v>0</v>
      </c>
      <c r="H27" s="283" t="e">
        <f t="shared" si="1"/>
        <v>#DIV/0!</v>
      </c>
      <c r="I27" s="58">
        <f t="shared" si="2"/>
        <v>3.6971310263235726E-5</v>
      </c>
      <c r="J27" s="31"/>
      <c r="K27" s="244" t="s">
        <v>50</v>
      </c>
      <c r="L27" s="242">
        <f>'[3]Air Wisconsin'!$GU$41</f>
        <v>0</v>
      </c>
      <c r="M27" s="2">
        <f>'[3]Air Wisconsin'!$GG$41</f>
        <v>0</v>
      </c>
      <c r="N27" s="58" t="e">
        <f t="shared" si="3"/>
        <v>#DIV/0!</v>
      </c>
      <c r="O27" s="242">
        <f>SUM('[3]Air Wisconsin'!$GP$41:$GU$41)</f>
        <v>161</v>
      </c>
      <c r="P27" s="2">
        <f>SUM('[3]Air Wisconsin'!$GB$41:$GG$41)</f>
        <v>0</v>
      </c>
      <c r="Q27" s="3" t="e">
        <f t="shared" si="4"/>
        <v>#DIV/0!</v>
      </c>
      <c r="R27" s="58">
        <f t="shared" si="5"/>
        <v>1.9686348776560676E-5</v>
      </c>
      <c r="S27" s="31"/>
      <c r="T27" s="244" t="s">
        <v>50</v>
      </c>
      <c r="U27" s="242">
        <f>'[3]Air Wisconsin'!$GU$64</f>
        <v>0</v>
      </c>
      <c r="V27" s="2">
        <f>'[3]Air Wisconsin'!$GG$64</f>
        <v>0</v>
      </c>
      <c r="W27" s="58" t="e">
        <f t="shared" si="9"/>
        <v>#DIV/0!</v>
      </c>
      <c r="X27" s="242">
        <f>SUM('[3]Air Wisconsin'!$GP$64:$GU$64)</f>
        <v>0</v>
      </c>
      <c r="Y27" s="2">
        <f>SUM('[3]Air Wisconsin'!$GB$64:$GG$64)</f>
        <v>0</v>
      </c>
      <c r="Z27" s="3" t="e">
        <f t="shared" si="10"/>
        <v>#DIV/0!</v>
      </c>
      <c r="AA27" s="58">
        <f t="shared" si="8"/>
        <v>0</v>
      </c>
    </row>
    <row r="28" spans="1:27" ht="14.1" customHeight="1" x14ac:dyDescent="0.2">
      <c r="A28" s="31"/>
      <c r="B28" s="33"/>
      <c r="C28" s="242"/>
      <c r="E28" s="58"/>
      <c r="F28" s="2"/>
      <c r="I28" s="58"/>
      <c r="J28" s="31"/>
      <c r="K28" s="33"/>
      <c r="L28" s="242"/>
      <c r="N28" s="58"/>
      <c r="O28" s="242"/>
      <c r="P28" s="2"/>
      <c r="Q28" s="3"/>
      <c r="R28" s="58"/>
      <c r="S28" s="31"/>
      <c r="T28" s="33"/>
      <c r="U28" s="242"/>
      <c r="V28" s="2"/>
      <c r="W28" s="58"/>
      <c r="X28" s="242"/>
      <c r="Y28" s="2"/>
      <c r="Z28" s="3"/>
      <c r="AA28" s="58"/>
    </row>
    <row r="29" spans="1:27" ht="14.1" customHeight="1" x14ac:dyDescent="0.2">
      <c r="A29" s="238" t="s">
        <v>180</v>
      </c>
      <c r="B29" s="33"/>
      <c r="C29" s="239">
        <f>'[3]Boutique Air'!$GU$19</f>
        <v>0</v>
      </c>
      <c r="D29" s="115">
        <f>'[3]Boutique Air'!$GG$19</f>
        <v>130</v>
      </c>
      <c r="E29" s="241">
        <f>(C29-D29)/D29</f>
        <v>-1</v>
      </c>
      <c r="F29" s="115">
        <f>SUM('[3]Boutique Air'!$GP$19:$GU$19)</f>
        <v>803</v>
      </c>
      <c r="G29" s="115">
        <f>SUM('[3]Boutique Air'!$GB$19:$GG$19)</f>
        <v>836</v>
      </c>
      <c r="H29" s="240">
        <f>(F29-G29)/G29</f>
        <v>-3.9473684210526314E-2</v>
      </c>
      <c r="I29" s="241">
        <f>F29/$F$70</f>
        <v>7.4219905353445723E-3</v>
      </c>
      <c r="J29" s="238" t="s">
        <v>180</v>
      </c>
      <c r="K29" s="33"/>
      <c r="L29" s="239">
        <f>'[3]Boutique Air'!$GU$41</f>
        <v>0</v>
      </c>
      <c r="M29" s="115">
        <f>'[3]Boutique Air'!$GG$41</f>
        <v>834</v>
      </c>
      <c r="N29" s="241">
        <f>(L29-M29)/M29</f>
        <v>-1</v>
      </c>
      <c r="O29" s="239">
        <f>SUM('[3]Boutique Air'!$GP$41:$GU$41)</f>
        <v>2456</v>
      </c>
      <c r="P29" s="115">
        <f>SUM('[3]Boutique Air'!$GB$41:$GG$41)</f>
        <v>3975</v>
      </c>
      <c r="Q29" s="240">
        <f>(O29-P29)/P29</f>
        <v>-0.38213836477987423</v>
      </c>
      <c r="R29" s="241">
        <f>O29/$O$70</f>
        <v>3.0030852543622995E-4</v>
      </c>
      <c r="S29" s="238" t="s">
        <v>180</v>
      </c>
      <c r="T29" s="33"/>
      <c r="U29" s="239">
        <f>'[3]Boutique Air'!$GU$64</f>
        <v>0</v>
      </c>
      <c r="V29" s="115">
        <f>'[3]Boutique Air'!$GG$64</f>
        <v>0</v>
      </c>
      <c r="W29" s="241" t="e">
        <f>(U29-V29)/V29</f>
        <v>#DIV/0!</v>
      </c>
      <c r="X29" s="239">
        <f>SUM('[3]Boutique Air'!$GP$64:$GU$64)</f>
        <v>0</v>
      </c>
      <c r="Y29" s="115">
        <f>SUM('[3]Boutique Air'!$GB$64:$GG$64)</f>
        <v>0</v>
      </c>
      <c r="Z29" s="240" t="e">
        <f>(X29-Y29)/Y29</f>
        <v>#DIV/0!</v>
      </c>
      <c r="AA29" s="241">
        <f>X29/$X$70</f>
        <v>0</v>
      </c>
    </row>
    <row r="30" spans="1:27" ht="14.1" customHeight="1" x14ac:dyDescent="0.2">
      <c r="A30" s="31"/>
      <c r="B30" s="33"/>
      <c r="C30" s="242"/>
      <c r="E30" s="58"/>
      <c r="F30" s="2"/>
      <c r="I30" s="58"/>
      <c r="J30" s="31"/>
      <c r="K30" s="33"/>
      <c r="L30" s="242"/>
      <c r="N30" s="58"/>
      <c r="O30" s="242"/>
      <c r="P30" s="2"/>
      <c r="Q30" s="3"/>
      <c r="R30" s="58"/>
      <c r="S30" s="31"/>
      <c r="T30" s="33"/>
      <c r="U30" s="242"/>
      <c r="V30" s="2"/>
      <c r="W30" s="58"/>
      <c r="X30" s="242"/>
      <c r="Y30" s="2"/>
      <c r="Z30" s="3"/>
      <c r="AA30" s="58"/>
    </row>
    <row r="31" spans="1:27" ht="14.1" customHeight="1" x14ac:dyDescent="0.2">
      <c r="A31" s="238" t="s">
        <v>162</v>
      </c>
      <c r="B31" s="33"/>
      <c r="C31" s="239">
        <f>[3]Condor!$GU$19</f>
        <v>0</v>
      </c>
      <c r="D31" s="115">
        <f>[3]Condor!$GG$19</f>
        <v>20</v>
      </c>
      <c r="E31" s="241">
        <f>(C31-D31)/D31</f>
        <v>-1</v>
      </c>
      <c r="F31" s="115">
        <f>SUM([3]Condor!$GP$19:$GU$19)</f>
        <v>0</v>
      </c>
      <c r="G31" s="115">
        <f>SUM([3]Condor!$GB$19:$GG$19)</f>
        <v>22</v>
      </c>
      <c r="H31" s="240">
        <f>(F31-G31)/G31</f>
        <v>-1</v>
      </c>
      <c r="I31" s="241">
        <f>F31/$F$70</f>
        <v>0</v>
      </c>
      <c r="J31" s="238" t="s">
        <v>162</v>
      </c>
      <c r="K31" s="33"/>
      <c r="L31" s="239">
        <f>[3]Condor!$GU$41</f>
        <v>0</v>
      </c>
      <c r="M31" s="115">
        <f>[3]Condor!$GG$41</f>
        <v>4784</v>
      </c>
      <c r="N31" s="241">
        <f>(L31-M31)/M31</f>
        <v>-1</v>
      </c>
      <c r="O31" s="239">
        <f>SUM([3]Condor!$GP$41:$GU$41)</f>
        <v>0</v>
      </c>
      <c r="P31" s="115">
        <f>SUM([3]Condor!$GB$41:$GG$41)</f>
        <v>5270</v>
      </c>
      <c r="Q31" s="240">
        <f>(O31-P31)/P31</f>
        <v>-1</v>
      </c>
      <c r="R31" s="241">
        <f>O31/$O$70</f>
        <v>0</v>
      </c>
      <c r="S31" s="238" t="s">
        <v>162</v>
      </c>
      <c r="T31" s="33"/>
      <c r="U31" s="239">
        <f>[3]Condor!$GU$64</f>
        <v>0</v>
      </c>
      <c r="V31" s="115">
        <f>[3]Condor!$GG$64</f>
        <v>11191</v>
      </c>
      <c r="W31" s="241">
        <f>(U31-V31)/V31</f>
        <v>-1</v>
      </c>
      <c r="X31" s="239">
        <f>SUM([3]Condor!$GP$64:$GU$64)</f>
        <v>0</v>
      </c>
      <c r="Y31" s="115">
        <f>SUM([3]Condor!$GB$64:$GG$64)</f>
        <v>12357</v>
      </c>
      <c r="Z31" s="240">
        <f>(X31-Y31)/Y31</f>
        <v>-1</v>
      </c>
      <c r="AA31" s="241">
        <f>X31/$X$70</f>
        <v>0</v>
      </c>
    </row>
    <row r="32" spans="1:27" ht="14.1" customHeight="1" x14ac:dyDescent="0.2">
      <c r="A32" s="31"/>
      <c r="B32" s="33"/>
      <c r="C32" s="242"/>
      <c r="E32" s="58"/>
      <c r="F32" s="2"/>
      <c r="I32" s="58"/>
      <c r="J32" s="31"/>
      <c r="K32" s="33"/>
      <c r="L32" s="242"/>
      <c r="N32" s="58"/>
      <c r="O32" s="242"/>
      <c r="P32" s="2"/>
      <c r="Q32" s="3"/>
      <c r="R32" s="58"/>
      <c r="S32" s="31"/>
      <c r="T32" s="33"/>
      <c r="U32" s="242"/>
      <c r="V32" s="2"/>
      <c r="W32" s="58"/>
      <c r="X32" s="242"/>
      <c r="Y32" s="2"/>
      <c r="Z32" s="3"/>
      <c r="AA32" s="58"/>
    </row>
    <row r="33" spans="1:27" ht="14.1" customHeight="1" x14ac:dyDescent="0.2">
      <c r="A33" s="238" t="s">
        <v>226</v>
      </c>
      <c r="B33" s="33"/>
      <c r="C33" s="239">
        <f>'[3]Denver Air'!$GU$19</f>
        <v>104</v>
      </c>
      <c r="D33" s="115">
        <f>'[3]Denver Air'!$GG$19</f>
        <v>0</v>
      </c>
      <c r="E33" s="241" t="e">
        <f>(C33-D33)/D33</f>
        <v>#DIV/0!</v>
      </c>
      <c r="F33" s="115">
        <f>SUM('[3]Denver Air'!$GP$19:$GU$19)</f>
        <v>104</v>
      </c>
      <c r="G33" s="115">
        <f>SUM('[3]Denver Air'!$GB$19:$GG$19)</f>
        <v>0</v>
      </c>
      <c r="H33" s="240" t="e">
        <f>(F33-G33)/G33</f>
        <v>#DIV/0!</v>
      </c>
      <c r="I33" s="241">
        <f>F33/$F$70</f>
        <v>9.6125406684412901E-4</v>
      </c>
      <c r="J33" s="238" t="s">
        <v>226</v>
      </c>
      <c r="K33" s="33"/>
      <c r="L33" s="239">
        <f>'[3]Denver Air'!$GU$41</f>
        <v>145</v>
      </c>
      <c r="M33" s="115">
        <f>'[3]Denver Air'!$GG$41</f>
        <v>0</v>
      </c>
      <c r="N33" s="241" t="e">
        <f>(L33-M33)/M33</f>
        <v>#DIV/0!</v>
      </c>
      <c r="O33" s="239">
        <f>SUM('[3]Denver Air'!$GP$41:$GU$41)</f>
        <v>145</v>
      </c>
      <c r="P33" s="115">
        <f>SUM('[3]Denver Air'!$GB$41:$GG$41)</f>
        <v>0</v>
      </c>
      <c r="Q33" s="240" t="e">
        <f>(O33-P33)/P33</f>
        <v>#DIV/0!</v>
      </c>
      <c r="R33" s="241">
        <f>O33/$O$70</f>
        <v>1.7729941444728557E-5</v>
      </c>
      <c r="S33" s="238" t="s">
        <v>226</v>
      </c>
      <c r="T33" s="33"/>
      <c r="U33" s="239">
        <f>'[3]Denver Air'!$GU$64</f>
        <v>0</v>
      </c>
      <c r="V33" s="115">
        <f>'[3]Denver Air'!$GG$64</f>
        <v>0</v>
      </c>
      <c r="W33" s="241" t="e">
        <f>(U33-V33)/V33</f>
        <v>#DIV/0!</v>
      </c>
      <c r="X33" s="239">
        <f>SUM('[3]Denver Air'!$GP$64:$GU$64)</f>
        <v>0</v>
      </c>
      <c r="Y33" s="115">
        <f>SUM('[3]Denver Air'!$GB$64:$GG$64)</f>
        <v>0</v>
      </c>
      <c r="Z33" s="240" t="e">
        <f>(X33-Y33)/Y33</f>
        <v>#DIV/0!</v>
      </c>
      <c r="AA33" s="241">
        <f>X33/$X$70</f>
        <v>0</v>
      </c>
    </row>
    <row r="34" spans="1:27" ht="14.1" customHeight="1" x14ac:dyDescent="0.2">
      <c r="A34" s="31"/>
      <c r="B34" s="33"/>
      <c r="C34" s="242"/>
      <c r="E34" s="58"/>
      <c r="F34" s="2"/>
      <c r="I34" s="58"/>
      <c r="J34" s="31"/>
      <c r="K34" s="33"/>
      <c r="L34" s="242"/>
      <c r="N34" s="58"/>
      <c r="O34" s="242"/>
      <c r="P34" s="2"/>
      <c r="Q34" s="3"/>
      <c r="R34" s="58"/>
      <c r="S34" s="31"/>
      <c r="T34" s="33"/>
      <c r="U34" s="242"/>
      <c r="V34" s="2"/>
      <c r="W34" s="58"/>
      <c r="X34" s="242"/>
      <c r="Y34" s="2"/>
      <c r="Z34" s="3"/>
      <c r="AA34" s="58"/>
    </row>
    <row r="35" spans="1:27" ht="14.1" customHeight="1" x14ac:dyDescent="0.2">
      <c r="A35" s="238" t="s">
        <v>18</v>
      </c>
      <c r="B35" s="243"/>
      <c r="C35" s="239">
        <f>SUM(C36:C42)</f>
        <v>5909</v>
      </c>
      <c r="D35" s="115">
        <f>SUM(D36:D42)</f>
        <v>24386</v>
      </c>
      <c r="E35" s="241">
        <f t="shared" ref="E35:E42" si="11">(C35-D35)/D35</f>
        <v>-0.75768883785778729</v>
      </c>
      <c r="F35" s="125">
        <f>SUM(F36:F42)</f>
        <v>79223</v>
      </c>
      <c r="G35" s="125">
        <f>SUM(G36:G42)</f>
        <v>132691</v>
      </c>
      <c r="H35" s="240">
        <f>(F35-G35)/G35</f>
        <v>-0.40295121749025931</v>
      </c>
      <c r="I35" s="241">
        <f t="shared" ref="I35:I42" si="12">F35/$F$70</f>
        <v>0.73224452824608099</v>
      </c>
      <c r="J35" s="238" t="s">
        <v>18</v>
      </c>
      <c r="K35" s="243"/>
      <c r="L35" s="239">
        <f>SUM(L36:L42)</f>
        <v>291034</v>
      </c>
      <c r="M35" s="115">
        <f>SUM(M36:M42)</f>
        <v>2570635</v>
      </c>
      <c r="N35" s="241">
        <f t="shared" ref="N35:N42" si="13">(L35-M35)/M35</f>
        <v>-0.88678517175717286</v>
      </c>
      <c r="O35" s="239">
        <f>SUM(O36:O42)</f>
        <v>5693163</v>
      </c>
      <c r="P35" s="115">
        <f>SUM(P36:P42)</f>
        <v>13036351</v>
      </c>
      <c r="Q35" s="240">
        <f t="shared" ref="Q35:Q42" si="14">(O35-P35)/P35</f>
        <v>-0.56328553902852108</v>
      </c>
      <c r="R35" s="241">
        <f t="shared" ref="R35:R42" si="15">O35/$O$70</f>
        <v>0.69613411465720809</v>
      </c>
      <c r="S35" s="238" t="s">
        <v>18</v>
      </c>
      <c r="T35" s="243"/>
      <c r="U35" s="239">
        <f>SUM(U36:U42)</f>
        <v>1525260</v>
      </c>
      <c r="V35" s="115">
        <f>SUM(V36:V42)</f>
        <v>8855084</v>
      </c>
      <c r="W35" s="241">
        <f t="shared" ref="W35:W42" si="16">(U35-V35)/V35</f>
        <v>-0.8277531867568958</v>
      </c>
      <c r="X35" s="239">
        <f>SUM(X36:X42)</f>
        <v>24201897</v>
      </c>
      <c r="Y35" s="115">
        <f>SUM(Y36:Y42)</f>
        <v>56396126</v>
      </c>
      <c r="Z35" s="240">
        <f t="shared" ref="Z35:Z38" si="17">(X35-Y35)/Y35</f>
        <v>-0.57085887424253223</v>
      </c>
      <c r="AA35" s="241">
        <f t="shared" ref="AA35:AA42" si="18">X35/$X$70</f>
        <v>0.80613969825558385</v>
      </c>
    </row>
    <row r="36" spans="1:27" ht="14.1" customHeight="1" x14ac:dyDescent="0.2">
      <c r="A36" s="31"/>
      <c r="B36" s="33" t="s">
        <v>18</v>
      </c>
      <c r="C36" s="242">
        <f>[3]Delta!$GU$19</f>
        <v>2538</v>
      </c>
      <c r="D36" s="2">
        <f>[3]Delta!$GG$19</f>
        <v>13437</v>
      </c>
      <c r="E36" s="58">
        <f t="shared" si="11"/>
        <v>-0.81111855324849291</v>
      </c>
      <c r="F36" s="2">
        <f>SUM([3]Delta!$GP$19:$GU$19)</f>
        <v>39266</v>
      </c>
      <c r="G36" s="2">
        <f>SUM([3]Delta!$GB$19:$GG$19)</f>
        <v>71521</v>
      </c>
      <c r="H36" s="3">
        <f t="shared" ref="H36:H42" si="19">(F36-G36)/G36</f>
        <v>-0.45098642356790314</v>
      </c>
      <c r="I36" s="58">
        <f t="shared" si="12"/>
        <v>0.36292886719905354</v>
      </c>
      <c r="J36" s="31"/>
      <c r="K36" s="33" t="s">
        <v>18</v>
      </c>
      <c r="L36" s="242">
        <f>[3]Delta!$GU$41</f>
        <v>194083</v>
      </c>
      <c r="M36" s="2">
        <f>[3]Delta!$GG$41</f>
        <v>1973976</v>
      </c>
      <c r="N36" s="58">
        <f t="shared" si="13"/>
        <v>-0.90167914908793212</v>
      </c>
      <c r="O36" s="242">
        <f>SUM([3]Delta!$GP$41:$GU$41)</f>
        <v>4252535</v>
      </c>
      <c r="P36" s="2">
        <f>SUM([3]Delta!$GB$41:$GG$41)</f>
        <v>9871735</v>
      </c>
      <c r="Q36" s="3">
        <f t="shared" si="14"/>
        <v>-0.56922111462676017</v>
      </c>
      <c r="R36" s="58">
        <f t="shared" si="15"/>
        <v>0.51998066580454316</v>
      </c>
      <c r="S36" s="31"/>
      <c r="T36" s="33" t="s">
        <v>18</v>
      </c>
      <c r="U36" s="242">
        <f>[3]Delta!$GU$64</f>
        <v>1525260</v>
      </c>
      <c r="V36" s="2">
        <f>[3]Delta!$GG$64</f>
        <v>8854983</v>
      </c>
      <c r="W36" s="58">
        <f t="shared" si="16"/>
        <v>-0.82775122210850094</v>
      </c>
      <c r="X36" s="242">
        <f>SUM([3]Delta!$GP$64:$GU$64)</f>
        <v>24201897</v>
      </c>
      <c r="Y36" s="2">
        <f>SUM([3]Delta!$GB$64:$GG$64)</f>
        <v>56395717</v>
      </c>
      <c r="Z36" s="3">
        <f t="shared" si="17"/>
        <v>-0.57085576197213694</v>
      </c>
      <c r="AA36" s="58">
        <f t="shared" si="18"/>
        <v>0.80613969825558385</v>
      </c>
    </row>
    <row r="37" spans="1:27" ht="14.1" customHeight="1" x14ac:dyDescent="0.2">
      <c r="A37" s="31"/>
      <c r="B37" s="244" t="s">
        <v>118</v>
      </c>
      <c r="C37" s="242">
        <f>[3]Compass!$GU$19</f>
        <v>0</v>
      </c>
      <c r="D37" s="2">
        <f>[3]Compass!$GG$19</f>
        <v>0</v>
      </c>
      <c r="E37" s="58" t="e">
        <f t="shared" si="11"/>
        <v>#DIV/0!</v>
      </c>
      <c r="F37" s="2">
        <f>SUM([3]Compass!$GP$19:$GU$19)</f>
        <v>0</v>
      </c>
      <c r="G37" s="2">
        <f>SUM([3]Compass!$GB$19:$GG$19)</f>
        <v>0</v>
      </c>
      <c r="H37" s="3" t="e">
        <f t="shared" si="19"/>
        <v>#DIV/0!</v>
      </c>
      <c r="I37" s="58">
        <f t="shared" si="12"/>
        <v>0</v>
      </c>
      <c r="J37" s="31"/>
      <c r="K37" s="244" t="s">
        <v>118</v>
      </c>
      <c r="L37" s="242">
        <f>[3]Compass!$GU$41</f>
        <v>0</v>
      </c>
      <c r="M37" s="2">
        <f>[3]Compass!$GG$41</f>
        <v>0</v>
      </c>
      <c r="N37" s="58" t="e">
        <f t="shared" si="13"/>
        <v>#DIV/0!</v>
      </c>
      <c r="O37" s="242">
        <f>SUM([3]Compass!$GP$41:$GU$41)</f>
        <v>0</v>
      </c>
      <c r="P37" s="2">
        <f>SUM([3]Compass!$GB$41:$GG$41)</f>
        <v>0</v>
      </c>
      <c r="Q37" s="3" t="e">
        <f t="shared" si="14"/>
        <v>#DIV/0!</v>
      </c>
      <c r="R37" s="58">
        <f t="shared" si="15"/>
        <v>0</v>
      </c>
      <c r="S37" s="31"/>
      <c r="T37" s="244" t="s">
        <v>118</v>
      </c>
      <c r="U37" s="242">
        <f>[3]Compass!$GU$64</f>
        <v>0</v>
      </c>
      <c r="V37" s="2">
        <f>[3]Compass!$GG$64</f>
        <v>0</v>
      </c>
      <c r="W37" s="58" t="e">
        <f t="shared" si="16"/>
        <v>#DIV/0!</v>
      </c>
      <c r="X37" s="242">
        <f>SUM([3]Compass!$GP$64:$GU$64)</f>
        <v>0</v>
      </c>
      <c r="Y37" s="2">
        <f>SUM([3]Compass!$GB$64:$GG$64)</f>
        <v>0</v>
      </c>
      <c r="Z37" s="3" t="e">
        <f t="shared" si="17"/>
        <v>#DIV/0!</v>
      </c>
      <c r="AA37" s="58">
        <f t="shared" si="18"/>
        <v>0</v>
      </c>
    </row>
    <row r="38" spans="1:27" ht="14.1" customHeight="1" x14ac:dyDescent="0.2">
      <c r="A38" s="31"/>
      <c r="B38" s="33" t="s">
        <v>159</v>
      </c>
      <c r="C38" s="242">
        <f>[3]Pinnacle!$GU$19</f>
        <v>1903</v>
      </c>
      <c r="D38" s="2">
        <f>[3]Pinnacle!$GG$19</f>
        <v>2205</v>
      </c>
      <c r="E38" s="58">
        <f t="shared" si="11"/>
        <v>-0.13696145124716552</v>
      </c>
      <c r="F38" s="2">
        <f>SUM([3]Pinnacle!$GP$19:$GU$19)</f>
        <v>11481</v>
      </c>
      <c r="G38" s="2">
        <f>SUM([3]Pinnacle!$GB$19:$GG$19)</f>
        <v>12983</v>
      </c>
      <c r="H38" s="3">
        <f t="shared" si="19"/>
        <v>-0.11568974813217284</v>
      </c>
      <c r="I38" s="58">
        <f t="shared" si="12"/>
        <v>0.10611690328305236</v>
      </c>
      <c r="J38" s="31"/>
      <c r="K38" s="33" t="s">
        <v>159</v>
      </c>
      <c r="L38" s="242">
        <f>[3]Pinnacle!$GU$41</f>
        <v>58535</v>
      </c>
      <c r="M38" s="2">
        <f>[3]Pinnacle!$GG$41</f>
        <v>140726</v>
      </c>
      <c r="N38" s="58">
        <f t="shared" si="13"/>
        <v>-0.58404985574804935</v>
      </c>
      <c r="O38" s="242">
        <f>SUM([3]Pinnacle!$GP$41:$GU$41)</f>
        <v>432586</v>
      </c>
      <c r="P38" s="2">
        <f>SUM([3]Pinnacle!$GB$41:$GG$41)</f>
        <v>796121</v>
      </c>
      <c r="Q38" s="3">
        <f t="shared" si="14"/>
        <v>-0.4566328485242821</v>
      </c>
      <c r="R38" s="58">
        <f t="shared" si="15"/>
        <v>5.2894651377995504E-2</v>
      </c>
      <c r="S38" s="31"/>
      <c r="T38" s="33" t="s">
        <v>159</v>
      </c>
      <c r="U38" s="242">
        <f>[3]Pinnacle!$GU$64</f>
        <v>0</v>
      </c>
      <c r="V38" s="2">
        <f>[3]Pinnacle!$GG$64</f>
        <v>0</v>
      </c>
      <c r="W38" s="58" t="e">
        <f t="shared" si="16"/>
        <v>#DIV/0!</v>
      </c>
      <c r="X38" s="242">
        <f>SUM([3]Pinnacle!$GP$64:$GU$64)</f>
        <v>0</v>
      </c>
      <c r="Y38" s="2">
        <f>SUM([3]Pinnacle!$GB$64:$GG$64)</f>
        <v>0</v>
      </c>
      <c r="Z38" s="3" t="e">
        <f t="shared" si="17"/>
        <v>#DIV/0!</v>
      </c>
      <c r="AA38" s="58">
        <f t="shared" si="18"/>
        <v>0</v>
      </c>
    </row>
    <row r="39" spans="1:27" ht="14.1" customHeight="1" x14ac:dyDescent="0.2">
      <c r="A39" s="31"/>
      <c r="B39" s="33" t="s">
        <v>155</v>
      </c>
      <c r="C39" s="242">
        <f>'[3]Go Jet'!$GU$19</f>
        <v>0</v>
      </c>
      <c r="D39" s="2">
        <f>'[3]Go Jet'!$GG$19</f>
        <v>96</v>
      </c>
      <c r="E39" s="58">
        <f t="shared" si="11"/>
        <v>-1</v>
      </c>
      <c r="F39" s="2">
        <f>SUM('[3]Go Jet'!$GP$19:$GU$19)</f>
        <v>44</v>
      </c>
      <c r="G39" s="2">
        <f>SUM('[3]Go Jet'!$GB$19:$GG$19)</f>
        <v>1264</v>
      </c>
      <c r="H39" s="3">
        <f>(F39-G39)/G39</f>
        <v>-0.96518987341772156</v>
      </c>
      <c r="I39" s="58">
        <f t="shared" si="12"/>
        <v>4.0668441289559303E-4</v>
      </c>
      <c r="J39" s="31"/>
      <c r="K39" s="33" t="s">
        <v>155</v>
      </c>
      <c r="L39" s="242">
        <f>'[3]Go Jet'!$GU$41</f>
        <v>0</v>
      </c>
      <c r="M39" s="2">
        <f>'[3]Go Jet'!$GG$41</f>
        <v>5784</v>
      </c>
      <c r="N39" s="58">
        <f t="shared" si="13"/>
        <v>-1</v>
      </c>
      <c r="O39" s="242">
        <f>SUM('[3]Go Jet'!$GP$41:$GU$41)</f>
        <v>2644</v>
      </c>
      <c r="P39" s="2">
        <f>SUM('[3]Go Jet'!$GB$41:$GG$41)</f>
        <v>72801</v>
      </c>
      <c r="Q39" s="3">
        <f>(O39-P39)/P39</f>
        <v>-0.96368181755745108</v>
      </c>
      <c r="R39" s="58">
        <f t="shared" si="15"/>
        <v>3.2329631158525731E-4</v>
      </c>
      <c r="S39" s="31"/>
      <c r="T39" s="33" t="s">
        <v>155</v>
      </c>
      <c r="U39" s="242">
        <f>'[3]Go Jet'!$GU$64</f>
        <v>0</v>
      </c>
      <c r="V39" s="2">
        <f>'[3]Go Jet'!$GG$64</f>
        <v>101</v>
      </c>
      <c r="W39" s="58">
        <f t="shared" si="16"/>
        <v>-1</v>
      </c>
      <c r="X39" s="242">
        <f>SUM('[3]Go Jet'!$GP$64:$GU$64)</f>
        <v>0</v>
      </c>
      <c r="Y39" s="2">
        <f>SUM('[3]Go Jet'!$GB$64:$GG$64)</f>
        <v>272</v>
      </c>
      <c r="Z39" s="3">
        <f>(X39-Y39)/Y39</f>
        <v>-1</v>
      </c>
      <c r="AA39" s="58">
        <f t="shared" si="18"/>
        <v>0</v>
      </c>
    </row>
    <row r="40" spans="1:27" ht="14.1" customHeight="1" x14ac:dyDescent="0.2">
      <c r="A40" s="31"/>
      <c r="B40" s="33" t="s">
        <v>98</v>
      </c>
      <c r="C40" s="242">
        <f>'[3]Sky West'!$GU$19</f>
        <v>1468</v>
      </c>
      <c r="D40" s="2">
        <f>'[3]Sky West'!$GG$19</f>
        <v>8648</v>
      </c>
      <c r="E40" s="58">
        <f t="shared" si="11"/>
        <v>-0.83024976873265499</v>
      </c>
      <c r="F40" s="2">
        <f>SUM('[3]Sky West'!$GP$19:$GU$19)</f>
        <v>28432</v>
      </c>
      <c r="G40" s="2">
        <f>SUM('[3]Sky West'!$GB$19:$GG$19)</f>
        <v>46601</v>
      </c>
      <c r="H40" s="3">
        <f t="shared" si="19"/>
        <v>-0.38988433724598187</v>
      </c>
      <c r="I40" s="58">
        <f t="shared" si="12"/>
        <v>0.26279207335107957</v>
      </c>
      <c r="J40" s="31"/>
      <c r="K40" s="33" t="s">
        <v>98</v>
      </c>
      <c r="L40" s="242">
        <f>'[3]Sky West'!$GU$41</f>
        <v>38416</v>
      </c>
      <c r="M40" s="2">
        <f>'[3]Sky West'!$GG$41</f>
        <v>450149</v>
      </c>
      <c r="N40" s="58">
        <f t="shared" si="13"/>
        <v>-0.91465936834248218</v>
      </c>
      <c r="O40" s="242">
        <f>SUM('[3]Sky West'!$GP$41:$GU$41)</f>
        <v>1005398</v>
      </c>
      <c r="P40" s="2">
        <f>SUM('[3]Sky West'!$GB$41:$GG$41)</f>
        <v>2279060</v>
      </c>
      <c r="Q40" s="3">
        <f t="shared" si="14"/>
        <v>-0.55885408896650368</v>
      </c>
      <c r="R40" s="58">
        <f t="shared" si="15"/>
        <v>0.12293550116308416</v>
      </c>
      <c r="S40" s="31"/>
      <c r="T40" s="33" t="s">
        <v>98</v>
      </c>
      <c r="U40" s="242">
        <f>'[3]Sky West'!$GU$64</f>
        <v>0</v>
      </c>
      <c r="V40" s="2">
        <f>'[3]Sky West'!$GG$64</f>
        <v>0</v>
      </c>
      <c r="W40" s="58" t="e">
        <f t="shared" si="16"/>
        <v>#DIV/0!</v>
      </c>
      <c r="X40" s="242">
        <f>SUM('[3]Sky West'!$GP$64:$GU$64)</f>
        <v>0</v>
      </c>
      <c r="Y40" s="2">
        <f>SUM('[3]Sky West'!$GB$64:$GG$64)</f>
        <v>0</v>
      </c>
      <c r="Z40" s="3" t="e">
        <f t="shared" ref="Z40:Z42" si="20">(X40-Y40)/Y40</f>
        <v>#DIV/0!</v>
      </c>
      <c r="AA40" s="58">
        <f t="shared" si="18"/>
        <v>0</v>
      </c>
    </row>
    <row r="41" spans="1:27" ht="14.1" customHeight="1" x14ac:dyDescent="0.2">
      <c r="A41" s="31"/>
      <c r="B41" s="33" t="s">
        <v>132</v>
      </c>
      <c r="C41" s="242">
        <f>'[3]Shuttle America_Delta'!$GU$19</f>
        <v>0</v>
      </c>
      <c r="D41" s="2">
        <f>'[3]Shuttle America_Delta'!$GG$19</f>
        <v>0</v>
      </c>
      <c r="E41" s="58" t="e">
        <f t="shared" si="11"/>
        <v>#DIV/0!</v>
      </c>
      <c r="F41" s="2">
        <f>SUM('[3]Shuttle America_Delta'!$GP$19:$GU$19)</f>
        <v>0</v>
      </c>
      <c r="G41" s="2">
        <f>SUM('[3]Shuttle America_Delta'!$GB$19:$GG$19)</f>
        <v>322</v>
      </c>
      <c r="H41" s="3">
        <f t="shared" si="19"/>
        <v>-1</v>
      </c>
      <c r="I41" s="58">
        <f t="shared" si="12"/>
        <v>0</v>
      </c>
      <c r="J41" s="31"/>
      <c r="K41" s="33" t="s">
        <v>132</v>
      </c>
      <c r="L41" s="242">
        <f>'[3]Shuttle America_Delta'!$GU$41</f>
        <v>0</v>
      </c>
      <c r="M41" s="2">
        <f>'[3]Shuttle America_Delta'!$GG$41</f>
        <v>0</v>
      </c>
      <c r="N41" s="58" t="e">
        <f t="shared" si="13"/>
        <v>#DIV/0!</v>
      </c>
      <c r="O41" s="242">
        <f>SUM('[3]Shuttle America_Delta'!$GP$41:$GU$41)</f>
        <v>0</v>
      </c>
      <c r="P41" s="2">
        <f>SUM('[3]Shuttle America_Delta'!$GB$41:$GG$41)</f>
        <v>16634</v>
      </c>
      <c r="Q41" s="3">
        <f t="shared" si="14"/>
        <v>-1</v>
      </c>
      <c r="R41" s="58">
        <f t="shared" si="15"/>
        <v>0</v>
      </c>
      <c r="S41" s="31"/>
      <c r="T41" s="33" t="s">
        <v>132</v>
      </c>
      <c r="U41" s="242">
        <f>'[3]Shuttle America_Delta'!$GU$64</f>
        <v>0</v>
      </c>
      <c r="V41" s="2">
        <f>'[3]Shuttle America_Delta'!$GG$64</f>
        <v>0</v>
      </c>
      <c r="W41" s="58" t="e">
        <f t="shared" si="16"/>
        <v>#DIV/0!</v>
      </c>
      <c r="X41" s="242">
        <f>SUM('[3]Shuttle America_Delta'!$GP$64:$GU$64)</f>
        <v>0</v>
      </c>
      <c r="Y41" s="2">
        <f>SUM('[3]Shuttle America_Delta'!$GB$64:$GG$64)</f>
        <v>137</v>
      </c>
      <c r="Z41" s="3">
        <f t="shared" si="20"/>
        <v>-1</v>
      </c>
      <c r="AA41" s="58">
        <f t="shared" si="18"/>
        <v>0</v>
      </c>
    </row>
    <row r="42" spans="1:27" ht="14.1" customHeight="1" x14ac:dyDescent="0.2">
      <c r="A42" s="31"/>
      <c r="B42" s="295" t="s">
        <v>167</v>
      </c>
      <c r="C42" s="242">
        <f>'[3]Atlantic Southeast'!$GU$19</f>
        <v>0</v>
      </c>
      <c r="D42" s="2">
        <f>'[3]Atlantic Southeast'!$GG$19</f>
        <v>0</v>
      </c>
      <c r="E42" s="58" t="e">
        <f t="shared" si="11"/>
        <v>#DIV/0!</v>
      </c>
      <c r="F42" s="2">
        <f>SUM('[3]Atlantic Southeast'!$GP$19:$GU$19)</f>
        <v>0</v>
      </c>
      <c r="G42" s="2">
        <f>SUM('[3]Atlantic Southeast'!$GB$19:$GG$19)</f>
        <v>0</v>
      </c>
      <c r="H42" s="3" t="e">
        <f t="shared" si="19"/>
        <v>#DIV/0!</v>
      </c>
      <c r="I42" s="58">
        <f t="shared" si="12"/>
        <v>0</v>
      </c>
      <c r="J42" s="31"/>
      <c r="K42" s="295" t="s">
        <v>167</v>
      </c>
      <c r="L42" s="242">
        <f>'[3]Atlantic Southeast'!$GU$41</f>
        <v>0</v>
      </c>
      <c r="M42" s="2">
        <f>'[3]Atlantic Southeast'!$GG$41</f>
        <v>0</v>
      </c>
      <c r="N42" s="58" t="e">
        <f t="shared" si="13"/>
        <v>#DIV/0!</v>
      </c>
      <c r="O42" s="242">
        <f>SUM('[3]Atlantic Southeast'!$GP$41:$GU$41)</f>
        <v>0</v>
      </c>
      <c r="P42" s="2">
        <f>SUM('[3]Atlantic Southeast'!$GB$41:$GG$41)</f>
        <v>0</v>
      </c>
      <c r="Q42" s="3" t="e">
        <f t="shared" si="14"/>
        <v>#DIV/0!</v>
      </c>
      <c r="R42" s="58">
        <f t="shared" si="15"/>
        <v>0</v>
      </c>
      <c r="S42" s="31"/>
      <c r="T42" s="295" t="s">
        <v>167</v>
      </c>
      <c r="U42" s="242">
        <f>'[3]Atlantic Southeast'!$GU$64</f>
        <v>0</v>
      </c>
      <c r="V42" s="2">
        <f>'[3]Atlantic Southeast'!$GG$64</f>
        <v>0</v>
      </c>
      <c r="W42" s="58" t="e">
        <f t="shared" si="16"/>
        <v>#DIV/0!</v>
      </c>
      <c r="X42" s="242">
        <f>SUM('[3]Atlantic Southeast'!$GP$64:$GU$64)</f>
        <v>0</v>
      </c>
      <c r="Y42" s="2">
        <f>SUM('[3]Atlantic Southeast'!$GB$64:$GG$64)</f>
        <v>0</v>
      </c>
      <c r="Z42" s="3" t="e">
        <f t="shared" si="20"/>
        <v>#DIV/0!</v>
      </c>
      <c r="AA42" s="58">
        <f t="shared" si="18"/>
        <v>0</v>
      </c>
    </row>
    <row r="43" spans="1:27" ht="14.1" customHeight="1" x14ac:dyDescent="0.2">
      <c r="A43" s="31"/>
      <c r="B43" s="295"/>
      <c r="C43" s="242"/>
      <c r="E43" s="58"/>
      <c r="F43" s="2"/>
      <c r="I43" s="58"/>
      <c r="J43" s="31"/>
      <c r="K43" s="295"/>
      <c r="L43" s="242"/>
      <c r="N43" s="58"/>
      <c r="O43" s="242"/>
      <c r="P43" s="2"/>
      <c r="Q43" s="3"/>
      <c r="R43" s="58"/>
      <c r="S43" s="31"/>
      <c r="T43" s="295"/>
      <c r="U43" s="242"/>
      <c r="V43" s="2"/>
      <c r="W43" s="58"/>
      <c r="X43" s="242"/>
      <c r="Y43" s="2"/>
      <c r="Z43" s="3"/>
      <c r="AA43" s="58"/>
    </row>
    <row r="44" spans="1:27" ht="14.1" customHeight="1" x14ac:dyDescent="0.2">
      <c r="A44" s="238" t="s">
        <v>47</v>
      </c>
      <c r="B44" s="33"/>
      <c r="C44" s="239">
        <f>[3]Frontier!$GU$19</f>
        <v>46</v>
      </c>
      <c r="D44" s="115">
        <f>[3]Frontier!$GG$19</f>
        <v>324</v>
      </c>
      <c r="E44" s="241">
        <f>(C44-D44)/D44</f>
        <v>-0.85802469135802473</v>
      </c>
      <c r="F44" s="115">
        <f>SUM([3]Frontier!$GP$19:$GU$19)</f>
        <v>719</v>
      </c>
      <c r="G44" s="115">
        <f>SUM([3]Frontier!$GB$19:$GG$19)</f>
        <v>1465</v>
      </c>
      <c r="H44" s="240">
        <f>(F44-G44)/G44</f>
        <v>-0.5092150170648464</v>
      </c>
      <c r="I44" s="241">
        <f>F44/$F$70</f>
        <v>6.6455930198166223E-3</v>
      </c>
      <c r="J44" s="238" t="s">
        <v>47</v>
      </c>
      <c r="K44" s="33"/>
      <c r="L44" s="239">
        <f>[3]Frontier!$GU$41</f>
        <v>5730</v>
      </c>
      <c r="M44" s="115">
        <f>[3]Frontier!$GG$41</f>
        <v>50836</v>
      </c>
      <c r="N44" s="241">
        <f>(L44-M44)/M44</f>
        <v>-0.88728460146352983</v>
      </c>
      <c r="O44" s="239">
        <f>SUM([3]Frontier!$GP$41:$GU$41)</f>
        <v>99818</v>
      </c>
      <c r="P44" s="115">
        <f>SUM([3]Frontier!$GB$41:$GG$41)</f>
        <v>240911</v>
      </c>
      <c r="Q44" s="240">
        <f>(O44-P44)/P44</f>
        <v>-0.58566441548953763</v>
      </c>
      <c r="R44" s="241">
        <f>O44/$O$70</f>
        <v>1.2205291690551139E-2</v>
      </c>
      <c r="S44" s="238" t="s">
        <v>47</v>
      </c>
      <c r="T44" s="33"/>
      <c r="U44" s="239">
        <f>[3]Frontier!$GU$64</f>
        <v>0</v>
      </c>
      <c r="V44" s="115">
        <f>[3]Frontier!$GG$64</f>
        <v>0</v>
      </c>
      <c r="W44" s="241" t="e">
        <f>(U44-V44)/V44</f>
        <v>#DIV/0!</v>
      </c>
      <c r="X44" s="239">
        <f>SUM([3]Frontier!$GP$64:$GU$64)</f>
        <v>0</v>
      </c>
      <c r="Y44" s="115">
        <f>SUM([3]Frontier!$GB$64:$GG$64)</f>
        <v>0</v>
      </c>
      <c r="Z44" s="240" t="e">
        <f>(X44-Y44)/Y44</f>
        <v>#DIV/0!</v>
      </c>
      <c r="AA44" s="241">
        <f>X44/$X$70</f>
        <v>0</v>
      </c>
    </row>
    <row r="45" spans="1:27" ht="14.1" customHeight="1" x14ac:dyDescent="0.2">
      <c r="A45" s="238"/>
      <c r="B45" s="33"/>
      <c r="C45" s="239"/>
      <c r="D45" s="115"/>
      <c r="E45" s="241"/>
      <c r="F45" s="115"/>
      <c r="G45" s="115"/>
      <c r="H45" s="240"/>
      <c r="I45" s="241"/>
      <c r="J45" s="238"/>
      <c r="K45" s="33"/>
      <c r="L45" s="242"/>
      <c r="N45" s="58"/>
      <c r="O45" s="242"/>
      <c r="P45" s="2"/>
      <c r="Q45" s="3"/>
      <c r="R45" s="58"/>
      <c r="S45" s="238"/>
      <c r="T45" s="33"/>
      <c r="U45" s="242"/>
      <c r="V45" s="2"/>
      <c r="W45" s="58"/>
      <c r="X45" s="242"/>
      <c r="Y45" s="2"/>
      <c r="Z45" s="3"/>
      <c r="AA45" s="58"/>
    </row>
    <row r="46" spans="1:27" ht="14.1" customHeight="1" x14ac:dyDescent="0.2">
      <c r="A46" s="238" t="s">
        <v>48</v>
      </c>
      <c r="B46" s="33"/>
      <c r="C46" s="239">
        <f>[3]Icelandair!$GU$19</f>
        <v>0</v>
      </c>
      <c r="D46" s="115">
        <f>[3]Icelandair!$GG$19</f>
        <v>60</v>
      </c>
      <c r="E46" s="241">
        <f>(C46-D46)/D46</f>
        <v>-1</v>
      </c>
      <c r="F46" s="115">
        <f>SUM([3]Icelandair!$GP$19:$GU$19)</f>
        <v>18</v>
      </c>
      <c r="G46" s="115">
        <f>SUM([3]Icelandair!$GB$19:$GG$19)</f>
        <v>208</v>
      </c>
      <c r="H46" s="240">
        <f>(F46-G46)/G46</f>
        <v>-0.91346153846153844</v>
      </c>
      <c r="I46" s="241">
        <f>F46/$F$70</f>
        <v>1.6637089618456077E-4</v>
      </c>
      <c r="J46" s="238" t="s">
        <v>48</v>
      </c>
      <c r="K46" s="33"/>
      <c r="L46" s="239">
        <f>[3]Icelandair!$GU$41</f>
        <v>0</v>
      </c>
      <c r="M46" s="115">
        <f>[3]Icelandair!$GG$41</f>
        <v>13496</v>
      </c>
      <c r="N46" s="241">
        <f>(L46-M46)/M46</f>
        <v>-1</v>
      </c>
      <c r="O46" s="239">
        <f>SUM([3]Icelandair!$GP$41:$GU$41)</f>
        <v>2058</v>
      </c>
      <c r="P46" s="115">
        <f>SUM([3]Icelandair!$GB$41:$GG$41)</f>
        <v>35842</v>
      </c>
      <c r="Q46" s="240">
        <f>(O46-P46)/P46</f>
        <v>-0.94258132916689918</v>
      </c>
      <c r="R46" s="241">
        <f>O46/$O$70</f>
        <v>2.5164289305690604E-4</v>
      </c>
      <c r="S46" s="238" t="s">
        <v>48</v>
      </c>
      <c r="T46" s="33"/>
      <c r="U46" s="239">
        <f>[3]Icelandair!$GU$64</f>
        <v>0</v>
      </c>
      <c r="V46" s="115">
        <f>[3]Icelandair!$GG$64</f>
        <v>95673</v>
      </c>
      <c r="W46" s="241">
        <f>(U46-V46)/V46</f>
        <v>-1</v>
      </c>
      <c r="X46" s="239">
        <f>SUM([3]Icelandair!$GP$64:$GU$64)</f>
        <v>2574</v>
      </c>
      <c r="Y46" s="115">
        <f>SUM([3]Icelandair!$GB$64:$GG$64)</f>
        <v>193778</v>
      </c>
      <c r="Z46" s="240">
        <f>(X46-Y46)/Y46</f>
        <v>-0.98671675835234129</v>
      </c>
      <c r="AA46" s="241">
        <f>X46/$X$70</f>
        <v>8.573722891680238E-5</v>
      </c>
    </row>
    <row r="47" spans="1:27" ht="14.1" customHeight="1" x14ac:dyDescent="0.2">
      <c r="A47" s="238"/>
      <c r="B47" s="33"/>
      <c r="C47" s="239"/>
      <c r="D47" s="115"/>
      <c r="E47" s="241"/>
      <c r="F47" s="115"/>
      <c r="G47" s="115"/>
      <c r="H47" s="240"/>
      <c r="I47" s="241"/>
      <c r="J47" s="238"/>
      <c r="K47" s="33"/>
      <c r="L47" s="242"/>
      <c r="N47" s="58"/>
      <c r="O47" s="242"/>
      <c r="P47" s="2"/>
      <c r="Q47" s="3"/>
      <c r="R47" s="58"/>
      <c r="S47" s="238"/>
      <c r="T47" s="33"/>
      <c r="U47" s="242"/>
      <c r="V47" s="2"/>
      <c r="W47" s="58"/>
      <c r="X47" s="242"/>
      <c r="Y47" s="2"/>
      <c r="Z47" s="3"/>
      <c r="AA47" s="58"/>
    </row>
    <row r="48" spans="1:27" ht="14.1" customHeight="1" x14ac:dyDescent="0.2">
      <c r="A48" s="238" t="s">
        <v>201</v>
      </c>
      <c r="B48" s="33"/>
      <c r="C48" s="239">
        <f>'[3]Jet Blue'!$GU$19</f>
        <v>0</v>
      </c>
      <c r="D48" s="115">
        <f>'[3]Jet Blue'!$GG$19</f>
        <v>172</v>
      </c>
      <c r="E48" s="241">
        <f>(C48-D48)/D48</f>
        <v>-1</v>
      </c>
      <c r="F48" s="115">
        <f>SUM('[3]Jet Blue'!$GP$19:$GU$19)</f>
        <v>497</v>
      </c>
      <c r="G48" s="115">
        <f>SUM('[3]Jet Blue'!$GB$19:$GG$19)</f>
        <v>1018</v>
      </c>
      <c r="H48" s="240">
        <f>(F48-G48)/G48</f>
        <v>-0.51178781925343808</v>
      </c>
      <c r="I48" s="241">
        <f>F48/$F$70</f>
        <v>4.593685300207039E-3</v>
      </c>
      <c r="J48" s="238" t="s">
        <v>201</v>
      </c>
      <c r="K48" s="33"/>
      <c r="L48" s="239">
        <f>'[3]Jet Blue'!$GU$41</f>
        <v>0</v>
      </c>
      <c r="M48" s="115">
        <f>'[3]Jet Blue'!$GG$41</f>
        <v>23311</v>
      </c>
      <c r="N48" s="241">
        <f>(L48-M48)/M48</f>
        <v>-1</v>
      </c>
      <c r="O48" s="239">
        <f>SUM('[3]Jet Blue'!$GP$41:$GU$41)</f>
        <v>28752</v>
      </c>
      <c r="P48" s="115">
        <f>SUM('[3]Jet Blue'!$GB$41:$GG$41)</f>
        <v>110285</v>
      </c>
      <c r="Q48" s="240">
        <f>(O48-P48)/P48</f>
        <v>-0.73929364827492405</v>
      </c>
      <c r="R48" s="241">
        <f>O48/$O$70</f>
        <v>3.5156639753023138E-3</v>
      </c>
      <c r="S48" s="238" t="s">
        <v>201</v>
      </c>
      <c r="T48" s="33"/>
      <c r="U48" s="239">
        <f>'[3]Jet Blue'!$GU$64</f>
        <v>0</v>
      </c>
      <c r="V48" s="115">
        <f>'[3]Jet Blue'!$GG$64</f>
        <v>0</v>
      </c>
      <c r="W48" s="241" t="e">
        <f>(U48-V48)/V48</f>
        <v>#DIV/0!</v>
      </c>
      <c r="X48" s="239">
        <f>SUM('[3]Jet Blue'!$GP$64:$GU$64)</f>
        <v>0</v>
      </c>
      <c r="Y48" s="115">
        <f>SUM('[3]Jet Blue'!$GB$64:$GG$64)</f>
        <v>0</v>
      </c>
      <c r="Z48" s="240" t="e">
        <f>(X48-Y48)/Y48</f>
        <v>#DIV/0!</v>
      </c>
      <c r="AA48" s="241">
        <f>X48/$X$70</f>
        <v>0</v>
      </c>
    </row>
    <row r="49" spans="1:27" ht="14.1" customHeight="1" x14ac:dyDescent="0.2">
      <c r="A49" s="238"/>
      <c r="B49" s="33"/>
      <c r="C49" s="239"/>
      <c r="D49" s="115"/>
      <c r="E49" s="241"/>
      <c r="F49" s="115"/>
      <c r="G49" s="115"/>
      <c r="H49" s="240"/>
      <c r="I49" s="241"/>
      <c r="J49" s="238"/>
      <c r="K49" s="33"/>
      <c r="L49" s="242"/>
      <c r="N49" s="58"/>
      <c r="O49" s="242"/>
      <c r="P49" s="2"/>
      <c r="Q49" s="3"/>
      <c r="R49" s="58"/>
      <c r="S49" s="238"/>
      <c r="T49" s="33"/>
      <c r="U49" s="242"/>
      <c r="V49" s="2"/>
      <c r="W49" s="58"/>
      <c r="X49" s="242"/>
      <c r="Y49" s="2"/>
      <c r="Z49" s="3"/>
      <c r="AA49" s="58"/>
    </row>
    <row r="50" spans="1:27" ht="14.1" customHeight="1" x14ac:dyDescent="0.2">
      <c r="A50" s="238" t="s">
        <v>194</v>
      </c>
      <c r="B50" s="33"/>
      <c r="C50" s="239">
        <f>[3]KLM!$GU$19</f>
        <v>0</v>
      </c>
      <c r="D50" s="115">
        <f>[3]KLM!$GG$19</f>
        <v>34</v>
      </c>
      <c r="E50" s="241">
        <f>(C50-D50)/D50</f>
        <v>-1</v>
      </c>
      <c r="F50" s="115">
        <f>SUM([3]KLM!$GP$19:$GU$19)</f>
        <v>80</v>
      </c>
      <c r="G50" s="115">
        <f>SUM([3]KLM!$GB$19:$GG$19)</f>
        <v>202</v>
      </c>
      <c r="H50" s="240">
        <f>(F50-G50)/G50</f>
        <v>-0.60396039603960394</v>
      </c>
      <c r="I50" s="241">
        <f>F50/$F$70</f>
        <v>7.3942620526471457E-4</v>
      </c>
      <c r="J50" s="238" t="s">
        <v>194</v>
      </c>
      <c r="K50" s="33"/>
      <c r="L50" s="239">
        <f>[3]KLM!$GU$41</f>
        <v>0</v>
      </c>
      <c r="M50" s="115">
        <f>[3]KLM!$GG$41</f>
        <v>8758</v>
      </c>
      <c r="N50" s="241">
        <f>(L50-M50)/M50</f>
        <v>-1</v>
      </c>
      <c r="O50" s="239">
        <f>SUM([3]KLM!$GP$41:$GU$41)</f>
        <v>15968</v>
      </c>
      <c r="P50" s="115">
        <f>SUM([3]KLM!$GB$41:$GG$41)</f>
        <v>45821</v>
      </c>
      <c r="Q50" s="240">
        <f>(O50-P50)/P50</f>
        <v>-0.65151349817769144</v>
      </c>
      <c r="R50" s="241">
        <f>O50/$O$70</f>
        <v>1.9524945171684525E-3</v>
      </c>
      <c r="S50" s="238" t="s">
        <v>194</v>
      </c>
      <c r="T50" s="33"/>
      <c r="U50" s="239">
        <f>[3]KLM!$GU$64</f>
        <v>0</v>
      </c>
      <c r="V50" s="115">
        <f>[3]KLM!$GG$64</f>
        <v>457524</v>
      </c>
      <c r="W50" s="241">
        <f>(U50-V50)/V50</f>
        <v>-1</v>
      </c>
      <c r="X50" s="239">
        <f>SUM([3]KLM!$GP$64:$GU$64)</f>
        <v>818409</v>
      </c>
      <c r="Y50" s="115">
        <f>SUM([3]KLM!$GB$64:$GG$64)</f>
        <v>3613528</v>
      </c>
      <c r="Z50" s="240">
        <f>(X50-Y50)/Y50</f>
        <v>-0.77351524604209509</v>
      </c>
      <c r="AA50" s="241">
        <f>X50/$X$70</f>
        <v>2.7260341795093752E-2</v>
      </c>
    </row>
    <row r="51" spans="1:27" ht="14.1" customHeight="1" x14ac:dyDescent="0.2">
      <c r="A51" s="238"/>
      <c r="B51" s="33"/>
      <c r="C51" s="239"/>
      <c r="D51" s="115"/>
      <c r="E51" s="241"/>
      <c r="F51" s="115"/>
      <c r="G51" s="115"/>
      <c r="H51" s="240"/>
      <c r="I51" s="241"/>
      <c r="J51" s="238"/>
      <c r="K51" s="33"/>
      <c r="L51" s="242"/>
      <c r="N51" s="58"/>
      <c r="O51" s="242"/>
      <c r="P51" s="2"/>
      <c r="Q51" s="3"/>
      <c r="R51" s="58"/>
      <c r="S51" s="238"/>
      <c r="T51" s="33"/>
      <c r="U51" s="242"/>
      <c r="V51" s="2"/>
      <c r="W51" s="58"/>
      <c r="X51" s="242"/>
      <c r="Y51" s="2"/>
      <c r="Z51" s="3"/>
      <c r="AA51" s="58"/>
    </row>
    <row r="52" spans="1:27" ht="14.1" customHeight="1" x14ac:dyDescent="0.2">
      <c r="A52" s="243" t="s">
        <v>130</v>
      </c>
      <c r="C52" s="239">
        <f>[3]Southwest!$GU$19</f>
        <v>525</v>
      </c>
      <c r="D52" s="115">
        <f>[3]Southwest!$GG$19</f>
        <v>1388</v>
      </c>
      <c r="E52" s="241">
        <f>(C52-D52)/D52</f>
        <v>-0.62175792507204608</v>
      </c>
      <c r="F52" s="115">
        <f>SUM([3]Southwest!$GP$19:$GU$19)</f>
        <v>4751</v>
      </c>
      <c r="G52" s="115">
        <f>SUM([3]Southwest!$GB$19:$GG$19)</f>
        <v>8027</v>
      </c>
      <c r="H52" s="240">
        <f>(F52-G52)/G52</f>
        <v>-0.40812258627133424</v>
      </c>
      <c r="I52" s="241">
        <f>F52/$F$70</f>
        <v>4.3912673765158235E-2</v>
      </c>
      <c r="J52" s="243" t="s">
        <v>130</v>
      </c>
      <c r="L52" s="239">
        <f>[3]Southwest!$GU$41</f>
        <v>43146</v>
      </c>
      <c r="M52" s="115">
        <f>[3]Southwest!$GG$41</f>
        <v>163220</v>
      </c>
      <c r="N52" s="241">
        <f>(L52-M52)/M52</f>
        <v>-0.73565739492709226</v>
      </c>
      <c r="O52" s="239">
        <f>SUM([3]Southwest!$GP$41:$GU$41)</f>
        <v>374779</v>
      </c>
      <c r="P52" s="115">
        <f>SUM([3]Southwest!$GB$41:$GG$41)</f>
        <v>925435</v>
      </c>
      <c r="Q52" s="240">
        <f>(O52-P52)/P52</f>
        <v>-0.59502396170449567</v>
      </c>
      <c r="R52" s="241">
        <f>O52/$O$70</f>
        <v>4.5826273963544308E-2</v>
      </c>
      <c r="S52" s="238" t="s">
        <v>130</v>
      </c>
      <c r="T52" s="33"/>
      <c r="U52" s="239">
        <f>[3]Southwest!$GU$64</f>
        <v>240221</v>
      </c>
      <c r="V52" s="115">
        <f>[3]Southwest!$GG$64</f>
        <v>321028</v>
      </c>
      <c r="W52" s="241">
        <f>(U52-V52)/V52</f>
        <v>-0.25171324619659347</v>
      </c>
      <c r="X52" s="239">
        <f>SUM([3]Southwest!$GP$64:$GU$64)</f>
        <v>1473043</v>
      </c>
      <c r="Y52" s="115">
        <f>SUM([3]Southwest!$GB$64:$GG$64)</f>
        <v>1961252</v>
      </c>
      <c r="Z52" s="240">
        <f>(X52-Y52)/Y52</f>
        <v>-0.24892721588046818</v>
      </c>
      <c r="AA52" s="241">
        <f>X52/$X$70</f>
        <v>4.9065510837332293E-2</v>
      </c>
    </row>
    <row r="53" spans="1:27" ht="14.1" customHeight="1" x14ac:dyDescent="0.2">
      <c r="A53" s="238"/>
      <c r="B53" s="33"/>
      <c r="C53" s="239"/>
      <c r="D53" s="115"/>
      <c r="E53" s="241"/>
      <c r="F53" s="115"/>
      <c r="G53" s="115"/>
      <c r="H53" s="240"/>
      <c r="I53" s="241"/>
      <c r="J53" s="238"/>
      <c r="K53" s="33"/>
      <c r="L53" s="242"/>
      <c r="N53" s="58"/>
      <c r="O53" s="242"/>
      <c r="P53" s="2"/>
      <c r="Q53" s="3"/>
      <c r="R53" s="58"/>
      <c r="S53" s="238"/>
      <c r="T53" s="33"/>
      <c r="U53" s="242"/>
      <c r="V53" s="2"/>
      <c r="W53" s="58"/>
      <c r="X53" s="242"/>
      <c r="Y53" s="2"/>
      <c r="Z53" s="3"/>
      <c r="AA53" s="58"/>
    </row>
    <row r="54" spans="1:27" ht="14.1" customHeight="1" x14ac:dyDescent="0.2">
      <c r="A54" s="238" t="s">
        <v>156</v>
      </c>
      <c r="B54" s="33"/>
      <c r="C54" s="239">
        <f>[3]Spirit!$GU$19</f>
        <v>22</v>
      </c>
      <c r="D54" s="115">
        <f>[3]Spirit!$GG$19</f>
        <v>586</v>
      </c>
      <c r="E54" s="241">
        <f>(C54-D54)/D54</f>
        <v>-0.96245733788395904</v>
      </c>
      <c r="F54" s="115">
        <f>SUM([3]Spirit!$GP$19:$GU$19)</f>
        <v>2029</v>
      </c>
      <c r="G54" s="115">
        <f>SUM([3]Spirit!$GB$19:$GG$19)</f>
        <v>3984</v>
      </c>
      <c r="H54" s="240">
        <f>(F54-G54)/G54</f>
        <v>-0.49071285140562249</v>
      </c>
      <c r="I54" s="241">
        <f>F54/$F$70</f>
        <v>1.8753697131026325E-2</v>
      </c>
      <c r="J54" s="238" t="s">
        <v>156</v>
      </c>
      <c r="K54" s="33"/>
      <c r="L54" s="239">
        <f>[3]Spirit!$GU$41</f>
        <v>2245</v>
      </c>
      <c r="M54" s="115">
        <f>[3]Spirit!$GG$41</f>
        <v>92696</v>
      </c>
      <c r="N54" s="241">
        <f>(L54-M54)/M54</f>
        <v>-0.97578104772589969</v>
      </c>
      <c r="O54" s="239">
        <f>SUM([3]Spirit!$GP$41:$GU$41)</f>
        <v>257964</v>
      </c>
      <c r="P54" s="115">
        <f>SUM([3]Spirit!$GB$41:$GG$41)</f>
        <v>592786</v>
      </c>
      <c r="Q54" s="240">
        <f>(O54-P54)/P54</f>
        <v>-0.56482777933352002</v>
      </c>
      <c r="R54" s="241">
        <f>O54/$O$70</f>
        <v>3.1542666309296259E-2</v>
      </c>
      <c r="S54" s="238" t="s">
        <v>156</v>
      </c>
      <c r="T54" s="33"/>
      <c r="U54" s="239">
        <f>[3]Spirit!$GU$64</f>
        <v>0</v>
      </c>
      <c r="V54" s="115">
        <f>[3]Spirit!$GG$64</f>
        <v>0</v>
      </c>
      <c r="W54" s="241" t="e">
        <f>(U54-V54)/V54</f>
        <v>#DIV/0!</v>
      </c>
      <c r="X54" s="239">
        <f>SUM([3]Spirit!$GP$64:$GU$64)</f>
        <v>0</v>
      </c>
      <c r="Y54" s="115">
        <f>SUM([3]Spirit!$GB$64:$GG$64)</f>
        <v>0</v>
      </c>
      <c r="Z54" s="240" t="e">
        <f>(X54-Y54)/Y54</f>
        <v>#DIV/0!</v>
      </c>
      <c r="AA54" s="241">
        <f>X54/$X$70</f>
        <v>0</v>
      </c>
    </row>
    <row r="55" spans="1:27" ht="14.1" customHeight="1" x14ac:dyDescent="0.2">
      <c r="A55" s="238"/>
      <c r="B55" s="33"/>
      <c r="C55" s="239"/>
      <c r="D55" s="115"/>
      <c r="E55" s="241"/>
      <c r="F55" s="115"/>
      <c r="G55" s="115"/>
      <c r="H55" s="240"/>
      <c r="I55" s="241"/>
      <c r="J55" s="238"/>
      <c r="K55" s="33"/>
      <c r="L55" s="242"/>
      <c r="N55" s="58"/>
      <c r="O55" s="242"/>
      <c r="P55" s="2"/>
      <c r="Q55" s="3"/>
      <c r="R55" s="58">
        <f>O55/$O$70</f>
        <v>0</v>
      </c>
      <c r="S55" s="238"/>
      <c r="T55" s="33"/>
      <c r="U55" s="242"/>
      <c r="V55" s="2"/>
      <c r="W55" s="58"/>
      <c r="X55" s="242"/>
      <c r="Y55" s="2"/>
      <c r="Z55" s="3"/>
      <c r="AA55" s="58">
        <f>X55/$X$70</f>
        <v>0</v>
      </c>
    </row>
    <row r="56" spans="1:27" ht="14.1" customHeight="1" x14ac:dyDescent="0.2">
      <c r="A56" s="238" t="s">
        <v>49</v>
      </c>
      <c r="B56" s="33"/>
      <c r="C56" s="239">
        <f>'[3]Sun Country'!$GU$19</f>
        <v>710</v>
      </c>
      <c r="D56" s="115">
        <f>'[3]Sun Country'!$GG$19</f>
        <v>1821</v>
      </c>
      <c r="E56" s="241">
        <f>(C56-D56)/D56</f>
        <v>-0.61010433827567268</v>
      </c>
      <c r="F56" s="115">
        <f>SUM('[3]Sun Country'!$GP$19:$GU$19)</f>
        <v>6963</v>
      </c>
      <c r="G56" s="115">
        <f>SUM('[3]Sun Country'!$GB$19:$GG$19)</f>
        <v>10555</v>
      </c>
      <c r="H56" s="240">
        <f>(F56-G56)/G56</f>
        <v>-0.34031264803410705</v>
      </c>
      <c r="I56" s="241">
        <f>F56/$F$70</f>
        <v>6.4357808340727601E-2</v>
      </c>
      <c r="J56" s="238" t="s">
        <v>49</v>
      </c>
      <c r="K56" s="33"/>
      <c r="L56" s="239">
        <f>'[3]Sun Country'!$GU$41</f>
        <v>68900</v>
      </c>
      <c r="M56" s="115">
        <f>'[3]Sun Country'!$GG$41</f>
        <v>246891</v>
      </c>
      <c r="N56" s="241">
        <f>(L56-M56)/M56</f>
        <v>-0.72092947900085458</v>
      </c>
      <c r="O56" s="239">
        <f>SUM('[3]Sun Country'!$GP$41:$GU$41)</f>
        <v>830109</v>
      </c>
      <c r="P56" s="115">
        <f>SUM('[3]Sun Country'!$GB$41:$GG$41)</f>
        <v>1435777</v>
      </c>
      <c r="Q56" s="240">
        <f>(O56-P56)/P56</f>
        <v>-0.42183988182008764</v>
      </c>
      <c r="R56" s="241">
        <f>O56/$O$70</f>
        <v>0.10150195836373917</v>
      </c>
      <c r="S56" s="238" t="s">
        <v>49</v>
      </c>
      <c r="T56" s="33"/>
      <c r="U56" s="239">
        <f>'[3]Sun Country'!$GU$64</f>
        <v>214517</v>
      </c>
      <c r="V56" s="115">
        <f>'[3]Sun Country'!$GG$64</f>
        <v>1102460</v>
      </c>
      <c r="W56" s="241">
        <f>(U56-V56)/V56</f>
        <v>-0.80541969776681244</v>
      </c>
      <c r="X56" s="239">
        <f>SUM('[3]Sun Country'!$GP$64:$GU$64)</f>
        <v>1769820</v>
      </c>
      <c r="Y56" s="115">
        <f>SUM('[3]Sun Country'!$GB$64:$GG$64)</f>
        <v>4606496</v>
      </c>
      <c r="Z56" s="240">
        <f>(X56-Y56)/Y56</f>
        <v>-0.61579908025536112</v>
      </c>
      <c r="AA56" s="241">
        <f>X56/$X$70</f>
        <v>5.8950840124916547E-2</v>
      </c>
    </row>
    <row r="57" spans="1:27" ht="14.1" customHeight="1" x14ac:dyDescent="0.2">
      <c r="A57" s="238"/>
      <c r="B57" s="33"/>
      <c r="C57" s="239"/>
      <c r="D57" s="115"/>
      <c r="E57" s="241"/>
      <c r="F57" s="115"/>
      <c r="G57" s="115"/>
      <c r="H57" s="240"/>
      <c r="I57" s="241"/>
      <c r="J57" s="238"/>
      <c r="K57" s="33"/>
      <c r="L57" s="242"/>
      <c r="N57" s="58"/>
      <c r="O57" s="242"/>
      <c r="P57" s="2"/>
      <c r="Q57" s="3"/>
      <c r="R57" s="58"/>
      <c r="S57" s="238"/>
      <c r="T57" s="33"/>
      <c r="U57" s="242"/>
      <c r="V57" s="2"/>
      <c r="W57" s="58"/>
      <c r="X57" s="242"/>
      <c r="Y57" s="2"/>
      <c r="Z57" s="3"/>
      <c r="AA57" s="58"/>
    </row>
    <row r="58" spans="1:27" ht="14.1" customHeight="1" x14ac:dyDescent="0.2">
      <c r="A58" s="238" t="s">
        <v>19</v>
      </c>
      <c r="B58" s="243"/>
      <c r="C58" s="239">
        <f>SUM(C59:C65)</f>
        <v>174</v>
      </c>
      <c r="D58" s="115">
        <f>SUM(D59:D65)</f>
        <v>1492</v>
      </c>
      <c r="E58" s="241">
        <f t="shared" ref="E58:E65" si="21">(C58-D58)/D58</f>
        <v>-0.88337801608579092</v>
      </c>
      <c r="F58" s="115">
        <f>SUM(F59:F65)</f>
        <v>4726</v>
      </c>
      <c r="G58" s="115">
        <f>SUM(G59:G65)</f>
        <v>8446</v>
      </c>
      <c r="H58" s="240">
        <f t="shared" ref="H58:H65" si="22">(F58-G58)/G58</f>
        <v>-0.44044518115084064</v>
      </c>
      <c r="I58" s="241">
        <f t="shared" ref="I58:I65" si="23">F58/$F$70</f>
        <v>4.3681603076013015E-2</v>
      </c>
      <c r="J58" s="238" t="s">
        <v>19</v>
      </c>
      <c r="K58" s="243"/>
      <c r="L58" s="239">
        <f>SUM(L59:L65)</f>
        <v>11253</v>
      </c>
      <c r="M58" s="115">
        <f>SUM(M59:M65)</f>
        <v>147032</v>
      </c>
      <c r="N58" s="241">
        <f t="shared" ref="N58:N65" si="24">(L58-M58)/M58</f>
        <v>-0.92346564013276022</v>
      </c>
      <c r="O58" s="239">
        <f>SUM(O59:O65)</f>
        <v>323471</v>
      </c>
      <c r="P58" s="115">
        <f>SUM(P59:P65)</f>
        <v>738632</v>
      </c>
      <c r="Q58" s="240">
        <f t="shared" ref="Q58:Q65" si="25">(O58-P58)/P58</f>
        <v>-0.56206744359843608</v>
      </c>
      <c r="R58" s="241">
        <f t="shared" ref="R58:R65" si="26">O58/$O$70</f>
        <v>3.9552564752191668E-2</v>
      </c>
      <c r="S58" s="238" t="s">
        <v>19</v>
      </c>
      <c r="T58" s="243"/>
      <c r="U58" s="239">
        <f>SUM(U59:U65)</f>
        <v>8315</v>
      </c>
      <c r="V58" s="115">
        <f>SUM(V59:V65)</f>
        <v>129965</v>
      </c>
      <c r="W58" s="241">
        <f t="shared" ref="W58:W65" si="27">(U58-V58)/V58</f>
        <v>-0.9360212364867464</v>
      </c>
      <c r="X58" s="239">
        <f>SUM(X59:X65)</f>
        <v>392668</v>
      </c>
      <c r="Y58" s="115">
        <f>SUM(Y59:Y65)</f>
        <v>888623</v>
      </c>
      <c r="Z58" s="240">
        <f t="shared" ref="Z58:Z65" si="28">(X58-Y58)/Y58</f>
        <v>-0.55811632154468205</v>
      </c>
      <c r="AA58" s="241">
        <f t="shared" ref="AA58:AA65" si="29">X58/$X$70</f>
        <v>1.3079357499729199E-2</v>
      </c>
    </row>
    <row r="59" spans="1:27" ht="14.1" customHeight="1" x14ac:dyDescent="0.2">
      <c r="A59" s="31"/>
      <c r="B59" s="295" t="s">
        <v>19</v>
      </c>
      <c r="C59" s="242">
        <f>[3]United!$GU$19</f>
        <v>60</v>
      </c>
      <c r="D59" s="2">
        <f>[3]United!$GG$19+[3]Continental!$GG$19</f>
        <v>636</v>
      </c>
      <c r="E59" s="58">
        <f t="shared" si="21"/>
        <v>-0.90566037735849059</v>
      </c>
      <c r="F59" s="2">
        <f>SUM([3]United!$GP$19:$GU$19)</f>
        <v>1684</v>
      </c>
      <c r="G59" s="2">
        <f>SUM([3]United!$GB$19:$GG$19)+SUM([3]Continental!$GB$19:$GG$19)</f>
        <v>3086</v>
      </c>
      <c r="H59" s="3">
        <f t="shared" si="22"/>
        <v>-0.45430978613091383</v>
      </c>
      <c r="I59" s="58">
        <f t="shared" si="23"/>
        <v>1.5564921620822241E-2</v>
      </c>
      <c r="J59" s="31"/>
      <c r="K59" s="295" t="s">
        <v>19</v>
      </c>
      <c r="L59" s="242">
        <f>[3]United!$GU$41</f>
        <v>5541</v>
      </c>
      <c r="M59" s="2">
        <f>[3]United!$GG$41+[3]Continental!$GG$41</f>
        <v>90880</v>
      </c>
      <c r="N59" s="58">
        <f t="shared" si="24"/>
        <v>-0.93902948943661968</v>
      </c>
      <c r="O59" s="242">
        <f>SUM([3]United!$GP$41:$GU$41)</f>
        <v>172309</v>
      </c>
      <c r="P59" s="2">
        <f>SUM([3]United!$GB$41:$GG$41)+SUM([3]Continental!$GB$41:$GG$41)</f>
        <v>406157</v>
      </c>
      <c r="Q59" s="3">
        <f t="shared" si="25"/>
        <v>-0.5757576503667301</v>
      </c>
      <c r="R59" s="58">
        <f t="shared" si="26"/>
        <v>2.1069161933791263E-2</v>
      </c>
      <c r="S59" s="31"/>
      <c r="T59" s="295" t="s">
        <v>19</v>
      </c>
      <c r="U59" s="242">
        <f>[3]United!$GU$64</f>
        <v>8315</v>
      </c>
      <c r="V59" s="2">
        <f>[3]United!$GG$64+[3]Continental!$GG$64</f>
        <v>129965</v>
      </c>
      <c r="W59" s="58">
        <f t="shared" si="27"/>
        <v>-0.9360212364867464</v>
      </c>
      <c r="X59" s="242">
        <f>SUM([3]United!$GP$64:$GU$64)</f>
        <v>392668</v>
      </c>
      <c r="Y59" s="2">
        <f>SUM([3]United!$GB$64:$GG$64)+SUM([3]Continental!$GB$64:$GG$64)</f>
        <v>888623</v>
      </c>
      <c r="Z59" s="3">
        <f t="shared" si="28"/>
        <v>-0.55811632154468205</v>
      </c>
      <c r="AA59" s="58">
        <f t="shared" si="29"/>
        <v>1.3079357499729199E-2</v>
      </c>
    </row>
    <row r="60" spans="1:27" ht="14.1" customHeight="1" x14ac:dyDescent="0.2">
      <c r="A60" s="31"/>
      <c r="B60" s="295" t="s">
        <v>167</v>
      </c>
      <c r="C60" s="242">
        <f>'[3]Continental Express'!$GU$19</f>
        <v>0</v>
      </c>
      <c r="D60" s="2">
        <f>'[3]Continental Express'!$GG$19</f>
        <v>0</v>
      </c>
      <c r="E60" s="58" t="e">
        <f t="shared" si="21"/>
        <v>#DIV/0!</v>
      </c>
      <c r="F60" s="2">
        <f>SUM('[3]Continental Express'!$GP$19:$GU$19)</f>
        <v>236</v>
      </c>
      <c r="G60" s="2">
        <f>SUM('[3]Continental Express'!$GB$19:$GG$19)</f>
        <v>54</v>
      </c>
      <c r="H60" s="3">
        <f t="shared" si="22"/>
        <v>3.3703703703703702</v>
      </c>
      <c r="I60" s="58">
        <f t="shared" si="23"/>
        <v>2.1813073055309078E-3</v>
      </c>
      <c r="J60" s="31"/>
      <c r="K60" s="295" t="s">
        <v>167</v>
      </c>
      <c r="L60" s="242">
        <f>'[3]Continental Express'!$GU$41</f>
        <v>0</v>
      </c>
      <c r="M60" s="2">
        <f>'[3]Continental Express'!$GG$41</f>
        <v>0</v>
      </c>
      <c r="N60" s="58" t="e">
        <f t="shared" si="24"/>
        <v>#DIV/0!</v>
      </c>
      <c r="O60" s="242">
        <f>SUM('[3]Continental Express'!$GP$41:$GU$41)</f>
        <v>10983</v>
      </c>
      <c r="P60" s="2">
        <f>SUM('[3]Continental Express'!$GB$41:$GG$41)</f>
        <v>1426</v>
      </c>
      <c r="Q60" s="3">
        <f t="shared" si="25"/>
        <v>6.7019635343618518</v>
      </c>
      <c r="R60" s="58">
        <f t="shared" si="26"/>
        <v>1.3429513578445086E-3</v>
      </c>
      <c r="S60" s="31"/>
      <c r="T60" s="295" t="s">
        <v>167</v>
      </c>
      <c r="U60" s="242">
        <f>'[3]Continental Express'!$GU$64</f>
        <v>0</v>
      </c>
      <c r="V60" s="2">
        <f>'[3]Continental Express'!$GG$64</f>
        <v>0</v>
      </c>
      <c r="W60" s="58" t="e">
        <f t="shared" si="27"/>
        <v>#DIV/0!</v>
      </c>
      <c r="X60" s="242">
        <f>SUM('[3]Continental Express'!$GP$64:$GU$64)</f>
        <v>0</v>
      </c>
      <c r="Y60" s="2">
        <f>SUM('[3]Continental Express'!$GB$64:$GG$64)</f>
        <v>0</v>
      </c>
      <c r="Z60" s="3" t="e">
        <f t="shared" si="28"/>
        <v>#DIV/0!</v>
      </c>
      <c r="AA60" s="58">
        <f t="shared" si="29"/>
        <v>0</v>
      </c>
    </row>
    <row r="61" spans="1:27" ht="14.1" customHeight="1" x14ac:dyDescent="0.2">
      <c r="A61" s="31"/>
      <c r="B61" s="33" t="s">
        <v>155</v>
      </c>
      <c r="C61" s="242">
        <f>'[3]Go Jet_UA'!$GU$19</f>
        <v>0</v>
      </c>
      <c r="D61" s="2">
        <f>'[3]Go Jet_UA'!$GG$19</f>
        <v>0</v>
      </c>
      <c r="E61" s="58" t="e">
        <f t="shared" si="21"/>
        <v>#DIV/0!</v>
      </c>
      <c r="F61" s="2">
        <f>SUM('[3]Go Jet_UA'!$GP$19:$GU$19)</f>
        <v>2</v>
      </c>
      <c r="G61" s="2">
        <f>SUM('[3]Go Jet_UA'!$GB$19:$GG$19)</f>
        <v>40</v>
      </c>
      <c r="H61" s="3">
        <f t="shared" si="22"/>
        <v>-0.95</v>
      </c>
      <c r="I61" s="58">
        <f t="shared" si="23"/>
        <v>1.8485655131617863E-5</v>
      </c>
      <c r="J61" s="31"/>
      <c r="K61" s="33" t="s">
        <v>155</v>
      </c>
      <c r="L61" s="242">
        <f>'[3]Go Jet_UA'!$GU$41</f>
        <v>0</v>
      </c>
      <c r="M61" s="2">
        <f>'[3]Go Jet_UA'!$GG$41</f>
        <v>0</v>
      </c>
      <c r="N61" s="58" t="e">
        <f t="shared" si="24"/>
        <v>#DIV/0!</v>
      </c>
      <c r="O61" s="242">
        <f>SUM('[3]Go Jet_UA'!$GP$41:$GU$41)</f>
        <v>83</v>
      </c>
      <c r="P61" s="2">
        <f>SUM('[3]Go Jet_UA'!$GB$41:$GG$41)</f>
        <v>2380</v>
      </c>
      <c r="Q61" s="3">
        <f t="shared" si="25"/>
        <v>-0.96512605042016808</v>
      </c>
      <c r="R61" s="58">
        <f t="shared" si="26"/>
        <v>1.0148863033879106E-5</v>
      </c>
      <c r="S61" s="31"/>
      <c r="T61" s="33" t="s">
        <v>155</v>
      </c>
      <c r="U61" s="242">
        <f>'[3]Go Jet_UA'!$GU$64</f>
        <v>0</v>
      </c>
      <c r="V61" s="2">
        <f>'[3]Go Jet_UA'!$GG$64</f>
        <v>0</v>
      </c>
      <c r="W61" s="58" t="e">
        <f t="shared" si="27"/>
        <v>#DIV/0!</v>
      </c>
      <c r="X61" s="242">
        <f>SUM('[3]Go Jet_UA'!$GP$64:$GU$64)</f>
        <v>0</v>
      </c>
      <c r="Y61" s="2">
        <f>SUM('[3]Go Jet_UA'!$GB$64:$GG$64)</f>
        <v>0</v>
      </c>
      <c r="Z61" s="3" t="e">
        <f t="shared" si="28"/>
        <v>#DIV/0!</v>
      </c>
      <c r="AA61" s="58">
        <f t="shared" si="29"/>
        <v>0</v>
      </c>
    </row>
    <row r="62" spans="1:27" ht="14.1" customHeight="1" x14ac:dyDescent="0.2">
      <c r="A62" s="31"/>
      <c r="B62" s="33" t="s">
        <v>51</v>
      </c>
      <c r="C62" s="242">
        <f>[3]MESA_UA!$GU$19</f>
        <v>0</v>
      </c>
      <c r="D62" s="2">
        <f>[3]MESA_UA!$GG$19</f>
        <v>196</v>
      </c>
      <c r="E62" s="58">
        <f t="shared" si="21"/>
        <v>-1</v>
      </c>
      <c r="F62" s="2">
        <f>SUM([3]MESA_UA!$GP$19:$GU$19)</f>
        <v>810</v>
      </c>
      <c r="G62" s="2">
        <f>SUM([3]MESA_UA!$GB$19:$GG$19)</f>
        <v>1444</v>
      </c>
      <c r="H62" s="3">
        <f>(F62-G62)/G62</f>
        <v>-0.43905817174515238</v>
      </c>
      <c r="I62" s="58">
        <f t="shared" si="23"/>
        <v>7.4866903283052353E-3</v>
      </c>
      <c r="J62" s="31"/>
      <c r="K62" s="33" t="s">
        <v>51</v>
      </c>
      <c r="L62" s="242">
        <f>[3]MESA_UA!$GU$41</f>
        <v>0</v>
      </c>
      <c r="M62" s="2">
        <f>[3]MESA_UA!$GG$41</f>
        <v>13192</v>
      </c>
      <c r="N62" s="58">
        <f t="shared" si="24"/>
        <v>-1</v>
      </c>
      <c r="O62" s="242">
        <f>SUM([3]MESA_UA!$GP$41:$GU$41)</f>
        <v>40832</v>
      </c>
      <c r="P62" s="2">
        <f>SUM([3]MESA_UA!$GB$41:$GG$41)</f>
        <v>92134</v>
      </c>
      <c r="Q62" s="3">
        <f t="shared" si="25"/>
        <v>-0.55681941519960054</v>
      </c>
      <c r="R62" s="58">
        <f t="shared" si="26"/>
        <v>4.9927515108355624E-3</v>
      </c>
      <c r="S62" s="31"/>
      <c r="T62" s="33" t="s">
        <v>51</v>
      </c>
      <c r="U62" s="242">
        <f>[3]MESA_UA!$GU$64</f>
        <v>0</v>
      </c>
      <c r="V62" s="2">
        <f>[3]MESA_UA!$GG$64</f>
        <v>0</v>
      </c>
      <c r="W62" s="58" t="e">
        <f t="shared" si="27"/>
        <v>#DIV/0!</v>
      </c>
      <c r="X62" s="242">
        <f>SUM([3]MESA_UA!$GP$64:$GU$64)</f>
        <v>0</v>
      </c>
      <c r="Y62" s="2">
        <f>SUM([3]MESA_UA!$GB$64:$GG$64)</f>
        <v>0</v>
      </c>
      <c r="Z62" s="3" t="e">
        <f t="shared" si="28"/>
        <v>#DIV/0!</v>
      </c>
      <c r="AA62" s="58">
        <f t="shared" si="29"/>
        <v>0</v>
      </c>
    </row>
    <row r="63" spans="1:27" ht="14.1" customHeight="1" x14ac:dyDescent="0.2">
      <c r="A63" s="31"/>
      <c r="B63" s="295" t="s">
        <v>52</v>
      </c>
      <c r="C63" s="242">
        <f>[3]Republic_UA!$GU$19</f>
        <v>0</v>
      </c>
      <c r="D63" s="2">
        <f>[3]Republic_UA!$GG$19</f>
        <v>564</v>
      </c>
      <c r="E63" s="58">
        <f t="shared" si="21"/>
        <v>-1</v>
      </c>
      <c r="F63" s="2">
        <f>SUM([3]Republic_UA!$GP$19:$GU$19)</f>
        <v>1354</v>
      </c>
      <c r="G63" s="2">
        <f>SUM([3]Republic_UA!$GB$19:$GG$19)</f>
        <v>3012</v>
      </c>
      <c r="H63" s="3">
        <f t="shared" ref="H63" si="30">(F63-G63)/G63</f>
        <v>-0.55046480743691895</v>
      </c>
      <c r="I63" s="58">
        <f t="shared" si="23"/>
        <v>1.2514788524105295E-2</v>
      </c>
      <c r="J63" s="31"/>
      <c r="K63" s="295" t="s">
        <v>52</v>
      </c>
      <c r="L63" s="242">
        <f>[3]Republic_UA!$GU$41</f>
        <v>0</v>
      </c>
      <c r="M63" s="2">
        <f>[3]Republic_UA!$GG$41</f>
        <v>36958</v>
      </c>
      <c r="N63" s="58">
        <f t="shared" si="24"/>
        <v>-1</v>
      </c>
      <c r="O63" s="242">
        <f>SUM([3]Republic_UA!$GP$41:$GU$41)</f>
        <v>65235</v>
      </c>
      <c r="P63" s="2">
        <f>SUM([3]Republic_UA!$GB$41:$GG$41)</f>
        <v>182922</v>
      </c>
      <c r="Q63" s="3">
        <f t="shared" si="25"/>
        <v>-0.64337258503624495</v>
      </c>
      <c r="R63" s="58">
        <f t="shared" si="26"/>
        <v>7.9766395182542579E-3</v>
      </c>
      <c r="S63" s="31"/>
      <c r="T63" s="295" t="s">
        <v>52</v>
      </c>
      <c r="U63" s="242">
        <f>[3]Republic_UA!$GU$64</f>
        <v>0</v>
      </c>
      <c r="V63" s="2">
        <f>[3]Republic_UA!$GG$64</f>
        <v>0</v>
      </c>
      <c r="W63" s="58" t="e">
        <f t="shared" si="27"/>
        <v>#DIV/0!</v>
      </c>
      <c r="X63" s="242">
        <f>SUM([3]Republic_UA!$GP$64:$GU$64)</f>
        <v>0</v>
      </c>
      <c r="Y63" s="2">
        <f>SUM([3]Republic_UA!$GB$64:$GG$64)</f>
        <v>0</v>
      </c>
      <c r="Z63" s="3" t="e">
        <f t="shared" si="28"/>
        <v>#DIV/0!</v>
      </c>
      <c r="AA63" s="58">
        <f t="shared" si="29"/>
        <v>0</v>
      </c>
    </row>
    <row r="64" spans="1:27" ht="14.1" customHeight="1" x14ac:dyDescent="0.2">
      <c r="A64" s="31"/>
      <c r="B64" s="33" t="s">
        <v>98</v>
      </c>
      <c r="C64" s="242">
        <f>'[3]Sky West_UA'!$GU$19</f>
        <v>114</v>
      </c>
      <c r="D64" s="2">
        <f>'[3]Sky West_UA'!$GG$19+'[3]Sky West_CO'!$GG$19</f>
        <v>96</v>
      </c>
      <c r="E64" s="58">
        <f t="shared" si="21"/>
        <v>0.1875</v>
      </c>
      <c r="F64" s="2">
        <f>SUM('[3]Sky West_UA'!$GP$19:$GU$19)</f>
        <v>640</v>
      </c>
      <c r="G64" s="2">
        <f>SUM('[3]Sky West_UA'!$GB$19:$GG$19)+SUM('[3]Sky West_CO'!$GB$19:$GG$19)</f>
        <v>810</v>
      </c>
      <c r="H64" s="3">
        <f t="shared" si="22"/>
        <v>-0.20987654320987653</v>
      </c>
      <c r="I64" s="58">
        <f t="shared" si="23"/>
        <v>5.9154096421177166E-3</v>
      </c>
      <c r="J64" s="31"/>
      <c r="K64" s="33" t="s">
        <v>98</v>
      </c>
      <c r="L64" s="242">
        <f>'[3]Sky West_UA'!$GU$41</f>
        <v>5712</v>
      </c>
      <c r="M64" s="2">
        <f>'[3]Sky West_UA'!$GG$41+'[3]Sky West_CO'!$GG$41</f>
        <v>6002</v>
      </c>
      <c r="N64" s="58">
        <f t="shared" si="24"/>
        <v>-4.8317227590803064E-2</v>
      </c>
      <c r="O64" s="242">
        <f>SUM('[3]Sky West_UA'!$GP$41:$GU$41)</f>
        <v>34029</v>
      </c>
      <c r="P64" s="2">
        <f>SUM('[3]Sky West_UA'!$GB$41:$GG$41)+SUM('[3]Sky West_CO'!$GB$41:$GG$41)</f>
        <v>53613</v>
      </c>
      <c r="Q64" s="3">
        <f t="shared" si="25"/>
        <v>-0.36528453919758269</v>
      </c>
      <c r="R64" s="58">
        <f t="shared" si="26"/>
        <v>4.1609115684321935E-3</v>
      </c>
      <c r="S64" s="31"/>
      <c r="T64" s="33" t="s">
        <v>98</v>
      </c>
      <c r="U64" s="242">
        <f>'[3]Sky West_UA'!$GU$64</f>
        <v>0</v>
      </c>
      <c r="V64" s="2">
        <f>'[3]Sky West_UA'!$GG$64+'[3]Sky West_CO'!$GG$64</f>
        <v>0</v>
      </c>
      <c r="W64" s="58" t="e">
        <f t="shared" si="27"/>
        <v>#DIV/0!</v>
      </c>
      <c r="X64" s="242">
        <f>SUM('[3]Sky West_UA'!$GP$64:$GU$64)</f>
        <v>0</v>
      </c>
      <c r="Y64" s="2">
        <f>SUM('[3]Sky West_UA'!$GB$64:$GG$64)+SUM('[3]Sky West_CO'!$GB$64:$GG$64)</f>
        <v>0</v>
      </c>
      <c r="Z64" s="3" t="e">
        <f t="shared" si="28"/>
        <v>#DIV/0!</v>
      </c>
      <c r="AA64" s="58">
        <f t="shared" si="29"/>
        <v>0</v>
      </c>
    </row>
    <row r="65" spans="1:27" ht="14.1" customHeight="1" x14ac:dyDescent="0.2">
      <c r="A65" s="31"/>
      <c r="B65" s="244" t="s">
        <v>132</v>
      </c>
      <c r="C65" s="242">
        <f>'[3]Shuttle America'!$GU$19</f>
        <v>0</v>
      </c>
      <c r="D65" s="2">
        <f>'[3]Shuttle America'!$GG$19</f>
        <v>0</v>
      </c>
      <c r="E65" s="58" t="e">
        <f t="shared" si="21"/>
        <v>#DIV/0!</v>
      </c>
      <c r="F65" s="2">
        <f>SUM('[3]Shuttle America'!$GP$19:$GU$19)</f>
        <v>0</v>
      </c>
      <c r="G65" s="2">
        <f>SUM('[3]Shuttle America'!$GB$19:$GG$19)</f>
        <v>0</v>
      </c>
      <c r="H65" s="3" t="e">
        <f t="shared" si="22"/>
        <v>#DIV/0!</v>
      </c>
      <c r="I65" s="58">
        <f t="shared" si="23"/>
        <v>0</v>
      </c>
      <c r="J65" s="31"/>
      <c r="K65" s="244" t="s">
        <v>132</v>
      </c>
      <c r="L65" s="242">
        <f>'[3]Shuttle America'!$GU$41</f>
        <v>0</v>
      </c>
      <c r="M65" s="2">
        <f>'[3]Shuttle America'!$GG$41</f>
        <v>0</v>
      </c>
      <c r="N65" s="58" t="e">
        <f t="shared" si="24"/>
        <v>#DIV/0!</v>
      </c>
      <c r="O65" s="242">
        <f>SUM('[3]Shuttle America'!$GP$41:$GU$41)</f>
        <v>0</v>
      </c>
      <c r="P65" s="2">
        <f>SUM('[3]Shuttle America'!$GB$41:$GG$41)</f>
        <v>0</v>
      </c>
      <c r="Q65" s="3" t="e">
        <f t="shared" si="25"/>
        <v>#DIV/0!</v>
      </c>
      <c r="R65" s="58">
        <f t="shared" si="26"/>
        <v>0</v>
      </c>
      <c r="S65" s="31"/>
      <c r="T65" s="244" t="s">
        <v>132</v>
      </c>
      <c r="U65" s="242">
        <f>'[3]Shuttle America'!$GU$64</f>
        <v>0</v>
      </c>
      <c r="V65" s="2">
        <f>'[3]Shuttle America'!$GG$64</f>
        <v>0</v>
      </c>
      <c r="W65" s="58" t="e">
        <f t="shared" si="27"/>
        <v>#DIV/0!</v>
      </c>
      <c r="X65" s="242">
        <f>SUM('[3]Shuttle America'!$GP$64:$GU$64)</f>
        <v>0</v>
      </c>
      <c r="Y65" s="2">
        <f>SUM('[3]Shuttle America'!$GB$64:$GG$64)</f>
        <v>0</v>
      </c>
      <c r="Z65" s="3" t="e">
        <f t="shared" si="28"/>
        <v>#DIV/0!</v>
      </c>
      <c r="AA65" s="58">
        <f t="shared" si="29"/>
        <v>0</v>
      </c>
    </row>
    <row r="66" spans="1:27" ht="14.1" customHeight="1" thickBot="1" x14ac:dyDescent="0.25">
      <c r="A66" s="297"/>
      <c r="B66" s="298"/>
      <c r="C66" s="245"/>
      <c r="D66" s="247"/>
      <c r="E66" s="248"/>
      <c r="F66" s="247"/>
      <c r="G66" s="247"/>
      <c r="H66" s="246"/>
      <c r="I66" s="248"/>
      <c r="J66" s="297"/>
      <c r="K66" s="298"/>
      <c r="L66" s="245"/>
      <c r="M66" s="247"/>
      <c r="N66" s="248"/>
      <c r="O66" s="245"/>
      <c r="P66" s="247"/>
      <c r="Q66" s="246"/>
      <c r="R66" s="324"/>
      <c r="S66" s="297"/>
      <c r="T66" s="298"/>
      <c r="U66" s="245"/>
      <c r="V66" s="247"/>
      <c r="W66" s="248"/>
      <c r="X66" s="245"/>
      <c r="Y66" s="247"/>
      <c r="Z66" s="246"/>
      <c r="AA66" s="324"/>
    </row>
    <row r="67" spans="1:27" s="141" customFormat="1" ht="14.1" customHeight="1" thickBot="1" x14ac:dyDescent="0.25">
      <c r="B67" s="140"/>
      <c r="C67" s="115"/>
      <c r="D67" s="115"/>
      <c r="E67" s="240"/>
      <c r="F67" s="296"/>
      <c r="G67" s="115"/>
      <c r="H67" s="240"/>
      <c r="I67" s="240"/>
      <c r="J67" s="249"/>
      <c r="K67" s="140"/>
      <c r="L67" s="250"/>
      <c r="M67" s="251"/>
      <c r="N67" s="249"/>
      <c r="S67" s="249"/>
      <c r="T67" s="140"/>
      <c r="U67" s="250"/>
      <c r="V67" s="251"/>
      <c r="W67" s="249"/>
    </row>
    <row r="68" spans="1:27" ht="14.1" customHeight="1" x14ac:dyDescent="0.2">
      <c r="B68" s="252" t="s">
        <v>134</v>
      </c>
      <c r="C68" s="305">
        <f>+C70-C69</f>
        <v>4681</v>
      </c>
      <c r="D68" s="305">
        <f>+D70-D69</f>
        <v>20240</v>
      </c>
      <c r="E68" s="306">
        <f>(C68-D68)/D68</f>
        <v>-0.76872529644268772</v>
      </c>
      <c r="F68" s="305">
        <f>+F70-F69</f>
        <v>62347</v>
      </c>
      <c r="G68" s="305">
        <f>+G70-G69</f>
        <v>110334</v>
      </c>
      <c r="H68" s="306">
        <f>(F68-G68)/G68</f>
        <v>-0.43492486450232931</v>
      </c>
      <c r="I68" s="346">
        <f>F68/$F$70</f>
        <v>0.57626257024548955</v>
      </c>
      <c r="K68" s="252" t="s">
        <v>134</v>
      </c>
      <c r="L68" s="305">
        <f>+L70-L69</f>
        <v>369894</v>
      </c>
      <c r="M68" s="305">
        <f>+M70-M69</f>
        <v>2860490</v>
      </c>
      <c r="N68" s="306">
        <f>(L68-M68)/M68</f>
        <v>-0.8706885883187846</v>
      </c>
      <c r="O68" s="305">
        <f>+O70-O69</f>
        <v>6455896</v>
      </c>
      <c r="P68" s="305">
        <f>+P70-P69</f>
        <v>14712510</v>
      </c>
      <c r="Q68" s="337">
        <f>(O68-P68)/P68</f>
        <v>-0.56119683181183899</v>
      </c>
      <c r="R68" s="341">
        <f>+O68/O70</f>
        <v>0.78939764174660221</v>
      </c>
      <c r="S68" s="3"/>
      <c r="T68" s="252" t="s">
        <v>134</v>
      </c>
      <c r="U68" s="305">
        <f>+U70-U69</f>
        <v>2250949</v>
      </c>
      <c r="V68" s="305">
        <f>+V70-V69</f>
        <v>11524948</v>
      </c>
      <c r="W68" s="306">
        <f>(U68-V68)/V68</f>
        <v>-0.80468901031050211</v>
      </c>
      <c r="X68" s="305">
        <f>+X70-X69</f>
        <v>29995853</v>
      </c>
      <c r="Y68" s="305">
        <f>+Y70-Y69</f>
        <v>69509584</v>
      </c>
      <c r="Z68" s="337">
        <f>(X68-Y68)/Y68</f>
        <v>-0.56846450124057712</v>
      </c>
      <c r="AA68" s="341">
        <f>+X68/X70</f>
        <v>0.99913027009159028</v>
      </c>
    </row>
    <row r="69" spans="1:27" ht="14.1" customHeight="1" x14ac:dyDescent="0.2">
      <c r="B69" s="140" t="s">
        <v>135</v>
      </c>
      <c r="C69" s="307">
        <f>C65+C42+C40+C38+C37+C41+C22+C64+C61+C39+C60+C62+C27+C26+C23+C17+C8+C63+C24+C25+C9+C18</f>
        <v>3713</v>
      </c>
      <c r="D69" s="307">
        <f>D65+D42+D40+D38+D37+D41+D22+D64+D61+D39+D60+D62+D27+D26+D23+D17+D8+D63+D24+D25+D9+D18</f>
        <v>12546</v>
      </c>
      <c r="E69" s="253">
        <f>(C69-D69)/D69</f>
        <v>-0.70404909931452253</v>
      </c>
      <c r="F69" s="307">
        <f>F65+F42+F40+F38+F37+F41+F22+F64+F61+F39+F60+F62+F27+F26+F23+F17+F8+F63+F24+F25+F9+F18</f>
        <v>45845</v>
      </c>
      <c r="G69" s="307">
        <f>G65+G42+G40+G38+G37+G41+G22+G64+G61+G39+G60+G62+G27+G26+G23+G17+G8+G63+G24+G25+G9+G18</f>
        <v>70486</v>
      </c>
      <c r="H69" s="253">
        <f>(F69-G69)/G69</f>
        <v>-0.34958715205856483</v>
      </c>
      <c r="I69" s="347">
        <f>F69/$F$70</f>
        <v>0.42373742975451051</v>
      </c>
      <c r="K69" s="140" t="s">
        <v>135</v>
      </c>
      <c r="L69" s="307">
        <f>L65+L42+L40+L38+L37+L41+L22+L64+L61+L39+L60+L62+L27+L26+L23+L17+L8+L63+L24+L25+L9+L18</f>
        <v>114137</v>
      </c>
      <c r="M69" s="307">
        <f>M65+M42+M40+M38+M37+M41+M22+M64+M61+M39+M60+M62+M27+M26+M23+M17+M8+M63+M24+M25+M9+M18</f>
        <v>700336</v>
      </c>
      <c r="N69" s="253">
        <f>(L69-M69)/M69</f>
        <v>-0.83702537067921678</v>
      </c>
      <c r="O69" s="307">
        <f>O65+O42+O40+O38+O37+O41+O22+O64+O61+O39+O60+O62+O27+O26+O23+O17+O8+O63+O24+O25+O9+O18</f>
        <v>1722360</v>
      </c>
      <c r="P69" s="307">
        <f>P65+P42+P40+P38+P37+P41+P22+P64+P61+P39+P60+P62+P27+P26+P23+P17+P8+P63+P24+P25+P9+P18</f>
        <v>3727353</v>
      </c>
      <c r="Q69" s="335">
        <f>(O69-P69)/P69</f>
        <v>-0.53791336640237719</v>
      </c>
      <c r="R69" s="342">
        <f>+O69/O70</f>
        <v>0.21060235825339779</v>
      </c>
      <c r="S69" s="3"/>
      <c r="T69" s="140" t="s">
        <v>135</v>
      </c>
      <c r="U69" s="307">
        <f>U65+U42+U40+U38+U37+U41+U22+U64+U61+U39+U60+U62+U27+U26+U23+U17+U8+U63+U24+U25+U9+U18</f>
        <v>6002</v>
      </c>
      <c r="V69" s="307">
        <f>V65+V42+V40+V38+V37+V41+V22+V64+V61+V39+V60+V62+V27+V26+V23+V17+V8+V63+V24+V25+V9+V18</f>
        <v>19421</v>
      </c>
      <c r="W69" s="253">
        <f>(U69-V69)/V69</f>
        <v>-0.69095309201379951</v>
      </c>
      <c r="X69" s="307">
        <f>X65+X42+X40+X38+X37+X41+X22+X64+X61+X39+X60+X62+X27+X26+X23+X17+X8+X63+X24+X25+X9+X18</f>
        <v>26111</v>
      </c>
      <c r="Y69" s="307">
        <f>Y65+Y42+Y40+Y38+Y37+Y41+Y22+Y64+Y61+Y39+Y60+Y62+Y27+Y26+Y23+Y17+Y8+Y63+Y24+Y25+Y9+Y18</f>
        <v>63569</v>
      </c>
      <c r="Z69" s="335">
        <f>(X69-Y69)/Y69</f>
        <v>-0.58924947694631036</v>
      </c>
      <c r="AA69" s="342">
        <f>+X69/X70</f>
        <v>8.6972990840972295E-4</v>
      </c>
    </row>
    <row r="70" spans="1:27" ht="14.1" customHeight="1" thickBot="1" x14ac:dyDescent="0.25">
      <c r="B70" s="140" t="s">
        <v>136</v>
      </c>
      <c r="C70" s="308">
        <f>C58+C56+C52+C46+C44+C35+C20+C15+C6+C54+C31+C29+C11+C50+C13+C48+C4+C33</f>
        <v>8394</v>
      </c>
      <c r="D70" s="308">
        <f>D58+D56+D52+D46+D44+D35+D20+D15+D6+D54+D31+D29+D11+D50+D13+D48+D4+D33</f>
        <v>32786</v>
      </c>
      <c r="E70" s="309">
        <f>(C70-D70)/D70</f>
        <v>-0.74397608735435861</v>
      </c>
      <c r="F70" s="308">
        <f>F58+F56+F52+F46+F44+F35+F20+F15+F6+F54+F31+F29+F11+F50+F13+F48+F4+F33</f>
        <v>108192</v>
      </c>
      <c r="G70" s="308">
        <f>G58+G56+G52+G46+G44+G35+G20+G15+G6+G54+G31+G29+G11+G50+G13+G48+G4+G33</f>
        <v>180820</v>
      </c>
      <c r="H70" s="309">
        <f>(F70-G70)/G70</f>
        <v>-0.40165910850569625</v>
      </c>
      <c r="I70" s="348">
        <f>+H70/H70</f>
        <v>1</v>
      </c>
      <c r="K70" s="140" t="s">
        <v>136</v>
      </c>
      <c r="L70" s="308">
        <f>L58+L56+L52+L46+L44+L35+L20+L15+L6+L54+L31+L29+L11+L50+L13+L48+L4+L33</f>
        <v>484031</v>
      </c>
      <c r="M70" s="308">
        <f>M58+M56+M52+M46+M44+M35+M20+M15+M6+M54+M31+M29+M11+M50+M13+M48+M4+M33</f>
        <v>3560826</v>
      </c>
      <c r="N70" s="309">
        <f>(L70-M70)/M70</f>
        <v>-0.86406777528584655</v>
      </c>
      <c r="O70" s="308">
        <f>O58+O56+O52+O46+O44+O35+O20+O15+O6+O54+O31+O29+O11+O50+O13+O48+O4+O33</f>
        <v>8178256</v>
      </c>
      <c r="P70" s="308">
        <f>P58+P56+P52+P46+P44+P35+P20+P15+P6+P54+P31+P29+P11+P50+P13+P48+P4+P33</f>
        <v>18439863</v>
      </c>
      <c r="Q70" s="338">
        <f>(O70-P70)/P70</f>
        <v>-0.5564904142726006</v>
      </c>
      <c r="R70" s="343">
        <f>+O70/O70</f>
        <v>1</v>
      </c>
      <c r="S70" s="3"/>
      <c r="T70" s="140" t="s">
        <v>136</v>
      </c>
      <c r="U70" s="308">
        <f>U58+U56+U52+U46+U44+U35+U20+U15+U6+U54+U31+U29+U11+U50+U13+U48+U4+U33</f>
        <v>2256951</v>
      </c>
      <c r="V70" s="308">
        <f>V58+V56+V52+V46+V44+V35+V20+V15+V6+V54+V31+V29+V11+V50+V13+V48+V4+V33</f>
        <v>11544369</v>
      </c>
      <c r="W70" s="309">
        <f>(U70-V70)/V70</f>
        <v>-0.80449767328123345</v>
      </c>
      <c r="X70" s="308">
        <f>X58+X56+X52+X46+X44+X35+X20+X15+X6+X54+X31+X29+X11+X50+X13+X48+X4+X33</f>
        <v>30021964</v>
      </c>
      <c r="Y70" s="308">
        <f>Y58+Y56+Y52+Y46+Y44+Y35+Y20+Y15+Y6+Y54+Y31+Y29+Y11+Y50+Y13+Y48+Y4+Y33</f>
        <v>69573153</v>
      </c>
      <c r="Z70" s="338">
        <f>(X70-Y70)/Y70</f>
        <v>-0.56848349247589802</v>
      </c>
      <c r="AA70" s="343">
        <f>+X70/X70</f>
        <v>1</v>
      </c>
    </row>
    <row r="71" spans="1:27" x14ac:dyDescent="0.2">
      <c r="D71" s="3"/>
      <c r="F71" s="2"/>
      <c r="G71"/>
      <c r="H71"/>
      <c r="I71"/>
      <c r="J71"/>
      <c r="K71"/>
      <c r="M71"/>
      <c r="N71"/>
    </row>
    <row r="72" spans="1:27" x14ac:dyDescent="0.2">
      <c r="F72" s="2"/>
      <c r="H72"/>
      <c r="I72"/>
      <c r="J72"/>
      <c r="K72"/>
      <c r="N72"/>
      <c r="O72" s="2"/>
      <c r="P72" s="2"/>
    </row>
    <row r="73" spans="1:27" x14ac:dyDescent="0.2">
      <c r="F73" s="2"/>
      <c r="H73"/>
      <c r="I73"/>
      <c r="J73"/>
      <c r="K73"/>
      <c r="N73"/>
      <c r="O73" s="2"/>
      <c r="P73" s="2"/>
      <c r="U73" s="83"/>
    </row>
    <row r="74" spans="1:27" x14ac:dyDescent="0.2">
      <c r="F74" s="2"/>
      <c r="H74"/>
      <c r="I74"/>
      <c r="J74"/>
      <c r="K74"/>
      <c r="N74"/>
      <c r="O74" s="2"/>
      <c r="P74" s="2"/>
      <c r="U74" s="83"/>
    </row>
    <row r="75" spans="1:27" x14ac:dyDescent="0.2">
      <c r="D75" s="3"/>
      <c r="F75"/>
      <c r="G75"/>
      <c r="H75"/>
      <c r="I75"/>
      <c r="J75"/>
      <c r="K75"/>
      <c r="M75"/>
      <c r="N75"/>
    </row>
    <row r="76" spans="1:27" x14ac:dyDescent="0.2">
      <c r="D76" s="3"/>
      <c r="F76"/>
      <c r="G76"/>
      <c r="H76"/>
      <c r="I76"/>
      <c r="J76"/>
      <c r="K76"/>
      <c r="L76"/>
      <c r="M76"/>
      <c r="N76"/>
    </row>
    <row r="77" spans="1:27" x14ac:dyDescent="0.2">
      <c r="D77" s="3"/>
      <c r="F77"/>
      <c r="G77"/>
      <c r="H77"/>
      <c r="I77"/>
      <c r="J77"/>
      <c r="K77"/>
      <c r="L77"/>
      <c r="M77"/>
      <c r="N77"/>
    </row>
    <row r="78" spans="1:27" x14ac:dyDescent="0.2">
      <c r="D78" s="3"/>
      <c r="F78"/>
      <c r="G78"/>
      <c r="H78"/>
      <c r="I78"/>
      <c r="J78"/>
      <c r="K78"/>
      <c r="L78"/>
      <c r="M78"/>
      <c r="N78"/>
    </row>
    <row r="79" spans="1:27" x14ac:dyDescent="0.2">
      <c r="D79" s="3"/>
      <c r="F79"/>
      <c r="G79"/>
      <c r="H79"/>
      <c r="I79"/>
      <c r="J79"/>
      <c r="K79"/>
      <c r="L79"/>
      <c r="M79"/>
      <c r="N79"/>
    </row>
    <row r="80" spans="1:27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F142" s="142"/>
      <c r="K142"/>
    </row>
    <row r="143" spans="4:14" x14ac:dyDescent="0.2">
      <c r="F143" s="142"/>
      <c r="K143"/>
    </row>
    <row r="144" spans="4:14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  <row r="4671" spans="6:11" x14ac:dyDescent="0.2">
      <c r="F4671" s="142"/>
      <c r="K4671"/>
    </row>
    <row r="4672" spans="6:11" x14ac:dyDescent="0.2">
      <c r="F4672" s="142"/>
      <c r="K4672"/>
    </row>
    <row r="4673" spans="6:11" x14ac:dyDescent="0.2">
      <c r="F4673" s="142"/>
      <c r="K4673"/>
    </row>
    <row r="4674" spans="6:11" x14ac:dyDescent="0.2">
      <c r="F4674" s="142"/>
      <c r="K4674"/>
    </row>
    <row r="4675" spans="6:11" x14ac:dyDescent="0.2">
      <c r="F4675" s="142"/>
      <c r="K4675"/>
    </row>
    <row r="4676" spans="6:11" x14ac:dyDescent="0.2">
      <c r="F4676" s="142"/>
      <c r="K4676"/>
    </row>
    <row r="4677" spans="6:11" x14ac:dyDescent="0.2">
      <c r="F4677" s="142"/>
      <c r="K4677"/>
    </row>
    <row r="4678" spans="6:11" x14ac:dyDescent="0.2">
      <c r="F4678" s="142"/>
      <c r="K4678"/>
    </row>
    <row r="4679" spans="6:11" x14ac:dyDescent="0.2">
      <c r="F4679" s="142"/>
      <c r="K4679"/>
    </row>
    <row r="4680" spans="6:11" x14ac:dyDescent="0.2">
      <c r="F4680" s="142"/>
      <c r="K4680"/>
    </row>
    <row r="4681" spans="6:11" x14ac:dyDescent="0.2">
      <c r="F4681" s="142"/>
      <c r="K4681"/>
    </row>
    <row r="4682" spans="6:11" x14ac:dyDescent="0.2">
      <c r="F4682" s="142"/>
      <c r="K4682"/>
    </row>
    <row r="4683" spans="6:11" x14ac:dyDescent="0.2">
      <c r="F4683" s="142"/>
      <c r="K4683"/>
    </row>
    <row r="4684" spans="6:11" x14ac:dyDescent="0.2">
      <c r="F4684" s="142"/>
      <c r="K4684"/>
    </row>
    <row r="4685" spans="6:11" x14ac:dyDescent="0.2">
      <c r="F4685" s="142"/>
      <c r="K4685"/>
    </row>
    <row r="4686" spans="6:11" x14ac:dyDescent="0.2">
      <c r="F4686" s="142"/>
      <c r="K4686"/>
    </row>
    <row r="4687" spans="6:11" x14ac:dyDescent="0.2">
      <c r="F4687" s="142"/>
      <c r="K4687"/>
    </row>
    <row r="4688" spans="6:11" x14ac:dyDescent="0.2">
      <c r="F4688" s="142"/>
      <c r="K4688"/>
    </row>
    <row r="4689" spans="6:11" x14ac:dyDescent="0.2">
      <c r="F4689" s="142"/>
      <c r="K4689"/>
    </row>
    <row r="4690" spans="6:11" x14ac:dyDescent="0.2">
      <c r="F4690" s="142"/>
      <c r="K4690"/>
    </row>
    <row r="4691" spans="6:11" x14ac:dyDescent="0.2">
      <c r="F4691" s="142"/>
      <c r="K4691"/>
    </row>
    <row r="4692" spans="6:11" x14ac:dyDescent="0.2">
      <c r="F4692" s="142"/>
      <c r="K4692"/>
    </row>
    <row r="4693" spans="6:11" x14ac:dyDescent="0.2">
      <c r="F4693" s="142"/>
      <c r="K4693"/>
    </row>
    <row r="4694" spans="6:11" x14ac:dyDescent="0.2">
      <c r="F4694" s="142"/>
      <c r="K4694"/>
    </row>
    <row r="4695" spans="6:11" x14ac:dyDescent="0.2">
      <c r="F4695" s="142"/>
      <c r="K4695"/>
    </row>
    <row r="4696" spans="6:11" x14ac:dyDescent="0.2">
      <c r="F4696" s="142"/>
      <c r="K4696"/>
    </row>
    <row r="4697" spans="6:11" x14ac:dyDescent="0.2">
      <c r="F4697" s="142"/>
      <c r="K4697"/>
    </row>
    <row r="4698" spans="6:11" x14ac:dyDescent="0.2">
      <c r="F4698" s="142"/>
      <c r="K4698"/>
    </row>
    <row r="4699" spans="6:11" x14ac:dyDescent="0.2">
      <c r="F4699" s="142"/>
      <c r="K4699"/>
    </row>
    <row r="4700" spans="6:11" x14ac:dyDescent="0.2">
      <c r="F4700" s="142"/>
      <c r="K4700"/>
    </row>
    <row r="4701" spans="6:11" x14ac:dyDescent="0.2">
      <c r="F4701" s="142"/>
      <c r="K4701"/>
    </row>
    <row r="4702" spans="6:11" x14ac:dyDescent="0.2">
      <c r="F4702" s="142"/>
      <c r="K4702"/>
    </row>
    <row r="4703" spans="6:11" x14ac:dyDescent="0.2">
      <c r="F4703" s="142"/>
      <c r="K4703"/>
    </row>
    <row r="4704" spans="6:11" x14ac:dyDescent="0.2">
      <c r="F4704" s="142"/>
      <c r="K4704"/>
    </row>
    <row r="4705" spans="6:11" x14ac:dyDescent="0.2">
      <c r="F4705" s="142"/>
      <c r="K4705"/>
    </row>
    <row r="4706" spans="6:11" x14ac:dyDescent="0.2">
      <c r="F4706" s="142"/>
      <c r="K4706"/>
    </row>
    <row r="4707" spans="6:11" x14ac:dyDescent="0.2">
      <c r="F4707" s="142"/>
      <c r="K4707"/>
    </row>
    <row r="4708" spans="6:11" x14ac:dyDescent="0.2">
      <c r="F4708" s="142"/>
      <c r="K4708"/>
    </row>
    <row r="4709" spans="6:11" x14ac:dyDescent="0.2">
      <c r="F4709" s="142"/>
      <c r="K4709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6" fitToWidth="2" orientation="portrait" r:id="rId1"/>
  <headerFooter alignWithMargins="0">
    <oddHeader>&amp;L
Schedule 10
&amp;CMinneapolis-St. Paul International Airport
&amp;"Arial,Bold"&amp;A
June 2020</oddHeader>
    <oddFooter>&amp;LPrinted on &amp;D&amp;RPage &amp;P of &amp;N</oddFooter>
  </headerFooter>
  <colBreaks count="2" manualBreakCount="2">
    <brk id="9" max="67" man="1"/>
    <brk id="18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E33" sqref="E3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257">
        <v>43983</v>
      </c>
      <c r="B1" s="427" t="s">
        <v>17</v>
      </c>
      <c r="C1" s="427" t="s">
        <v>18</v>
      </c>
      <c r="D1" s="427" t="s">
        <v>19</v>
      </c>
      <c r="E1" s="427" t="s">
        <v>156</v>
      </c>
      <c r="F1" s="304" t="s">
        <v>162</v>
      </c>
      <c r="G1" s="304" t="s">
        <v>157</v>
      </c>
      <c r="H1" s="428" t="s">
        <v>201</v>
      </c>
      <c r="I1" s="350" t="s">
        <v>194</v>
      </c>
      <c r="J1" s="304" t="s">
        <v>20</v>
      </c>
      <c r="K1" s="303" t="s">
        <v>21</v>
      </c>
    </row>
    <row r="2" spans="1:20" ht="15" x14ac:dyDescent="0.25">
      <c r="A2" s="40" t="s">
        <v>3</v>
      </c>
      <c r="B2" s="34"/>
      <c r="C2" s="34"/>
      <c r="D2" s="34"/>
      <c r="E2" s="34"/>
      <c r="F2" s="34"/>
      <c r="G2" s="34"/>
      <c r="H2" s="349"/>
      <c r="I2" s="349"/>
      <c r="J2" s="34"/>
      <c r="K2" s="370"/>
    </row>
    <row r="3" spans="1:20" x14ac:dyDescent="0.2">
      <c r="A3" s="38" t="s">
        <v>29</v>
      </c>
      <c r="K3" s="38"/>
    </row>
    <row r="4" spans="1:20" x14ac:dyDescent="0.2">
      <c r="A4" s="38" t="s">
        <v>30</v>
      </c>
      <c r="B4" s="12">
        <f>[3]American!$GU$22</f>
        <v>21475</v>
      </c>
      <c r="C4" s="12">
        <f>[3]Delta!$GU$22+[3]Delta!$GU$32</f>
        <v>97824</v>
      </c>
      <c r="D4" s="12">
        <f>[3]United!$GU$22</f>
        <v>2956</v>
      </c>
      <c r="E4" s="12">
        <f>[3]Spirit!$GU$22</f>
        <v>1140</v>
      </c>
      <c r="F4" s="12">
        <f>[3]Condor!$GU$22</f>
        <v>0</v>
      </c>
      <c r="G4" s="12">
        <f>'[3]Air France'!$GU$22</f>
        <v>0</v>
      </c>
      <c r="H4" s="12">
        <f>'[3]Jet Blue'!$GU$22</f>
        <v>0</v>
      </c>
      <c r="I4" s="12">
        <f>[3]KLM!$GU$22+[3]KLM!$GU$32</f>
        <v>0</v>
      </c>
      <c r="J4" s="12">
        <f>'Other Major Airline Stats'!J5</f>
        <v>63617</v>
      </c>
      <c r="K4" s="371">
        <f>SUM(B4:J4)</f>
        <v>187012</v>
      </c>
    </row>
    <row r="5" spans="1:20" x14ac:dyDescent="0.2">
      <c r="A5" s="38" t="s">
        <v>31</v>
      </c>
      <c r="B5" s="7">
        <f>[3]American!$GU$23</f>
        <v>21049</v>
      </c>
      <c r="C5" s="7">
        <f>[3]Delta!$GU$23+[3]Delta!$GU$33</f>
        <v>96259</v>
      </c>
      <c r="D5" s="7">
        <f>[3]United!$GU$23</f>
        <v>2585</v>
      </c>
      <c r="E5" s="7">
        <f>[3]Spirit!$GU$23</f>
        <v>1105</v>
      </c>
      <c r="F5" s="7">
        <f>[3]Condor!$GU$23</f>
        <v>0</v>
      </c>
      <c r="G5" s="7">
        <f>'[3]Air France'!$GU$23</f>
        <v>0</v>
      </c>
      <c r="H5" s="7">
        <f>'[3]Jet Blue'!$GU$23</f>
        <v>0</v>
      </c>
      <c r="I5" s="7">
        <f>[3]KLM!$GU$23+[3]KLM!$GU$33</f>
        <v>0</v>
      </c>
      <c r="J5" s="7">
        <f>'Other Major Airline Stats'!J6</f>
        <v>61884</v>
      </c>
      <c r="K5" s="372">
        <f>SUM(B5:J5)</f>
        <v>182882</v>
      </c>
      <c r="M5" s="203"/>
      <c r="N5" s="203"/>
      <c r="O5" s="203"/>
      <c r="P5" s="203"/>
      <c r="Q5" s="203"/>
      <c r="R5" s="203"/>
      <c r="S5" s="203"/>
      <c r="T5" s="203"/>
    </row>
    <row r="6" spans="1:20" ht="15" x14ac:dyDescent="0.25">
      <c r="A6" s="36" t="s">
        <v>7</v>
      </c>
      <c r="B6" s="18">
        <f t="shared" ref="B6:J6" si="0">SUM(B4:B5)</f>
        <v>42524</v>
      </c>
      <c r="C6" s="18">
        <f t="shared" si="0"/>
        <v>194083</v>
      </c>
      <c r="D6" s="18">
        <f t="shared" si="0"/>
        <v>5541</v>
      </c>
      <c r="E6" s="18">
        <f t="shared" si="0"/>
        <v>2245</v>
      </c>
      <c r="F6" s="18">
        <f t="shared" ref="F6:I6" si="1">SUM(F4:F5)</f>
        <v>0</v>
      </c>
      <c r="G6" s="18">
        <f t="shared" si="1"/>
        <v>0</v>
      </c>
      <c r="H6" s="18">
        <f t="shared" ref="H6" si="2">SUM(H4:H5)</f>
        <v>0</v>
      </c>
      <c r="I6" s="18">
        <f t="shared" si="1"/>
        <v>0</v>
      </c>
      <c r="J6" s="18">
        <f t="shared" si="0"/>
        <v>125501</v>
      </c>
      <c r="K6" s="373">
        <f>SUM(B6:J6)</f>
        <v>369894</v>
      </c>
    </row>
    <row r="7" spans="1:20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371"/>
    </row>
    <row r="8" spans="1:20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371">
        <f>SUM(B8:J8)</f>
        <v>0</v>
      </c>
    </row>
    <row r="9" spans="1:20" x14ac:dyDescent="0.2">
      <c r="A9" s="38" t="s">
        <v>30</v>
      </c>
      <c r="B9" s="12">
        <f>[3]American!$GU$27</f>
        <v>860</v>
      </c>
      <c r="C9" s="12">
        <f>[3]Delta!$GU$27+[3]Delta!$GU$37</f>
        <v>8314</v>
      </c>
      <c r="D9" s="12">
        <f>[3]United!$GU$27</f>
        <v>77</v>
      </c>
      <c r="E9" s="12">
        <f>[3]Spirit!$GU$27</f>
        <v>4</v>
      </c>
      <c r="F9" s="12">
        <f>[3]Condor!$GU$27</f>
        <v>0</v>
      </c>
      <c r="G9" s="12">
        <f>'[3]Air France'!$GU$27</f>
        <v>0</v>
      </c>
      <c r="H9" s="12">
        <f>'[3]Jet Blue'!$GU$27</f>
        <v>0</v>
      </c>
      <c r="I9" s="12">
        <f>[3]KLM!$GU$27+[3]KLM!$GU$37</f>
        <v>0</v>
      </c>
      <c r="J9" s="12">
        <f>'Other Major Airline Stats'!J10</f>
        <v>1936</v>
      </c>
      <c r="K9" s="371">
        <f>SUM(B9:J9)</f>
        <v>11191</v>
      </c>
    </row>
    <row r="10" spans="1:20" x14ac:dyDescent="0.2">
      <c r="A10" s="38" t="s">
        <v>33</v>
      </c>
      <c r="B10" s="7">
        <f>[3]American!$GU$28</f>
        <v>961</v>
      </c>
      <c r="C10" s="7">
        <f>[3]Delta!$GU$28+[3]Delta!$GU$38</f>
        <v>8551</v>
      </c>
      <c r="D10" s="7">
        <f>[3]United!$GU$28</f>
        <v>171</v>
      </c>
      <c r="E10" s="7">
        <f>[3]Spirit!$GU$28</f>
        <v>15</v>
      </c>
      <c r="F10" s="7">
        <f>[3]Condor!$GU$28</f>
        <v>0</v>
      </c>
      <c r="G10" s="7">
        <f>'[3]Air France'!$GU$28</f>
        <v>0</v>
      </c>
      <c r="H10" s="7">
        <f>'[3]Jet Blue'!$GU$28</f>
        <v>0</v>
      </c>
      <c r="I10" s="7">
        <f>[3]KLM!$GU$28+[3]KLM!$GU$38</f>
        <v>0</v>
      </c>
      <c r="J10" s="7">
        <f>'Other Major Airline Stats'!J11</f>
        <v>1970</v>
      </c>
      <c r="K10" s="372">
        <f>SUM(B10:J10)</f>
        <v>11668</v>
      </c>
    </row>
    <row r="11" spans="1:20" ht="15.75" thickBot="1" x14ac:dyDescent="0.3">
      <c r="A11" s="39" t="s">
        <v>34</v>
      </c>
      <c r="B11" s="186">
        <f t="shared" ref="B11:J11" si="3">SUM(B9:B10)</f>
        <v>1821</v>
      </c>
      <c r="C11" s="186">
        <f t="shared" si="3"/>
        <v>16865</v>
      </c>
      <c r="D11" s="186">
        <f t="shared" si="3"/>
        <v>248</v>
      </c>
      <c r="E11" s="186">
        <f t="shared" si="3"/>
        <v>19</v>
      </c>
      <c r="F11" s="186">
        <f t="shared" ref="F11:I11" si="4">SUM(F9:F10)</f>
        <v>0</v>
      </c>
      <c r="G11" s="186">
        <f t="shared" si="4"/>
        <v>0</v>
      </c>
      <c r="H11" s="186">
        <f t="shared" ref="H11" si="5">SUM(H9:H10)</f>
        <v>0</v>
      </c>
      <c r="I11" s="186">
        <f t="shared" si="4"/>
        <v>0</v>
      </c>
      <c r="J11" s="186">
        <f t="shared" si="3"/>
        <v>3906</v>
      </c>
      <c r="K11" s="374">
        <f>SUM(B11:J11)</f>
        <v>22859</v>
      </c>
    </row>
    <row r="13" spans="1:20" ht="13.5" thickBot="1" x14ac:dyDescent="0.25"/>
    <row r="14" spans="1:20" ht="15.75" thickTop="1" x14ac:dyDescent="0.25">
      <c r="A14" s="3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375"/>
    </row>
    <row r="15" spans="1:20" x14ac:dyDescent="0.2">
      <c r="A15" s="38" t="s">
        <v>22</v>
      </c>
      <c r="B15" s="12">
        <f>[3]American!$GU$4</f>
        <v>205</v>
      </c>
      <c r="C15" s="12">
        <f>[3]Delta!$GU$4+[3]Delta!$GU$15</f>
        <v>1273</v>
      </c>
      <c r="D15" s="12">
        <f>[3]United!$GU$4</f>
        <v>30</v>
      </c>
      <c r="E15" s="12">
        <f>[3]Spirit!$GU$4</f>
        <v>11</v>
      </c>
      <c r="F15" s="12">
        <f>[3]Condor!$GU$4</f>
        <v>0</v>
      </c>
      <c r="G15" s="12">
        <f>'[3]Air France'!$GU$4</f>
        <v>0</v>
      </c>
      <c r="H15" s="12">
        <f>'[3]Jet Blue'!$GU$4</f>
        <v>0</v>
      </c>
      <c r="I15" s="12">
        <f>[3]KLM!$GU$4+[3]KLM!$GU$15</f>
        <v>0</v>
      </c>
      <c r="J15" s="12">
        <f>'Other Major Airline Stats'!J16</f>
        <v>782</v>
      </c>
      <c r="K15" s="371">
        <f>SUM(B15:J15)</f>
        <v>2301</v>
      </c>
    </row>
    <row r="16" spans="1:20" x14ac:dyDescent="0.2">
      <c r="A16" s="38" t="s">
        <v>23</v>
      </c>
      <c r="B16" s="7">
        <f>[3]American!$GU$5</f>
        <v>204</v>
      </c>
      <c r="C16" s="7">
        <f>[3]Delta!$GU$5+[3]Delta!$GU$16</f>
        <v>1265</v>
      </c>
      <c r="D16" s="7">
        <f>[3]United!$GU$5</f>
        <v>30</v>
      </c>
      <c r="E16" s="7">
        <f>[3]Spirit!$GU$5</f>
        <v>11</v>
      </c>
      <c r="F16" s="7">
        <f>[3]Condor!$GU$5</f>
        <v>0</v>
      </c>
      <c r="G16" s="7">
        <f>'[3]Air France'!$GU$5</f>
        <v>0</v>
      </c>
      <c r="H16" s="7">
        <f>'[3]Jet Blue'!$GU$5</f>
        <v>0</v>
      </c>
      <c r="I16" s="7">
        <f>[3]KLM!$GU$5+[3]KLM!$GU$16</f>
        <v>0</v>
      </c>
      <c r="J16" s="7">
        <f>'Other Major Airline Stats'!J17</f>
        <v>779</v>
      </c>
      <c r="K16" s="372">
        <f>SUM(B16:J16)</f>
        <v>2289</v>
      </c>
    </row>
    <row r="17" spans="1:11" x14ac:dyDescent="0.2">
      <c r="A17" s="38" t="s">
        <v>24</v>
      </c>
      <c r="B17" s="188">
        <f t="shared" ref="B17:J17" si="6">SUM(B15:B16)</f>
        <v>409</v>
      </c>
      <c r="C17" s="187">
        <f t="shared" si="6"/>
        <v>2538</v>
      </c>
      <c r="D17" s="187">
        <f t="shared" si="6"/>
        <v>60</v>
      </c>
      <c r="E17" s="187">
        <f t="shared" si="6"/>
        <v>22</v>
      </c>
      <c r="F17" s="187">
        <f t="shared" ref="F17:I17" si="7">SUM(F15:F16)</f>
        <v>0</v>
      </c>
      <c r="G17" s="187">
        <f t="shared" si="7"/>
        <v>0</v>
      </c>
      <c r="H17" s="187">
        <f t="shared" ref="H17" si="8">SUM(H15:H16)</f>
        <v>0</v>
      </c>
      <c r="I17" s="187">
        <f t="shared" si="7"/>
        <v>0</v>
      </c>
      <c r="J17" s="187">
        <f t="shared" si="6"/>
        <v>1561</v>
      </c>
      <c r="K17" s="376">
        <f>SUM(B17:J17)</f>
        <v>4590</v>
      </c>
    </row>
    <row r="18" spans="1:11" x14ac:dyDescent="0.2">
      <c r="A18" s="38"/>
      <c r="B18" s="12"/>
      <c r="C18" s="12"/>
      <c r="D18" s="12"/>
      <c r="E18" s="12"/>
      <c r="F18" s="12"/>
      <c r="G18" s="12"/>
      <c r="H18" s="12"/>
      <c r="I18" s="12"/>
      <c r="J18" s="12"/>
      <c r="K18" s="371"/>
    </row>
    <row r="19" spans="1:11" x14ac:dyDescent="0.2">
      <c r="A19" s="38" t="s">
        <v>25</v>
      </c>
      <c r="B19" s="12">
        <f>[3]American!$GU$8</f>
        <v>0</v>
      </c>
      <c r="C19" s="12">
        <f>[3]Delta!$GU$8</f>
        <v>0</v>
      </c>
      <c r="D19" s="12">
        <f>[3]United!$GU$8</f>
        <v>0</v>
      </c>
      <c r="E19" s="12">
        <f>[3]Spirit!$GU$8</f>
        <v>0</v>
      </c>
      <c r="F19" s="12">
        <f>[3]Condor!$GU$8</f>
        <v>0</v>
      </c>
      <c r="G19" s="12">
        <f>'[3]Air France'!$GU$8</f>
        <v>0</v>
      </c>
      <c r="H19" s="12">
        <f>'[3]Jet Blue'!$GU$8</f>
        <v>0</v>
      </c>
      <c r="I19" s="12">
        <f>[3]KLM!$GU$8</f>
        <v>0</v>
      </c>
      <c r="J19" s="12">
        <f>'Other Major Airline Stats'!J20</f>
        <v>45</v>
      </c>
      <c r="K19" s="371">
        <f>SUM(B19:J19)</f>
        <v>45</v>
      </c>
    </row>
    <row r="20" spans="1:11" x14ac:dyDescent="0.2">
      <c r="A20" s="38" t="s">
        <v>26</v>
      </c>
      <c r="B20" s="7">
        <f>[3]American!$GU$9</f>
        <v>0</v>
      </c>
      <c r="C20" s="7">
        <f>[3]Delta!$GU$9</f>
        <v>0</v>
      </c>
      <c r="D20" s="7">
        <f>[3]United!$GU$9</f>
        <v>0</v>
      </c>
      <c r="E20" s="7">
        <f>[3]Spirit!$GU$9</f>
        <v>0</v>
      </c>
      <c r="F20" s="7">
        <f>[3]Condor!$GU$9</f>
        <v>0</v>
      </c>
      <c r="G20" s="7">
        <f>'[3]Air France'!$GU$9</f>
        <v>0</v>
      </c>
      <c r="H20" s="7">
        <f>'[3]Jet Blue'!$GU$9</f>
        <v>0</v>
      </c>
      <c r="I20" s="7">
        <f>[3]KLM!$GU$9</f>
        <v>0</v>
      </c>
      <c r="J20" s="7">
        <f>'Other Major Airline Stats'!J21</f>
        <v>46</v>
      </c>
      <c r="K20" s="372">
        <f>SUM(B20:J20)</f>
        <v>46</v>
      </c>
    </row>
    <row r="21" spans="1:11" x14ac:dyDescent="0.2">
      <c r="A21" s="38" t="s">
        <v>27</v>
      </c>
      <c r="B21" s="188">
        <f t="shared" ref="B21:J21" si="9">SUM(B19:B20)</f>
        <v>0</v>
      </c>
      <c r="C21" s="187">
        <f t="shared" si="9"/>
        <v>0</v>
      </c>
      <c r="D21" s="187">
        <f t="shared" si="9"/>
        <v>0</v>
      </c>
      <c r="E21" s="187">
        <f t="shared" si="9"/>
        <v>0</v>
      </c>
      <c r="F21" s="187">
        <f t="shared" ref="F21:I21" si="10">SUM(F19:F20)</f>
        <v>0</v>
      </c>
      <c r="G21" s="187">
        <f t="shared" si="10"/>
        <v>0</v>
      </c>
      <c r="H21" s="187">
        <f t="shared" ref="H21" si="11">SUM(H19:H20)</f>
        <v>0</v>
      </c>
      <c r="I21" s="187">
        <f t="shared" si="10"/>
        <v>0</v>
      </c>
      <c r="J21" s="187">
        <f t="shared" si="9"/>
        <v>91</v>
      </c>
      <c r="K21" s="377">
        <f>SUM(B21:J21)</f>
        <v>91</v>
      </c>
    </row>
    <row r="22" spans="1:11" x14ac:dyDescent="0.2">
      <c r="A22" s="38"/>
      <c r="B22" s="12"/>
      <c r="C22" s="12"/>
      <c r="D22" s="12"/>
      <c r="E22" s="12"/>
      <c r="F22" s="12"/>
      <c r="G22" s="12"/>
      <c r="H22" s="12"/>
      <c r="I22" s="12"/>
      <c r="J22" s="12"/>
      <c r="K22" s="371"/>
    </row>
    <row r="23" spans="1:11" ht="15.75" thickBot="1" x14ac:dyDescent="0.3">
      <c r="A23" s="39" t="s">
        <v>28</v>
      </c>
      <c r="B23" s="16">
        <f t="shared" ref="B23:J23" si="12">B17+B21</f>
        <v>409</v>
      </c>
      <c r="C23" s="16">
        <f t="shared" si="12"/>
        <v>2538</v>
      </c>
      <c r="D23" s="16">
        <f t="shared" si="12"/>
        <v>60</v>
      </c>
      <c r="E23" s="16">
        <f>E17+E21</f>
        <v>22</v>
      </c>
      <c r="F23" s="16">
        <f t="shared" ref="F23:I23" si="13">F17+F21</f>
        <v>0</v>
      </c>
      <c r="G23" s="16">
        <f t="shared" si="13"/>
        <v>0</v>
      </c>
      <c r="H23" s="16">
        <f t="shared" ref="H23" si="14">H17+H21</f>
        <v>0</v>
      </c>
      <c r="I23" s="16">
        <f t="shared" si="13"/>
        <v>0</v>
      </c>
      <c r="J23" s="16">
        <f t="shared" si="12"/>
        <v>1652</v>
      </c>
      <c r="K23" s="374">
        <f>SUM(B23:J23)</f>
        <v>4681</v>
      </c>
    </row>
    <row r="25" spans="1:11" ht="13.5" thickBot="1" x14ac:dyDescent="0.25">
      <c r="B25" s="288"/>
      <c r="C25" s="288"/>
      <c r="D25" s="288"/>
      <c r="E25" s="288"/>
      <c r="F25" s="288"/>
      <c r="G25" s="288"/>
      <c r="H25" s="288"/>
      <c r="I25" s="288"/>
      <c r="J25" s="288"/>
    </row>
    <row r="26" spans="1:11" ht="15.75" thickTop="1" x14ac:dyDescent="0.25">
      <c r="A26" s="41" t="s">
        <v>35</v>
      </c>
      <c r="B26" s="17"/>
      <c r="C26" s="17"/>
      <c r="D26" s="17"/>
      <c r="E26" s="17"/>
      <c r="F26" s="17"/>
      <c r="G26" s="17"/>
      <c r="H26" s="17"/>
      <c r="I26" s="17"/>
      <c r="J26" s="17"/>
      <c r="K26" s="378"/>
    </row>
    <row r="27" spans="1:11" x14ac:dyDescent="0.2">
      <c r="A27" s="38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8"/>
    </row>
    <row r="28" spans="1:11" x14ac:dyDescent="0.2">
      <c r="A28" s="38" t="s">
        <v>37</v>
      </c>
      <c r="B28" s="12">
        <f>[3]American!$GU$47</f>
        <v>31647</v>
      </c>
      <c r="C28" s="12">
        <f>[3]Delta!$GU$47</f>
        <v>326110</v>
      </c>
      <c r="D28" s="12">
        <f>[3]United!$GU$47</f>
        <v>6887</v>
      </c>
      <c r="E28" s="12">
        <f>[3]Spirit!$GU$47</f>
        <v>0</v>
      </c>
      <c r="F28" s="12">
        <f>[3]Condor!$GU$47</f>
        <v>0</v>
      </c>
      <c r="G28" s="12">
        <f>'[3]Air France'!$GU$47</f>
        <v>0</v>
      </c>
      <c r="H28" s="12">
        <f>'[3]Jet Blue'!$GU$47</f>
        <v>0</v>
      </c>
      <c r="I28" s="12">
        <f>[3]KLM!$GU$47</f>
        <v>0</v>
      </c>
      <c r="J28" s="12">
        <f>'Other Major Airline Stats'!J28</f>
        <v>243284</v>
      </c>
      <c r="K28" s="371">
        <f>SUM(B28:J28)</f>
        <v>607928</v>
      </c>
    </row>
    <row r="29" spans="1:11" x14ac:dyDescent="0.2">
      <c r="A29" s="38" t="s">
        <v>38</v>
      </c>
      <c r="B29" s="7">
        <f>[3]American!$GU$48</f>
        <v>97491</v>
      </c>
      <c r="C29" s="7">
        <f>[3]Delta!$GU$48</f>
        <v>526370</v>
      </c>
      <c r="D29" s="7">
        <f>[3]United!$GU$48</f>
        <v>0</v>
      </c>
      <c r="E29" s="7">
        <f>[3]Spirit!$GU$48</f>
        <v>0</v>
      </c>
      <c r="F29" s="7">
        <f>[3]Condor!$GU$48</f>
        <v>0</v>
      </c>
      <c r="G29" s="7">
        <f>'[3]Air France'!$GU$48</f>
        <v>0</v>
      </c>
      <c r="H29" s="7">
        <f>'[3]Jet Blue'!$GU$48</f>
        <v>0</v>
      </c>
      <c r="I29" s="7">
        <f>[3]KLM!$GU$48</f>
        <v>0</v>
      </c>
      <c r="J29" s="7">
        <f>'Other Major Airline Stats'!J29</f>
        <v>79750</v>
      </c>
      <c r="K29" s="372">
        <f>SUM(B29:J29)</f>
        <v>703611</v>
      </c>
    </row>
    <row r="30" spans="1:11" x14ac:dyDescent="0.2">
      <c r="A30" s="42" t="s">
        <v>39</v>
      </c>
      <c r="B30" s="188">
        <f t="shared" ref="B30:J30" si="15">SUM(B28:B29)</f>
        <v>129138</v>
      </c>
      <c r="C30" s="188">
        <f t="shared" si="15"/>
        <v>852480</v>
      </c>
      <c r="D30" s="188">
        <f t="shared" si="15"/>
        <v>6887</v>
      </c>
      <c r="E30" s="188">
        <f t="shared" si="15"/>
        <v>0</v>
      </c>
      <c r="F30" s="188">
        <f t="shared" ref="F30:I30" si="16">SUM(F28:F29)</f>
        <v>0</v>
      </c>
      <c r="G30" s="188">
        <f t="shared" si="16"/>
        <v>0</v>
      </c>
      <c r="H30" s="188">
        <f t="shared" ref="H30" si="17">SUM(H28:H29)</f>
        <v>0</v>
      </c>
      <c r="I30" s="188">
        <f t="shared" si="16"/>
        <v>0</v>
      </c>
      <c r="J30" s="188">
        <f t="shared" si="15"/>
        <v>323034</v>
      </c>
      <c r="K30" s="371">
        <f>SUM(B30:J30)</f>
        <v>1311539</v>
      </c>
    </row>
    <row r="31" spans="1:11" x14ac:dyDescent="0.2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371"/>
    </row>
    <row r="32" spans="1:11" x14ac:dyDescent="0.2">
      <c r="A32" s="38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371">
        <f t="shared" ref="K32:K40" si="18">SUM(B32:J32)</f>
        <v>0</v>
      </c>
    </row>
    <row r="33" spans="1:11" x14ac:dyDescent="0.2">
      <c r="A33" s="38" t="s">
        <v>37</v>
      </c>
      <c r="B33" s="12">
        <f>[3]American!$GU$52</f>
        <v>8445</v>
      </c>
      <c r="C33" s="12">
        <f>[3]Delta!$GU$52</f>
        <v>162003</v>
      </c>
      <c r="D33" s="12">
        <f>[3]United!$GU$52</f>
        <v>817</v>
      </c>
      <c r="E33" s="12">
        <f>[3]Spirit!$GU$52</f>
        <v>0</v>
      </c>
      <c r="F33" s="12">
        <f>[3]Condor!$GU$52</f>
        <v>0</v>
      </c>
      <c r="G33" s="12">
        <f>'[3]Air France'!$GU$52</f>
        <v>0</v>
      </c>
      <c r="H33" s="12">
        <f>'[3]Jet Blue'!$GU$52</f>
        <v>0</v>
      </c>
      <c r="I33" s="12">
        <f>[3]KLM!$GU$52</f>
        <v>0</v>
      </c>
      <c r="J33" s="12">
        <f>'Other Major Airline Stats'!J33</f>
        <v>51569</v>
      </c>
      <c r="K33" s="371">
        <f t="shared" si="18"/>
        <v>222834</v>
      </c>
    </row>
    <row r="34" spans="1:11" x14ac:dyDescent="0.2">
      <c r="A34" s="38" t="s">
        <v>38</v>
      </c>
      <c r="B34" s="7">
        <f>[3]American!$GU$53</f>
        <v>104432</v>
      </c>
      <c r="C34" s="7">
        <f>[3]Delta!$GU$53</f>
        <v>510777</v>
      </c>
      <c r="D34" s="7">
        <f>[3]United!$GU$53</f>
        <v>611</v>
      </c>
      <c r="E34" s="7">
        <f>[3]Spirit!$GU$53</f>
        <v>0</v>
      </c>
      <c r="F34" s="7">
        <f>[3]Condor!$GU$53</f>
        <v>0</v>
      </c>
      <c r="G34" s="7">
        <f>'[3]Air France'!$GU$53</f>
        <v>0</v>
      </c>
      <c r="H34" s="7">
        <f>'[3]Jet Blue'!$GU$53</f>
        <v>0</v>
      </c>
      <c r="I34" s="7">
        <f>[3]KLM!$GU$53</f>
        <v>0</v>
      </c>
      <c r="J34" s="7">
        <f>'Other Major Airline Stats'!J34</f>
        <v>100756</v>
      </c>
      <c r="K34" s="372">
        <f t="shared" si="18"/>
        <v>716576</v>
      </c>
    </row>
    <row r="35" spans="1:11" x14ac:dyDescent="0.2">
      <c r="A35" s="42" t="s">
        <v>41</v>
      </c>
      <c r="B35" s="188">
        <f t="shared" ref="B35:J35" si="19">SUM(B33:B34)</f>
        <v>112877</v>
      </c>
      <c r="C35" s="188">
        <f t="shared" si="19"/>
        <v>672780</v>
      </c>
      <c r="D35" s="188">
        <f t="shared" si="19"/>
        <v>1428</v>
      </c>
      <c r="E35" s="188">
        <f t="shared" si="19"/>
        <v>0</v>
      </c>
      <c r="F35" s="188">
        <f t="shared" ref="F35:I35" si="20">SUM(F33:F34)</f>
        <v>0</v>
      </c>
      <c r="G35" s="188">
        <f t="shared" si="20"/>
        <v>0</v>
      </c>
      <c r="H35" s="188">
        <f t="shared" ref="H35" si="21">SUM(H33:H34)</f>
        <v>0</v>
      </c>
      <c r="I35" s="188">
        <f t="shared" si="20"/>
        <v>0</v>
      </c>
      <c r="J35" s="188">
        <f t="shared" si="19"/>
        <v>152325</v>
      </c>
      <c r="K35" s="371">
        <f t="shared" si="18"/>
        <v>939410</v>
      </c>
    </row>
    <row r="36" spans="1:11" hidden="1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371">
        <f t="shared" si="18"/>
        <v>0</v>
      </c>
    </row>
    <row r="37" spans="1:11" hidden="1" x14ac:dyDescent="0.2">
      <c r="A37" s="38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371">
        <f t="shared" si="18"/>
        <v>0</v>
      </c>
    </row>
    <row r="38" spans="1:11" hidden="1" x14ac:dyDescent="0.2">
      <c r="A38" s="38" t="s">
        <v>37</v>
      </c>
      <c r="B38" s="12">
        <f>[3]American!$GU$57</f>
        <v>0</v>
      </c>
      <c r="C38" s="12">
        <f>[3]Delta!$GU$57</f>
        <v>0</v>
      </c>
      <c r="D38" s="12">
        <f>[3]United!$GU$57</f>
        <v>0</v>
      </c>
      <c r="E38" s="12">
        <f>[3]Spirit!$GU$57</f>
        <v>0</v>
      </c>
      <c r="F38" s="12">
        <f>[3]Condor!$GU$57</f>
        <v>0</v>
      </c>
      <c r="G38" s="12">
        <f>'[3]Air France'!$GU$57</f>
        <v>0</v>
      </c>
      <c r="H38" s="12">
        <f>'[3]Jet Blue'!$GU$57</f>
        <v>0</v>
      </c>
      <c r="I38" s="12">
        <f>[3]KLM!$GU$57</f>
        <v>0</v>
      </c>
      <c r="J38" s="12">
        <f>'Other Major Airline Stats'!J38</f>
        <v>0</v>
      </c>
      <c r="K38" s="371">
        <f t="shared" si="18"/>
        <v>0</v>
      </c>
    </row>
    <row r="39" spans="1:11" hidden="1" x14ac:dyDescent="0.2">
      <c r="A39" s="38" t="s">
        <v>38</v>
      </c>
      <c r="B39" s="7">
        <f>[3]American!$GU$58</f>
        <v>0</v>
      </c>
      <c r="C39" s="7">
        <f>[3]Delta!$GU$58</f>
        <v>0</v>
      </c>
      <c r="D39" s="7">
        <f>[3]United!$GU$58</f>
        <v>0</v>
      </c>
      <c r="E39" s="7">
        <f>[3]Spirit!$GU$58</f>
        <v>0</v>
      </c>
      <c r="F39" s="7">
        <f>[3]Condor!$GU$58</f>
        <v>0</v>
      </c>
      <c r="G39" s="7">
        <f>'[3]Air France'!$GU$58</f>
        <v>0</v>
      </c>
      <c r="H39" s="7">
        <f>'[3]Jet Blue'!$GU$58</f>
        <v>0</v>
      </c>
      <c r="I39" s="7">
        <f>[3]KLM!$GU$58</f>
        <v>0</v>
      </c>
      <c r="J39" s="7">
        <f>'Other Major Airline Stats'!J39</f>
        <v>0</v>
      </c>
      <c r="K39" s="372">
        <f t="shared" si="18"/>
        <v>0</v>
      </c>
    </row>
    <row r="40" spans="1:11" hidden="1" x14ac:dyDescent="0.2">
      <c r="A40" s="42" t="s">
        <v>43</v>
      </c>
      <c r="B40" s="188">
        <f t="shared" ref="B40:J40" si="22">SUM(B38:B39)</f>
        <v>0</v>
      </c>
      <c r="C40" s="188">
        <f t="shared" si="22"/>
        <v>0</v>
      </c>
      <c r="D40" s="188">
        <f t="shared" si="22"/>
        <v>0</v>
      </c>
      <c r="E40" s="188">
        <f t="shared" si="22"/>
        <v>0</v>
      </c>
      <c r="F40" s="188">
        <f t="shared" ref="F40:I40" si="23">SUM(F38:F39)</f>
        <v>0</v>
      </c>
      <c r="G40" s="188">
        <f t="shared" si="23"/>
        <v>0</v>
      </c>
      <c r="H40" s="188">
        <f t="shared" ref="H40" si="24">SUM(H38:H39)</f>
        <v>0</v>
      </c>
      <c r="I40" s="188">
        <f t="shared" si="23"/>
        <v>0</v>
      </c>
      <c r="J40" s="188">
        <f t="shared" si="22"/>
        <v>0</v>
      </c>
      <c r="K40" s="371">
        <f t="shared" si="18"/>
        <v>0</v>
      </c>
    </row>
    <row r="41" spans="1:11" x14ac:dyDescent="0.2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371"/>
    </row>
    <row r="42" spans="1:11" x14ac:dyDescent="0.2">
      <c r="A42" s="38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371">
        <f>SUM(B42:J42)</f>
        <v>0</v>
      </c>
    </row>
    <row r="43" spans="1:11" x14ac:dyDescent="0.2">
      <c r="A43" s="38" t="s">
        <v>45</v>
      </c>
      <c r="B43" s="12">
        <f t="shared" ref="B43:J44" si="25">B28+B33+B38</f>
        <v>40092</v>
      </c>
      <c r="C43" s="12">
        <f t="shared" si="25"/>
        <v>488113</v>
      </c>
      <c r="D43" s="12">
        <f t="shared" si="25"/>
        <v>7704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0</v>
      </c>
      <c r="J43" s="12">
        <f t="shared" si="25"/>
        <v>294853</v>
      </c>
      <c r="K43" s="371">
        <f>SUM(B43:J43)</f>
        <v>830762</v>
      </c>
    </row>
    <row r="44" spans="1:11" x14ac:dyDescent="0.2">
      <c r="A44" s="38" t="s">
        <v>38</v>
      </c>
      <c r="B44" s="7">
        <f t="shared" si="25"/>
        <v>201923</v>
      </c>
      <c r="C44" s="7">
        <f t="shared" si="25"/>
        <v>1037147</v>
      </c>
      <c r="D44" s="7">
        <f t="shared" si="25"/>
        <v>611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180506</v>
      </c>
      <c r="K44" s="371">
        <f>SUM(B44:J44)</f>
        <v>1420187</v>
      </c>
    </row>
    <row r="45" spans="1:11" ht="15.75" thickBot="1" x14ac:dyDescent="0.3">
      <c r="A45" s="39" t="s">
        <v>46</v>
      </c>
      <c r="B45" s="189">
        <f t="shared" ref="B45:J45" si="30">SUM(B43:B44)</f>
        <v>242015</v>
      </c>
      <c r="C45" s="189">
        <f t="shared" si="30"/>
        <v>1525260</v>
      </c>
      <c r="D45" s="189">
        <f t="shared" si="30"/>
        <v>8315</v>
      </c>
      <c r="E45" s="189">
        <f t="shared" si="30"/>
        <v>0</v>
      </c>
      <c r="F45" s="189">
        <f t="shared" ref="F45:I45" si="31">SUM(F43:F44)</f>
        <v>0</v>
      </c>
      <c r="G45" s="189">
        <f t="shared" si="31"/>
        <v>0</v>
      </c>
      <c r="H45" s="189">
        <f t="shared" ref="H45" si="32">SUM(H43:H44)</f>
        <v>0</v>
      </c>
      <c r="I45" s="189">
        <f t="shared" si="31"/>
        <v>0</v>
      </c>
      <c r="J45" s="189">
        <f t="shared" si="30"/>
        <v>475359</v>
      </c>
      <c r="K45" s="379">
        <f>SUM(B45:J45)</f>
        <v>2250949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54" t="s">
        <v>122</v>
      </c>
      <c r="C47" s="212">
        <f>[3]Delta!$GU$70+[3]Delta!$GU$73</f>
        <v>59121</v>
      </c>
      <c r="D47" s="200"/>
      <c r="E47" s="200"/>
      <c r="F47" s="200"/>
      <c r="G47" s="200"/>
      <c r="H47" s="200"/>
      <c r="I47" s="200"/>
      <c r="J47" s="200"/>
      <c r="K47" s="201">
        <f>SUM(B47:J47)</f>
        <v>59121</v>
      </c>
    </row>
    <row r="48" spans="1:11" hidden="1" x14ac:dyDescent="0.2">
      <c r="A48" s="255" t="s">
        <v>123</v>
      </c>
      <c r="C48" s="212">
        <f>[3]Delta!$GU$71+[3]Delta!$GU$74</f>
        <v>37138</v>
      </c>
      <c r="D48" s="200"/>
      <c r="E48" s="200"/>
      <c r="F48" s="200"/>
      <c r="G48" s="200"/>
      <c r="H48" s="200"/>
      <c r="I48" s="200"/>
      <c r="J48" s="200"/>
      <c r="K48" s="201">
        <f>SUM(B48:J48)</f>
        <v>37138</v>
      </c>
    </row>
    <row r="49" spans="1:11" hidden="1" x14ac:dyDescent="0.2">
      <c r="A49" s="256" t="s">
        <v>124</v>
      </c>
      <c r="C49" s="213">
        <f>SUM(C47:C48)</f>
        <v>96259</v>
      </c>
      <c r="K49" s="201">
        <f>SUM(B49:J49)</f>
        <v>96259</v>
      </c>
    </row>
    <row r="50" spans="1:11" x14ac:dyDescent="0.2">
      <c r="A50" s="254" t="s">
        <v>122</v>
      </c>
      <c r="B50" s="264"/>
      <c r="C50" s="215">
        <f>[3]Delta!$GU$70+[3]Delta!$GU$73</f>
        <v>59121</v>
      </c>
      <c r="D50" s="264"/>
      <c r="E50" s="215">
        <f>[3]Spirit!$GU$70+[3]Spirit!$GU$73</f>
        <v>0</v>
      </c>
      <c r="F50" s="264"/>
      <c r="G50" s="264"/>
      <c r="H50" s="264"/>
      <c r="I50" s="264"/>
      <c r="J50" s="214">
        <f>'Other Major Airline Stats'!J48</f>
        <v>55302</v>
      </c>
      <c r="K50" s="204">
        <f>SUM(B50:J50)</f>
        <v>114423</v>
      </c>
    </row>
    <row r="51" spans="1:11" x14ac:dyDescent="0.2">
      <c r="A51" s="266" t="s">
        <v>123</v>
      </c>
      <c r="B51" s="264"/>
      <c r="C51" s="215">
        <f>[3]Delta!$GU$71+[3]Delta!$GU$74</f>
        <v>37138</v>
      </c>
      <c r="D51" s="264"/>
      <c r="E51" s="215">
        <f>[3]Spirit!$GU$71+[3]Spirit!$GU$74</f>
        <v>0</v>
      </c>
      <c r="F51" s="264"/>
      <c r="G51" s="264"/>
      <c r="H51" s="264"/>
      <c r="I51" s="264"/>
      <c r="J51" s="214">
        <f>+'Other Major Airline Stats'!J49</f>
        <v>41</v>
      </c>
      <c r="K51" s="204">
        <f>SUM(B51:J51)</f>
        <v>37179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June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E6" activeCellId="1" sqref="C6 E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257">
        <v>43983</v>
      </c>
      <c r="B2" s="427" t="s">
        <v>47</v>
      </c>
      <c r="C2" s="429" t="s">
        <v>179</v>
      </c>
      <c r="D2" s="429" t="s">
        <v>211</v>
      </c>
      <c r="E2" s="429" t="s">
        <v>226</v>
      </c>
      <c r="F2" s="427" t="s">
        <v>48</v>
      </c>
      <c r="G2" s="429" t="s">
        <v>130</v>
      </c>
      <c r="H2" s="429" t="s">
        <v>49</v>
      </c>
      <c r="I2" s="429" t="s">
        <v>129</v>
      </c>
      <c r="J2" s="113" t="s">
        <v>61</v>
      </c>
    </row>
    <row r="3" spans="1:13" ht="15.75" thickTop="1" x14ac:dyDescent="0.25">
      <c r="A3" s="40" t="s">
        <v>3</v>
      </c>
      <c r="B3" s="87"/>
      <c r="C3" s="87"/>
      <c r="D3" s="87"/>
      <c r="E3" s="87"/>
      <c r="F3" s="87"/>
      <c r="G3" s="87"/>
      <c r="H3" s="87"/>
      <c r="I3" s="87"/>
      <c r="J3" s="380"/>
    </row>
    <row r="4" spans="1:13" x14ac:dyDescent="0.2">
      <c r="A4" s="38" t="s">
        <v>29</v>
      </c>
      <c r="B4" s="83"/>
      <c r="C4" s="83"/>
      <c r="D4" s="83"/>
      <c r="E4" s="83"/>
      <c r="F4" s="83"/>
      <c r="G4" s="83"/>
      <c r="H4" s="83"/>
      <c r="I4" s="83"/>
      <c r="J4" s="381"/>
    </row>
    <row r="5" spans="1:13" x14ac:dyDescent="0.2">
      <c r="A5" s="38" t="s">
        <v>30</v>
      </c>
      <c r="B5" s="83">
        <f>[3]Frontier!$GU$22</f>
        <v>3034</v>
      </c>
      <c r="C5" s="83">
        <f>'[3]Air Choice One'!$GU$22</f>
        <v>96</v>
      </c>
      <c r="D5" s="83">
        <f>'[3]Aer Lingus'!$GU$32</f>
        <v>0</v>
      </c>
      <c r="E5" s="83">
        <f>'[3]Denver Air'!$GU$22</f>
        <v>76</v>
      </c>
      <c r="F5" s="83">
        <f>[3]Icelandair!$GU$32</f>
        <v>0</v>
      </c>
      <c r="G5" s="83">
        <f>[3]Southwest!$GU$22</f>
        <v>22003</v>
      </c>
      <c r="H5" s="83">
        <f>'[3]Sun Country'!$GU$22+'[3]Sun Country'!$GU$32</f>
        <v>34700</v>
      </c>
      <c r="I5" s="83">
        <f>[3]Alaska!$GU$22</f>
        <v>3708</v>
      </c>
      <c r="J5" s="382">
        <f>SUM(B5:I5)</f>
        <v>63617</v>
      </c>
      <c r="M5" s="83"/>
    </row>
    <row r="6" spans="1:13" x14ac:dyDescent="0.2">
      <c r="A6" s="38" t="s">
        <v>31</v>
      </c>
      <c r="B6" s="83">
        <f>[3]Frontier!$GU$23</f>
        <v>2696</v>
      </c>
      <c r="C6" s="83">
        <f>'[3]Air Choice One'!$GU$23</f>
        <v>106</v>
      </c>
      <c r="D6" s="83">
        <f>'[3]Aer Lingus'!$GU$33</f>
        <v>0</v>
      </c>
      <c r="E6" s="83">
        <f>'[3]Denver Air'!$GU$23</f>
        <v>69</v>
      </c>
      <c r="F6" s="83">
        <f>[3]Icelandair!$GU$33</f>
        <v>0</v>
      </c>
      <c r="G6" s="83">
        <f>[3]Southwest!$GU$23</f>
        <v>21143</v>
      </c>
      <c r="H6" s="83">
        <f>'[3]Sun Country'!$GU$23+'[3]Sun Country'!$GU$33</f>
        <v>34200</v>
      </c>
      <c r="I6" s="83">
        <f>[3]Alaska!$GU$23</f>
        <v>3670</v>
      </c>
      <c r="J6" s="382">
        <f>SUM(B6:I6)</f>
        <v>61884</v>
      </c>
    </row>
    <row r="7" spans="1:13" ht="15" x14ac:dyDescent="0.25">
      <c r="A7" s="36" t="s">
        <v>7</v>
      </c>
      <c r="B7" s="101">
        <f t="shared" ref="B7:I7" si="0">SUM(B5:B6)</f>
        <v>5730</v>
      </c>
      <c r="C7" s="101">
        <f t="shared" ref="C7:E7" si="1">SUM(C5:C6)</f>
        <v>202</v>
      </c>
      <c r="D7" s="101">
        <f t="shared" si="1"/>
        <v>0</v>
      </c>
      <c r="E7" s="101">
        <f t="shared" si="1"/>
        <v>145</v>
      </c>
      <c r="F7" s="101">
        <f t="shared" si="0"/>
        <v>0</v>
      </c>
      <c r="G7" s="101">
        <f t="shared" si="0"/>
        <v>43146</v>
      </c>
      <c r="H7" s="101">
        <f>SUM(H5:H6)</f>
        <v>68900</v>
      </c>
      <c r="I7" s="101">
        <f t="shared" si="0"/>
        <v>7378</v>
      </c>
      <c r="J7" s="383">
        <f>SUM(B7:I7)</f>
        <v>125501</v>
      </c>
    </row>
    <row r="8" spans="1:13" x14ac:dyDescent="0.2">
      <c r="A8" s="38"/>
      <c r="B8" s="100"/>
      <c r="C8" s="100"/>
      <c r="D8" s="100"/>
      <c r="E8" s="100"/>
      <c r="F8" s="100"/>
      <c r="G8" s="100"/>
      <c r="H8" s="100"/>
      <c r="I8" s="100"/>
      <c r="J8" s="382"/>
    </row>
    <row r="9" spans="1:13" x14ac:dyDescent="0.2">
      <c r="A9" s="38" t="s">
        <v>32</v>
      </c>
      <c r="B9" s="100"/>
      <c r="C9" s="100"/>
      <c r="D9" s="100"/>
      <c r="E9" s="100"/>
      <c r="F9" s="100"/>
      <c r="G9" s="100"/>
      <c r="H9" s="100"/>
      <c r="I9" s="100"/>
      <c r="J9" s="382"/>
    </row>
    <row r="10" spans="1:13" x14ac:dyDescent="0.2">
      <c r="A10" s="38" t="s">
        <v>30</v>
      </c>
      <c r="B10" s="100">
        <f>[3]Frontier!$GU$27</f>
        <v>77</v>
      </c>
      <c r="C10" s="100">
        <f>'[3]Air Choice One'!$GU$27</f>
        <v>0</v>
      </c>
      <c r="D10" s="100">
        <f>'[3]Aer Lingus'!$GU$37</f>
        <v>0</v>
      </c>
      <c r="E10" s="100">
        <f>'[3]Denver Air'!$GU$27</f>
        <v>17</v>
      </c>
      <c r="F10" s="100">
        <f>[3]Icelandair!$GU$37</f>
        <v>0</v>
      </c>
      <c r="G10" s="100">
        <f>[3]Southwest!$GU$27</f>
        <v>734</v>
      </c>
      <c r="H10" s="100">
        <f>'[3]Sun Country'!$GU$27+'[3]Sun Country'!$GU$37</f>
        <v>818</v>
      </c>
      <c r="I10" s="100">
        <f>[3]Alaska!$GU$27</f>
        <v>290</v>
      </c>
      <c r="J10" s="382">
        <f>SUM(B10:I10)</f>
        <v>1936</v>
      </c>
    </row>
    <row r="11" spans="1:13" x14ac:dyDescent="0.2">
      <c r="A11" s="38" t="s">
        <v>33</v>
      </c>
      <c r="B11" s="102">
        <f>[3]Frontier!$GU$28</f>
        <v>71</v>
      </c>
      <c r="C11" s="102">
        <f>'[3]Air Choice One'!$GU$28</f>
        <v>0</v>
      </c>
      <c r="D11" s="102">
        <f>'[3]Aer Lingus'!$GU$38</f>
        <v>0</v>
      </c>
      <c r="E11" s="102">
        <f>'[3]Denver Air'!$GU$28</f>
        <v>13</v>
      </c>
      <c r="F11" s="102">
        <f>[3]Icelandair!$GU$38</f>
        <v>0</v>
      </c>
      <c r="G11" s="102">
        <f>[3]Southwest!$GU$28</f>
        <v>787</v>
      </c>
      <c r="H11" s="102">
        <f>'[3]Sun Country'!$GU$28+'[3]Sun Country'!$GU$38</f>
        <v>812</v>
      </c>
      <c r="I11" s="102">
        <f>[3]Alaska!$GU$28</f>
        <v>287</v>
      </c>
      <c r="J11" s="382">
        <f>SUM(B11:I11)</f>
        <v>1970</v>
      </c>
    </row>
    <row r="12" spans="1:13" ht="15.75" thickBot="1" x14ac:dyDescent="0.3">
      <c r="A12" s="39" t="s">
        <v>34</v>
      </c>
      <c r="B12" s="99">
        <f t="shared" ref="B12:I12" si="2">SUM(B10:B11)</f>
        <v>148</v>
      </c>
      <c r="C12" s="99">
        <f t="shared" ref="C12:E12" si="3">SUM(C10:C11)</f>
        <v>0</v>
      </c>
      <c r="D12" s="99">
        <f t="shared" si="3"/>
        <v>0</v>
      </c>
      <c r="E12" s="99">
        <f t="shared" si="3"/>
        <v>30</v>
      </c>
      <c r="F12" s="99">
        <f t="shared" si="2"/>
        <v>0</v>
      </c>
      <c r="G12" s="99">
        <f t="shared" si="2"/>
        <v>1521</v>
      </c>
      <c r="H12" s="99">
        <f>SUM(H10:H11)</f>
        <v>1630</v>
      </c>
      <c r="I12" s="99">
        <f t="shared" si="2"/>
        <v>577</v>
      </c>
      <c r="J12" s="384">
        <f>SUM(B12:I12)</f>
        <v>3906</v>
      </c>
      <c r="M12" s="83"/>
    </row>
    <row r="13" spans="1:13" ht="15" x14ac:dyDescent="0.25">
      <c r="A13" s="35"/>
      <c r="B13" s="190"/>
      <c r="C13" s="190"/>
      <c r="D13" s="190"/>
      <c r="E13" s="190"/>
      <c r="F13" s="190"/>
      <c r="G13" s="190"/>
      <c r="H13" s="190"/>
      <c r="I13" s="190"/>
      <c r="J13" s="191"/>
    </row>
    <row r="14" spans="1:13" ht="13.5" thickBot="1" x14ac:dyDescent="0.25"/>
    <row r="15" spans="1:13" ht="15.75" thickTop="1" x14ac:dyDescent="0.25">
      <c r="A15" s="37" t="s">
        <v>9</v>
      </c>
      <c r="B15" s="97"/>
      <c r="C15" s="97"/>
      <c r="D15" s="97"/>
      <c r="E15" s="97"/>
      <c r="F15" s="97"/>
      <c r="G15" s="97"/>
      <c r="H15" s="97"/>
      <c r="I15" s="97"/>
      <c r="J15" s="385"/>
    </row>
    <row r="16" spans="1:13" x14ac:dyDescent="0.2">
      <c r="A16" s="38" t="s">
        <v>22</v>
      </c>
      <c r="B16" s="83">
        <f>[3]Frontier!$GU$4</f>
        <v>23</v>
      </c>
      <c r="C16" s="76">
        <f>'[3]Air Choice One'!$GU$4</f>
        <v>74</v>
      </c>
      <c r="D16" s="83">
        <f>'[3]Aer Lingus'!$GU$15</f>
        <v>0</v>
      </c>
      <c r="E16" s="76">
        <f>'[3]Denver Air'!$GU$4</f>
        <v>52</v>
      </c>
      <c r="F16" s="83">
        <f>[3]Icelandair!$GU$15</f>
        <v>0</v>
      </c>
      <c r="G16" s="76">
        <f>[3]Southwest!$GU$4</f>
        <v>264</v>
      </c>
      <c r="H16" s="83">
        <f>'[3]Sun Country'!$GU$4+'[3]Sun Country'!$GU$15</f>
        <v>309</v>
      </c>
      <c r="I16" s="83">
        <f>[3]Alaska!$GU$4</f>
        <v>60</v>
      </c>
      <c r="J16" s="382">
        <f>SUM(B16:I16)</f>
        <v>782</v>
      </c>
    </row>
    <row r="17" spans="1:257" x14ac:dyDescent="0.2">
      <c r="A17" s="38" t="s">
        <v>23</v>
      </c>
      <c r="B17" s="83">
        <f>[3]Frontier!$GU$5</f>
        <v>23</v>
      </c>
      <c r="C17" s="76">
        <f>'[3]Air Choice One'!$GU$5</f>
        <v>74</v>
      </c>
      <c r="D17" s="83">
        <f>'[3]Aer Lingus'!$GU$16</f>
        <v>0</v>
      </c>
      <c r="E17" s="76">
        <f>'[3]Denver Air'!$GU$5</f>
        <v>52</v>
      </c>
      <c r="F17" s="83">
        <f>[3]Icelandair!$GU$16</f>
        <v>0</v>
      </c>
      <c r="G17" s="76">
        <f>[3]Southwest!$GU$5</f>
        <v>261</v>
      </c>
      <c r="H17" s="83">
        <f>'[3]Sun Country'!$GU$5+'[3]Sun Country'!$GU$16</f>
        <v>310</v>
      </c>
      <c r="I17" s="83">
        <f>[3]Alaska!$GU$5</f>
        <v>59</v>
      </c>
      <c r="J17" s="382">
        <f>SUM(B17:I17)</f>
        <v>779</v>
      </c>
    </row>
    <row r="18" spans="1:257" x14ac:dyDescent="0.2">
      <c r="A18" s="42" t="s">
        <v>24</v>
      </c>
      <c r="B18" s="98">
        <f t="shared" ref="B18:I18" si="4">SUM(B16:B17)</f>
        <v>46</v>
      </c>
      <c r="C18" s="98">
        <f t="shared" ref="C18:E18" si="5">SUM(C16:C17)</f>
        <v>148</v>
      </c>
      <c r="D18" s="98">
        <f t="shared" si="5"/>
        <v>0</v>
      </c>
      <c r="E18" s="98">
        <f t="shared" si="5"/>
        <v>104</v>
      </c>
      <c r="F18" s="98">
        <f t="shared" si="4"/>
        <v>0</v>
      </c>
      <c r="G18" s="98">
        <f t="shared" si="4"/>
        <v>525</v>
      </c>
      <c r="H18" s="98">
        <f t="shared" si="4"/>
        <v>619</v>
      </c>
      <c r="I18" s="98">
        <f t="shared" si="4"/>
        <v>119</v>
      </c>
      <c r="J18" s="386">
        <f>SUM(B18:I18)</f>
        <v>1561</v>
      </c>
    </row>
    <row r="19" spans="1:257" x14ac:dyDescent="0.2">
      <c r="A19" s="42"/>
      <c r="B19" s="82"/>
      <c r="C19" s="82"/>
      <c r="D19" s="82"/>
      <c r="E19" s="82"/>
      <c r="F19" s="82"/>
      <c r="G19" s="82"/>
      <c r="H19" s="82"/>
      <c r="I19" s="82"/>
      <c r="J19" s="382"/>
    </row>
    <row r="20" spans="1:257" x14ac:dyDescent="0.2">
      <c r="A20" s="38" t="s">
        <v>25</v>
      </c>
      <c r="B20" s="83">
        <f>[3]Frontier!$GU$8</f>
        <v>0</v>
      </c>
      <c r="C20" s="83">
        <f>'[3]Air Choice One'!$GU$8</f>
        <v>0</v>
      </c>
      <c r="D20" s="83">
        <f>'[3]Aer Lingus'!$GU$8</f>
        <v>0</v>
      </c>
      <c r="E20" s="83">
        <f>'[3]Denver Air'!$GU$8</f>
        <v>0</v>
      </c>
      <c r="F20" s="83">
        <f>[3]Icelandair!$GU$8</f>
        <v>0</v>
      </c>
      <c r="G20" s="83">
        <f>[3]Southwest!$GU$8</f>
        <v>0</v>
      </c>
      <c r="H20" s="83">
        <f>'[3]Sun Country'!$GU$8</f>
        <v>45</v>
      </c>
      <c r="I20" s="83">
        <f>[3]Alaska!$GU$8</f>
        <v>0</v>
      </c>
      <c r="J20" s="382">
        <f>SUM(B20:I20)</f>
        <v>45</v>
      </c>
    </row>
    <row r="21" spans="1:257" x14ac:dyDescent="0.2">
      <c r="A21" s="38" t="s">
        <v>26</v>
      </c>
      <c r="B21" s="83">
        <f>[3]Frontier!$GU$9</f>
        <v>0</v>
      </c>
      <c r="C21" s="83">
        <f>'[3]Air Choice One'!$GU$9</f>
        <v>0</v>
      </c>
      <c r="D21" s="83">
        <f>'[3]Aer Lingus'!$GU$9</f>
        <v>0</v>
      </c>
      <c r="E21" s="83">
        <f>'[3]Denver Air'!$GU$9</f>
        <v>0</v>
      </c>
      <c r="F21" s="83">
        <f>[3]Icelandair!$GU$9</f>
        <v>0</v>
      </c>
      <c r="G21" s="83">
        <f>[3]Southwest!$GU$9</f>
        <v>0</v>
      </c>
      <c r="H21" s="83">
        <f>'[3]Sun Country'!$GU$9</f>
        <v>46</v>
      </c>
      <c r="I21" s="83">
        <f>[3]Alaska!$GU$9</f>
        <v>0</v>
      </c>
      <c r="J21" s="382">
        <f>SUM(B21:I21)</f>
        <v>46</v>
      </c>
    </row>
    <row r="22" spans="1:257" x14ac:dyDescent="0.2">
      <c r="A22" s="42" t="s">
        <v>27</v>
      </c>
      <c r="B22" s="98">
        <f t="shared" ref="B22:I22" si="6">SUM(B20:B21)</f>
        <v>0</v>
      </c>
      <c r="C22" s="98">
        <f t="shared" ref="C22:E22" si="7">SUM(C20:C21)</f>
        <v>0</v>
      </c>
      <c r="D22" s="98">
        <f t="shared" si="7"/>
        <v>0</v>
      </c>
      <c r="E22" s="98">
        <f t="shared" si="7"/>
        <v>0</v>
      </c>
      <c r="F22" s="98">
        <f t="shared" si="6"/>
        <v>0</v>
      </c>
      <c r="G22" s="98">
        <f t="shared" si="6"/>
        <v>0</v>
      </c>
      <c r="H22" s="98">
        <f t="shared" si="6"/>
        <v>91</v>
      </c>
      <c r="I22" s="98">
        <f t="shared" si="6"/>
        <v>0</v>
      </c>
      <c r="J22" s="386">
        <f>SUM(B22:I22)</f>
        <v>91</v>
      </c>
    </row>
    <row r="23" spans="1:257" ht="15.75" thickBot="1" x14ac:dyDescent="0.3">
      <c r="A23" s="39" t="s">
        <v>28</v>
      </c>
      <c r="B23" s="99">
        <f t="shared" ref="B23:I23" si="8">B22+B18</f>
        <v>46</v>
      </c>
      <c r="C23" s="99">
        <f t="shared" ref="C23:E23" si="9">C22+C18</f>
        <v>148</v>
      </c>
      <c r="D23" s="99">
        <f t="shared" si="9"/>
        <v>0</v>
      </c>
      <c r="E23" s="99">
        <f t="shared" si="9"/>
        <v>104</v>
      </c>
      <c r="F23" s="99">
        <f t="shared" si="8"/>
        <v>0</v>
      </c>
      <c r="G23" s="99">
        <f t="shared" si="8"/>
        <v>525</v>
      </c>
      <c r="H23" s="99">
        <f t="shared" si="8"/>
        <v>710</v>
      </c>
      <c r="I23" s="99">
        <f t="shared" si="8"/>
        <v>119</v>
      </c>
      <c r="J23" s="387">
        <f>SUM(B23:I23)</f>
        <v>1652</v>
      </c>
    </row>
    <row r="24" spans="1:257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spans="1:257" ht="13.5" thickBot="1" x14ac:dyDescent="0.25">
      <c r="B25" s="288"/>
      <c r="C25" s="288"/>
      <c r="D25" s="288"/>
      <c r="E25" s="288"/>
      <c r="F25" s="288"/>
      <c r="G25" s="288"/>
      <c r="H25" s="288"/>
      <c r="I25" s="288"/>
      <c r="J25" s="83"/>
    </row>
    <row r="26" spans="1:257" ht="15.75" thickTop="1" x14ac:dyDescent="0.25">
      <c r="A26" s="41" t="s">
        <v>35</v>
      </c>
      <c r="B26" s="103"/>
      <c r="C26" s="103"/>
      <c r="D26" s="103"/>
      <c r="E26" s="433"/>
      <c r="F26" s="103"/>
      <c r="G26" s="103"/>
      <c r="H26" s="103"/>
      <c r="I26" s="103"/>
      <c r="J26" s="388"/>
    </row>
    <row r="27" spans="1:257" x14ac:dyDescent="0.2">
      <c r="A27" s="38" t="s">
        <v>36</v>
      </c>
      <c r="B27" s="104"/>
      <c r="C27" s="104"/>
      <c r="D27" s="104"/>
      <c r="E27" s="104"/>
      <c r="F27" s="104"/>
      <c r="G27" s="104"/>
      <c r="H27" s="104"/>
      <c r="I27" s="104"/>
      <c r="J27" s="381"/>
    </row>
    <row r="28" spans="1:257" x14ac:dyDescent="0.2">
      <c r="A28" s="38" t="s">
        <v>37</v>
      </c>
      <c r="B28" s="83">
        <f>[3]Frontier!$GU$47</f>
        <v>0</v>
      </c>
      <c r="C28" s="83">
        <f>'[3]Air Choice One'!$GU$47</f>
        <v>0</v>
      </c>
      <c r="D28" s="83">
        <f>'[3]Aer Lingus'!$GU$47</f>
        <v>0</v>
      </c>
      <c r="E28" s="83">
        <f>'[3]Denver Air'!$GU$47</f>
        <v>0</v>
      </c>
      <c r="F28" s="83">
        <f>[3]Icelandair!$GU$47</f>
        <v>0</v>
      </c>
      <c r="G28" s="83">
        <f>[3]Southwest!$GU$47</f>
        <v>192127</v>
      </c>
      <c r="H28" s="83">
        <f>'[3]Sun Country'!$GU$47</f>
        <v>35123</v>
      </c>
      <c r="I28" s="83">
        <f>[3]Alaska!$GU$47</f>
        <v>16034</v>
      </c>
      <c r="J28" s="382">
        <f>SUM(B28:I28)</f>
        <v>243284</v>
      </c>
    </row>
    <row r="29" spans="1:257" x14ac:dyDescent="0.2">
      <c r="A29" s="38" t="s">
        <v>38</v>
      </c>
      <c r="B29" s="83">
        <f>[3]Frontier!$GU$48</f>
        <v>0</v>
      </c>
      <c r="C29" s="83">
        <f>'[3]Air Choice One'!$GU$48</f>
        <v>0</v>
      </c>
      <c r="D29" s="83">
        <f>'[3]Aer Lingus'!$GU$48</f>
        <v>0</v>
      </c>
      <c r="E29" s="83">
        <f>'[3]Denver Air'!$GU$48</f>
        <v>0</v>
      </c>
      <c r="F29" s="83">
        <f>[3]Icelandair!$GU$48</f>
        <v>0</v>
      </c>
      <c r="G29" s="83">
        <f>[3]Southwest!$GU$48</f>
        <v>0</v>
      </c>
      <c r="H29" s="83">
        <f>'[3]Sun Country'!$GU$48</f>
        <v>78482</v>
      </c>
      <c r="I29" s="83">
        <f>[3]Alaska!$GU$48</f>
        <v>1268</v>
      </c>
      <c r="J29" s="382">
        <f>SUM(B29:I29)</f>
        <v>79750</v>
      </c>
    </row>
    <row r="30" spans="1:257" x14ac:dyDescent="0.2">
      <c r="A30" s="42" t="s">
        <v>39</v>
      </c>
      <c r="B30" s="105">
        <f t="shared" ref="B30:I30" si="10">SUM(B28:B29)</f>
        <v>0</v>
      </c>
      <c r="C30" s="105">
        <f t="shared" ref="C30:E30" si="11">SUM(C28:C29)</f>
        <v>0</v>
      </c>
      <c r="D30" s="105">
        <f t="shared" si="11"/>
        <v>0</v>
      </c>
      <c r="E30" s="105">
        <f t="shared" si="11"/>
        <v>0</v>
      </c>
      <c r="F30" s="105">
        <f t="shared" si="10"/>
        <v>0</v>
      </c>
      <c r="G30" s="105">
        <f t="shared" si="10"/>
        <v>192127</v>
      </c>
      <c r="H30" s="105">
        <f t="shared" si="10"/>
        <v>113605</v>
      </c>
      <c r="I30" s="105">
        <f t="shared" si="10"/>
        <v>17302</v>
      </c>
      <c r="J30" s="389">
        <f>SUM(B30:I30)</f>
        <v>323034</v>
      </c>
    </row>
    <row r="31" spans="1:257" x14ac:dyDescent="0.2">
      <c r="A31" s="38"/>
      <c r="B31" s="100"/>
      <c r="C31" s="100"/>
      <c r="D31" s="100"/>
      <c r="E31" s="100"/>
      <c r="F31" s="100"/>
      <c r="G31" s="100"/>
      <c r="H31" s="100"/>
      <c r="I31" s="100"/>
      <c r="J31" s="382"/>
    </row>
    <row r="32" spans="1:257" x14ac:dyDescent="0.2">
      <c r="A32" s="38" t="s">
        <v>40</v>
      </c>
      <c r="B32" s="83"/>
      <c r="C32" s="83"/>
      <c r="D32" s="83"/>
      <c r="E32" s="83"/>
      <c r="F32" s="83"/>
      <c r="G32" s="83"/>
      <c r="H32" s="83"/>
      <c r="I32" s="83"/>
      <c r="J32" s="382"/>
    </row>
    <row r="33" spans="1:10" x14ac:dyDescent="0.2">
      <c r="A33" s="38" t="s">
        <v>37</v>
      </c>
      <c r="B33" s="83">
        <f>[3]Frontier!$GU$52</f>
        <v>0</v>
      </c>
      <c r="C33" s="83">
        <f>'[3]Air Choice One'!$GU$52</f>
        <v>0</v>
      </c>
      <c r="D33" s="83">
        <f>'[3]Aer Lingus'!$GU$52</f>
        <v>0</v>
      </c>
      <c r="E33" s="83">
        <f>'[3]Denver Air'!$GU$52</f>
        <v>0</v>
      </c>
      <c r="F33" s="83">
        <f>[3]Icelandair!$GU$52</f>
        <v>0</v>
      </c>
      <c r="G33" s="83">
        <f>[3]Southwest!$GU$52</f>
        <v>48094</v>
      </c>
      <c r="H33" s="83">
        <f>'[3]Sun Country'!$GU$52</f>
        <v>156</v>
      </c>
      <c r="I33" s="83">
        <f>[3]Alaska!$GU$52</f>
        <v>3319</v>
      </c>
      <c r="J33" s="382">
        <f>SUM(B33:I33)</f>
        <v>51569</v>
      </c>
    </row>
    <row r="34" spans="1:10" x14ac:dyDescent="0.2">
      <c r="A34" s="38" t="s">
        <v>38</v>
      </c>
      <c r="B34" s="83">
        <f>[3]Frontier!$GU$53</f>
        <v>0</v>
      </c>
      <c r="C34" s="83">
        <f>'[3]Air Choice One'!$GU$53</f>
        <v>0</v>
      </c>
      <c r="D34" s="83">
        <f>'[3]Aer Lingus'!$GU$53</f>
        <v>0</v>
      </c>
      <c r="E34" s="83">
        <f>'[3]Denver Air'!$GU$53</f>
        <v>0</v>
      </c>
      <c r="F34" s="83">
        <f>[3]Icelandair!$GU$53</f>
        <v>0</v>
      </c>
      <c r="G34" s="83">
        <f>[3]Southwest!$GU$53</f>
        <v>0</v>
      </c>
      <c r="H34" s="83">
        <f>'[3]Sun Country'!$GU$53</f>
        <v>100756</v>
      </c>
      <c r="I34" s="83">
        <f>[3]Alaska!$GU$53</f>
        <v>0</v>
      </c>
      <c r="J34" s="390">
        <f>SUM(B34:I34)</f>
        <v>100756</v>
      </c>
    </row>
    <row r="35" spans="1:10" x14ac:dyDescent="0.2">
      <c r="A35" s="42" t="s">
        <v>41</v>
      </c>
      <c r="B35" s="98">
        <f t="shared" ref="B35:I35" si="12">SUM(B33:B34)</f>
        <v>0</v>
      </c>
      <c r="C35" s="98">
        <f t="shared" ref="C35:E35" si="13">SUM(C33:C34)</f>
        <v>0</v>
      </c>
      <c r="D35" s="98">
        <f t="shared" si="13"/>
        <v>0</v>
      </c>
      <c r="E35" s="98">
        <f t="shared" si="13"/>
        <v>0</v>
      </c>
      <c r="F35" s="98">
        <f t="shared" si="12"/>
        <v>0</v>
      </c>
      <c r="G35" s="98">
        <f t="shared" si="12"/>
        <v>48094</v>
      </c>
      <c r="H35" s="98">
        <f t="shared" si="12"/>
        <v>100912</v>
      </c>
      <c r="I35" s="98">
        <f t="shared" si="12"/>
        <v>3319</v>
      </c>
      <c r="J35" s="389">
        <f>SUM(B35:I35)</f>
        <v>152325</v>
      </c>
    </row>
    <row r="36" spans="1:10" hidden="1" x14ac:dyDescent="0.2">
      <c r="A36" s="38"/>
      <c r="B36" s="100"/>
      <c r="C36" s="100"/>
      <c r="D36" s="100"/>
      <c r="E36" s="100"/>
      <c r="F36" s="100"/>
      <c r="G36" s="100"/>
      <c r="H36" s="100"/>
      <c r="I36" s="100"/>
      <c r="J36" s="382"/>
    </row>
    <row r="37" spans="1:10" hidden="1" x14ac:dyDescent="0.2">
      <c r="A37" s="38" t="s">
        <v>42</v>
      </c>
      <c r="B37" s="100"/>
      <c r="C37" s="100"/>
      <c r="D37" s="100"/>
      <c r="E37" s="100"/>
      <c r="F37" s="100"/>
      <c r="G37" s="100"/>
      <c r="H37" s="100"/>
      <c r="I37" s="100"/>
      <c r="J37" s="382"/>
    </row>
    <row r="38" spans="1:10" hidden="1" x14ac:dyDescent="0.2">
      <c r="A38" s="38" t="s">
        <v>37</v>
      </c>
      <c r="B38" s="100">
        <f>[3]Frontier!$GU$57</f>
        <v>0</v>
      </c>
      <c r="C38" s="100">
        <f>'[3]Air Choice One'!$GU$57</f>
        <v>0</v>
      </c>
      <c r="D38" s="100">
        <f>'[3]Aer Lingus'!$GU$57</f>
        <v>0</v>
      </c>
      <c r="E38" s="100">
        <f>'[3]Denver Air'!$GU$57</f>
        <v>0</v>
      </c>
      <c r="F38" s="100">
        <f>[3]Icelandair!$GU$57</f>
        <v>0</v>
      </c>
      <c r="G38" s="100">
        <f>[3]Southwest!$GU$57</f>
        <v>0</v>
      </c>
      <c r="H38" s="100">
        <f>'[3]Sun Country'!$GU$57</f>
        <v>0</v>
      </c>
      <c r="I38" s="100">
        <f>[3]Alaska!$GU$57</f>
        <v>0</v>
      </c>
      <c r="J38" s="382">
        <f>SUM(B38:H38)</f>
        <v>0</v>
      </c>
    </row>
    <row r="39" spans="1:10" hidden="1" x14ac:dyDescent="0.2">
      <c r="A39" s="38" t="s">
        <v>38</v>
      </c>
      <c r="B39" s="102">
        <f>[3]Frontier!$GU$58</f>
        <v>0</v>
      </c>
      <c r="C39" s="102">
        <f>'[3]Air Choice One'!$GU$58</f>
        <v>0</v>
      </c>
      <c r="D39" s="102">
        <f>'[3]Aer Lingus'!$GU$58</f>
        <v>0</v>
      </c>
      <c r="E39" s="102">
        <f>'[3]Denver Air'!$GU$58</f>
        <v>0</v>
      </c>
      <c r="F39" s="102">
        <f>[3]Icelandair!$GU$58</f>
        <v>0</v>
      </c>
      <c r="G39" s="102">
        <f>[3]Southwest!$GU$58</f>
        <v>0</v>
      </c>
      <c r="H39" s="102">
        <f>'[3]Sun Country'!$GU$58</f>
        <v>0</v>
      </c>
      <c r="I39" s="102">
        <f>[3]Alaska!$GU$58</f>
        <v>0</v>
      </c>
      <c r="J39" s="390">
        <f>SUM(B39:H39)</f>
        <v>0</v>
      </c>
    </row>
    <row r="40" spans="1:10" hidden="1" x14ac:dyDescent="0.2">
      <c r="A40" s="42" t="s">
        <v>43</v>
      </c>
      <c r="B40" s="106">
        <f t="shared" ref="B40:I40" si="14">SUM(B38:B39)</f>
        <v>0</v>
      </c>
      <c r="C40" s="106">
        <f t="shared" ref="C40:E40" si="15">SUM(C38:C39)</f>
        <v>0</v>
      </c>
      <c r="D40" s="106">
        <f t="shared" si="15"/>
        <v>0</v>
      </c>
      <c r="E40" s="106">
        <f t="shared" si="15"/>
        <v>0</v>
      </c>
      <c r="F40" s="106">
        <f t="shared" si="14"/>
        <v>0</v>
      </c>
      <c r="G40" s="106">
        <f t="shared" si="14"/>
        <v>0</v>
      </c>
      <c r="H40" s="106">
        <f t="shared" si="14"/>
        <v>0</v>
      </c>
      <c r="I40" s="106">
        <f t="shared" si="14"/>
        <v>0</v>
      </c>
      <c r="J40" s="382">
        <f>SUM(B40:H40)</f>
        <v>0</v>
      </c>
    </row>
    <row r="41" spans="1:10" x14ac:dyDescent="0.2">
      <c r="A41" s="38"/>
      <c r="B41" s="100"/>
      <c r="C41" s="100"/>
      <c r="D41" s="100"/>
      <c r="E41" s="100"/>
      <c r="F41" s="100"/>
      <c r="G41" s="100"/>
      <c r="H41" s="100"/>
      <c r="I41" s="100"/>
      <c r="J41" s="382"/>
    </row>
    <row r="42" spans="1:10" x14ac:dyDescent="0.2">
      <c r="A42" s="38" t="s">
        <v>44</v>
      </c>
      <c r="B42" s="100"/>
      <c r="C42" s="100"/>
      <c r="D42" s="100"/>
      <c r="E42" s="100"/>
      <c r="F42" s="100"/>
      <c r="G42" s="100"/>
      <c r="H42" s="100"/>
      <c r="I42" s="100"/>
      <c r="J42" s="382"/>
    </row>
    <row r="43" spans="1:10" x14ac:dyDescent="0.2">
      <c r="A43" s="38" t="s">
        <v>45</v>
      </c>
      <c r="B43" s="100">
        <f t="shared" ref="B43:I43" si="16">B28+B33+B38</f>
        <v>0</v>
      </c>
      <c r="C43" s="100">
        <f t="shared" ref="C43:E43" si="17">C28+C33+C38</f>
        <v>0</v>
      </c>
      <c r="D43" s="100">
        <f t="shared" si="17"/>
        <v>0</v>
      </c>
      <c r="E43" s="100">
        <f t="shared" si="17"/>
        <v>0</v>
      </c>
      <c r="F43" s="100">
        <f t="shared" si="16"/>
        <v>0</v>
      </c>
      <c r="G43" s="100">
        <f t="shared" si="16"/>
        <v>240221</v>
      </c>
      <c r="H43" s="100">
        <f t="shared" si="16"/>
        <v>35279</v>
      </c>
      <c r="I43" s="100">
        <f t="shared" si="16"/>
        <v>19353</v>
      </c>
      <c r="J43" s="382">
        <f>SUM(B43:I43)</f>
        <v>294853</v>
      </c>
    </row>
    <row r="44" spans="1:10" x14ac:dyDescent="0.2">
      <c r="A44" s="38" t="s">
        <v>38</v>
      </c>
      <c r="B44" s="102">
        <f t="shared" ref="B44:I44" si="18">+B39+B34+B29</f>
        <v>0</v>
      </c>
      <c r="C44" s="102">
        <f t="shared" ref="C44:E44" si="19">+C39+C34+C29</f>
        <v>0</v>
      </c>
      <c r="D44" s="102">
        <f t="shared" si="19"/>
        <v>0</v>
      </c>
      <c r="E44" s="102">
        <f t="shared" si="19"/>
        <v>0</v>
      </c>
      <c r="F44" s="102">
        <f t="shared" si="18"/>
        <v>0</v>
      </c>
      <c r="G44" s="102">
        <f t="shared" si="18"/>
        <v>0</v>
      </c>
      <c r="H44" s="102">
        <f t="shared" si="18"/>
        <v>179238</v>
      </c>
      <c r="I44" s="102">
        <f t="shared" si="18"/>
        <v>1268</v>
      </c>
      <c r="J44" s="382">
        <f>SUM(B44:I44)</f>
        <v>180506</v>
      </c>
    </row>
    <row r="45" spans="1:10" ht="15.75" thickBot="1" x14ac:dyDescent="0.3">
      <c r="A45" s="39" t="s">
        <v>46</v>
      </c>
      <c r="B45" s="107">
        <f t="shared" ref="B45:I45" si="20">B43+B44</f>
        <v>0</v>
      </c>
      <c r="C45" s="107">
        <f t="shared" ref="C45:E45" si="21">C43+C44</f>
        <v>0</v>
      </c>
      <c r="D45" s="107">
        <f t="shared" si="21"/>
        <v>0</v>
      </c>
      <c r="E45" s="107">
        <f t="shared" si="21"/>
        <v>0</v>
      </c>
      <c r="F45" s="107">
        <f t="shared" si="20"/>
        <v>0</v>
      </c>
      <c r="G45" s="107">
        <f t="shared" si="20"/>
        <v>240221</v>
      </c>
      <c r="H45" s="107">
        <f t="shared" si="20"/>
        <v>214517</v>
      </c>
      <c r="I45" s="107">
        <f t="shared" si="20"/>
        <v>20621</v>
      </c>
      <c r="J45" s="391">
        <f>SUM(B45:I45)</f>
        <v>475359</v>
      </c>
    </row>
    <row r="48" spans="1:10" x14ac:dyDescent="0.2">
      <c r="A48" s="254" t="s">
        <v>122</v>
      </c>
      <c r="B48" s="264"/>
      <c r="C48" s="264"/>
      <c r="D48" s="264"/>
      <c r="E48" s="264"/>
      <c r="G48" s="215">
        <f>[3]Southwest!$GU$70+[3]Southwest!$GU$73</f>
        <v>21102</v>
      </c>
      <c r="H48" s="215">
        <f>'[3]Sun Country'!$GU$70+'[3]Sun Country'!$GU$73</f>
        <v>34200</v>
      </c>
      <c r="I48" s="264"/>
      <c r="J48" s="204">
        <f>SUM(B48:I48)</f>
        <v>55302</v>
      </c>
    </row>
    <row r="49" spans="1:10" x14ac:dyDescent="0.2">
      <c r="A49" s="266" t="s">
        <v>123</v>
      </c>
      <c r="B49" s="264"/>
      <c r="C49" s="264"/>
      <c r="D49" s="264"/>
      <c r="E49" s="264"/>
      <c r="G49" s="215">
        <f>[3]Southwest!$GU$71+[3]Southwest!$GU$74</f>
        <v>41</v>
      </c>
      <c r="H49" s="215">
        <f>'[3]Sun Country'!$GU$71+'[3]Sun Country'!$GU$74</f>
        <v>0</v>
      </c>
      <c r="I49" s="264"/>
      <c r="J49" s="204">
        <f>SUM(B49:I49)</f>
        <v>41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June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topLeftCell="A3" zoomScaleNormal="100" zoomScaleSheetLayoutView="115" workbookViewId="0">
      <selection activeCell="H43" sqref="H43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262"/>
    </row>
    <row r="2" spans="1:13" ht="51.75" thickBot="1" x14ac:dyDescent="0.25">
      <c r="A2" s="257">
        <v>43983</v>
      </c>
      <c r="B2" s="430" t="s">
        <v>158</v>
      </c>
      <c r="C2" s="430" t="s">
        <v>161</v>
      </c>
      <c r="D2" s="430" t="s">
        <v>169</v>
      </c>
      <c r="E2" s="430" t="s">
        <v>168</v>
      </c>
      <c r="F2" s="430" t="s">
        <v>170</v>
      </c>
      <c r="G2" s="430" t="s">
        <v>198</v>
      </c>
      <c r="H2" s="430" t="s">
        <v>174</v>
      </c>
      <c r="I2" s="430" t="s">
        <v>181</v>
      </c>
      <c r="J2" s="430" t="s">
        <v>196</v>
      </c>
      <c r="K2" s="430" t="s">
        <v>173</v>
      </c>
      <c r="L2" s="302" t="s">
        <v>116</v>
      </c>
      <c r="M2" s="398" t="s">
        <v>21</v>
      </c>
    </row>
    <row r="3" spans="1:13" ht="15.75" thickTop="1" x14ac:dyDescent="0.25">
      <c r="A3" s="185" t="s">
        <v>3</v>
      </c>
      <c r="B3" s="87"/>
      <c r="C3" s="88"/>
      <c r="D3" s="87"/>
      <c r="E3" s="87"/>
      <c r="F3" s="87"/>
      <c r="G3" s="87"/>
      <c r="H3" s="87"/>
      <c r="I3" s="87"/>
      <c r="J3" s="87"/>
      <c r="K3" s="87"/>
      <c r="L3" s="87"/>
      <c r="M3" s="392"/>
    </row>
    <row r="4" spans="1:13" x14ac:dyDescent="0.2">
      <c r="A4" s="38" t="s">
        <v>29</v>
      </c>
      <c r="B4" s="83"/>
      <c r="C4" s="78"/>
      <c r="D4" s="83"/>
      <c r="E4" s="83"/>
      <c r="F4" s="83"/>
      <c r="G4" s="83"/>
      <c r="H4" s="83"/>
      <c r="I4" s="83"/>
      <c r="J4" s="83"/>
      <c r="K4" s="83"/>
      <c r="L4" s="83"/>
      <c r="M4" s="393"/>
    </row>
    <row r="5" spans="1:13" x14ac:dyDescent="0.2">
      <c r="A5" s="38" t="s">
        <v>30</v>
      </c>
      <c r="B5" s="78">
        <f>[3]Pinnacle!$GU$22+[3]Pinnacle!$GU$32</f>
        <v>29509</v>
      </c>
      <c r="C5" s="78">
        <f>[3]MESA_UA!$GU$22</f>
        <v>0</v>
      </c>
      <c r="D5" s="83">
        <f>'[3]Sky West'!$GU$22+'[3]Sky West'!$GU$32</f>
        <v>19581</v>
      </c>
      <c r="E5" s="83">
        <f>'[3]Sky West_UA'!$GU$22</f>
        <v>2797</v>
      </c>
      <c r="F5" s="83">
        <f>'[3]Sky West_AS'!$GU$22</f>
        <v>470</v>
      </c>
      <c r="G5" s="83">
        <f>'[3]Sky West_AA'!$GU$22</f>
        <v>0</v>
      </c>
      <c r="H5" s="83">
        <f>[3]Republic!$GU$22</f>
        <v>2492</v>
      </c>
      <c r="I5" s="83">
        <f>[3]Republic_UA!$GU$22</f>
        <v>0</v>
      </c>
      <c r="J5" s="83">
        <f>'[3]Sky Regional'!$GU$32</f>
        <v>0</v>
      </c>
      <c r="K5" s="83">
        <f>'[3]American Eagle'!$GU$22</f>
        <v>2462</v>
      </c>
      <c r="L5" s="83">
        <f>'Other Regional'!J5</f>
        <v>413</v>
      </c>
      <c r="M5" s="393">
        <f>SUM(B5:L5)</f>
        <v>57724</v>
      </c>
    </row>
    <row r="6" spans="1:13" s="6" customFormat="1" x14ac:dyDescent="0.2">
      <c r="A6" s="38" t="s">
        <v>31</v>
      </c>
      <c r="B6" s="78">
        <f>[3]Pinnacle!$GU$23+[3]Pinnacle!$GU$33</f>
        <v>29026</v>
      </c>
      <c r="C6" s="78">
        <f>[3]MESA_UA!$GU$23</f>
        <v>0</v>
      </c>
      <c r="D6" s="83">
        <f>'[3]Sky West'!$GU$23+'[3]Sky West'!$GU$33</f>
        <v>18835</v>
      </c>
      <c r="E6" s="83">
        <f>'[3]Sky West_UA'!$GU$23</f>
        <v>2915</v>
      </c>
      <c r="F6" s="83">
        <f>'[3]Sky West_AS'!$GU$23</f>
        <v>544</v>
      </c>
      <c r="G6" s="83">
        <f>'[3]Sky West_AA'!$GU$23</f>
        <v>0</v>
      </c>
      <c r="H6" s="83">
        <f>[3]Republic!$GU$23</f>
        <v>2248</v>
      </c>
      <c r="I6" s="83">
        <f>[3]Republic_UA!$GU$23</f>
        <v>0</v>
      </c>
      <c r="J6" s="83">
        <f>'[3]Sky Regional'!$GU$33</f>
        <v>0</v>
      </c>
      <c r="K6" s="83">
        <f>'[3]American Eagle'!$GU$23</f>
        <v>2489</v>
      </c>
      <c r="L6" s="83">
        <f>'Other Regional'!J6</f>
        <v>356</v>
      </c>
      <c r="M6" s="394">
        <f>SUM(B6:L6)</f>
        <v>56413</v>
      </c>
    </row>
    <row r="7" spans="1:13" ht="15" thickBot="1" x14ac:dyDescent="0.25">
      <c r="A7" s="47" t="s">
        <v>7</v>
      </c>
      <c r="B7" s="91">
        <f>SUM(B5:B6)</f>
        <v>58535</v>
      </c>
      <c r="C7" s="91">
        <f t="shared" ref="C7:L7" si="0">SUM(C5:C6)</f>
        <v>0</v>
      </c>
      <c r="D7" s="91">
        <f t="shared" si="0"/>
        <v>38416</v>
      </c>
      <c r="E7" s="91">
        <f t="shared" si="0"/>
        <v>5712</v>
      </c>
      <c r="F7" s="91">
        <f t="shared" ref="F7:G7" si="1">SUM(F5:F6)</f>
        <v>1014</v>
      </c>
      <c r="G7" s="91">
        <f t="shared" si="1"/>
        <v>0</v>
      </c>
      <c r="H7" s="91">
        <f t="shared" si="0"/>
        <v>4740</v>
      </c>
      <c r="I7" s="91">
        <f t="shared" si="0"/>
        <v>0</v>
      </c>
      <c r="J7" s="91">
        <f t="shared" si="0"/>
        <v>0</v>
      </c>
      <c r="K7" s="91">
        <f t="shared" si="0"/>
        <v>4951</v>
      </c>
      <c r="L7" s="91">
        <f t="shared" si="0"/>
        <v>769</v>
      </c>
      <c r="M7" s="395">
        <f>SUM(B7:L7)</f>
        <v>114137</v>
      </c>
    </row>
    <row r="8" spans="1:13" ht="13.5" thickTop="1" x14ac:dyDescent="0.2">
      <c r="A8" s="38"/>
      <c r="B8" s="83"/>
      <c r="C8" s="78"/>
      <c r="D8" s="83"/>
      <c r="E8" s="83"/>
      <c r="F8" s="83"/>
      <c r="G8" s="83"/>
      <c r="H8" s="83"/>
      <c r="I8" s="83"/>
      <c r="J8" s="83"/>
      <c r="K8" s="83"/>
      <c r="L8" s="83"/>
      <c r="M8" s="396"/>
    </row>
    <row r="9" spans="1:13" s="6" customFormat="1" x14ac:dyDescent="0.2">
      <c r="A9" s="38" t="s">
        <v>32</v>
      </c>
      <c r="B9" s="83"/>
      <c r="C9" s="78"/>
      <c r="D9" s="83"/>
      <c r="E9" s="83"/>
      <c r="F9" s="83"/>
      <c r="G9" s="83"/>
      <c r="H9" s="83"/>
      <c r="I9" s="83"/>
      <c r="J9" s="83"/>
      <c r="K9" s="83"/>
      <c r="L9" s="83"/>
      <c r="M9" s="393"/>
    </row>
    <row r="10" spans="1:13" x14ac:dyDescent="0.2">
      <c r="A10" s="38" t="s">
        <v>30</v>
      </c>
      <c r="B10" s="78">
        <f>[3]Pinnacle!$GU$27+[3]Pinnacle!$GU$37</f>
        <v>1729</v>
      </c>
      <c r="C10" s="78">
        <f>[3]MESA_UA!$GU$27</f>
        <v>0</v>
      </c>
      <c r="D10" s="83">
        <f>'[3]Sky West'!$GU$27+'[3]Sky West'!$GU$37</f>
        <v>1339</v>
      </c>
      <c r="E10" s="83">
        <f>'[3]Sky West_UA'!$GU$27</f>
        <v>60</v>
      </c>
      <c r="F10" s="83">
        <f>'[3]Sky West_AS'!$GU$27</f>
        <v>31</v>
      </c>
      <c r="G10" s="83">
        <f>'[3]Sky West_AA'!$GU$27</f>
        <v>0</v>
      </c>
      <c r="H10" s="83">
        <f>[3]Republic!$GU$27</f>
        <v>108</v>
      </c>
      <c r="I10" s="83">
        <f>[3]Republic_UA!$GU$27</f>
        <v>0</v>
      </c>
      <c r="J10" s="83">
        <f>'[3]Sky Regional'!$GU$37</f>
        <v>0</v>
      </c>
      <c r="K10" s="83">
        <f>'[3]American Eagle'!$GU$27</f>
        <v>179</v>
      </c>
      <c r="L10" s="83">
        <f>'Other Regional'!J10</f>
        <v>32</v>
      </c>
      <c r="M10" s="393">
        <f>SUM(B10:L10)</f>
        <v>3478</v>
      </c>
    </row>
    <row r="11" spans="1:13" x14ac:dyDescent="0.2">
      <c r="A11" s="38" t="s">
        <v>33</v>
      </c>
      <c r="B11" s="78">
        <f>[3]Pinnacle!$GU$28+[3]Pinnacle!$GU$38</f>
        <v>1628</v>
      </c>
      <c r="C11" s="78">
        <f>[3]MESA_UA!$GU$28</f>
        <v>0</v>
      </c>
      <c r="D11" s="83">
        <f>'[3]Sky West'!$GU$28+'[3]Sky West'!$GU$38</f>
        <v>1237</v>
      </c>
      <c r="E11" s="83">
        <f>'[3]Sky West_UA'!$GU$28</f>
        <v>35</v>
      </c>
      <c r="F11" s="83">
        <f>'[3]Sky West_AS'!$GU$28</f>
        <v>69</v>
      </c>
      <c r="G11" s="83">
        <f>'[3]Sky West_AA'!$GU$28</f>
        <v>0</v>
      </c>
      <c r="H11" s="83">
        <f>[3]Republic!$GU$28</f>
        <v>115</v>
      </c>
      <c r="I11" s="83">
        <f>[3]Republic_UA!$GU$28</f>
        <v>0</v>
      </c>
      <c r="J11" s="83">
        <f>'[3]Sky Regional'!$GU$38</f>
        <v>0</v>
      </c>
      <c r="K11" s="83">
        <f>'[3]American Eagle'!$GU$28</f>
        <v>241</v>
      </c>
      <c r="L11" s="83">
        <f>'Other Regional'!J11</f>
        <v>24</v>
      </c>
      <c r="M11" s="394">
        <f>SUM(B11:L11)</f>
        <v>3349</v>
      </c>
    </row>
    <row r="12" spans="1:13" ht="15" thickBot="1" x14ac:dyDescent="0.25">
      <c r="A12" s="48" t="s">
        <v>34</v>
      </c>
      <c r="B12" s="92">
        <f t="shared" ref="B12:L12" si="2">SUM(B10:B11)</f>
        <v>3357</v>
      </c>
      <c r="C12" s="92">
        <f t="shared" si="2"/>
        <v>0</v>
      </c>
      <c r="D12" s="92">
        <f t="shared" si="2"/>
        <v>2576</v>
      </c>
      <c r="E12" s="92">
        <f t="shared" si="2"/>
        <v>95</v>
      </c>
      <c r="F12" s="92">
        <f t="shared" ref="F12:G12" si="3">SUM(F10:F11)</f>
        <v>100</v>
      </c>
      <c r="G12" s="92">
        <f t="shared" si="3"/>
        <v>0</v>
      </c>
      <c r="H12" s="92">
        <f t="shared" si="2"/>
        <v>223</v>
      </c>
      <c r="I12" s="92">
        <f t="shared" si="2"/>
        <v>0</v>
      </c>
      <c r="J12" s="92">
        <f t="shared" si="2"/>
        <v>0</v>
      </c>
      <c r="K12" s="92">
        <f t="shared" si="2"/>
        <v>420</v>
      </c>
      <c r="L12" s="92">
        <f t="shared" si="2"/>
        <v>56</v>
      </c>
      <c r="M12" s="397">
        <f>SUM(B12:L12)</f>
        <v>6827</v>
      </c>
    </row>
    <row r="13" spans="1:13" ht="13.5" thickBot="1" x14ac:dyDescent="0.25"/>
    <row r="14" spans="1:13" ht="15.75" thickTop="1" x14ac:dyDescent="0.25">
      <c r="A14" s="37" t="s">
        <v>9</v>
      </c>
      <c r="B14" s="74"/>
      <c r="C14" s="75"/>
      <c r="D14" s="74"/>
      <c r="E14" s="74"/>
      <c r="F14" s="74"/>
      <c r="G14" s="74"/>
      <c r="H14" s="74"/>
      <c r="I14" s="74"/>
      <c r="J14" s="74"/>
      <c r="K14" s="74"/>
      <c r="L14" s="74"/>
      <c r="M14" s="399">
        <f t="shared" ref="M14" si="4">SUM(B14:L14)</f>
        <v>0</v>
      </c>
    </row>
    <row r="15" spans="1:13" x14ac:dyDescent="0.2">
      <c r="A15" s="38" t="s">
        <v>53</v>
      </c>
      <c r="B15" s="12">
        <f>[3]Pinnacle!$GU$4+[3]Pinnacle!$GU$15</f>
        <v>948</v>
      </c>
      <c r="C15" s="77">
        <f>[3]MESA_UA!$GU$4</f>
        <v>0</v>
      </c>
      <c r="D15" s="76">
        <f>'[3]Sky West'!$GU$4+'[3]Sky West'!$GU$15</f>
        <v>735</v>
      </c>
      <c r="E15" s="76">
        <f>'[3]Sky West_UA'!$GU$4</f>
        <v>57</v>
      </c>
      <c r="F15" s="76">
        <f>'[3]Sky West_AS'!$GU$4</f>
        <v>13</v>
      </c>
      <c r="G15" s="76">
        <f>'[3]Sky West_AA'!$GU$4</f>
        <v>0</v>
      </c>
      <c r="H15" s="78">
        <f>[3]Republic!$GU$4</f>
        <v>48</v>
      </c>
      <c r="I15" s="311">
        <f>[3]Republic_UA!$GU$4</f>
        <v>0</v>
      </c>
      <c r="J15" s="311">
        <f>'[3]Sky Regional'!$GU$15</f>
        <v>0</v>
      </c>
      <c r="K15" s="432">
        <f>'[3]American Eagle'!$GU$4</f>
        <v>44</v>
      </c>
      <c r="L15" s="77">
        <f>'Other Regional'!J15</f>
        <v>9</v>
      </c>
      <c r="M15" s="393">
        <f t="shared" ref="M15:M21" si="5">SUM(B15:L15)</f>
        <v>1854</v>
      </c>
    </row>
    <row r="16" spans="1:13" x14ac:dyDescent="0.2">
      <c r="A16" s="38" t="s">
        <v>54</v>
      </c>
      <c r="B16" s="7">
        <f>[3]Pinnacle!$GU$5+[3]Pinnacle!$GU$16</f>
        <v>954</v>
      </c>
      <c r="C16" s="80">
        <f>[3]MESA_UA!$GU$5</f>
        <v>0</v>
      </c>
      <c r="D16" s="79">
        <f>'[3]Sky West'!$GU$5+'[3]Sky West'!$GU$16</f>
        <v>732</v>
      </c>
      <c r="E16" s="79">
        <f>'[3]Sky West_UA'!$GU$5</f>
        <v>57</v>
      </c>
      <c r="F16" s="79">
        <f>'[3]Sky West_AS'!$GU$5</f>
        <v>14</v>
      </c>
      <c r="G16" s="79">
        <f>'[3]Sky West_AA'!$GU$5</f>
        <v>0</v>
      </c>
      <c r="H16" s="81">
        <f>[3]Republic!$GU$5</f>
        <v>47</v>
      </c>
      <c r="I16" s="193">
        <f>[3]Republic_UA!$GU$5</f>
        <v>0</v>
      </c>
      <c r="J16" s="193">
        <f>'[3]Sky Regional'!$GU$16</f>
        <v>0</v>
      </c>
      <c r="K16" s="81">
        <f>'[3]American Eagle'!$GU$5</f>
        <v>44</v>
      </c>
      <c r="L16" s="80">
        <f>'Other Regional'!J16</f>
        <v>9</v>
      </c>
      <c r="M16" s="394">
        <f t="shared" si="5"/>
        <v>1857</v>
      </c>
    </row>
    <row r="17" spans="1:13" x14ac:dyDescent="0.2">
      <c r="A17" s="42" t="s">
        <v>55</v>
      </c>
      <c r="B17" s="82">
        <f t="shared" ref="B17:K17" si="6">SUM(B15:B16)</f>
        <v>1902</v>
      </c>
      <c r="C17" s="82">
        <f t="shared" si="6"/>
        <v>0</v>
      </c>
      <c r="D17" s="82">
        <f t="shared" si="6"/>
        <v>1467</v>
      </c>
      <c r="E17" s="82">
        <f>SUM(E15:E16)</f>
        <v>114</v>
      </c>
      <c r="F17" s="82">
        <f>SUM(F15:F16)</f>
        <v>27</v>
      </c>
      <c r="G17" s="82">
        <f>SUM(G15:G16)</f>
        <v>0</v>
      </c>
      <c r="H17" s="82">
        <f>SUM(H15:H16)</f>
        <v>95</v>
      </c>
      <c r="I17" s="82">
        <f t="shared" ref="I17" si="7">SUM(I15:I16)</f>
        <v>0</v>
      </c>
      <c r="J17" s="82">
        <f>SUM(J15:J16)</f>
        <v>0</v>
      </c>
      <c r="K17" s="82">
        <f t="shared" si="6"/>
        <v>88</v>
      </c>
      <c r="L17" s="82">
        <f>SUM(L15:L16)</f>
        <v>18</v>
      </c>
      <c r="M17" s="400">
        <f t="shared" si="5"/>
        <v>3711</v>
      </c>
    </row>
    <row r="18" spans="1:13" x14ac:dyDescent="0.2">
      <c r="A18" s="38" t="s">
        <v>56</v>
      </c>
      <c r="B18" s="83">
        <f>[3]Pinnacle!$GU$8</f>
        <v>0</v>
      </c>
      <c r="C18" s="78">
        <f>[3]MESA_UA!$GU$8</f>
        <v>0</v>
      </c>
      <c r="D18" s="83">
        <f>'[3]Sky West'!$GU$8</f>
        <v>0</v>
      </c>
      <c r="E18" s="83">
        <f>'[3]Sky West_UA'!$GU$8</f>
        <v>0</v>
      </c>
      <c r="F18" s="83">
        <f>'[3]Sky West_AS'!$GU$8</f>
        <v>0</v>
      </c>
      <c r="G18" s="83">
        <f>'[3]Sky West_AA'!$GU$8</f>
        <v>0</v>
      </c>
      <c r="H18" s="83">
        <f>[3]Republic!$GU$8</f>
        <v>0</v>
      </c>
      <c r="I18" s="83">
        <f>[3]Republic_UA!$GU$8</f>
        <v>0</v>
      </c>
      <c r="J18" s="83">
        <f>'[3]Sky Regional'!$GU$8</f>
        <v>0</v>
      </c>
      <c r="K18" s="83">
        <f>'[3]American Eagle'!$GU$8</f>
        <v>0</v>
      </c>
      <c r="L18" s="83">
        <f>'Other Regional'!J18</f>
        <v>0</v>
      </c>
      <c r="M18" s="393">
        <f t="shared" si="5"/>
        <v>0</v>
      </c>
    </row>
    <row r="19" spans="1:13" x14ac:dyDescent="0.2">
      <c r="A19" s="38" t="s">
        <v>57</v>
      </c>
      <c r="B19" s="84">
        <f>[3]Pinnacle!$GU$9</f>
        <v>1</v>
      </c>
      <c r="C19" s="81">
        <f>[3]MESA_UA!$GU$9</f>
        <v>0</v>
      </c>
      <c r="D19" s="84">
        <f>'[3]Sky West'!$GU$9</f>
        <v>1</v>
      </c>
      <c r="E19" s="84">
        <f>'[3]Sky West_UA'!$GU$9</f>
        <v>0</v>
      </c>
      <c r="F19" s="84">
        <f>'[3]Sky West_AS'!$GU$9</f>
        <v>0</v>
      </c>
      <c r="G19" s="84">
        <f>'[3]Sky West_AA'!$GU$9</f>
        <v>0</v>
      </c>
      <c r="H19" s="84">
        <f>[3]Republic!$GU$9</f>
        <v>0</v>
      </c>
      <c r="I19" s="84">
        <f>[3]Republic_UA!$GU$9</f>
        <v>0</v>
      </c>
      <c r="J19" s="84">
        <f>'[3]Sky Regional'!$GU$9</f>
        <v>0</v>
      </c>
      <c r="K19" s="84">
        <f>'[3]American Eagle'!$GU$9</f>
        <v>0</v>
      </c>
      <c r="L19" s="84">
        <f>'Other Regional'!J19</f>
        <v>0</v>
      </c>
      <c r="M19" s="394">
        <f t="shared" si="5"/>
        <v>2</v>
      </c>
    </row>
    <row r="20" spans="1:13" x14ac:dyDescent="0.2">
      <c r="A20" s="42" t="s">
        <v>58</v>
      </c>
      <c r="B20" s="82">
        <f t="shared" ref="B20:L20" si="8">SUM(B18:B19)</f>
        <v>1</v>
      </c>
      <c r="C20" s="82">
        <f t="shared" si="8"/>
        <v>0</v>
      </c>
      <c r="D20" s="82">
        <f t="shared" si="8"/>
        <v>1</v>
      </c>
      <c r="E20" s="82">
        <f t="shared" si="8"/>
        <v>0</v>
      </c>
      <c r="F20" s="82">
        <f t="shared" ref="F20:G20" si="9">SUM(F18:F19)</f>
        <v>0</v>
      </c>
      <c r="G20" s="82">
        <f t="shared" si="9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400">
        <f t="shared" si="5"/>
        <v>2</v>
      </c>
    </row>
    <row r="21" spans="1:13" ht="15.75" thickBot="1" x14ac:dyDescent="0.3">
      <c r="A21" s="46" t="s">
        <v>28</v>
      </c>
      <c r="B21" s="85">
        <f t="shared" ref="B21:K21" si="10">SUM(B20,B17)</f>
        <v>1903</v>
      </c>
      <c r="C21" s="85">
        <f t="shared" si="10"/>
        <v>0</v>
      </c>
      <c r="D21" s="85">
        <f t="shared" si="10"/>
        <v>1468</v>
      </c>
      <c r="E21" s="85">
        <f t="shared" si="10"/>
        <v>114</v>
      </c>
      <c r="F21" s="85">
        <f t="shared" ref="F21:G21" si="11">SUM(F20,F17)</f>
        <v>27</v>
      </c>
      <c r="G21" s="85">
        <f t="shared" si="11"/>
        <v>0</v>
      </c>
      <c r="H21" s="85">
        <f t="shared" si="10"/>
        <v>95</v>
      </c>
      <c r="I21" s="85">
        <f t="shared" si="10"/>
        <v>0</v>
      </c>
      <c r="J21" s="85">
        <f t="shared" si="10"/>
        <v>0</v>
      </c>
      <c r="K21" s="85">
        <f t="shared" si="10"/>
        <v>88</v>
      </c>
      <c r="L21" s="85">
        <f>SUM(L20,L17)</f>
        <v>18</v>
      </c>
      <c r="M21" s="401">
        <f t="shared" si="5"/>
        <v>3713</v>
      </c>
    </row>
    <row r="22" spans="1:13" ht="13.5" thickBot="1" x14ac:dyDescent="0.25"/>
    <row r="23" spans="1:13" ht="15.75" thickTop="1" x14ac:dyDescent="0.25">
      <c r="A23" s="41" t="s">
        <v>115</v>
      </c>
      <c r="B23" s="93"/>
      <c r="C23" s="94"/>
      <c r="D23" s="93"/>
      <c r="E23" s="93"/>
      <c r="F23" s="93"/>
      <c r="G23" s="93"/>
      <c r="H23" s="93"/>
      <c r="I23" s="93"/>
      <c r="J23" s="93"/>
      <c r="K23" s="93"/>
      <c r="L23" s="93"/>
      <c r="M23" s="402"/>
    </row>
    <row r="24" spans="1:13" x14ac:dyDescent="0.2">
      <c r="A24" s="38" t="s">
        <v>36</v>
      </c>
      <c r="B24" s="83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393"/>
    </row>
    <row r="25" spans="1:13" x14ac:dyDescent="0.2">
      <c r="A25" s="38" t="s">
        <v>37</v>
      </c>
      <c r="B25" s="83">
        <f>[3]Pinnacle!$GU$47</f>
        <v>0</v>
      </c>
      <c r="C25" s="78">
        <f>[3]MESA_UA!$GU$47</f>
        <v>0</v>
      </c>
      <c r="D25" s="83">
        <f>'[3]Sky West'!$GU$47</f>
        <v>0</v>
      </c>
      <c r="E25" s="83">
        <f>'[3]Sky West_UA'!$GU$47</f>
        <v>0</v>
      </c>
      <c r="F25" s="83">
        <f>'[3]Sky West_AS'!$GU$47</f>
        <v>14</v>
      </c>
      <c r="G25" s="83">
        <f>'[3]Sky West_AA'!$GU$47</f>
        <v>0</v>
      </c>
      <c r="H25" s="83">
        <f>[3]Republic!$GU$47</f>
        <v>908</v>
      </c>
      <c r="I25" s="83">
        <f>[3]Republic_UA!$GU$47</f>
        <v>0</v>
      </c>
      <c r="J25" s="83">
        <f>'[3]Sky Regional'!$GU$47</f>
        <v>0</v>
      </c>
      <c r="K25" s="83">
        <f>'[3]American Eagle'!$GU$47</f>
        <v>616</v>
      </c>
      <c r="L25" s="83">
        <f>'Other Regional'!J25</f>
        <v>3659</v>
      </c>
      <c r="M25" s="393">
        <f>SUM(B25:L25)</f>
        <v>5197</v>
      </c>
    </row>
    <row r="26" spans="1:13" x14ac:dyDescent="0.2">
      <c r="A26" s="38" t="s">
        <v>38</v>
      </c>
      <c r="B26" s="83">
        <f>[3]Pinnacle!$GU$48</f>
        <v>0</v>
      </c>
      <c r="C26" s="78">
        <f>[3]MESA_UA!$GU$48</f>
        <v>0</v>
      </c>
      <c r="D26" s="83">
        <f>'[3]Sky West'!$GU$48</f>
        <v>0</v>
      </c>
      <c r="E26" s="83">
        <f>'[3]Sky West_UA'!$GU$48</f>
        <v>0</v>
      </c>
      <c r="F26" s="83">
        <f>'[3]Sky West_AS'!$GU$48</f>
        <v>0</v>
      </c>
      <c r="G26" s="83">
        <f>'[3]Sky West_AA'!$GU$48</f>
        <v>0</v>
      </c>
      <c r="H26" s="83">
        <f>[3]Republic!$GU$48</f>
        <v>0</v>
      </c>
      <c r="I26" s="83">
        <f>[3]Republic_UA!$GU$48</f>
        <v>0</v>
      </c>
      <c r="J26" s="83">
        <f>'[3]Sky Regional'!$GU$48</f>
        <v>0</v>
      </c>
      <c r="K26" s="83">
        <f>'[3]American Eagle'!$GU$48</f>
        <v>0</v>
      </c>
      <c r="L26" s="83">
        <f>'Other Regional'!J26</f>
        <v>0</v>
      </c>
      <c r="M26" s="393">
        <f>SUM(B26:L26)</f>
        <v>0</v>
      </c>
    </row>
    <row r="27" spans="1:13" ht="15" thickBot="1" x14ac:dyDescent="0.25">
      <c r="A27" s="47" t="s">
        <v>39</v>
      </c>
      <c r="B27" s="91">
        <f t="shared" ref="B27:L27" si="12">SUM(B25:B26)</f>
        <v>0</v>
      </c>
      <c r="C27" s="91">
        <f t="shared" si="12"/>
        <v>0</v>
      </c>
      <c r="D27" s="91">
        <f t="shared" si="12"/>
        <v>0</v>
      </c>
      <c r="E27" s="91">
        <f t="shared" si="12"/>
        <v>0</v>
      </c>
      <c r="F27" s="91">
        <f t="shared" ref="F27:G27" si="13">SUM(F25:F26)</f>
        <v>14</v>
      </c>
      <c r="G27" s="91">
        <f t="shared" si="13"/>
        <v>0</v>
      </c>
      <c r="H27" s="91">
        <f t="shared" si="12"/>
        <v>908</v>
      </c>
      <c r="I27" s="91">
        <f t="shared" si="12"/>
        <v>0</v>
      </c>
      <c r="J27" s="91">
        <f t="shared" si="12"/>
        <v>0</v>
      </c>
      <c r="K27" s="91">
        <f t="shared" si="12"/>
        <v>616</v>
      </c>
      <c r="L27" s="91">
        <f t="shared" si="12"/>
        <v>3659</v>
      </c>
      <c r="M27" s="395">
        <f>SUM(B27:L27)</f>
        <v>5197</v>
      </c>
    </row>
    <row r="28" spans="1:13" ht="13.5" thickTop="1" x14ac:dyDescent="0.2">
      <c r="A28" s="38"/>
      <c r="B28" s="8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393"/>
    </row>
    <row r="29" spans="1:13" x14ac:dyDescent="0.2">
      <c r="A29" s="38" t="s">
        <v>40</v>
      </c>
      <c r="B29" s="83"/>
      <c r="C29" s="78"/>
      <c r="D29" s="83"/>
      <c r="E29" s="83"/>
      <c r="F29" s="83"/>
      <c r="G29" s="83"/>
      <c r="H29" s="83"/>
      <c r="I29" s="83"/>
      <c r="J29" s="83"/>
      <c r="K29" s="83"/>
      <c r="M29" s="393"/>
    </row>
    <row r="30" spans="1:13" x14ac:dyDescent="0.2">
      <c r="A30" s="38" t="s">
        <v>59</v>
      </c>
      <c r="B30" s="83">
        <f>[3]Pinnacle!$GU$52</f>
        <v>0</v>
      </c>
      <c r="C30" s="78">
        <f>[3]MESA_UA!$GU$52</f>
        <v>0</v>
      </c>
      <c r="D30" s="83">
        <f>'[3]Sky West'!$GU$52</f>
        <v>0</v>
      </c>
      <c r="E30" s="83">
        <f>'[3]Sky West_UA'!$GU$52</f>
        <v>0</v>
      </c>
      <c r="F30" s="83">
        <f>'[3]Sky West_AS'!$GU$52</f>
        <v>202</v>
      </c>
      <c r="G30" s="83">
        <f>'[3]Sky West_AA'!$GU$52</f>
        <v>0</v>
      </c>
      <c r="H30" s="83">
        <f>[3]Republic!$GU$52</f>
        <v>37</v>
      </c>
      <c r="I30" s="83">
        <f>[3]Republic_UA!$GU$52</f>
        <v>0</v>
      </c>
      <c r="J30" s="83">
        <f>'[3]Sky Regional'!$GU$52</f>
        <v>0</v>
      </c>
      <c r="K30" s="83">
        <f>'[3]American Eagle'!$GU$52</f>
        <v>0</v>
      </c>
      <c r="L30" s="83">
        <f>'Other Regional'!J30</f>
        <v>566</v>
      </c>
      <c r="M30" s="393">
        <f t="shared" ref="M30:M37" si="14">SUM(B30:L30)</f>
        <v>805</v>
      </c>
    </row>
    <row r="31" spans="1:13" x14ac:dyDescent="0.2">
      <c r="A31" s="38" t="s">
        <v>60</v>
      </c>
      <c r="B31" s="83">
        <f>[3]Pinnacle!$GU$53</f>
        <v>0</v>
      </c>
      <c r="C31" s="78">
        <f>[3]MESA_UA!$GU$53</f>
        <v>0</v>
      </c>
      <c r="D31" s="83">
        <f>'[3]Sky West'!$GU$53</f>
        <v>0</v>
      </c>
      <c r="E31" s="83">
        <f>'[3]Sky West_UA'!$GU$53</f>
        <v>0</v>
      </c>
      <c r="F31" s="83">
        <f>'[3]Sky West_AS'!$GU$53</f>
        <v>0</v>
      </c>
      <c r="G31" s="83">
        <f>'[3]Sky West_AA'!$GU$53</f>
        <v>0</v>
      </c>
      <c r="H31" s="83">
        <f>[3]Republic!$GU$53</f>
        <v>0</v>
      </c>
      <c r="I31" s="83">
        <f>[3]Republic_UA!$GU$53</f>
        <v>0</v>
      </c>
      <c r="J31" s="83">
        <f>'[3]Sky Regional'!$GU$53</f>
        <v>0</v>
      </c>
      <c r="K31" s="83">
        <f>'[3]American Eagle'!$GU$53</f>
        <v>0</v>
      </c>
      <c r="L31" s="83">
        <f>'Other Regional'!J31</f>
        <v>0</v>
      </c>
      <c r="M31" s="393">
        <f t="shared" si="14"/>
        <v>0</v>
      </c>
    </row>
    <row r="32" spans="1:13" ht="15" thickBot="1" x14ac:dyDescent="0.25">
      <c r="A32" s="47" t="s">
        <v>41</v>
      </c>
      <c r="B32" s="91">
        <f t="shared" ref="B32:K32" si="15">SUM(B30:B31)</f>
        <v>0</v>
      </c>
      <c r="C32" s="91">
        <f t="shared" si="15"/>
        <v>0</v>
      </c>
      <c r="D32" s="91">
        <f t="shared" si="15"/>
        <v>0</v>
      </c>
      <c r="E32" s="91">
        <f t="shared" si="15"/>
        <v>0</v>
      </c>
      <c r="F32" s="91">
        <f t="shared" ref="F32:G32" si="16">SUM(F30:F31)</f>
        <v>202</v>
      </c>
      <c r="G32" s="91">
        <f t="shared" si="16"/>
        <v>0</v>
      </c>
      <c r="H32" s="91">
        <f t="shared" si="15"/>
        <v>37</v>
      </c>
      <c r="I32" s="91">
        <f t="shared" si="15"/>
        <v>0</v>
      </c>
      <c r="J32" s="91">
        <f t="shared" si="15"/>
        <v>0</v>
      </c>
      <c r="K32" s="91">
        <f t="shared" si="15"/>
        <v>0</v>
      </c>
      <c r="L32" s="91">
        <f>SUM(L30:L31)</f>
        <v>566</v>
      </c>
      <c r="M32" s="395">
        <f t="shared" si="14"/>
        <v>805</v>
      </c>
    </row>
    <row r="33" spans="1:13" ht="13.5" hidden="1" thickTop="1" x14ac:dyDescent="0.2">
      <c r="A33" s="38"/>
      <c r="B33" s="83"/>
      <c r="C33" s="78"/>
      <c r="D33" s="83"/>
      <c r="E33" s="83"/>
      <c r="F33" s="83"/>
      <c r="G33" s="83"/>
      <c r="H33" s="83"/>
      <c r="I33" s="83"/>
      <c r="J33" s="83"/>
      <c r="K33" s="83"/>
      <c r="L33" s="83"/>
      <c r="M33" s="393">
        <f t="shared" si="14"/>
        <v>0</v>
      </c>
    </row>
    <row r="34" spans="1:13" ht="13.5" hidden="1" thickTop="1" x14ac:dyDescent="0.2">
      <c r="A34" s="38" t="s">
        <v>42</v>
      </c>
      <c r="B34" s="83"/>
      <c r="C34" s="78"/>
      <c r="D34" s="83"/>
      <c r="E34" s="83"/>
      <c r="F34" s="83"/>
      <c r="G34" s="83"/>
      <c r="H34" s="83"/>
      <c r="I34" s="83"/>
      <c r="J34" s="83"/>
      <c r="K34" s="83"/>
      <c r="L34" s="83"/>
      <c r="M34" s="393">
        <f t="shared" si="14"/>
        <v>0</v>
      </c>
    </row>
    <row r="35" spans="1:13" ht="13.5" hidden="1" thickTop="1" x14ac:dyDescent="0.2">
      <c r="A35" s="38" t="s">
        <v>37</v>
      </c>
      <c r="B35" s="83">
        <f>[3]Pinnacle!$GU$57</f>
        <v>0</v>
      </c>
      <c r="C35" s="78">
        <f>[3]MESA_UA!$GU$57</f>
        <v>0</v>
      </c>
      <c r="D35" s="83">
        <f>'[3]Sky West'!$GU$57</f>
        <v>0</v>
      </c>
      <c r="E35" s="83">
        <f>'[3]Sky West_UA'!$GU$57</f>
        <v>0</v>
      </c>
      <c r="F35" s="83">
        <f>'[3]Sky West_AS'!$GU$57</f>
        <v>0</v>
      </c>
      <c r="G35" s="83">
        <f>'[3]Sky West_AA'!$GU$57</f>
        <v>0</v>
      </c>
      <c r="H35" s="83">
        <f>[3]Republic!$GU$57</f>
        <v>0</v>
      </c>
      <c r="I35" s="83">
        <f>[3]Republic!$GU$57</f>
        <v>0</v>
      </c>
      <c r="J35" s="83">
        <f>[3]Republic!$GU$57</f>
        <v>0</v>
      </c>
      <c r="K35" s="83">
        <f>'[3]American Eagle'!$GU$57</f>
        <v>0</v>
      </c>
      <c r="L35" s="83">
        <f>'Other Regional'!J35</f>
        <v>0</v>
      </c>
      <c r="M35" s="393">
        <f t="shared" si="14"/>
        <v>0</v>
      </c>
    </row>
    <row r="36" spans="1:13" ht="13.5" hidden="1" thickTop="1" x14ac:dyDescent="0.2">
      <c r="A36" s="38" t="s">
        <v>38</v>
      </c>
      <c r="B36" s="83">
        <f>[3]Pinnacle!$GU$58</f>
        <v>0</v>
      </c>
      <c r="C36" s="78">
        <f>[3]MESA_UA!$GU$58</f>
        <v>0</v>
      </c>
      <c r="D36" s="83">
        <f>'[3]Sky West'!$GU$58</f>
        <v>0</v>
      </c>
      <c r="E36" s="83">
        <f>'[3]Sky West_UA'!$GU$58</f>
        <v>0</v>
      </c>
      <c r="F36" s="83">
        <f>'[3]Sky West_AS'!$GU$58</f>
        <v>0</v>
      </c>
      <c r="G36" s="83">
        <f>'[3]Sky West_AA'!$GU$58</f>
        <v>0</v>
      </c>
      <c r="H36" s="83">
        <f>[3]Republic!$GU$58</f>
        <v>0</v>
      </c>
      <c r="I36" s="83">
        <f>[3]Republic!$GU$58</f>
        <v>0</v>
      </c>
      <c r="J36" s="83">
        <f>[3]Republic!$GU$58</f>
        <v>0</v>
      </c>
      <c r="K36" s="83">
        <f>'[3]American Eagle'!$GU$58</f>
        <v>0</v>
      </c>
      <c r="L36" s="83">
        <f>'Other Regional'!J36</f>
        <v>0</v>
      </c>
      <c r="M36" s="393">
        <f t="shared" si="14"/>
        <v>0</v>
      </c>
    </row>
    <row r="37" spans="1:13" ht="13.5" hidden="1" thickTop="1" x14ac:dyDescent="0.2">
      <c r="A37" s="49" t="s">
        <v>43</v>
      </c>
      <c r="B37" s="95">
        <f t="shared" ref="B37:K37" si="17">SUM(B35:B36)</f>
        <v>0</v>
      </c>
      <c r="C37" s="95">
        <f t="shared" si="17"/>
        <v>0</v>
      </c>
      <c r="D37" s="95">
        <f t="shared" si="17"/>
        <v>0</v>
      </c>
      <c r="E37" s="95">
        <f t="shared" si="17"/>
        <v>0</v>
      </c>
      <c r="F37" s="95">
        <f t="shared" ref="F37:G37" si="18">SUM(F35:F36)</f>
        <v>0</v>
      </c>
      <c r="G37" s="95">
        <f t="shared" si="18"/>
        <v>0</v>
      </c>
      <c r="H37" s="95">
        <f t="shared" si="17"/>
        <v>0</v>
      </c>
      <c r="I37" s="95">
        <f t="shared" si="17"/>
        <v>0</v>
      </c>
      <c r="J37" s="95">
        <f t="shared" si="17"/>
        <v>0</v>
      </c>
      <c r="K37" s="95">
        <f t="shared" si="17"/>
        <v>0</v>
      </c>
      <c r="L37" s="95">
        <f>SUM(L35:L36)</f>
        <v>0</v>
      </c>
      <c r="M37" s="403">
        <f t="shared" si="14"/>
        <v>0</v>
      </c>
    </row>
    <row r="38" spans="1:13" ht="13.5" thickTop="1" x14ac:dyDescent="0.2">
      <c r="A38" s="38"/>
      <c r="B38" s="83"/>
      <c r="C38" s="78"/>
      <c r="D38" s="83"/>
      <c r="E38" s="83"/>
      <c r="F38" s="83"/>
      <c r="G38" s="83"/>
      <c r="H38" s="83"/>
      <c r="I38" s="83"/>
      <c r="J38" s="83"/>
      <c r="K38" s="83"/>
      <c r="L38" s="83"/>
      <c r="M38" s="393"/>
    </row>
    <row r="39" spans="1:13" x14ac:dyDescent="0.2">
      <c r="A39" s="38" t="s">
        <v>44</v>
      </c>
      <c r="B39" s="83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393"/>
    </row>
    <row r="40" spans="1:13" x14ac:dyDescent="0.2">
      <c r="A40" s="38" t="s">
        <v>45</v>
      </c>
      <c r="B40" s="83">
        <f t="shared" ref="B40:J42" si="19">SUM(B35,B30,B25)</f>
        <v>0</v>
      </c>
      <c r="C40" s="83">
        <f>SUM(C35,C30,C25)</f>
        <v>0</v>
      </c>
      <c r="D40" s="83">
        <f t="shared" si="19"/>
        <v>0</v>
      </c>
      <c r="E40" s="83">
        <f t="shared" ref="E40:F42" si="20">SUM(E35,E30,E25)</f>
        <v>0</v>
      </c>
      <c r="F40" s="83">
        <f t="shared" si="20"/>
        <v>216</v>
      </c>
      <c r="G40" s="83">
        <f t="shared" ref="G40" si="21">SUM(G35,G30,G25)</f>
        <v>0</v>
      </c>
      <c r="H40" s="83">
        <f t="shared" si="19"/>
        <v>945</v>
      </c>
      <c r="I40" s="83">
        <f t="shared" si="19"/>
        <v>0</v>
      </c>
      <c r="J40" s="83">
        <f t="shared" si="19"/>
        <v>0</v>
      </c>
      <c r="K40" s="83">
        <f>SUM(K35,K30,K25)</f>
        <v>616</v>
      </c>
      <c r="L40" s="83">
        <f>L35+L30+L25</f>
        <v>4225</v>
      </c>
      <c r="M40" s="393">
        <f>SUM(B40:L40)</f>
        <v>6002</v>
      </c>
    </row>
    <row r="41" spans="1:13" x14ac:dyDescent="0.2">
      <c r="A41" s="38" t="s">
        <v>38</v>
      </c>
      <c r="B41" s="83">
        <f t="shared" si="19"/>
        <v>0</v>
      </c>
      <c r="C41" s="83">
        <f>SUM(C36,C31,C26)</f>
        <v>0</v>
      </c>
      <c r="D41" s="83">
        <f t="shared" si="19"/>
        <v>0</v>
      </c>
      <c r="E41" s="83">
        <f t="shared" si="20"/>
        <v>0</v>
      </c>
      <c r="F41" s="83">
        <f t="shared" si="20"/>
        <v>0</v>
      </c>
      <c r="G41" s="83">
        <f t="shared" ref="G41" si="22">SUM(G36,G31,G26)</f>
        <v>0</v>
      </c>
      <c r="H41" s="83">
        <f t="shared" si="19"/>
        <v>0</v>
      </c>
      <c r="I41" s="83">
        <f t="shared" si="19"/>
        <v>0</v>
      </c>
      <c r="J41" s="83">
        <f t="shared" si="19"/>
        <v>0</v>
      </c>
      <c r="K41" s="83">
        <f>SUM(K36,K31,K26)</f>
        <v>0</v>
      </c>
      <c r="L41" s="83">
        <f>L36+L31+L26</f>
        <v>0</v>
      </c>
      <c r="M41" s="393">
        <f>SUM(B41:L41)</f>
        <v>0</v>
      </c>
    </row>
    <row r="42" spans="1:13" ht="15" thickBot="1" x14ac:dyDescent="0.25">
      <c r="A42" s="48" t="s">
        <v>46</v>
      </c>
      <c r="B42" s="92">
        <f t="shared" si="19"/>
        <v>0</v>
      </c>
      <c r="C42" s="92">
        <f>SUM(C37,C32,C27)</f>
        <v>0</v>
      </c>
      <c r="D42" s="92">
        <f t="shared" si="19"/>
        <v>0</v>
      </c>
      <c r="E42" s="92">
        <f t="shared" si="20"/>
        <v>0</v>
      </c>
      <c r="F42" s="92">
        <f t="shared" si="20"/>
        <v>216</v>
      </c>
      <c r="G42" s="92">
        <f t="shared" ref="G42" si="23">SUM(G37,G32,G27)</f>
        <v>0</v>
      </c>
      <c r="H42" s="92">
        <f t="shared" si="19"/>
        <v>945</v>
      </c>
      <c r="I42" s="92">
        <f t="shared" si="19"/>
        <v>0</v>
      </c>
      <c r="J42" s="92">
        <f t="shared" si="19"/>
        <v>0</v>
      </c>
      <c r="K42" s="92">
        <f>SUM(K37,K32,K27)</f>
        <v>616</v>
      </c>
      <c r="L42" s="92">
        <f>SUM(L37,L32,L27)</f>
        <v>4225</v>
      </c>
      <c r="M42" s="397">
        <f>SUM(B42:L42)</f>
        <v>6002</v>
      </c>
    </row>
    <row r="44" spans="1:13" x14ac:dyDescent="0.2">
      <c r="A44" s="254" t="s">
        <v>122</v>
      </c>
      <c r="B44" s="214">
        <f>[3]Pinnacle!$GU$70+[3]Pinnacle!$GU$73</f>
        <v>9009</v>
      </c>
      <c r="D44" s="215">
        <f>'[3]Sky West'!$GU$70+'[3]Sky West'!$GU$73</f>
        <v>6287</v>
      </c>
      <c r="E44" s="2"/>
      <c r="F44" s="2"/>
      <c r="G44" s="2"/>
      <c r="L44" s="215">
        <f>+'Other Regional'!J46</f>
        <v>0</v>
      </c>
      <c r="M44" s="204">
        <f>SUM(B44:L44)</f>
        <v>15296</v>
      </c>
    </row>
    <row r="45" spans="1:13" x14ac:dyDescent="0.2">
      <c r="A45" s="266" t="s">
        <v>123</v>
      </c>
      <c r="B45" s="214">
        <f>[3]Pinnacle!$GU$71+[3]Pinnacle!$GU$74</f>
        <v>20017</v>
      </c>
      <c r="D45" s="215">
        <f>'[3]Sky West'!$GU$71+'[3]Sky West'!$GU$74</f>
        <v>12548</v>
      </c>
      <c r="E45" s="2"/>
      <c r="F45" s="2"/>
      <c r="G45" s="2"/>
      <c r="L45" s="215">
        <f>+'Other Regional'!J47</f>
        <v>0</v>
      </c>
      <c r="M45" s="204">
        <f>SUM(B45:L45)</f>
        <v>32565</v>
      </c>
    </row>
    <row r="46" spans="1:13" x14ac:dyDescent="0.2">
      <c r="A46" s="205" t="s">
        <v>124</v>
      </c>
      <c r="B46" s="206">
        <f>SUM(B44:B45)</f>
        <v>29026</v>
      </c>
      <c r="L46" s="2"/>
      <c r="M46" s="192"/>
    </row>
    <row r="47" spans="1:13" x14ac:dyDescent="0.2">
      <c r="A47" s="207"/>
      <c r="B47" s="208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June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B4" sqref="B4:J4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x14ac:dyDescent="0.2">
      <c r="A1" s="262"/>
    </row>
    <row r="2" spans="1:10" ht="55.5" customHeight="1" thickBot="1" x14ac:dyDescent="0.25">
      <c r="A2" s="257">
        <v>43983</v>
      </c>
      <c r="B2" s="351" t="s">
        <v>172</v>
      </c>
      <c r="C2" s="351" t="s">
        <v>171</v>
      </c>
      <c r="D2" s="431" t="s">
        <v>197</v>
      </c>
      <c r="E2" s="431" t="s">
        <v>222</v>
      </c>
      <c r="F2" s="431" t="s">
        <v>176</v>
      </c>
      <c r="G2" s="431" t="s">
        <v>175</v>
      </c>
      <c r="H2" s="351" t="s">
        <v>160</v>
      </c>
      <c r="I2" s="351" t="s">
        <v>163</v>
      </c>
      <c r="J2" s="351" t="s">
        <v>21</v>
      </c>
    </row>
    <row r="3" spans="1:10" ht="15" x14ac:dyDescent="0.25">
      <c r="A3" s="185" t="s">
        <v>3</v>
      </c>
      <c r="B3" s="278"/>
      <c r="C3" s="278"/>
      <c r="D3" s="278"/>
      <c r="E3" s="278"/>
      <c r="F3" s="279"/>
      <c r="G3" s="279"/>
      <c r="H3" s="279"/>
      <c r="I3" s="279"/>
      <c r="J3" s="392"/>
    </row>
    <row r="4" spans="1:10" x14ac:dyDescent="0.2">
      <c r="A4" s="38" t="s">
        <v>29</v>
      </c>
      <c r="B4" s="89"/>
      <c r="C4" s="89"/>
      <c r="D4" s="89"/>
      <c r="E4" s="90"/>
      <c r="F4" s="78"/>
      <c r="G4" s="78"/>
      <c r="H4" s="78"/>
      <c r="I4" s="78"/>
      <c r="J4" s="393"/>
    </row>
    <row r="5" spans="1:10" x14ac:dyDescent="0.2">
      <c r="A5" s="38" t="s">
        <v>30</v>
      </c>
      <c r="B5" s="78">
        <f>'[3]Shuttle America'!$GU$22</f>
        <v>0</v>
      </c>
      <c r="C5" s="78">
        <f>'[3]Shuttle America_Delta'!$GU$22</f>
        <v>0</v>
      </c>
      <c r="D5" s="311">
        <f>[3]Horizon_AS!$GU$22</f>
        <v>413</v>
      </c>
      <c r="E5" s="311">
        <f>'[3]Air Wisconsin'!$GU$22</f>
        <v>0</v>
      </c>
      <c r="F5" s="78">
        <f>'[3]Atlantic Southeast'!$GU$22+'[3]Atlantic Southeast'!$GU$32</f>
        <v>0</v>
      </c>
      <c r="G5" s="78">
        <f>'[3]Continental Express'!$GU$22</f>
        <v>0</v>
      </c>
      <c r="H5" s="83">
        <f>'[3]Go Jet_UA'!$GU$22</f>
        <v>0</v>
      </c>
      <c r="I5" s="12">
        <f>'[3]Go Jet'!$GU$22+'[3]Go Jet'!$GU$32</f>
        <v>0</v>
      </c>
      <c r="J5" s="393">
        <f>SUM(B5:I5)</f>
        <v>413</v>
      </c>
    </row>
    <row r="6" spans="1:10" s="6" customFormat="1" x14ac:dyDescent="0.2">
      <c r="A6" s="38" t="s">
        <v>31</v>
      </c>
      <c r="B6" s="78">
        <f>'[3]Shuttle America'!$GU$23</f>
        <v>0</v>
      </c>
      <c r="C6" s="78">
        <f>'[3]Shuttle America_Delta'!$GU$23</f>
        <v>0</v>
      </c>
      <c r="D6" s="311">
        <f>[3]Horizon_AS!$GU$23</f>
        <v>356</v>
      </c>
      <c r="E6" s="311">
        <f>'[3]Air Wisconsin'!$GU$23</f>
        <v>0</v>
      </c>
      <c r="F6" s="78">
        <f>'[3]Atlantic Southeast'!$GU$23+'[3]Atlantic Southeast'!$GU$33</f>
        <v>0</v>
      </c>
      <c r="G6" s="78">
        <f>'[3]Continental Express'!$GU$23</f>
        <v>0</v>
      </c>
      <c r="H6" s="83">
        <f>'[3]Go Jet_UA'!$GU$23</f>
        <v>0</v>
      </c>
      <c r="I6" s="7">
        <f>'[3]Go Jet'!$GU$23+'[3]Go Jet'!$GU$33</f>
        <v>0</v>
      </c>
      <c r="J6" s="394">
        <f>SUM(B6:I6)</f>
        <v>356</v>
      </c>
    </row>
    <row r="7" spans="1:10" ht="15" thickBot="1" x14ac:dyDescent="0.25">
      <c r="A7" s="47" t="s">
        <v>7</v>
      </c>
      <c r="B7" s="91">
        <f t="shared" ref="B7:H7" si="0">SUM(B5:B6)</f>
        <v>0</v>
      </c>
      <c r="C7" s="91">
        <f t="shared" si="0"/>
        <v>0</v>
      </c>
      <c r="D7" s="91">
        <f t="shared" ref="D7" si="1">SUM(D5:D6)</f>
        <v>769</v>
      </c>
      <c r="E7" s="91">
        <f t="shared" si="0"/>
        <v>0</v>
      </c>
      <c r="F7" s="91">
        <f t="shared" si="0"/>
        <v>0</v>
      </c>
      <c r="G7" s="91">
        <f t="shared" si="0"/>
        <v>0</v>
      </c>
      <c r="H7" s="91">
        <f t="shared" si="0"/>
        <v>0</v>
      </c>
      <c r="I7" s="91">
        <f>SUM(I5:I6)</f>
        <v>0</v>
      </c>
      <c r="J7" s="395">
        <f>SUM(B7:I7)</f>
        <v>769</v>
      </c>
    </row>
    <row r="8" spans="1:10" ht="13.5" thickTop="1" x14ac:dyDescent="0.2">
      <c r="A8" s="38"/>
      <c r="B8" s="78"/>
      <c r="C8" s="78"/>
      <c r="D8" s="311"/>
      <c r="E8" s="311"/>
      <c r="F8" s="78"/>
      <c r="G8" s="78"/>
      <c r="H8" s="83"/>
      <c r="I8" s="229"/>
      <c r="J8" s="396"/>
    </row>
    <row r="9" spans="1:10" s="6" customFormat="1" x14ac:dyDescent="0.2">
      <c r="A9" s="38" t="s">
        <v>32</v>
      </c>
      <c r="B9" s="78"/>
      <c r="C9" s="78"/>
      <c r="D9" s="311"/>
      <c r="E9" s="311"/>
      <c r="F9" s="78"/>
      <c r="G9" s="78"/>
      <c r="H9" s="83"/>
      <c r="I9" s="12"/>
      <c r="J9" s="393"/>
    </row>
    <row r="10" spans="1:10" x14ac:dyDescent="0.2">
      <c r="A10" s="38" t="s">
        <v>30</v>
      </c>
      <c r="B10" s="78">
        <f>'[3]Shuttle America'!$GU$27</f>
        <v>0</v>
      </c>
      <c r="C10" s="78">
        <f>'[3]Shuttle America_Delta'!$GU$27</f>
        <v>0</v>
      </c>
      <c r="D10" s="311">
        <f>[3]Horizon_AS!$GU$27</f>
        <v>32</v>
      </c>
      <c r="E10" s="311">
        <f>'[3]Air Wisconsin'!$GU$27</f>
        <v>0</v>
      </c>
      <c r="F10" s="12">
        <f>'[3]Atlantic Southeast'!$GU$27+'[3]Atlantic Southeast'!$GU$37</f>
        <v>0</v>
      </c>
      <c r="G10" s="78">
        <f>'[3]Continental Express'!$GU$27</f>
        <v>0</v>
      </c>
      <c r="H10" s="83">
        <f>'[3]Go Jet_UA'!$GU$27</f>
        <v>0</v>
      </c>
      <c r="I10" s="12">
        <f>'[3]Go Jet'!$GU$27+'[3]Go Jet'!$GU$37</f>
        <v>0</v>
      </c>
      <c r="J10" s="393">
        <f>SUM(B10:I10)</f>
        <v>32</v>
      </c>
    </row>
    <row r="11" spans="1:10" x14ac:dyDescent="0.2">
      <c r="A11" s="38" t="s">
        <v>33</v>
      </c>
      <c r="B11" s="78">
        <f>'[3]Shuttle America'!$GU$28</f>
        <v>0</v>
      </c>
      <c r="C11" s="78">
        <f>'[3]Shuttle America_Delta'!$GU$28</f>
        <v>0</v>
      </c>
      <c r="D11" s="311">
        <f>[3]Horizon_AS!$GU$28</f>
        <v>24</v>
      </c>
      <c r="E11" s="311">
        <f>'[3]Air Wisconsin'!$GU$28</f>
        <v>0</v>
      </c>
      <c r="F11" s="7">
        <f>'[3]Atlantic Southeast'!$GU$28+'[3]Atlantic Southeast'!$GU$38</f>
        <v>0</v>
      </c>
      <c r="G11" s="78">
        <f>'[3]Continental Express'!$GU$28</f>
        <v>0</v>
      </c>
      <c r="H11" s="83">
        <f>'[3]Go Jet_UA'!$GU$28</f>
        <v>0</v>
      </c>
      <c r="I11" s="7">
        <f>'[3]Go Jet'!$GU$28+'[3]Go Jet'!$GU$38</f>
        <v>0</v>
      </c>
      <c r="J11" s="394">
        <f>SUM(B11:I11)</f>
        <v>24</v>
      </c>
    </row>
    <row r="12" spans="1:10" ht="15" thickBot="1" x14ac:dyDescent="0.25">
      <c r="A12" s="48" t="s">
        <v>34</v>
      </c>
      <c r="B12" s="92">
        <f>SUM(B10:B11)</f>
        <v>0</v>
      </c>
      <c r="C12" s="92">
        <f>SUM(C10:C11)</f>
        <v>0</v>
      </c>
      <c r="D12" s="92">
        <f t="shared" ref="D12:E12" si="2">SUM(D10:D11)</f>
        <v>56</v>
      </c>
      <c r="E12" s="92">
        <f t="shared" si="2"/>
        <v>0</v>
      </c>
      <c r="F12" s="92">
        <f t="shared" ref="F12:H12" si="3">SUM(F10:F11)</f>
        <v>0</v>
      </c>
      <c r="G12" s="92">
        <f t="shared" si="3"/>
        <v>0</v>
      </c>
      <c r="H12" s="92">
        <f t="shared" si="3"/>
        <v>0</v>
      </c>
      <c r="I12" s="92">
        <f t="shared" ref="I12" si="4">SUM(I10:I11)</f>
        <v>0</v>
      </c>
      <c r="J12" s="397">
        <f>SUM(B12:I12)</f>
        <v>56</v>
      </c>
    </row>
    <row r="13" spans="1:10" ht="6" customHeight="1" thickBot="1" x14ac:dyDescent="0.25"/>
    <row r="14" spans="1:10" ht="15.75" thickTop="1" x14ac:dyDescent="0.25">
      <c r="A14" s="37" t="s">
        <v>9</v>
      </c>
      <c r="B14" s="74"/>
      <c r="C14" s="74"/>
      <c r="D14" s="74"/>
      <c r="E14" s="74"/>
      <c r="F14" s="75"/>
      <c r="G14" s="75"/>
      <c r="H14" s="74"/>
      <c r="I14" s="74"/>
      <c r="J14" s="399"/>
    </row>
    <row r="15" spans="1:10" x14ac:dyDescent="0.2">
      <c r="A15" s="38" t="s">
        <v>53</v>
      </c>
      <c r="B15" s="76">
        <f>'[3]Shuttle America'!$GU$4</f>
        <v>0</v>
      </c>
      <c r="C15" s="76">
        <f>'[3]Shuttle America_Delta'!$GU$4</f>
        <v>0</v>
      </c>
      <c r="D15" s="312">
        <f>[3]Horizon_AS!$GU$4</f>
        <v>9</v>
      </c>
      <c r="E15" s="312">
        <f>'[3]Air Wisconsin'!$GU$4</f>
        <v>0</v>
      </c>
      <c r="F15" s="77">
        <f>'[3]Atlantic Southeast'!$GU$4+'[3]Atlantic Southeast'!$GU$15</f>
        <v>0</v>
      </c>
      <c r="G15" s="77">
        <f>'[3]Continental Express'!$GU$4</f>
        <v>0</v>
      </c>
      <c r="H15" s="76">
        <f>'[3]Go Jet_UA'!$GU$4</f>
        <v>0</v>
      </c>
      <c r="I15" s="12">
        <f>'[3]Go Jet'!$GU$4+'[3]Go Jet'!$GU$15</f>
        <v>0</v>
      </c>
      <c r="J15" s="393">
        <f t="shared" ref="J15:J21" si="5">SUM(B15:I15)</f>
        <v>9</v>
      </c>
    </row>
    <row r="16" spans="1:10" x14ac:dyDescent="0.2">
      <c r="A16" s="38" t="s">
        <v>54</v>
      </c>
      <c r="B16" s="79">
        <f>'[3]Shuttle America'!$GU$5</f>
        <v>0</v>
      </c>
      <c r="C16" s="79">
        <f>'[3]Shuttle America_Delta'!$GU$5</f>
        <v>0</v>
      </c>
      <c r="D16" s="313">
        <f>[3]Horizon_AS!$GU$5</f>
        <v>9</v>
      </c>
      <c r="E16" s="313">
        <f>'[3]Air Wisconsin'!$GU$5</f>
        <v>0</v>
      </c>
      <c r="F16" s="80">
        <f>'[3]Atlantic Southeast'!$GU$5+'[3]Atlantic Southeast'!$GU$16</f>
        <v>0</v>
      </c>
      <c r="G16" s="80">
        <f>'[3]Continental Express'!$GU$5</f>
        <v>0</v>
      </c>
      <c r="H16" s="79">
        <f>'[3]Go Jet_UA'!$GU$5</f>
        <v>0</v>
      </c>
      <c r="I16" s="7">
        <f>'[3]Go Jet'!$GU$5+'[3]Go Jet'!$GU$16</f>
        <v>0</v>
      </c>
      <c r="J16" s="394">
        <f t="shared" si="5"/>
        <v>9</v>
      </c>
    </row>
    <row r="17" spans="1:10" x14ac:dyDescent="0.2">
      <c r="A17" s="42" t="s">
        <v>55</v>
      </c>
      <c r="B17" s="82">
        <f>SUM(B15:B16)</f>
        <v>0</v>
      </c>
      <c r="C17" s="82">
        <f>SUM(C15:C16)</f>
        <v>0</v>
      </c>
      <c r="D17" s="82">
        <f t="shared" ref="D17:E17" si="6">SUM(D15:D16)</f>
        <v>18</v>
      </c>
      <c r="E17" s="82">
        <f t="shared" si="6"/>
        <v>0</v>
      </c>
      <c r="F17" s="82">
        <f t="shared" ref="F17:H17" si="7">SUM(F15:F16)</f>
        <v>0</v>
      </c>
      <c r="G17" s="82">
        <f t="shared" si="7"/>
        <v>0</v>
      </c>
      <c r="H17" s="82">
        <f t="shared" si="7"/>
        <v>0</v>
      </c>
      <c r="I17" s="187">
        <f>SUM(I15:I16)</f>
        <v>0</v>
      </c>
      <c r="J17" s="400">
        <f t="shared" si="5"/>
        <v>18</v>
      </c>
    </row>
    <row r="18" spans="1:10" x14ac:dyDescent="0.2">
      <c r="A18" s="38" t="s">
        <v>56</v>
      </c>
      <c r="B18" s="83">
        <f>'[3]Shuttle America'!$GU$8</f>
        <v>0</v>
      </c>
      <c r="C18" s="83">
        <f>'[3]Shuttle America_Delta'!$GU$8</f>
        <v>0</v>
      </c>
      <c r="D18" s="83">
        <f>[3]Horizon_AS!$GU$8</f>
        <v>0</v>
      </c>
      <c r="E18" s="83">
        <f>'[3]Air Wisconsin'!$GU$8</f>
        <v>0</v>
      </c>
      <c r="F18" s="78">
        <f>'[3]Atlantic Southeast'!$GU$8</f>
        <v>0</v>
      </c>
      <c r="G18" s="78">
        <f>'[3]Continental Express'!$GU$8</f>
        <v>0</v>
      </c>
      <c r="H18" s="83">
        <f>'[3]Go Jet_UA'!$GU$8</f>
        <v>0</v>
      </c>
      <c r="I18" s="12">
        <f>'[3]Go Jet'!$GU$8</f>
        <v>0</v>
      </c>
      <c r="J18" s="393">
        <f t="shared" si="5"/>
        <v>0</v>
      </c>
    </row>
    <row r="19" spans="1:10" x14ac:dyDescent="0.2">
      <c r="A19" s="38" t="s">
        <v>57</v>
      </c>
      <c r="B19" s="84">
        <f>'[3]Shuttle America'!$GU$9</f>
        <v>0</v>
      </c>
      <c r="C19" s="84">
        <f>'[3]Shuttle America_Delta'!$GU$9</f>
        <v>0</v>
      </c>
      <c r="D19" s="84">
        <f>[3]Horizon_AS!$GU$9</f>
        <v>0</v>
      </c>
      <c r="E19" s="84">
        <f>'[3]Air Wisconsin'!$GU$9</f>
        <v>0</v>
      </c>
      <c r="F19" s="81">
        <f>'[3]Atlantic Southeast'!$GU$9</f>
        <v>0</v>
      </c>
      <c r="G19" s="81">
        <f>'[3]Continental Express'!$GU$9</f>
        <v>0</v>
      </c>
      <c r="H19" s="84">
        <f>'[3]Go Jet_UA'!$GU$9</f>
        <v>0</v>
      </c>
      <c r="I19" s="7">
        <f>'[3]Go Jet'!$GU$9</f>
        <v>0</v>
      </c>
      <c r="J19" s="394">
        <f t="shared" si="5"/>
        <v>0</v>
      </c>
    </row>
    <row r="20" spans="1:10" x14ac:dyDescent="0.2">
      <c r="A20" s="42" t="s">
        <v>58</v>
      </c>
      <c r="B20" s="82">
        <f>SUM(B18:B19)</f>
        <v>0</v>
      </c>
      <c r="C20" s="82">
        <f>SUM(C18:C19)</f>
        <v>0</v>
      </c>
      <c r="D20" s="82">
        <f t="shared" ref="D20:E20" si="8">SUM(D18:D19)</f>
        <v>0</v>
      </c>
      <c r="E20" s="82">
        <f t="shared" si="8"/>
        <v>0</v>
      </c>
      <c r="F20" s="82">
        <f t="shared" ref="F20:H20" si="9">SUM(F18:F19)</f>
        <v>0</v>
      </c>
      <c r="G20" s="82">
        <f t="shared" si="9"/>
        <v>0</v>
      </c>
      <c r="H20" s="82">
        <f t="shared" si="9"/>
        <v>0</v>
      </c>
      <c r="I20" s="187">
        <f>SUM(I18:I19)</f>
        <v>0</v>
      </c>
      <c r="J20" s="400">
        <f t="shared" si="5"/>
        <v>0</v>
      </c>
    </row>
    <row r="21" spans="1:10" ht="15.75" thickBot="1" x14ac:dyDescent="0.3">
      <c r="A21" s="46" t="s">
        <v>28</v>
      </c>
      <c r="B21" s="85">
        <f>SUM(B20,B17)</f>
        <v>0</v>
      </c>
      <c r="C21" s="85">
        <f>SUM(C20,C17)</f>
        <v>0</v>
      </c>
      <c r="D21" s="85">
        <f t="shared" ref="D21:E21" si="10">SUM(D20,D17)</f>
        <v>18</v>
      </c>
      <c r="E21" s="85">
        <f t="shared" si="10"/>
        <v>0</v>
      </c>
      <c r="F21" s="85">
        <f t="shared" ref="F21:H21" si="11">SUM(F20,F17)</f>
        <v>0</v>
      </c>
      <c r="G21" s="85">
        <f t="shared" si="11"/>
        <v>0</v>
      </c>
      <c r="H21" s="85">
        <f t="shared" si="11"/>
        <v>0</v>
      </c>
      <c r="I21" s="85">
        <f t="shared" ref="I21" si="12">SUM(I20,I17)</f>
        <v>0</v>
      </c>
      <c r="J21" s="401">
        <f t="shared" si="5"/>
        <v>18</v>
      </c>
    </row>
    <row r="22" spans="1:10" ht="3.75" customHeight="1" thickBot="1" x14ac:dyDescent="0.25"/>
    <row r="23" spans="1:10" ht="15.75" thickTop="1" x14ac:dyDescent="0.25">
      <c r="A23" s="41" t="s">
        <v>115</v>
      </c>
      <c r="B23" s="93"/>
      <c r="C23" s="93"/>
      <c r="D23" s="93"/>
      <c r="E23" s="93"/>
      <c r="F23" s="94"/>
      <c r="G23" s="94"/>
      <c r="H23" s="93"/>
      <c r="I23" s="93"/>
      <c r="J23" s="402"/>
    </row>
    <row r="24" spans="1:10" x14ac:dyDescent="0.2">
      <c r="A24" s="38" t="s">
        <v>36</v>
      </c>
      <c r="B24" s="83"/>
      <c r="C24" s="83"/>
      <c r="D24" s="83"/>
      <c r="E24" s="83"/>
      <c r="F24" s="78"/>
      <c r="G24" s="78"/>
      <c r="H24" s="83"/>
      <c r="J24" s="393"/>
    </row>
    <row r="25" spans="1:10" x14ac:dyDescent="0.2">
      <c r="A25" s="38" t="s">
        <v>37</v>
      </c>
      <c r="B25" s="83">
        <f>'[3]Shuttle America'!$GU$47</f>
        <v>0</v>
      </c>
      <c r="C25" s="83">
        <f>'[3]Shuttle America_Delta'!$GU$47</f>
        <v>0</v>
      </c>
      <c r="D25" s="83">
        <f>[3]Horizon_AS!$GU$47</f>
        <v>3659</v>
      </c>
      <c r="E25" s="83">
        <f>'[3]Air Wisconsin'!$GU$47</f>
        <v>0</v>
      </c>
      <c r="F25" s="78">
        <f>'[3]Atlantic Southeast'!$GU$47</f>
        <v>0</v>
      </c>
      <c r="G25" s="78">
        <f>'[3]Continental Express'!$GU$47</f>
        <v>0</v>
      </c>
      <c r="H25" s="83">
        <f>'[3]Go Jet_UA'!$GU$47</f>
        <v>0</v>
      </c>
      <c r="I25" s="83">
        <f>'[3]Go Jet'!$GU$47</f>
        <v>0</v>
      </c>
      <c r="J25" s="393">
        <f>SUM(B25:I25)</f>
        <v>3659</v>
      </c>
    </row>
    <row r="26" spans="1:10" x14ac:dyDescent="0.2">
      <c r="A26" s="38" t="s">
        <v>38</v>
      </c>
      <c r="B26" s="83">
        <f>'[3]Shuttle America'!$GU$48</f>
        <v>0</v>
      </c>
      <c r="C26" s="83">
        <f>'[3]Shuttle America_Delta'!$GU$48</f>
        <v>0</v>
      </c>
      <c r="D26" s="83">
        <f>[3]Horizon_AS!$GU$48</f>
        <v>0</v>
      </c>
      <c r="E26" s="83">
        <f>'[3]Air Wisconsin'!$GU$48</f>
        <v>0</v>
      </c>
      <c r="F26" s="78">
        <f>'[3]Atlantic Southeast'!$GU$48</f>
        <v>0</v>
      </c>
      <c r="G26" s="78">
        <f>'[3]Continental Express'!$GU$48</f>
        <v>0</v>
      </c>
      <c r="H26" s="83">
        <f>'[3]Go Jet_UA'!$GU$48</f>
        <v>0</v>
      </c>
      <c r="I26" s="83">
        <f>'[3]Go Jet'!$GU$48</f>
        <v>0</v>
      </c>
      <c r="J26" s="393">
        <f>SUM(B26:I26)</f>
        <v>0</v>
      </c>
    </row>
    <row r="27" spans="1:10" ht="15" thickBot="1" x14ac:dyDescent="0.25">
      <c r="A27" s="47" t="s">
        <v>39</v>
      </c>
      <c r="B27" s="91">
        <f>SUM(B25:B26)</f>
        <v>0</v>
      </c>
      <c r="C27" s="91">
        <f>SUM(C25:C26)</f>
        <v>0</v>
      </c>
      <c r="D27" s="91">
        <f t="shared" ref="D27:E27" si="13">SUM(D25:D26)</f>
        <v>3659</v>
      </c>
      <c r="E27" s="91">
        <f t="shared" si="13"/>
        <v>0</v>
      </c>
      <c r="F27" s="91">
        <f t="shared" ref="F27:H27" si="14">SUM(F25:F26)</f>
        <v>0</v>
      </c>
      <c r="G27" s="91">
        <f t="shared" si="14"/>
        <v>0</v>
      </c>
      <c r="H27" s="91">
        <f t="shared" si="14"/>
        <v>0</v>
      </c>
      <c r="I27" s="91">
        <f>SUM(I25:I26)</f>
        <v>0</v>
      </c>
      <c r="J27" s="395">
        <f>SUM(B27:I27)</f>
        <v>3659</v>
      </c>
    </row>
    <row r="28" spans="1:10" ht="7.5" customHeight="1" thickTop="1" x14ac:dyDescent="0.2">
      <c r="A28" s="38"/>
      <c r="B28" s="83"/>
      <c r="C28" s="83"/>
      <c r="D28" s="83"/>
      <c r="E28" s="83"/>
      <c r="F28" s="78"/>
      <c r="G28" s="78"/>
      <c r="H28" s="83"/>
      <c r="I28" s="83"/>
      <c r="J28" s="393"/>
    </row>
    <row r="29" spans="1:10" x14ac:dyDescent="0.2">
      <c r="A29" s="38" t="s">
        <v>40</v>
      </c>
      <c r="B29" s="83"/>
      <c r="C29" s="83"/>
      <c r="D29" s="83"/>
      <c r="E29" s="83"/>
      <c r="F29" s="78"/>
      <c r="G29" s="78"/>
      <c r="H29" s="83"/>
      <c r="I29" s="83"/>
      <c r="J29" s="393"/>
    </row>
    <row r="30" spans="1:10" x14ac:dyDescent="0.2">
      <c r="A30" s="38" t="s">
        <v>59</v>
      </c>
      <c r="B30" s="83">
        <f>'[3]Shuttle America'!$GU$52</f>
        <v>0</v>
      </c>
      <c r="C30" s="83">
        <f>'[3]Shuttle America_Delta'!$GU$52</f>
        <v>0</v>
      </c>
      <c r="D30" s="83">
        <f>[3]Horizon_AS!$GU$52</f>
        <v>566</v>
      </c>
      <c r="E30" s="83">
        <f>'[3]Air Wisconsin'!$GU$52</f>
        <v>0</v>
      </c>
      <c r="F30" s="78">
        <f>'[3]Atlantic Southeast'!$GU$52</f>
        <v>0</v>
      </c>
      <c r="G30" s="78">
        <f>'[3]Continental Express'!$GU$52</f>
        <v>0</v>
      </c>
      <c r="H30" s="83">
        <f>'[3]Go Jet_UA'!$GU$52</f>
        <v>0</v>
      </c>
      <c r="I30" s="83">
        <f>'[3]Go Jet'!$GU$52</f>
        <v>0</v>
      </c>
      <c r="J30" s="393">
        <f>SUM(B30:I30)</f>
        <v>566</v>
      </c>
    </row>
    <row r="31" spans="1:10" x14ac:dyDescent="0.2">
      <c r="A31" s="38" t="s">
        <v>60</v>
      </c>
      <c r="B31" s="83">
        <f>'[3]Shuttle America'!$GU$53</f>
        <v>0</v>
      </c>
      <c r="C31" s="83">
        <f>'[3]Shuttle America_Delta'!$GU$53</f>
        <v>0</v>
      </c>
      <c r="D31" s="83">
        <f>[3]Horizon_AS!$GU$53</f>
        <v>0</v>
      </c>
      <c r="E31" s="83">
        <f>'[3]Air Wisconsin'!$GU$53</f>
        <v>0</v>
      </c>
      <c r="F31" s="78">
        <f>'[3]Atlantic Southeast'!$GU$53</f>
        <v>0</v>
      </c>
      <c r="G31" s="78">
        <f>'[3]Continental Express'!$GU$53</f>
        <v>0</v>
      </c>
      <c r="H31" s="83">
        <f>'[3]Go Jet_UA'!$GU$53</f>
        <v>0</v>
      </c>
      <c r="I31" s="83">
        <f>'[3]Go Jet'!$GU$53</f>
        <v>0</v>
      </c>
      <c r="J31" s="393">
        <f>SUM(B31:I31)</f>
        <v>0</v>
      </c>
    </row>
    <row r="32" spans="1:10" ht="15" thickBot="1" x14ac:dyDescent="0.25">
      <c r="A32" s="47" t="s">
        <v>41</v>
      </c>
      <c r="B32" s="91">
        <f t="shared" ref="B32:H32" si="15">SUM(B30:B31)</f>
        <v>0</v>
      </c>
      <c r="C32" s="91">
        <f t="shared" si="15"/>
        <v>0</v>
      </c>
      <c r="D32" s="91">
        <f t="shared" ref="D32" si="16">SUM(D30:D31)</f>
        <v>566</v>
      </c>
      <c r="E32" s="91">
        <f t="shared" si="15"/>
        <v>0</v>
      </c>
      <c r="F32" s="91">
        <f t="shared" si="15"/>
        <v>0</v>
      </c>
      <c r="G32" s="91">
        <f t="shared" si="15"/>
        <v>0</v>
      </c>
      <c r="H32" s="91">
        <f t="shared" si="15"/>
        <v>0</v>
      </c>
      <c r="I32" s="91">
        <f t="shared" ref="I32" si="17">SUM(I30:I31)</f>
        <v>0</v>
      </c>
      <c r="J32" s="395">
        <f>SUM(B32:I32)</f>
        <v>566</v>
      </c>
    </row>
    <row r="33" spans="1:10" ht="13.5" hidden="1" thickTop="1" x14ac:dyDescent="0.2">
      <c r="A33" s="38"/>
      <c r="B33" s="83"/>
      <c r="C33" s="83"/>
      <c r="D33" s="83"/>
      <c r="E33" s="83"/>
      <c r="F33" s="78"/>
      <c r="G33" s="78"/>
      <c r="H33" s="83"/>
      <c r="I33" s="83"/>
      <c r="J33" s="393"/>
    </row>
    <row r="34" spans="1:10" ht="13.5" hidden="1" thickTop="1" x14ac:dyDescent="0.2">
      <c r="A34" s="38" t="s">
        <v>42</v>
      </c>
      <c r="B34" s="83"/>
      <c r="C34" s="83"/>
      <c r="D34" s="83"/>
      <c r="E34" s="83"/>
      <c r="F34" s="78"/>
      <c r="G34" s="78"/>
      <c r="H34" s="83"/>
      <c r="I34" s="83"/>
      <c r="J34" s="393"/>
    </row>
    <row r="35" spans="1:10" ht="13.5" hidden="1" thickTop="1" x14ac:dyDescent="0.2">
      <c r="A35" s="38" t="s">
        <v>37</v>
      </c>
      <c r="B35" s="83">
        <f>'[3]Shuttle America'!$GU$57</f>
        <v>0</v>
      </c>
      <c r="C35" s="83">
        <f>'[3]Shuttle America_Delta'!$GU$57</f>
        <v>0</v>
      </c>
      <c r="D35" s="83">
        <f>[3]Horizon_AS!$GU$57</f>
        <v>0</v>
      </c>
      <c r="E35" s="83">
        <f>'[3]Air Wisconsin'!$GU$57</f>
        <v>0</v>
      </c>
      <c r="F35" s="78">
        <f>'[3]Atlantic Southeast'!$GU$57</f>
        <v>0</v>
      </c>
      <c r="G35" s="78">
        <f>'[3]Continental Express'!$GU$57</f>
        <v>0</v>
      </c>
      <c r="H35" s="83">
        <f>'[3]Go Jet_UA'!$AJ$57</f>
        <v>0</v>
      </c>
      <c r="I35" s="83">
        <f>'[3]Go Jet'!$GU$57</f>
        <v>0</v>
      </c>
      <c r="J35" s="393">
        <f>SUM(B35:I35)</f>
        <v>0</v>
      </c>
    </row>
    <row r="36" spans="1:10" ht="13.5" hidden="1" thickTop="1" x14ac:dyDescent="0.2">
      <c r="A36" s="38" t="s">
        <v>38</v>
      </c>
      <c r="B36" s="83">
        <f>'[3]Shuttle America'!BG$58</f>
        <v>0</v>
      </c>
      <c r="C36" s="83">
        <f>'[3]Shuttle America_Delta'!BH$58</f>
        <v>0</v>
      </c>
      <c r="D36" s="83">
        <f>[3]Horizon_AS!BF$58</f>
        <v>0</v>
      </c>
      <c r="E36" s="83">
        <f>'[3]Air Wisconsin'!BG$58</f>
        <v>0</v>
      </c>
      <c r="F36" s="78">
        <f>'[3]Atlantic Southeast'!BG$58</f>
        <v>0</v>
      </c>
      <c r="G36" s="78">
        <f>'[3]Continental Express'!BG$58</f>
        <v>0</v>
      </c>
      <c r="H36" s="83">
        <f>'[3]Go Jet_UA'!$AJ$58</f>
        <v>0</v>
      </c>
      <c r="I36" s="83">
        <f>'[3]Go Jet'!BK$58</f>
        <v>0</v>
      </c>
      <c r="J36" s="393">
        <f>SUM(B36:I36)</f>
        <v>0</v>
      </c>
    </row>
    <row r="37" spans="1:10" ht="13.5" hidden="1" thickTop="1" x14ac:dyDescent="0.2">
      <c r="A37" s="49" t="s">
        <v>43</v>
      </c>
      <c r="B37" s="95">
        <f>SUM(B35:B36)</f>
        <v>0</v>
      </c>
      <c r="C37" s="95">
        <f>SUM(C35:C36)</f>
        <v>0</v>
      </c>
      <c r="D37" s="95">
        <f t="shared" ref="D37:E37" si="18">SUM(D35:D36)</f>
        <v>0</v>
      </c>
      <c r="E37" s="95">
        <f t="shared" si="18"/>
        <v>0</v>
      </c>
      <c r="F37" s="96">
        <f t="shared" ref="F37:H37" si="19">SUM(F35:F36)</f>
        <v>0</v>
      </c>
      <c r="G37" s="96">
        <f t="shared" si="19"/>
        <v>0</v>
      </c>
      <c r="H37" s="95">
        <f t="shared" si="19"/>
        <v>0</v>
      </c>
      <c r="I37" s="95">
        <f>SUM(I35:I36)</f>
        <v>0</v>
      </c>
      <c r="J37" s="403">
        <f>SUM(B37:I37)</f>
        <v>0</v>
      </c>
    </row>
    <row r="38" spans="1:10" ht="6.75" customHeight="1" thickTop="1" x14ac:dyDescent="0.2">
      <c r="A38" s="38"/>
      <c r="B38" s="83"/>
      <c r="C38" s="83"/>
      <c r="D38" s="83"/>
      <c r="E38" s="83"/>
      <c r="F38" s="78"/>
      <c r="G38" s="78"/>
      <c r="H38" s="83"/>
      <c r="I38" s="83"/>
      <c r="J38" s="393"/>
    </row>
    <row r="39" spans="1:10" x14ac:dyDescent="0.2">
      <c r="A39" s="38" t="s">
        <v>44</v>
      </c>
      <c r="B39" s="83"/>
      <c r="C39" s="83"/>
      <c r="D39" s="83"/>
      <c r="E39" s="83"/>
      <c r="F39" s="78"/>
      <c r="G39" s="78"/>
      <c r="H39" s="83"/>
      <c r="I39" s="83"/>
      <c r="J39" s="393"/>
    </row>
    <row r="40" spans="1:10" x14ac:dyDescent="0.2">
      <c r="A40" s="38" t="s">
        <v>45</v>
      </c>
      <c r="B40" s="83">
        <f t="shared" ref="B40:G40" si="20">SUM(B35,B30,B25)</f>
        <v>0</v>
      </c>
      <c r="C40" s="83">
        <f>SUM(C35,C30,C25)</f>
        <v>0</v>
      </c>
      <c r="D40" s="83">
        <f t="shared" ref="D40:E41" si="21">SUM(D35,D30,D25)</f>
        <v>4225</v>
      </c>
      <c r="E40" s="83">
        <f t="shared" si="21"/>
        <v>0</v>
      </c>
      <c r="F40" s="83">
        <f t="shared" si="20"/>
        <v>0</v>
      </c>
      <c r="G40" s="83">
        <f t="shared" si="20"/>
        <v>0</v>
      </c>
      <c r="H40" s="83">
        <f>SUM(H35,H30,H25)</f>
        <v>0</v>
      </c>
      <c r="I40" s="83">
        <f t="shared" ref="I40" si="22">SUM(I35,I30,I25)</f>
        <v>0</v>
      </c>
      <c r="J40" s="393">
        <f>SUM(B40:I40)</f>
        <v>4225</v>
      </c>
    </row>
    <row r="41" spans="1:10" x14ac:dyDescent="0.2">
      <c r="A41" s="38" t="s">
        <v>38</v>
      </c>
      <c r="B41" s="83">
        <f>SUM(B36,B31,B26)</f>
        <v>0</v>
      </c>
      <c r="C41" s="83">
        <f>SUM(C36,C31,C26)</f>
        <v>0</v>
      </c>
      <c r="D41" s="83">
        <f t="shared" si="21"/>
        <v>0</v>
      </c>
      <c r="E41" s="83">
        <f t="shared" si="21"/>
        <v>0</v>
      </c>
      <c r="F41" s="83">
        <f t="shared" ref="F41:G41" si="23">SUM(F36,F31,F26)</f>
        <v>0</v>
      </c>
      <c r="G41" s="83">
        <f t="shared" si="23"/>
        <v>0</v>
      </c>
      <c r="H41" s="83">
        <f>SUM(H36,H31,H26)</f>
        <v>0</v>
      </c>
      <c r="I41" s="83">
        <f t="shared" ref="I41" si="24">SUM(I36,I31,I26)</f>
        <v>0</v>
      </c>
      <c r="J41" s="393">
        <f>SUM(B41:I41)</f>
        <v>0</v>
      </c>
    </row>
    <row r="42" spans="1:10" ht="15" thickBot="1" x14ac:dyDescent="0.25">
      <c r="A42" s="48" t="s">
        <v>46</v>
      </c>
      <c r="B42" s="92">
        <f>SUM(B40:B41)</f>
        <v>0</v>
      </c>
      <c r="C42" s="92">
        <f>SUM(C40:C41)</f>
        <v>0</v>
      </c>
      <c r="D42" s="92">
        <f t="shared" ref="D42:E42" si="25">SUM(D40:D41)</f>
        <v>4225</v>
      </c>
      <c r="E42" s="92">
        <f t="shared" si="25"/>
        <v>0</v>
      </c>
      <c r="F42" s="92">
        <f t="shared" ref="F42:H42" si="26">SUM(F40:F41)</f>
        <v>0</v>
      </c>
      <c r="G42" s="92">
        <f t="shared" si="26"/>
        <v>0</v>
      </c>
      <c r="H42" s="92">
        <f t="shared" si="26"/>
        <v>0</v>
      </c>
      <c r="I42" s="92">
        <f t="shared" ref="I42" si="27">SUM(I40:I41)</f>
        <v>0</v>
      </c>
      <c r="J42" s="397">
        <f>SUM(B42:I42)</f>
        <v>4225</v>
      </c>
    </row>
    <row r="43" spans="1:10" ht="4.5" customHeight="1" x14ac:dyDescent="0.2"/>
    <row r="44" spans="1:10" hidden="1" x14ac:dyDescent="0.2">
      <c r="A44" s="216" t="s">
        <v>125</v>
      </c>
      <c r="F44" s="202"/>
      <c r="I44" s="215">
        <f>'[3]Go Jet'!BK$70+'[3]Go Jet'!BK$73</f>
        <v>0</v>
      </c>
      <c r="J44" s="204" t="e">
        <f>SUM(#REF!)</f>
        <v>#REF!</v>
      </c>
    </row>
    <row r="45" spans="1:10" hidden="1" x14ac:dyDescent="0.2">
      <c r="A45" s="216" t="s">
        <v>126</v>
      </c>
      <c r="F45" s="219"/>
      <c r="I45" s="215">
        <f>'[3]Go Jet'!BK$71+'[3]Go Jet'!BK$74</f>
        <v>0</v>
      </c>
      <c r="J45" s="204" t="e">
        <f>SUM(#REF!)</f>
        <v>#REF!</v>
      </c>
    </row>
    <row r="46" spans="1:10" x14ac:dyDescent="0.2">
      <c r="A46" s="254" t="s">
        <v>122</v>
      </c>
      <c r="C46" s="215">
        <f>'[3]Shuttle America_Delta'!$GU$70+'[3]Shuttle America_Delta'!$GU$73</f>
        <v>0</v>
      </c>
      <c r="D46" s="2"/>
      <c r="F46" s="215">
        <f>'[3]Atlantic Southeast'!$GU$70+'[3]Atlantic Southeast'!$GU$73</f>
        <v>0</v>
      </c>
      <c r="I46" s="215">
        <f>'[3]Go Jet'!$GU$70+'[3]Go Jet'!$GU$73</f>
        <v>0</v>
      </c>
      <c r="J46" s="265">
        <f>SUM(B46:I46)</f>
        <v>0</v>
      </c>
    </row>
    <row r="47" spans="1:10" x14ac:dyDescent="0.2">
      <c r="A47" s="266" t="s">
        <v>123</v>
      </c>
      <c r="C47" s="215">
        <f>'[3]Shuttle America_Delta'!$GU$71+'[3]Shuttle America_Delta'!$GU$74</f>
        <v>0</v>
      </c>
      <c r="D47" s="2"/>
      <c r="F47" s="215">
        <f>'[3]Atlantic Southeast'!$GU$71+'[3]Atlantic Southeast'!$GU$74</f>
        <v>0</v>
      </c>
      <c r="I47" s="215">
        <f>'[3]Go Jet'!$GU$71+'[3]Go Jet'!$GU$74</f>
        <v>0</v>
      </c>
      <c r="J47" s="265">
        <f>SUM(B47:I47)</f>
        <v>0</v>
      </c>
    </row>
  </sheetData>
  <phoneticPr fontId="6" type="noConversion"/>
  <printOptions horizontalCentered="1"/>
  <pageMargins left="0.25" right="0.25" top="0.75" bottom="0.75" header="0.3" footer="0.3"/>
  <pageSetup scale="95" orientation="landscape" r:id="rId1"/>
  <headerFooter alignWithMargins="0">
    <oddHeader>&amp;L
Schedule 5
&amp;CMinneapolis-St. Paul International Airport
&amp;"Arial,Bold"Other Regional
June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E26" sqref="E2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257">
        <v>43983</v>
      </c>
      <c r="B2" s="357" t="s">
        <v>117</v>
      </c>
      <c r="C2" s="357" t="s">
        <v>153</v>
      </c>
      <c r="D2" s="358" t="s">
        <v>78</v>
      </c>
      <c r="E2" s="358" t="s">
        <v>154</v>
      </c>
      <c r="F2" s="357" t="s">
        <v>131</v>
      </c>
      <c r="G2" s="303" t="s">
        <v>79</v>
      </c>
    </row>
    <row r="3" spans="1:17" x14ac:dyDescent="0.2">
      <c r="A3" s="184" t="s">
        <v>3</v>
      </c>
      <c r="B3" s="121"/>
      <c r="C3" s="120"/>
      <c r="D3" s="120"/>
      <c r="E3" s="120"/>
      <c r="F3" s="120"/>
      <c r="G3" s="404"/>
    </row>
    <row r="4" spans="1:17" x14ac:dyDescent="0.2">
      <c r="A4" s="38" t="s">
        <v>29</v>
      </c>
      <c r="B4" s="290"/>
      <c r="C4" s="119"/>
      <c r="D4" s="119"/>
      <c r="E4" s="119"/>
      <c r="F4" s="119"/>
      <c r="G4" s="405"/>
    </row>
    <row r="5" spans="1:17" x14ac:dyDescent="0.2">
      <c r="A5" s="38" t="s">
        <v>30</v>
      </c>
      <c r="B5" s="290">
        <f>'[3]Charter Misc'!$GU$22</f>
        <v>0</v>
      </c>
      <c r="C5" s="119">
        <f>[3]Ryan!$GU$22</f>
        <v>0</v>
      </c>
      <c r="D5" s="119">
        <f>'[3]Charter Misc'!$GU$32</f>
        <v>0</v>
      </c>
      <c r="E5" s="119">
        <f>[3]Omni!$GU$32</f>
        <v>0</v>
      </c>
      <c r="F5" s="119">
        <f>[3]Xtra!$GU$32+[3]Xtra!$GU$22</f>
        <v>0</v>
      </c>
      <c r="G5" s="406">
        <f>SUM(B5:F5)</f>
        <v>0</v>
      </c>
    </row>
    <row r="6" spans="1:17" x14ac:dyDescent="0.2">
      <c r="A6" s="38" t="s">
        <v>31</v>
      </c>
      <c r="B6" s="291">
        <f>'[3]Charter Misc'!$GU$23</f>
        <v>0</v>
      </c>
      <c r="C6" s="122">
        <f>[3]Ryan!$GU$23</f>
        <v>0</v>
      </c>
      <c r="D6" s="122">
        <f>'[3]Charter Misc'!$GU$33</f>
        <v>0</v>
      </c>
      <c r="E6" s="122">
        <f>[3]Omni!$GU$33+[3]Omni!$GU$23</f>
        <v>0</v>
      </c>
      <c r="F6" s="122">
        <f>[3]Xtra!$GU$33+[3]Xtra!$GU$23</f>
        <v>0</v>
      </c>
      <c r="G6" s="407">
        <f>SUM(B6:F6)</f>
        <v>0</v>
      </c>
    </row>
    <row r="7" spans="1:17" ht="15.75" thickBot="1" x14ac:dyDescent="0.3">
      <c r="A7" s="118" t="s">
        <v>7</v>
      </c>
      <c r="B7" s="292">
        <f>SUM(B5:B6)</f>
        <v>0</v>
      </c>
      <c r="C7" s="194">
        <f>SUM(C5:C6)</f>
        <v>0</v>
      </c>
      <c r="D7" s="194">
        <f>SUM(D5:D6)</f>
        <v>0</v>
      </c>
      <c r="E7" s="194">
        <f>SUM(E5:E6)</f>
        <v>0</v>
      </c>
      <c r="F7" s="194">
        <f>SUM(F5:F6)</f>
        <v>0</v>
      </c>
      <c r="G7" s="408">
        <f>SUM(B7:F7)</f>
        <v>0</v>
      </c>
    </row>
    <row r="8" spans="1:17" ht="13.5" thickBot="1" x14ac:dyDescent="0.25">
      <c r="G8" s="38"/>
    </row>
    <row r="9" spans="1:17" x14ac:dyDescent="0.2">
      <c r="A9" s="116" t="s">
        <v>9</v>
      </c>
      <c r="B9" s="293"/>
      <c r="C9" s="23"/>
      <c r="D9" s="23"/>
      <c r="E9" s="23"/>
      <c r="F9" s="23"/>
      <c r="G9" s="409"/>
    </row>
    <row r="10" spans="1:17" x14ac:dyDescent="0.2">
      <c r="A10" s="117" t="s">
        <v>80</v>
      </c>
      <c r="B10" s="290">
        <f>'[3]Charter Misc'!$GU$4</f>
        <v>0</v>
      </c>
      <c r="C10" s="119">
        <f>[3]Ryan!$GU$4</f>
        <v>0</v>
      </c>
      <c r="D10" s="119">
        <f>'[3]Charter Misc'!$GU$15</f>
        <v>0</v>
      </c>
      <c r="E10" s="119">
        <f>[3]Omni!$GU$15+[3]Omni!$GU$4+[3]Omni!$GU$8</f>
        <v>0</v>
      </c>
      <c r="F10" s="119">
        <f>[3]Xtra!$GU$15+[3]Xtra!$GU$4+[3]Omni!$GU$8</f>
        <v>0</v>
      </c>
      <c r="G10" s="407">
        <f>SUM(B10:F10)</f>
        <v>0</v>
      </c>
    </row>
    <row r="11" spans="1:17" x14ac:dyDescent="0.2">
      <c r="A11" s="117" t="s">
        <v>81</v>
      </c>
      <c r="B11" s="290">
        <f>'[3]Charter Misc'!$GU$5</f>
        <v>0</v>
      </c>
      <c r="C11" s="119">
        <f>[3]Ryan!$GU$5</f>
        <v>0</v>
      </c>
      <c r="D11" s="119">
        <f>'[3]Charter Misc'!$GU$16</f>
        <v>0</v>
      </c>
      <c r="E11" s="119">
        <f>[3]Omni!$GU$16+[3]Omni!$GU$5+[3]Omni!$GU$9</f>
        <v>0</v>
      </c>
      <c r="F11" s="119">
        <f>[3]Xtra!$GU$16+[3]Xtra!$GU$5+[3]Omni!$GU$9</f>
        <v>0</v>
      </c>
      <c r="G11" s="407">
        <f>SUM(B11:F11)</f>
        <v>0</v>
      </c>
    </row>
    <row r="12" spans="1:17" ht="15.75" thickBot="1" x14ac:dyDescent="0.3">
      <c r="A12" s="183" t="s">
        <v>28</v>
      </c>
      <c r="B12" s="294">
        <f>SUM(B10:B11)</f>
        <v>0</v>
      </c>
      <c r="C12" s="195">
        <f>SUM(C10:C11)</f>
        <v>0</v>
      </c>
      <c r="D12" s="195">
        <f>SUM(D10:D11)</f>
        <v>0</v>
      </c>
      <c r="E12" s="195">
        <f>SUM(E10:E11)</f>
        <v>0</v>
      </c>
      <c r="F12" s="195">
        <f>SUM(F10:F11)</f>
        <v>0</v>
      </c>
      <c r="G12" s="410">
        <f>SUM(B12:F12)</f>
        <v>0</v>
      </c>
      <c r="Q12" s="83"/>
    </row>
    <row r="17" spans="1:16" x14ac:dyDescent="0.2">
      <c r="B17" s="461" t="s">
        <v>151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6" ht="13.5" thickBot="1" x14ac:dyDescent="0.25">
      <c r="A18" s="210"/>
      <c r="E18" s="140"/>
      <c r="G18" s="140"/>
      <c r="H18" s="140"/>
      <c r="L18" s="144"/>
      <c r="N18" s="4"/>
    </row>
    <row r="19" spans="1:16" ht="13.5" customHeight="1" thickBot="1" x14ac:dyDescent="0.25">
      <c r="A19" s="280"/>
      <c r="B19" s="464" t="s">
        <v>119</v>
      </c>
      <c r="C19" s="465"/>
      <c r="D19" s="465"/>
      <c r="E19" s="466"/>
      <c r="G19" s="464" t="s">
        <v>120</v>
      </c>
      <c r="H19" s="467"/>
      <c r="I19" s="467"/>
      <c r="J19" s="468"/>
      <c r="L19" s="469" t="s">
        <v>121</v>
      </c>
      <c r="M19" s="470"/>
      <c r="N19" s="470"/>
      <c r="O19" s="471"/>
    </row>
    <row r="20" spans="1:16" ht="13.5" thickBot="1" x14ac:dyDescent="0.25">
      <c r="A20" s="147" t="s">
        <v>100</v>
      </c>
      <c r="B20" s="418" t="s">
        <v>101</v>
      </c>
      <c r="C20" s="426" t="s">
        <v>102</v>
      </c>
      <c r="D20" s="5" t="s">
        <v>215</v>
      </c>
      <c r="E20" s="5" t="s">
        <v>202</v>
      </c>
      <c r="F20" s="153" t="s">
        <v>97</v>
      </c>
      <c r="G20" s="5" t="s">
        <v>101</v>
      </c>
      <c r="H20" s="5" t="s">
        <v>102</v>
      </c>
      <c r="I20" s="5" t="s">
        <v>215</v>
      </c>
      <c r="J20" s="5" t="s">
        <v>202</v>
      </c>
      <c r="K20" s="153" t="s">
        <v>97</v>
      </c>
      <c r="L20" s="152" t="s">
        <v>101</v>
      </c>
      <c r="M20" s="146" t="s">
        <v>102</v>
      </c>
      <c r="N20" s="5" t="s">
        <v>215</v>
      </c>
      <c r="O20" s="5" t="s">
        <v>202</v>
      </c>
      <c r="P20" s="153" t="s">
        <v>97</v>
      </c>
    </row>
    <row r="21" spans="1:16" ht="14.1" customHeight="1" x14ac:dyDescent="0.2">
      <c r="A21" s="156" t="s">
        <v>103</v>
      </c>
      <c r="B21" s="419">
        <f>+[4]Charter!$B$21</f>
        <v>154018</v>
      </c>
      <c r="C21" s="420">
        <f>+[4]Charter!$C$21</f>
        <v>145053</v>
      </c>
      <c r="D21" s="355">
        <f t="shared" ref="D21:D32" si="0">SUM(B21:C21)</f>
        <v>299071</v>
      </c>
      <c r="E21" s="356">
        <f>[5]Charter!$D$21</f>
        <v>266711</v>
      </c>
      <c r="F21" s="228">
        <f t="shared" ref="F21:F32" si="1">(D21-E21)/E21</f>
        <v>0.12132982891594273</v>
      </c>
      <c r="G21" s="224">
        <f t="shared" ref="G21:H23" si="2">L21-B21</f>
        <v>1288852</v>
      </c>
      <c r="H21" s="225">
        <f t="shared" si="2"/>
        <v>1327520</v>
      </c>
      <c r="I21" s="225">
        <f t="shared" ref="I21:I26" si="3">SUM(G21:H21)</f>
        <v>2616372</v>
      </c>
      <c r="J21" s="226">
        <f>[5]Charter!$I$21</f>
        <v>2470130</v>
      </c>
      <c r="K21" s="157">
        <f t="shared" ref="K21:K32" si="4">(I21-J21)/J21</f>
        <v>5.9204171440369532E-2</v>
      </c>
      <c r="L21" s="224">
        <f>+[4]Charter!$L$21</f>
        <v>1442870</v>
      </c>
      <c r="M21" s="225">
        <f>+[4]Charter!$M$21</f>
        <v>1472573</v>
      </c>
      <c r="N21" s="225">
        <f t="shared" ref="N21:N32" si="5">SUM(L21:M21)</f>
        <v>2915443</v>
      </c>
      <c r="O21" s="226">
        <f>[5]Charter!$N$21</f>
        <v>2736841</v>
      </c>
      <c r="P21" s="157">
        <f>(N21-O21)/O21</f>
        <v>6.5258449431296883E-2</v>
      </c>
    </row>
    <row r="22" spans="1:16" ht="14.1" customHeight="1" x14ac:dyDescent="0.2">
      <c r="A22" s="158" t="s">
        <v>104</v>
      </c>
      <c r="B22" s="421">
        <f>+[6]Charter!$B$22</f>
        <v>152114</v>
      </c>
      <c r="C22" s="422">
        <f>+[6]Charter!$C$22</f>
        <v>153672</v>
      </c>
      <c r="D22" s="423">
        <f t="shared" ref="D22" si="6">SUM(B22:C22)</f>
        <v>305786</v>
      </c>
      <c r="E22" s="352">
        <f>[7]Charter!$D22</f>
        <v>274882</v>
      </c>
      <c r="F22" s="223">
        <f t="shared" si="1"/>
        <v>0.11242642297422166</v>
      </c>
      <c r="G22" s="353">
        <f t="shared" si="2"/>
        <v>1270024</v>
      </c>
      <c r="H22" s="354">
        <f t="shared" si="2"/>
        <v>1284803</v>
      </c>
      <c r="I22" s="354">
        <f t="shared" si="3"/>
        <v>2554827</v>
      </c>
      <c r="J22" s="227">
        <f>[7]Charter!$I22</f>
        <v>2350129</v>
      </c>
      <c r="K22" s="160">
        <f t="shared" si="4"/>
        <v>8.7100750639645744E-2</v>
      </c>
      <c r="L22" s="353">
        <f>+[6]Charter!$L$22</f>
        <v>1422138</v>
      </c>
      <c r="M22" s="354">
        <f>+[6]Charter!$M$22</f>
        <v>1438475</v>
      </c>
      <c r="N22" s="354">
        <f t="shared" ref="N22" si="7">SUM(L22:M22)</f>
        <v>2860613</v>
      </c>
      <c r="O22" s="227">
        <f>[7]Charter!$N22</f>
        <v>2625011</v>
      </c>
      <c r="P22" s="159">
        <f t="shared" ref="P22:P32" si="8">(N22-O22)/O22</f>
        <v>8.9752766750310756E-2</v>
      </c>
    </row>
    <row r="23" spans="1:16" ht="14.1" customHeight="1" x14ac:dyDescent="0.2">
      <c r="A23" s="158" t="s">
        <v>105</v>
      </c>
      <c r="B23" s="421">
        <f>+[8]Charter!$B$23</f>
        <v>102884</v>
      </c>
      <c r="C23" s="422">
        <f>+[8]Charter!$C$23</f>
        <v>82442</v>
      </c>
      <c r="D23" s="423">
        <f t="shared" ref="D23" si="9">SUM(B23:C23)</f>
        <v>185326</v>
      </c>
      <c r="E23" s="352">
        <f>[9]Charter!$D23</f>
        <v>366937</v>
      </c>
      <c r="F23" s="159">
        <f t="shared" si="1"/>
        <v>-0.49493782311404955</v>
      </c>
      <c r="G23" s="353">
        <f t="shared" si="2"/>
        <v>853906</v>
      </c>
      <c r="H23" s="354">
        <f t="shared" si="2"/>
        <v>748879</v>
      </c>
      <c r="I23" s="354">
        <f t="shared" si="3"/>
        <v>1602785</v>
      </c>
      <c r="J23" s="227">
        <f>[9]Charter!$I23</f>
        <v>3170467</v>
      </c>
      <c r="K23" s="160">
        <f t="shared" si="4"/>
        <v>-0.49446406475765242</v>
      </c>
      <c r="L23" s="353">
        <f>+[8]Charter!$L$23</f>
        <v>956790</v>
      </c>
      <c r="M23" s="354">
        <f>+[8]Charter!$M$23</f>
        <v>831321</v>
      </c>
      <c r="N23" s="354">
        <f t="shared" ref="N23" si="10">SUM(L23:M23)</f>
        <v>1788111</v>
      </c>
      <c r="O23" s="227">
        <f>[9]Charter!$N23</f>
        <v>3537404</v>
      </c>
      <c r="P23" s="159">
        <f t="shared" si="8"/>
        <v>-0.49451320799094478</v>
      </c>
    </row>
    <row r="24" spans="1:16" ht="14.1" customHeight="1" x14ac:dyDescent="0.2">
      <c r="A24" s="158" t="s">
        <v>106</v>
      </c>
      <c r="B24" s="421">
        <f>+[10]Charter!$B$24</f>
        <v>347</v>
      </c>
      <c r="C24" s="422">
        <f>+[10]Charter!$C$24</f>
        <v>541</v>
      </c>
      <c r="D24" s="423">
        <f t="shared" ref="D24" si="11">SUM(B24:C24)</f>
        <v>888</v>
      </c>
      <c r="E24" s="352">
        <f>[11]Charter!$D24</f>
        <v>249952</v>
      </c>
      <c r="F24" s="159">
        <f t="shared" si="1"/>
        <v>-0.99644731788503393</v>
      </c>
      <c r="G24" s="353">
        <f t="shared" ref="G24" si="12">L24-B24</f>
        <v>80644</v>
      </c>
      <c r="H24" s="354">
        <f t="shared" ref="H24" si="13">M24-C24</f>
        <v>69951</v>
      </c>
      <c r="I24" s="354">
        <f t="shared" si="3"/>
        <v>150595</v>
      </c>
      <c r="J24" s="227">
        <f>[11]Charter!$I24</f>
        <v>2886078</v>
      </c>
      <c r="K24" s="160">
        <f t="shared" si="4"/>
        <v>-0.94782019058389966</v>
      </c>
      <c r="L24" s="353">
        <f>+[10]Charter!$L$24</f>
        <v>80991</v>
      </c>
      <c r="M24" s="354">
        <f>+[10]Charter!$M$24</f>
        <v>70492</v>
      </c>
      <c r="N24" s="354">
        <f t="shared" ref="N24" si="14">SUM(L24:M24)</f>
        <v>151483</v>
      </c>
      <c r="O24" s="227">
        <f>[11]Charter!$N24</f>
        <v>3136030</v>
      </c>
      <c r="P24" s="159">
        <f t="shared" si="8"/>
        <v>-0.95169593403124331</v>
      </c>
    </row>
    <row r="25" spans="1:16" ht="14.1" customHeight="1" x14ac:dyDescent="0.2">
      <c r="A25" s="145" t="s">
        <v>76</v>
      </c>
      <c r="B25" s="421">
        <f>+[2]Charter!$B$25</f>
        <v>965</v>
      </c>
      <c r="C25" s="422">
        <f>+[2]Charter!$C$25</f>
        <v>487</v>
      </c>
      <c r="D25" s="423">
        <f t="shared" ref="D25" si="15">SUM(B25:C25)</f>
        <v>1452</v>
      </c>
      <c r="E25" s="352">
        <f>[12]Charter!$D25</f>
        <v>253273</v>
      </c>
      <c r="F25" s="148">
        <f t="shared" si="1"/>
        <v>-0.99426705570668805</v>
      </c>
      <c r="G25" s="353">
        <f t="shared" ref="G25" si="16">L25-B25</f>
        <v>144345</v>
      </c>
      <c r="H25" s="354">
        <f t="shared" ref="H25" si="17">M25-C25</f>
        <v>138273</v>
      </c>
      <c r="I25" s="354">
        <f t="shared" si="3"/>
        <v>282618</v>
      </c>
      <c r="J25" s="227">
        <f>[12]Charter!$I25</f>
        <v>3087539</v>
      </c>
      <c r="K25" s="154">
        <f t="shared" si="4"/>
        <v>-0.90846496190007642</v>
      </c>
      <c r="L25" s="353">
        <f>+[2]Charter!$L$25</f>
        <v>145310</v>
      </c>
      <c r="M25" s="354">
        <f>+[2]Charter!$M$25</f>
        <v>138760</v>
      </c>
      <c r="N25" s="354">
        <f t="shared" ref="N25" si="18">SUM(L25:M25)</f>
        <v>284070</v>
      </c>
      <c r="O25" s="227">
        <f>[12]Charter!$N25</f>
        <v>3340812</v>
      </c>
      <c r="P25" s="148">
        <f t="shared" si="8"/>
        <v>-0.91496977381546762</v>
      </c>
    </row>
    <row r="26" spans="1:16" ht="14.1" customHeight="1" x14ac:dyDescent="0.2">
      <c r="A26" s="158" t="s">
        <v>107</v>
      </c>
      <c r="B26" s="424">
        <f>'Intl Detail'!$P$4+'Intl Detail'!$P$9</f>
        <v>1529</v>
      </c>
      <c r="C26" s="425">
        <f>'Intl Detail'!$P$5+'Intl Detail'!$P$10</f>
        <v>780</v>
      </c>
      <c r="D26" s="221">
        <f t="shared" ref="D26" si="19">SUM(B26:C26)</f>
        <v>2309</v>
      </c>
      <c r="E26" s="352">
        <f>[1]Charter!$D26</f>
        <v>288101</v>
      </c>
      <c r="F26" s="159">
        <f t="shared" si="1"/>
        <v>-0.99198544954720735</v>
      </c>
      <c r="G26" s="353">
        <f t="shared" ref="G26" si="20">L26-B26</f>
        <v>257876</v>
      </c>
      <c r="H26" s="354">
        <f t="shared" ref="H26" si="21">M26-C26</f>
        <v>253532</v>
      </c>
      <c r="I26" s="354">
        <f t="shared" si="3"/>
        <v>511408</v>
      </c>
      <c r="J26" s="227">
        <f>[1]Charter!$I26</f>
        <v>3379244</v>
      </c>
      <c r="K26" s="160">
        <f t="shared" si="4"/>
        <v>-0.84866200842555317</v>
      </c>
      <c r="L26" s="353">
        <f>'Monthly Summary'!$B$11</f>
        <v>259405</v>
      </c>
      <c r="M26" s="354">
        <f>'Monthly Summary'!$C$11</f>
        <v>254312</v>
      </c>
      <c r="N26" s="354">
        <f t="shared" ref="N26" si="22">SUM(L26:M26)</f>
        <v>513717</v>
      </c>
      <c r="O26" s="227">
        <f>[1]Charter!$N26</f>
        <v>3667345</v>
      </c>
      <c r="P26" s="159">
        <f t="shared" si="8"/>
        <v>-0.85992127819989661</v>
      </c>
    </row>
    <row r="27" spans="1:16" ht="14.1" customHeight="1" x14ac:dyDescent="0.2">
      <c r="A27" s="145" t="s">
        <v>108</v>
      </c>
      <c r="B27" s="220"/>
      <c r="C27" s="222"/>
      <c r="D27" s="221">
        <f t="shared" si="0"/>
        <v>0</v>
      </c>
      <c r="E27" s="227"/>
      <c r="F27" s="148" t="e">
        <f t="shared" si="1"/>
        <v>#DIV/0!</v>
      </c>
      <c r="G27" s="220"/>
      <c r="H27" s="222"/>
      <c r="I27" s="221">
        <f t="shared" ref="I27:I32" si="23">SUM(G27:H27)</f>
        <v>0</v>
      </c>
      <c r="J27" s="227"/>
      <c r="K27" s="154" t="e">
        <f t="shared" si="4"/>
        <v>#DIV/0!</v>
      </c>
      <c r="L27" s="220"/>
      <c r="M27" s="222"/>
      <c r="N27" s="221">
        <f t="shared" si="5"/>
        <v>0</v>
      </c>
      <c r="O27" s="227"/>
      <c r="P27" s="148" t="e">
        <f t="shared" si="8"/>
        <v>#DIV/0!</v>
      </c>
    </row>
    <row r="28" spans="1:16" ht="14.1" customHeight="1" x14ac:dyDescent="0.2">
      <c r="A28" s="158" t="s">
        <v>109</v>
      </c>
      <c r="B28" s="220"/>
      <c r="C28" s="222"/>
      <c r="D28" s="221">
        <f t="shared" si="0"/>
        <v>0</v>
      </c>
      <c r="E28" s="227"/>
      <c r="F28" s="159" t="e">
        <f t="shared" si="1"/>
        <v>#DIV/0!</v>
      </c>
      <c r="G28" s="220"/>
      <c r="H28" s="222"/>
      <c r="I28" s="221">
        <f t="shared" si="23"/>
        <v>0</v>
      </c>
      <c r="J28" s="227"/>
      <c r="K28" s="160" t="e">
        <f t="shared" si="4"/>
        <v>#DIV/0!</v>
      </c>
      <c r="L28" s="220"/>
      <c r="M28" s="222"/>
      <c r="N28" s="221">
        <f t="shared" si="5"/>
        <v>0</v>
      </c>
      <c r="O28" s="227"/>
      <c r="P28" s="159" t="e">
        <f t="shared" si="8"/>
        <v>#DIV/0!</v>
      </c>
    </row>
    <row r="29" spans="1:16" ht="14.1" customHeight="1" x14ac:dyDescent="0.2">
      <c r="A29" s="145" t="s">
        <v>110</v>
      </c>
      <c r="B29" s="220"/>
      <c r="C29" s="222"/>
      <c r="D29" s="221">
        <f t="shared" si="0"/>
        <v>0</v>
      </c>
      <c r="E29" s="227"/>
      <c r="F29" s="148" t="e">
        <f t="shared" si="1"/>
        <v>#DIV/0!</v>
      </c>
      <c r="G29" s="220"/>
      <c r="H29" s="222"/>
      <c r="I29" s="221">
        <f t="shared" si="23"/>
        <v>0</v>
      </c>
      <c r="J29" s="227"/>
      <c r="K29" s="154" t="e">
        <f t="shared" si="4"/>
        <v>#DIV/0!</v>
      </c>
      <c r="L29" s="220"/>
      <c r="M29" s="222"/>
      <c r="N29" s="221">
        <f t="shared" si="5"/>
        <v>0</v>
      </c>
      <c r="O29" s="227"/>
      <c r="P29" s="148" t="e">
        <f t="shared" si="8"/>
        <v>#DIV/0!</v>
      </c>
    </row>
    <row r="30" spans="1:16" ht="14.1" customHeight="1" x14ac:dyDescent="0.2">
      <c r="A30" s="158" t="s">
        <v>111</v>
      </c>
      <c r="B30" s="220"/>
      <c r="C30" s="222"/>
      <c r="D30" s="221">
        <f>SUM(B30:C30)</f>
        <v>0</v>
      </c>
      <c r="E30" s="227"/>
      <c r="F30" s="159" t="e">
        <f t="shared" si="1"/>
        <v>#DIV/0!</v>
      </c>
      <c r="G30" s="220"/>
      <c r="H30" s="222"/>
      <c r="I30" s="221">
        <f>SUM(G30:H30)</f>
        <v>0</v>
      </c>
      <c r="J30" s="227"/>
      <c r="K30" s="160" t="e">
        <f t="shared" si="4"/>
        <v>#DIV/0!</v>
      </c>
      <c r="L30" s="220"/>
      <c r="M30" s="222"/>
      <c r="N30" s="221">
        <f>SUM(L30:M30)</f>
        <v>0</v>
      </c>
      <c r="O30" s="227"/>
      <c r="P30" s="159" t="e">
        <f t="shared" si="8"/>
        <v>#DIV/0!</v>
      </c>
    </row>
    <row r="31" spans="1:16" ht="14.1" customHeight="1" x14ac:dyDescent="0.2">
      <c r="A31" s="145" t="s">
        <v>112</v>
      </c>
      <c r="B31" s="220"/>
      <c r="C31" s="222"/>
      <c r="D31" s="221">
        <f>SUM(B31:C31)</f>
        <v>0</v>
      </c>
      <c r="E31" s="227"/>
      <c r="F31" s="148" t="e">
        <f t="shared" si="1"/>
        <v>#DIV/0!</v>
      </c>
      <c r="G31" s="220"/>
      <c r="H31" s="222"/>
      <c r="I31" s="221">
        <f t="shared" si="23"/>
        <v>0</v>
      </c>
      <c r="J31" s="227"/>
      <c r="K31" s="154" t="e">
        <f t="shared" si="4"/>
        <v>#DIV/0!</v>
      </c>
      <c r="L31" s="220"/>
      <c r="M31" s="222"/>
      <c r="N31" s="221">
        <f>SUM(L31:M31)</f>
        <v>0</v>
      </c>
      <c r="O31" s="227"/>
      <c r="P31" s="148" t="e">
        <f t="shared" si="8"/>
        <v>#DIV/0!</v>
      </c>
    </row>
    <row r="32" spans="1:16" ht="14.1" customHeight="1" x14ac:dyDescent="0.2">
      <c r="A32" s="161" t="s">
        <v>113</v>
      </c>
      <c r="B32" s="220"/>
      <c r="C32" s="222"/>
      <c r="D32" s="104">
        <f t="shared" si="0"/>
        <v>0</v>
      </c>
      <c r="E32" s="227"/>
      <c r="F32" s="162" t="e">
        <f t="shared" si="1"/>
        <v>#DIV/0!</v>
      </c>
      <c r="G32" s="163"/>
      <c r="H32" s="104"/>
      <c r="I32" s="104">
        <f t="shared" si="23"/>
        <v>0</v>
      </c>
      <c r="J32" s="227"/>
      <c r="K32" s="162" t="e">
        <f t="shared" si="4"/>
        <v>#DIV/0!</v>
      </c>
      <c r="L32" s="220"/>
      <c r="M32" s="222"/>
      <c r="N32" s="104">
        <f t="shared" si="5"/>
        <v>0</v>
      </c>
      <c r="O32" s="227"/>
      <c r="P32" s="162" t="e">
        <f t="shared" si="8"/>
        <v>#DIV/0!</v>
      </c>
    </row>
    <row r="33" spans="1:16" ht="13.5" thickBot="1" x14ac:dyDescent="0.25">
      <c r="A33" s="155" t="s">
        <v>77</v>
      </c>
      <c r="B33" s="164">
        <f>SUM(B21:B32)</f>
        <v>411857</v>
      </c>
      <c r="C33" s="165">
        <f>SUM(C21:C32)</f>
        <v>382975</v>
      </c>
      <c r="D33" s="165">
        <f>SUM(D21:D32)</f>
        <v>794832</v>
      </c>
      <c r="E33" s="166">
        <f>SUM(E21:E32)</f>
        <v>1699856</v>
      </c>
      <c r="F33" s="150">
        <f>(D33-E33)/E33</f>
        <v>-0.53241215726508595</v>
      </c>
      <c r="G33" s="167">
        <f>SUM(G21:G32)</f>
        <v>3895647</v>
      </c>
      <c r="H33" s="165">
        <f>SUM(H21:H32)</f>
        <v>3822958</v>
      </c>
      <c r="I33" s="165">
        <f>SUM(I21:I32)</f>
        <v>7718605</v>
      </c>
      <c r="J33" s="168">
        <f>SUM(J21:J32)</f>
        <v>17343587</v>
      </c>
      <c r="K33" s="151">
        <f>(I33-J33)/J33</f>
        <v>-0.55495913273303843</v>
      </c>
      <c r="L33" s="167">
        <f>SUM(L21:L32)</f>
        <v>4307504</v>
      </c>
      <c r="M33" s="165">
        <f>SUM(M21:M32)</f>
        <v>4205933</v>
      </c>
      <c r="N33" s="165">
        <f>SUM(N21:N32)</f>
        <v>8513437</v>
      </c>
      <c r="O33" s="166">
        <f>SUM(O21:O32)</f>
        <v>19043443</v>
      </c>
      <c r="P33" s="149">
        <f>(N33-O33)/O33</f>
        <v>-0.55294654438275681</v>
      </c>
    </row>
    <row r="35" spans="1:16" x14ac:dyDescent="0.2">
      <c r="N35" s="83"/>
      <c r="O35" s="83"/>
    </row>
    <row r="36" spans="1:16" x14ac:dyDescent="0.2">
      <c r="O36" s="83"/>
    </row>
    <row r="37" spans="1:16" x14ac:dyDescent="0.2">
      <c r="N37" s="83"/>
      <c r="O37" s="8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June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sqref="A1:XFD1048576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35" customFormat="1" ht="16.5" thickBot="1" x14ac:dyDescent="0.3">
      <c r="B1" s="472" t="s">
        <v>228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4"/>
    </row>
    <row r="2" spans="1:20" s="21" customFormat="1" ht="39" customHeight="1" thickBot="1" x14ac:dyDescent="0.25">
      <c r="A2" s="442">
        <v>43983</v>
      </c>
      <c r="B2" s="303" t="s">
        <v>204</v>
      </c>
      <c r="C2" s="303" t="s">
        <v>177</v>
      </c>
      <c r="D2" s="358" t="s">
        <v>84</v>
      </c>
      <c r="E2" s="303" t="s">
        <v>229</v>
      </c>
      <c r="F2" s="357" t="s">
        <v>209</v>
      </c>
      <c r="G2" s="304" t="s">
        <v>82</v>
      </c>
      <c r="H2" s="357" t="s">
        <v>178</v>
      </c>
      <c r="I2" s="303" t="s">
        <v>230</v>
      </c>
      <c r="J2" s="357" t="s">
        <v>86</v>
      </c>
      <c r="K2" s="303" t="s">
        <v>231</v>
      </c>
      <c r="L2" s="303" t="s">
        <v>232</v>
      </c>
      <c r="M2" s="303" t="s">
        <v>227</v>
      </c>
      <c r="N2" s="304" t="s">
        <v>83</v>
      </c>
      <c r="O2" s="357" t="s">
        <v>128</v>
      </c>
      <c r="P2" s="357" t="s">
        <v>21</v>
      </c>
    </row>
    <row r="3" spans="1:20" ht="15" x14ac:dyDescent="0.25">
      <c r="A3" s="127" t="s">
        <v>9</v>
      </c>
      <c r="B3" s="443"/>
      <c r="C3" s="128"/>
      <c r="D3" s="23"/>
      <c r="E3" s="128"/>
      <c r="F3" s="23"/>
      <c r="G3" s="128"/>
      <c r="H3" s="23"/>
      <c r="I3" s="128"/>
      <c r="J3" s="23"/>
      <c r="K3" s="128"/>
      <c r="L3" s="128"/>
      <c r="M3" s="128"/>
      <c r="N3" s="128"/>
      <c r="O3" s="23"/>
      <c r="P3" s="411"/>
      <c r="R3" s="322"/>
      <c r="S3" s="322"/>
      <c r="T3" s="322"/>
    </row>
    <row r="4" spans="1:20" x14ac:dyDescent="0.2">
      <c r="A4" s="31" t="s">
        <v>53</v>
      </c>
      <c r="B4" s="163">
        <f>'[3]Atlas Air'!$GU$4</f>
        <v>0</v>
      </c>
      <c r="C4" s="104">
        <f>[3]DHL!$GU$4+[3]DHL_Atlas!$GU$4+[3]DHL_Atlas!$GU$8+[3]DHL_Atlas!$GU$15</f>
        <v>2</v>
      </c>
      <c r="D4" s="83">
        <f>[3]Bemidji!$GU$4</f>
        <v>197</v>
      </c>
      <c r="E4" s="104">
        <f>[3]DHL_Encore!$GU$4+[3]DHL_Encore!$GU$15</f>
        <v>45</v>
      </c>
      <c r="F4" s="104">
        <f>[3]Encore!$GU$4+[3]Encore!$GU$15</f>
        <v>0</v>
      </c>
      <c r="G4" s="104">
        <f>[3]FedEx!$GU$4+[3]FedEx!$GU$15</f>
        <v>117</v>
      </c>
      <c r="H4" s="104">
        <f>[3]IFL!$GU$4+[3]IFL!$GU$15</f>
        <v>15</v>
      </c>
      <c r="I4" s="104">
        <f>[3]DHL_Kalitta!$GU$4+[3]DHL_Kalitta!$GU$15</f>
        <v>0</v>
      </c>
      <c r="J4" s="83">
        <f>'[3]Mountain Cargo'!$GU$4</f>
        <v>21</v>
      </c>
      <c r="K4" s="104">
        <f>[3]DHL_Southair!$GU$4+[3]DHL_Southair!$GU$15</f>
        <v>0</v>
      </c>
      <c r="L4" s="104">
        <f>[3]DHL_Swift!$GU$4+[3]DHL_Swift!$GU$15</f>
        <v>20</v>
      </c>
      <c r="M4" s="104">
        <f>+'[3]Sun Country Cargo'!$GU$4+'[3]Sun Country Cargo'!$GU$8+'[3]Sun Country Cargo'!$GU$15</f>
        <v>62</v>
      </c>
      <c r="N4" s="104">
        <f>[3]UPS!$GU$4+[3]UPS!$GU$15</f>
        <v>138</v>
      </c>
      <c r="O4" s="83">
        <f>'[3]Misc Cargo'!$GU$4</f>
        <v>0</v>
      </c>
      <c r="P4" s="412">
        <f>SUM(B4:O4)</f>
        <v>617</v>
      </c>
      <c r="R4" s="322"/>
      <c r="S4" s="322"/>
      <c r="T4" s="192"/>
    </row>
    <row r="5" spans="1:20" x14ac:dyDescent="0.2">
      <c r="A5" s="31" t="s">
        <v>54</v>
      </c>
      <c r="B5" s="444">
        <f>'[3]Atlas Air'!$GU$5</f>
        <v>0</v>
      </c>
      <c r="C5" s="126">
        <f>[3]DHL!$GU$5+[3]DHL_Atlas!$GU$5+[3]DHL_Atlas!$GU$9+[3]DHL_Atlas!$GU$16</f>
        <v>2</v>
      </c>
      <c r="D5" s="84">
        <f>[3]Bemidji!$GU$5</f>
        <v>197</v>
      </c>
      <c r="E5" s="126">
        <f>[3]DHL_Encore!$GU$5</f>
        <v>45</v>
      </c>
      <c r="F5" s="126">
        <f>[3]Encore!$GU$5</f>
        <v>0</v>
      </c>
      <c r="G5" s="126">
        <f>[3]FedEx!$GU$5</f>
        <v>117</v>
      </c>
      <c r="H5" s="126">
        <f>[3]IFL!$GU$5</f>
        <v>15</v>
      </c>
      <c r="I5" s="126">
        <f>[3]DHL_Kalitta!$GU$5</f>
        <v>0</v>
      </c>
      <c r="J5" s="84">
        <f>'[3]Mountain Cargo'!$GU$5</f>
        <v>21</v>
      </c>
      <c r="K5" s="126">
        <f>[3]DHL_Southair!$GU$5</f>
        <v>0</v>
      </c>
      <c r="L5" s="126">
        <f>[3]DHL_Swift!$GU$5</f>
        <v>20</v>
      </c>
      <c r="M5" s="126">
        <f>+'[3]Sun Country Cargo'!$GU$5+'[3]Sun Country Cargo'!$GU$9+'[3]Sun Country Cargo'!$GU$16</f>
        <v>62</v>
      </c>
      <c r="N5" s="126">
        <f>[3]UPS!$GU$5+[3]UPS!$GU$16</f>
        <v>138</v>
      </c>
      <c r="O5" s="84">
        <f>'[3]Misc Cargo'!$GU$5</f>
        <v>0</v>
      </c>
      <c r="P5" s="412">
        <f t="shared" ref="P5:P10" si="0">SUM(B5:O5)</f>
        <v>617</v>
      </c>
      <c r="R5" s="322"/>
      <c r="S5" s="322"/>
      <c r="T5" s="192"/>
    </row>
    <row r="6" spans="1:20" s="123" customFormat="1" x14ac:dyDescent="0.2">
      <c r="A6" s="129" t="s">
        <v>55</v>
      </c>
      <c r="B6" s="445">
        <f t="shared" ref="B6:O6" si="1">SUM(B4:B5)</f>
        <v>0</v>
      </c>
      <c r="C6" s="130">
        <f t="shared" si="1"/>
        <v>4</v>
      </c>
      <c r="D6" s="82">
        <f t="shared" si="1"/>
        <v>394</v>
      </c>
      <c r="E6" s="130">
        <f t="shared" si="1"/>
        <v>90</v>
      </c>
      <c r="F6" s="130">
        <f t="shared" si="1"/>
        <v>0</v>
      </c>
      <c r="G6" s="130">
        <f t="shared" si="1"/>
        <v>234</v>
      </c>
      <c r="H6" s="130">
        <f t="shared" si="1"/>
        <v>30</v>
      </c>
      <c r="I6" s="130">
        <f t="shared" si="1"/>
        <v>0</v>
      </c>
      <c r="J6" s="82">
        <f t="shared" si="1"/>
        <v>42</v>
      </c>
      <c r="K6" s="130">
        <f t="shared" si="1"/>
        <v>0</v>
      </c>
      <c r="L6" s="130">
        <f t="shared" si="1"/>
        <v>40</v>
      </c>
      <c r="M6" s="130">
        <f t="shared" si="1"/>
        <v>124</v>
      </c>
      <c r="N6" s="130">
        <f t="shared" si="1"/>
        <v>276</v>
      </c>
      <c r="O6" s="82">
        <f t="shared" si="1"/>
        <v>0</v>
      </c>
      <c r="P6" s="412">
        <f t="shared" si="0"/>
        <v>1234</v>
      </c>
      <c r="T6" s="264"/>
    </row>
    <row r="7" spans="1:20" x14ac:dyDescent="0.2">
      <c r="A7" s="31"/>
      <c r="B7" s="163"/>
      <c r="C7" s="104"/>
      <c r="D7" s="83"/>
      <c r="E7" s="104"/>
      <c r="F7" s="104"/>
      <c r="G7" s="104"/>
      <c r="H7" s="104"/>
      <c r="I7" s="104"/>
      <c r="J7" s="83"/>
      <c r="K7" s="104"/>
      <c r="L7" s="104"/>
      <c r="M7" s="104"/>
      <c r="N7" s="104"/>
      <c r="O7" s="83"/>
      <c r="P7" s="412"/>
      <c r="R7" s="300"/>
      <c r="S7" s="322"/>
      <c r="T7" s="192"/>
    </row>
    <row r="8" spans="1:20" x14ac:dyDescent="0.2">
      <c r="A8" s="31" t="s">
        <v>56</v>
      </c>
      <c r="B8" s="163"/>
      <c r="C8" s="104"/>
      <c r="D8" s="83"/>
      <c r="E8" s="104"/>
      <c r="F8" s="104"/>
      <c r="G8" s="104"/>
      <c r="H8" s="104"/>
      <c r="I8" s="104"/>
      <c r="J8" s="83"/>
      <c r="K8" s="104"/>
      <c r="L8" s="104"/>
      <c r="M8" s="104"/>
      <c r="N8" s="104"/>
      <c r="O8" s="83">
        <f>'[3]Misc Cargo'!$GU$8</f>
        <v>0</v>
      </c>
      <c r="P8" s="412">
        <f t="shared" si="0"/>
        <v>0</v>
      </c>
      <c r="R8" s="322"/>
      <c r="S8" s="322"/>
      <c r="T8" s="192"/>
    </row>
    <row r="9" spans="1:20" ht="15" x14ac:dyDescent="0.25">
      <c r="A9" s="31" t="s">
        <v>57</v>
      </c>
      <c r="B9" s="444"/>
      <c r="C9" s="126"/>
      <c r="D9" s="84"/>
      <c r="E9" s="126"/>
      <c r="F9" s="126"/>
      <c r="G9" s="126"/>
      <c r="H9" s="126"/>
      <c r="I9" s="126"/>
      <c r="J9" s="84"/>
      <c r="K9" s="126"/>
      <c r="L9" s="126"/>
      <c r="M9" s="126"/>
      <c r="N9" s="126"/>
      <c r="O9" s="84">
        <f>'[3]Misc Cargo'!$GU$9</f>
        <v>0</v>
      </c>
      <c r="P9" s="412">
        <f t="shared" si="0"/>
        <v>0</v>
      </c>
      <c r="R9" s="322"/>
      <c r="S9" s="8"/>
      <c r="T9" s="192"/>
    </row>
    <row r="10" spans="1:20" s="123" customFormat="1" x14ac:dyDescent="0.2">
      <c r="A10" s="129" t="s">
        <v>58</v>
      </c>
      <c r="B10" s="445">
        <f t="shared" ref="B10:O10" si="2">SUM(B8:B9)</f>
        <v>0</v>
      </c>
      <c r="C10" s="130">
        <f t="shared" si="2"/>
        <v>0</v>
      </c>
      <c r="D10" s="82">
        <f t="shared" si="2"/>
        <v>0</v>
      </c>
      <c r="E10" s="130">
        <f t="shared" si="2"/>
        <v>0</v>
      </c>
      <c r="F10" s="130">
        <f t="shared" si="2"/>
        <v>0</v>
      </c>
      <c r="G10" s="130">
        <f t="shared" si="2"/>
        <v>0</v>
      </c>
      <c r="H10" s="130">
        <f t="shared" si="2"/>
        <v>0</v>
      </c>
      <c r="I10" s="130">
        <f t="shared" si="2"/>
        <v>0</v>
      </c>
      <c r="J10" s="82">
        <f t="shared" si="2"/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0">
        <f t="shared" si="2"/>
        <v>0</v>
      </c>
      <c r="O10" s="82">
        <f t="shared" si="2"/>
        <v>0</v>
      </c>
      <c r="P10" s="412">
        <f t="shared" si="0"/>
        <v>0</v>
      </c>
      <c r="T10" s="264"/>
    </row>
    <row r="11" spans="1:20" x14ac:dyDescent="0.2">
      <c r="A11" s="31"/>
      <c r="B11" s="163"/>
      <c r="C11" s="104"/>
      <c r="D11" s="83"/>
      <c r="E11" s="104"/>
      <c r="F11" s="104"/>
      <c r="G11" s="104"/>
      <c r="H11" s="104"/>
      <c r="I11" s="104"/>
      <c r="J11" s="83"/>
      <c r="K11" s="104"/>
      <c r="L11" s="104"/>
      <c r="M11" s="104"/>
      <c r="N11" s="104"/>
      <c r="O11" s="83"/>
      <c r="P11" s="381"/>
      <c r="R11" s="322"/>
      <c r="S11" s="322"/>
      <c r="T11" s="192"/>
    </row>
    <row r="12" spans="1:20" ht="18" customHeight="1" thickBot="1" x14ac:dyDescent="0.25">
      <c r="A12" s="131" t="s">
        <v>28</v>
      </c>
      <c r="B12" s="446">
        <f t="shared" ref="B12:O12" si="3">B6+B10</f>
        <v>0</v>
      </c>
      <c r="C12" s="132">
        <f t="shared" si="3"/>
        <v>4</v>
      </c>
      <c r="D12" s="133">
        <f t="shared" si="3"/>
        <v>394</v>
      </c>
      <c r="E12" s="132">
        <f t="shared" si="3"/>
        <v>90</v>
      </c>
      <c r="F12" s="132">
        <f t="shared" si="3"/>
        <v>0</v>
      </c>
      <c r="G12" s="132">
        <f t="shared" si="3"/>
        <v>234</v>
      </c>
      <c r="H12" s="132">
        <f t="shared" si="3"/>
        <v>30</v>
      </c>
      <c r="I12" s="132">
        <f t="shared" si="3"/>
        <v>0</v>
      </c>
      <c r="J12" s="133">
        <f t="shared" si="3"/>
        <v>42</v>
      </c>
      <c r="K12" s="132">
        <f t="shared" si="3"/>
        <v>0</v>
      </c>
      <c r="L12" s="132">
        <f t="shared" si="3"/>
        <v>40</v>
      </c>
      <c r="M12" s="132">
        <f t="shared" si="3"/>
        <v>124</v>
      </c>
      <c r="N12" s="132">
        <f t="shared" si="3"/>
        <v>276</v>
      </c>
      <c r="O12" s="133">
        <f t="shared" si="3"/>
        <v>0</v>
      </c>
      <c r="P12" s="414">
        <f>SUM(B12:O12)</f>
        <v>1234</v>
      </c>
      <c r="R12" s="322"/>
      <c r="S12" s="322"/>
      <c r="T12" s="192"/>
    </row>
    <row r="13" spans="1:20" ht="18" customHeight="1" thickBot="1" x14ac:dyDescent="0.25">
      <c r="A13" s="114"/>
      <c r="B13" s="447"/>
      <c r="C13" s="124"/>
      <c r="D13" s="115"/>
      <c r="E13" s="124"/>
      <c r="F13" s="124"/>
      <c r="G13" s="124"/>
      <c r="H13" s="124"/>
      <c r="I13" s="124"/>
      <c r="J13" s="115"/>
      <c r="K13" s="124"/>
      <c r="L13" s="124"/>
      <c r="M13" s="124"/>
      <c r="N13" s="124"/>
      <c r="O13" s="115"/>
      <c r="P13" s="2"/>
      <c r="R13" s="322"/>
      <c r="S13" s="322"/>
      <c r="T13" s="192"/>
    </row>
    <row r="14" spans="1:20" ht="15" x14ac:dyDescent="0.25">
      <c r="A14" s="134" t="s">
        <v>93</v>
      </c>
      <c r="B14" s="448"/>
      <c r="C14" s="135"/>
      <c r="D14" s="54"/>
      <c r="E14" s="135"/>
      <c r="F14" s="135"/>
      <c r="G14" s="135"/>
      <c r="H14" s="135"/>
      <c r="I14" s="135"/>
      <c r="J14" s="54"/>
      <c r="K14" s="135"/>
      <c r="L14" s="135"/>
      <c r="M14" s="135"/>
      <c r="N14" s="135"/>
      <c r="O14" s="54"/>
      <c r="P14" s="415"/>
      <c r="R14" s="322"/>
      <c r="S14" s="322"/>
      <c r="T14" s="192"/>
    </row>
    <row r="15" spans="1:20" x14ac:dyDescent="0.2">
      <c r="A15" s="136" t="s">
        <v>94</v>
      </c>
      <c r="B15" s="163"/>
      <c r="C15" s="104"/>
      <c r="D15" s="2"/>
      <c r="E15" s="104"/>
      <c r="F15" s="104"/>
      <c r="G15" s="104"/>
      <c r="H15" s="104"/>
      <c r="I15" s="104"/>
      <c r="J15" s="2"/>
      <c r="K15" s="104"/>
      <c r="L15" s="104"/>
      <c r="M15" s="104"/>
      <c r="N15" s="104"/>
      <c r="O15" s="2"/>
      <c r="P15" s="117"/>
      <c r="R15" s="322"/>
      <c r="S15" s="322"/>
      <c r="T15" s="192"/>
    </row>
    <row r="16" spans="1:20" x14ac:dyDescent="0.2">
      <c r="A16" s="31" t="s">
        <v>37</v>
      </c>
      <c r="B16" s="163">
        <f>'[3]Atlas Air'!$GU$47</f>
        <v>0</v>
      </c>
      <c r="C16" s="104">
        <f>[3]DHL!$GU$47+[3]DHL_Atlas!$GU$47</f>
        <v>51385</v>
      </c>
      <c r="D16" s="475" t="s">
        <v>87</v>
      </c>
      <c r="E16" s="104">
        <f>[3]DHL_Encore!$GU$47</f>
        <v>48807</v>
      </c>
      <c r="F16" s="104">
        <f>[3]Encore!$GU$47</f>
        <v>0</v>
      </c>
      <c r="G16" s="104">
        <f>[3]FedEx!$GU$47</f>
        <v>8224337</v>
      </c>
      <c r="H16" s="104">
        <f>[3]IFL!$GU$47</f>
        <v>62630</v>
      </c>
      <c r="I16" s="104">
        <f>[3]DHL_Kalitta!$GU$47</f>
        <v>0</v>
      </c>
      <c r="J16" s="83">
        <f>'[3]Mountain Cargo'!$GU$47</f>
        <v>0</v>
      </c>
      <c r="K16" s="104">
        <f>[3]DHL_Southair!$GU$47</f>
        <v>0</v>
      </c>
      <c r="L16" s="104">
        <f>[3]DHL_Swift!$GU$47</f>
        <v>514600</v>
      </c>
      <c r="M16" s="104">
        <f>+'[3]Sun Country Cargo'!$GU$47</f>
        <v>735104</v>
      </c>
      <c r="N16" s="104">
        <f>[3]UPS!$GU$47</f>
        <v>6472520</v>
      </c>
      <c r="O16" s="83">
        <f>'[3]Misc Cargo'!$GU$47</f>
        <v>0</v>
      </c>
      <c r="P16" s="412">
        <f>SUM(B16:C16)+SUM(E16:O16)</f>
        <v>16109383</v>
      </c>
      <c r="R16" s="322"/>
      <c r="S16" s="322"/>
      <c r="T16" s="192"/>
    </row>
    <row r="17" spans="1:20" x14ac:dyDescent="0.2">
      <c r="A17" s="31" t="s">
        <v>38</v>
      </c>
      <c r="B17" s="163">
        <f>'[3]Atlas Air'!$GU$48</f>
        <v>0</v>
      </c>
      <c r="C17" s="104">
        <f>[3]DHL!$GU$48</f>
        <v>0</v>
      </c>
      <c r="D17" s="476"/>
      <c r="E17" s="104">
        <f>[3]DHL_Encore!$GU$48</f>
        <v>0</v>
      </c>
      <c r="F17" s="104">
        <f>[3]Encore!$GU$48</f>
        <v>0</v>
      </c>
      <c r="G17" s="104">
        <f>[3]FedEx!$GU$48</f>
        <v>0</v>
      </c>
      <c r="H17" s="104">
        <f>[3]IFL!$GU$48</f>
        <v>0</v>
      </c>
      <c r="I17" s="104">
        <f>[3]DHL_Kalitta!$GU$48</f>
        <v>0</v>
      </c>
      <c r="J17" s="83">
        <f>'[3]Mountain Cargo'!$GU$48</f>
        <v>45507</v>
      </c>
      <c r="K17" s="104">
        <f>[3]DHL_Southair!$GU$48</f>
        <v>0</v>
      </c>
      <c r="L17" s="104">
        <f>[3]DHL_Swift!$GU$48</f>
        <v>0</v>
      </c>
      <c r="M17" s="104">
        <f>+'[3]Sun Country Cargo'!$GU$48</f>
        <v>0</v>
      </c>
      <c r="N17" s="104">
        <f>[3]UPS!$GU$48</f>
        <v>0</v>
      </c>
      <c r="O17" s="83">
        <f>'[3]Misc Cargo'!$GU$48</f>
        <v>0</v>
      </c>
      <c r="P17" s="412">
        <f>SUM(B17:C17)+SUM(E17:O17)</f>
        <v>45507</v>
      </c>
      <c r="R17" s="322"/>
      <c r="S17" s="322"/>
      <c r="T17" s="192"/>
    </row>
    <row r="18" spans="1:20" ht="18" customHeight="1" x14ac:dyDescent="0.2">
      <c r="A18" s="137" t="s">
        <v>39</v>
      </c>
      <c r="B18" s="449">
        <f>SUM(B16:B17)</f>
        <v>0</v>
      </c>
      <c r="C18" s="196">
        <f>SUM(C16:C17)</f>
        <v>51385</v>
      </c>
      <c r="D18" s="476"/>
      <c r="E18" s="196">
        <f>SUM(E16:E17)</f>
        <v>48807</v>
      </c>
      <c r="F18" s="196">
        <f>SUM(F16:F17)</f>
        <v>0</v>
      </c>
      <c r="G18" s="196">
        <f>SUM(G16:G17)</f>
        <v>8224337</v>
      </c>
      <c r="H18" s="196">
        <f>SUM(H16:H17)</f>
        <v>62630</v>
      </c>
      <c r="I18" s="196">
        <f t="shared" ref="I18:O18" si="4">SUM(I16:I17)</f>
        <v>0</v>
      </c>
      <c r="J18" s="197">
        <f t="shared" si="4"/>
        <v>45507</v>
      </c>
      <c r="K18" s="196">
        <f t="shared" si="4"/>
        <v>0</v>
      </c>
      <c r="L18" s="196">
        <f t="shared" si="4"/>
        <v>514600</v>
      </c>
      <c r="M18" s="196">
        <f t="shared" si="4"/>
        <v>735104</v>
      </c>
      <c r="N18" s="196">
        <f t="shared" si="4"/>
        <v>6472520</v>
      </c>
      <c r="O18" s="197">
        <f t="shared" si="4"/>
        <v>0</v>
      </c>
      <c r="P18" s="416">
        <f>SUM(B18:C18)+SUM(E18:O18)</f>
        <v>16154890</v>
      </c>
      <c r="R18" s="322"/>
      <c r="S18" s="322"/>
      <c r="T18" s="192"/>
    </row>
    <row r="19" spans="1:20" x14ac:dyDescent="0.2">
      <c r="A19" s="31"/>
      <c r="B19" s="163"/>
      <c r="C19" s="104"/>
      <c r="D19" s="476"/>
      <c r="E19" s="104"/>
      <c r="F19" s="104"/>
      <c r="G19" s="104"/>
      <c r="H19" s="104"/>
      <c r="I19" s="104"/>
      <c r="J19" s="83"/>
      <c r="K19" s="104"/>
      <c r="L19" s="104"/>
      <c r="M19" s="104"/>
      <c r="N19" s="104"/>
      <c r="O19" s="83"/>
      <c r="P19" s="412"/>
      <c r="R19" s="300"/>
      <c r="S19" s="322"/>
      <c r="T19" s="192"/>
    </row>
    <row r="20" spans="1:20" x14ac:dyDescent="0.2">
      <c r="A20" s="136" t="s">
        <v>88</v>
      </c>
      <c r="B20" s="163"/>
      <c r="C20" s="104"/>
      <c r="D20" s="476"/>
      <c r="E20" s="104"/>
      <c r="F20" s="104"/>
      <c r="G20" s="104"/>
      <c r="H20" s="104"/>
      <c r="I20" s="104"/>
      <c r="J20" s="83"/>
      <c r="K20" s="104"/>
      <c r="L20" s="104"/>
      <c r="M20" s="104"/>
      <c r="N20" s="104"/>
      <c r="O20" s="83"/>
      <c r="P20" s="412"/>
      <c r="R20" s="300"/>
      <c r="S20" s="322"/>
      <c r="T20" s="192"/>
    </row>
    <row r="21" spans="1:20" x14ac:dyDescent="0.2">
      <c r="A21" s="31" t="s">
        <v>59</v>
      </c>
      <c r="B21" s="163">
        <f>'[3]Atlas Air'!$GU$52</f>
        <v>0</v>
      </c>
      <c r="C21" s="104">
        <f>[3]DHL!$GU$52+[3]DHL_Atlas!$GU$52</f>
        <v>74260</v>
      </c>
      <c r="D21" s="476"/>
      <c r="E21" s="104">
        <f>[3]DHL_Encore!$GU$52</f>
        <v>77920</v>
      </c>
      <c r="F21" s="104">
        <f>[3]Encore!$GU$52</f>
        <v>0</v>
      </c>
      <c r="G21" s="104">
        <f>[3]FedEx!$GU$52</f>
        <v>7151882</v>
      </c>
      <c r="H21" s="104">
        <f>[3]IFL!$GU$52</f>
        <v>0</v>
      </c>
      <c r="I21" s="104">
        <f>[3]DHL_Kalitta!$GU$52</f>
        <v>0</v>
      </c>
      <c r="J21" s="83">
        <f>'[3]Mountain Cargo'!$GU$52</f>
        <v>0</v>
      </c>
      <c r="K21" s="104">
        <f>[3]DHL_Southair!$GU$52</f>
        <v>0</v>
      </c>
      <c r="L21" s="104">
        <f>[3]DHL_Swift!$GU$52</f>
        <v>633304</v>
      </c>
      <c r="M21" s="104">
        <f>+'[3]Sun Country Cargo'!$GU$52</f>
        <v>1346741</v>
      </c>
      <c r="N21" s="104">
        <f>[3]UPS!$GU$52</f>
        <v>5278520</v>
      </c>
      <c r="O21" s="83">
        <f>'[3]Misc Cargo'!$GU$52</f>
        <v>0</v>
      </c>
      <c r="P21" s="412">
        <f t="shared" ref="P21:P23" si="5">SUM(B21:C21)+SUM(E21:O21)</f>
        <v>14562627</v>
      </c>
      <c r="R21" s="322"/>
      <c r="S21" s="322"/>
      <c r="T21" s="192"/>
    </row>
    <row r="22" spans="1:20" x14ac:dyDescent="0.2">
      <c r="A22" s="31" t="s">
        <v>60</v>
      </c>
      <c r="B22" s="163">
        <f>'[3]Atlas Air'!$GU$53</f>
        <v>0</v>
      </c>
      <c r="C22" s="104">
        <f>[3]DHL!$GU$53</f>
        <v>0</v>
      </c>
      <c r="D22" s="476"/>
      <c r="E22" s="104">
        <f>[3]DHL_Encore!$GU$53</f>
        <v>0</v>
      </c>
      <c r="F22" s="104">
        <f>[3]Encore!$GU$53</f>
        <v>0</v>
      </c>
      <c r="G22" s="104">
        <f>[3]FedEx!$GU$53</f>
        <v>0</v>
      </c>
      <c r="H22" s="104">
        <f>[3]IFL!$GU$53</f>
        <v>0</v>
      </c>
      <c r="I22" s="104">
        <f>[3]DHL_Kalitta!$GU$53</f>
        <v>0</v>
      </c>
      <c r="J22" s="83">
        <f>'[3]Mountain Cargo'!$GU$53</f>
        <v>106823</v>
      </c>
      <c r="K22" s="104">
        <f>[3]DHL_Southair!$GU$53</f>
        <v>0</v>
      </c>
      <c r="L22" s="104">
        <f>[3]DHL_Swift!$GU$53</f>
        <v>0</v>
      </c>
      <c r="M22" s="104">
        <f>+'[3]Sun Country Cargo'!$GU$53</f>
        <v>0</v>
      </c>
      <c r="N22" s="104">
        <f>[3]UPS!$GU$53</f>
        <v>551745</v>
      </c>
      <c r="O22" s="83">
        <f>'[3]Misc Cargo'!$GU$53</f>
        <v>0</v>
      </c>
      <c r="P22" s="412">
        <f t="shared" si="5"/>
        <v>658568</v>
      </c>
      <c r="R22" s="322"/>
      <c r="S22" s="322"/>
      <c r="T22" s="192"/>
    </row>
    <row r="23" spans="1:20" ht="18" customHeight="1" x14ac:dyDescent="0.2">
      <c r="A23" s="137" t="s">
        <v>41</v>
      </c>
      <c r="B23" s="449">
        <f>SUM(B21:B22)</f>
        <v>0</v>
      </c>
      <c r="C23" s="196">
        <f>SUM(C21:C22)</f>
        <v>74260</v>
      </c>
      <c r="D23" s="476"/>
      <c r="E23" s="196">
        <f t="shared" ref="E23:O23" si="6">SUM(E21:E22)</f>
        <v>77920</v>
      </c>
      <c r="F23" s="196">
        <f t="shared" si="6"/>
        <v>0</v>
      </c>
      <c r="G23" s="196">
        <f t="shared" si="6"/>
        <v>7151882</v>
      </c>
      <c r="H23" s="196">
        <f t="shared" si="6"/>
        <v>0</v>
      </c>
      <c r="I23" s="196">
        <f t="shared" si="6"/>
        <v>0</v>
      </c>
      <c r="J23" s="197">
        <f t="shared" si="6"/>
        <v>106823</v>
      </c>
      <c r="K23" s="196">
        <f t="shared" si="6"/>
        <v>0</v>
      </c>
      <c r="L23" s="196">
        <f t="shared" si="6"/>
        <v>633304</v>
      </c>
      <c r="M23" s="196">
        <f t="shared" si="6"/>
        <v>1346741</v>
      </c>
      <c r="N23" s="196">
        <f t="shared" si="6"/>
        <v>5830265</v>
      </c>
      <c r="O23" s="197">
        <f t="shared" si="6"/>
        <v>0</v>
      </c>
      <c r="P23" s="416">
        <f t="shared" si="5"/>
        <v>15221195</v>
      </c>
      <c r="R23" s="322"/>
      <c r="S23" s="322"/>
      <c r="T23" s="192"/>
    </row>
    <row r="24" spans="1:20" x14ac:dyDescent="0.2">
      <c r="A24" s="31"/>
      <c r="B24" s="163"/>
      <c r="C24" s="104"/>
      <c r="D24" s="476"/>
      <c r="E24" s="104"/>
      <c r="F24" s="104"/>
      <c r="G24" s="104"/>
      <c r="H24" s="104"/>
      <c r="I24" s="104"/>
      <c r="J24" s="83"/>
      <c r="K24" s="104"/>
      <c r="L24" s="104"/>
      <c r="M24" s="104"/>
      <c r="N24" s="104"/>
      <c r="O24" s="83"/>
      <c r="P24" s="412"/>
      <c r="R24" s="322"/>
      <c r="S24" s="322"/>
      <c r="T24" s="192"/>
    </row>
    <row r="25" spans="1:20" x14ac:dyDescent="0.2">
      <c r="A25" s="136" t="s">
        <v>95</v>
      </c>
      <c r="B25" s="163"/>
      <c r="C25" s="104"/>
      <c r="D25" s="476"/>
      <c r="E25" s="104"/>
      <c r="F25" s="104"/>
      <c r="G25" s="104"/>
      <c r="H25" s="104"/>
      <c r="I25" s="104"/>
      <c r="J25" s="83"/>
      <c r="K25" s="104"/>
      <c r="L25" s="104"/>
      <c r="M25" s="104"/>
      <c r="N25" s="104"/>
      <c r="O25" s="83"/>
      <c r="P25" s="412"/>
      <c r="R25" s="322"/>
      <c r="S25" s="322"/>
      <c r="T25" s="192"/>
    </row>
    <row r="26" spans="1:20" x14ac:dyDescent="0.2">
      <c r="A26" s="31" t="s">
        <v>59</v>
      </c>
      <c r="B26" s="163">
        <f>'[3]Atlas Air'!$GU$57</f>
        <v>0</v>
      </c>
      <c r="C26" s="104">
        <f>[3]DHL!$GU$57</f>
        <v>0</v>
      </c>
      <c r="D26" s="476"/>
      <c r="E26" s="104">
        <f>[3]DHL_Encore!$GU$57</f>
        <v>0</v>
      </c>
      <c r="F26" s="104">
        <f>[3]Encore!$GU$57</f>
        <v>0</v>
      </c>
      <c r="G26" s="104">
        <f>[3]FedEx!$GU$57</f>
        <v>0</v>
      </c>
      <c r="H26" s="104">
        <f>[3]IFL!$GU$57</f>
        <v>0</v>
      </c>
      <c r="I26" s="104">
        <f>[3]DHL_Kalitta!$GU$57</f>
        <v>0</v>
      </c>
      <c r="J26" s="83">
        <f>'[3]Mountain Cargo'!$GU$57</f>
        <v>0</v>
      </c>
      <c r="K26" s="104">
        <f>[3]DHL_Southair!$GU$57</f>
        <v>0</v>
      </c>
      <c r="L26" s="104">
        <f>[3]DHL_Swift!$GU$57</f>
        <v>0</v>
      </c>
      <c r="M26" s="104">
        <f>+'[3]Sun Country Cargo'!$GU$57</f>
        <v>0</v>
      </c>
      <c r="N26" s="104">
        <f>[3]UPS!$GU$57</f>
        <v>0</v>
      </c>
      <c r="O26" s="83">
        <f>'[3]Misc Cargo'!$GU$57</f>
        <v>0</v>
      </c>
      <c r="P26" s="412">
        <f t="shared" ref="P26:P28" si="7">SUM(B26:C26)+SUM(E26:O26)</f>
        <v>0</v>
      </c>
      <c r="R26" s="322"/>
      <c r="S26" s="322"/>
      <c r="T26" s="322"/>
    </row>
    <row r="27" spans="1:20" x14ac:dyDescent="0.2">
      <c r="A27" s="31" t="s">
        <v>60</v>
      </c>
      <c r="B27" s="163">
        <f>'[3]Atlas Air'!$GU$58</f>
        <v>0</v>
      </c>
      <c r="C27" s="104">
        <f>[3]DHL!$GU$58</f>
        <v>0</v>
      </c>
      <c r="D27" s="476"/>
      <c r="E27" s="104">
        <f>[3]DHL_Encore!$GU$58</f>
        <v>0</v>
      </c>
      <c r="F27" s="104">
        <f>[3]Encore!$GU$58</f>
        <v>0</v>
      </c>
      <c r="G27" s="104">
        <f>[3]FedEx!$GU$58</f>
        <v>0</v>
      </c>
      <c r="H27" s="104">
        <f>[3]IFL!$GU$58</f>
        <v>0</v>
      </c>
      <c r="I27" s="104">
        <f>[3]DHL_Kalitta!$GU$58</f>
        <v>0</v>
      </c>
      <c r="J27" s="83">
        <f>'[3]Mountain Cargo'!$GU$58</f>
        <v>0</v>
      </c>
      <c r="K27" s="104">
        <f>[3]DHL_Southair!$GU$58</f>
        <v>0</v>
      </c>
      <c r="L27" s="104">
        <f>[3]DHL_Swift!$GU$58</f>
        <v>0</v>
      </c>
      <c r="M27" s="104">
        <f>+'[3]Sun Country Cargo'!$GU$58</f>
        <v>0</v>
      </c>
      <c r="N27" s="104">
        <f>[3]UPS!$GU$58</f>
        <v>0</v>
      </c>
      <c r="O27" s="83">
        <f>'[3]Misc Cargo'!$GU$58</f>
        <v>0</v>
      </c>
      <c r="P27" s="412">
        <f t="shared" si="7"/>
        <v>0</v>
      </c>
      <c r="R27" s="322"/>
      <c r="S27" s="322"/>
      <c r="T27" s="192"/>
    </row>
    <row r="28" spans="1:20" ht="18" customHeight="1" x14ac:dyDescent="0.2">
      <c r="A28" s="137" t="s">
        <v>43</v>
      </c>
      <c r="B28" s="449">
        <f>SUM(B26:B27)</f>
        <v>0</v>
      </c>
      <c r="C28" s="196">
        <f>SUM(C26:C27)</f>
        <v>0</v>
      </c>
      <c r="D28" s="476"/>
      <c r="E28" s="196">
        <f t="shared" ref="E28:O28" si="8">SUM(E26:E27)</f>
        <v>0</v>
      </c>
      <c r="F28" s="196">
        <f t="shared" si="8"/>
        <v>0</v>
      </c>
      <c r="G28" s="196">
        <f t="shared" si="8"/>
        <v>0</v>
      </c>
      <c r="H28" s="196">
        <f t="shared" si="8"/>
        <v>0</v>
      </c>
      <c r="I28" s="196">
        <f t="shared" si="8"/>
        <v>0</v>
      </c>
      <c r="J28" s="197">
        <f t="shared" si="8"/>
        <v>0</v>
      </c>
      <c r="K28" s="196">
        <f t="shared" si="8"/>
        <v>0</v>
      </c>
      <c r="L28" s="196">
        <f t="shared" si="8"/>
        <v>0</v>
      </c>
      <c r="M28" s="196">
        <f t="shared" si="8"/>
        <v>0</v>
      </c>
      <c r="N28" s="196">
        <f t="shared" si="8"/>
        <v>0</v>
      </c>
      <c r="O28" s="197">
        <f t="shared" si="8"/>
        <v>0</v>
      </c>
      <c r="P28" s="416">
        <f t="shared" si="7"/>
        <v>0</v>
      </c>
      <c r="R28" s="322"/>
      <c r="S28" s="322"/>
      <c r="T28" s="322"/>
    </row>
    <row r="29" spans="1:20" x14ac:dyDescent="0.2">
      <c r="A29" s="31"/>
      <c r="B29" s="163"/>
      <c r="C29" s="104"/>
      <c r="D29" s="476"/>
      <c r="E29" s="104"/>
      <c r="F29" s="104"/>
      <c r="G29" s="104"/>
      <c r="H29" s="104"/>
      <c r="I29" s="104"/>
      <c r="J29" s="83"/>
      <c r="K29" s="104"/>
      <c r="L29" s="104"/>
      <c r="M29" s="104"/>
      <c r="N29" s="104"/>
      <c r="O29" s="83"/>
      <c r="P29" s="412"/>
      <c r="R29" s="322"/>
      <c r="S29" s="322"/>
      <c r="T29" s="322"/>
    </row>
    <row r="30" spans="1:20" x14ac:dyDescent="0.2">
      <c r="A30" s="138" t="s">
        <v>44</v>
      </c>
      <c r="B30" s="163"/>
      <c r="C30" s="104"/>
      <c r="D30" s="476"/>
      <c r="E30" s="104"/>
      <c r="F30" s="104"/>
      <c r="G30" s="104"/>
      <c r="H30" s="104"/>
      <c r="I30" s="104"/>
      <c r="J30" s="83"/>
      <c r="K30" s="104"/>
      <c r="L30" s="104"/>
      <c r="M30" s="104"/>
      <c r="N30" s="104"/>
      <c r="O30" s="83"/>
      <c r="P30" s="412"/>
      <c r="R30" s="322"/>
      <c r="S30" s="322"/>
      <c r="T30" s="322"/>
    </row>
    <row r="31" spans="1:20" x14ac:dyDescent="0.2">
      <c r="A31" s="31" t="s">
        <v>89</v>
      </c>
      <c r="B31" s="163">
        <f>B26+B21+B16</f>
        <v>0</v>
      </c>
      <c r="C31" s="104">
        <f t="shared" ref="C31:O33" si="9">C26+C21+C16</f>
        <v>125645</v>
      </c>
      <c r="D31" s="476"/>
      <c r="E31" s="104">
        <f t="shared" ref="E31:M33" si="10">E26+E21+E16</f>
        <v>126727</v>
      </c>
      <c r="F31" s="104">
        <f t="shared" si="10"/>
        <v>0</v>
      </c>
      <c r="G31" s="104">
        <f t="shared" si="10"/>
        <v>15376219</v>
      </c>
      <c r="H31" s="104">
        <f t="shared" si="10"/>
        <v>62630</v>
      </c>
      <c r="I31" s="104">
        <f t="shared" si="10"/>
        <v>0</v>
      </c>
      <c r="J31" s="83">
        <f>J26+J21+J16</f>
        <v>0</v>
      </c>
      <c r="K31" s="104">
        <f t="shared" si="10"/>
        <v>0</v>
      </c>
      <c r="L31" s="104">
        <f t="shared" si="10"/>
        <v>1147904</v>
      </c>
      <c r="M31" s="104">
        <f t="shared" si="10"/>
        <v>2081845</v>
      </c>
      <c r="N31" s="104">
        <f t="shared" si="9"/>
        <v>11751040</v>
      </c>
      <c r="O31" s="83">
        <f>O26+O21+O16</f>
        <v>0</v>
      </c>
      <c r="P31" s="412">
        <f t="shared" ref="P31:P32" si="11">SUM(B31:C31)+SUM(E31:O31)</f>
        <v>30672010</v>
      </c>
    </row>
    <row r="32" spans="1:20" x14ac:dyDescent="0.2">
      <c r="A32" s="31" t="s">
        <v>60</v>
      </c>
      <c r="B32" s="163">
        <f>B27+B22+B17</f>
        <v>0</v>
      </c>
      <c r="C32" s="104">
        <f t="shared" si="9"/>
        <v>0</v>
      </c>
      <c r="D32" s="477"/>
      <c r="E32" s="104">
        <f t="shared" si="10"/>
        <v>0</v>
      </c>
      <c r="F32" s="104">
        <f t="shared" si="10"/>
        <v>0</v>
      </c>
      <c r="G32" s="104">
        <f t="shared" si="10"/>
        <v>0</v>
      </c>
      <c r="H32" s="104">
        <f t="shared" si="10"/>
        <v>0</v>
      </c>
      <c r="I32" s="104">
        <f t="shared" si="10"/>
        <v>0</v>
      </c>
      <c r="J32" s="83">
        <f>J27+J22+J17</f>
        <v>152330</v>
      </c>
      <c r="K32" s="104">
        <f t="shared" si="10"/>
        <v>0</v>
      </c>
      <c r="L32" s="104">
        <f t="shared" si="10"/>
        <v>0</v>
      </c>
      <c r="M32" s="104">
        <f t="shared" si="10"/>
        <v>0</v>
      </c>
      <c r="N32" s="104">
        <f t="shared" si="9"/>
        <v>551745</v>
      </c>
      <c r="O32" s="83">
        <f>O27+O22+O17</f>
        <v>0</v>
      </c>
      <c r="P32" s="413">
        <f t="shared" si="11"/>
        <v>704075</v>
      </c>
    </row>
    <row r="33" spans="1:16" ht="18" customHeight="1" thickBot="1" x14ac:dyDescent="0.25">
      <c r="A33" s="131" t="s">
        <v>46</v>
      </c>
      <c r="B33" s="446">
        <f>B28+B23+B18</f>
        <v>0</v>
      </c>
      <c r="C33" s="132">
        <f>C28+C23+C18</f>
        <v>125645</v>
      </c>
      <c r="D33" s="198">
        <f>D28+D23+D18</f>
        <v>0</v>
      </c>
      <c r="E33" s="132">
        <f>E28+E23+E18</f>
        <v>126727</v>
      </c>
      <c r="F33" s="132">
        <f>F28+F23+F18</f>
        <v>0</v>
      </c>
      <c r="G33" s="132">
        <f t="shared" si="10"/>
        <v>15376219</v>
      </c>
      <c r="H33" s="132">
        <f t="shared" si="10"/>
        <v>62630</v>
      </c>
      <c r="I33" s="132">
        <f t="shared" si="10"/>
        <v>0</v>
      </c>
      <c r="J33" s="133">
        <f>J28+J23+J18</f>
        <v>152330</v>
      </c>
      <c r="K33" s="132">
        <f t="shared" si="10"/>
        <v>0</v>
      </c>
      <c r="L33" s="132">
        <f t="shared" si="10"/>
        <v>1147904</v>
      </c>
      <c r="M33" s="132">
        <f t="shared" si="9"/>
        <v>2081845</v>
      </c>
      <c r="N33" s="132">
        <f t="shared" si="9"/>
        <v>12302785</v>
      </c>
      <c r="O33" s="133">
        <f t="shared" si="9"/>
        <v>0</v>
      </c>
      <c r="P33" s="414">
        <f>SUM(B33:C33)+SUM(E33:O33)</f>
        <v>31376085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B1:O1"/>
    <mergeCell ref="D16:D32"/>
  </mergeCells>
  <phoneticPr fontId="6" type="noConversion"/>
  <pageMargins left="0.75" right="0.75" top="1" bottom="1" header="0.5" footer="0.5"/>
  <pageSetup scale="72" orientation="landscape" r:id="rId1"/>
  <headerFooter alignWithMargins="0">
    <oddHeader>&amp;L
Schedule 7
&amp;CMinneapolis-St. Paul International Airport
&amp;"Arial,Bold"Cargo
June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D21" sqref="D21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19" customWidth="1"/>
    <col min="7" max="7" width="12.28515625" style="19" customWidth="1"/>
    <col min="8" max="8" width="11.42578125" style="3" customWidth="1"/>
    <col min="9" max="9" width="11.5703125" style="19" customWidth="1"/>
    <col min="10" max="10" width="12" style="19" bestFit="1" customWidth="1"/>
    <col min="11" max="11" width="13.140625" style="3" bestFit="1" customWidth="1"/>
    <col min="13" max="13" width="10.140625" bestFit="1" customWidth="1"/>
  </cols>
  <sheetData>
    <row r="1" spans="1:18" s="21" customFormat="1" ht="12" customHeight="1" x14ac:dyDescent="0.2">
      <c r="A1" s="14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257">
        <v>43983</v>
      </c>
      <c r="B2" s="50" t="s">
        <v>63</v>
      </c>
      <c r="C2" s="50" t="s">
        <v>64</v>
      </c>
      <c r="D2" s="50" t="s">
        <v>65</v>
      </c>
      <c r="E2" s="209" t="s">
        <v>75</v>
      </c>
      <c r="F2" s="51" t="s">
        <v>216</v>
      </c>
      <c r="G2" s="51" t="s">
        <v>203</v>
      </c>
      <c r="H2" s="52" t="s">
        <v>66</v>
      </c>
      <c r="I2" s="53" t="s">
        <v>214</v>
      </c>
      <c r="J2" s="53" t="s">
        <v>200</v>
      </c>
      <c r="K2" s="62" t="s">
        <v>2</v>
      </c>
    </row>
    <row r="3" spans="1:18" ht="20.25" customHeight="1" x14ac:dyDescent="0.2">
      <c r="A3" s="59" t="s">
        <v>67</v>
      </c>
      <c r="B3" s="61"/>
      <c r="C3" s="54"/>
      <c r="D3" s="54"/>
      <c r="E3" s="54"/>
      <c r="F3" s="55"/>
      <c r="G3" s="55"/>
      <c r="H3" s="56"/>
      <c r="I3" s="55"/>
      <c r="J3" s="55"/>
      <c r="K3" s="57"/>
    </row>
    <row r="4" spans="1:18" x14ac:dyDescent="0.2">
      <c r="A4" s="38" t="s">
        <v>68</v>
      </c>
      <c r="B4" s="108"/>
      <c r="C4" s="83"/>
      <c r="D4" s="83"/>
      <c r="E4" s="83"/>
      <c r="F4" s="83"/>
      <c r="G4" s="83"/>
      <c r="H4" s="83"/>
      <c r="I4" s="83"/>
      <c r="J4" s="83"/>
      <c r="K4" s="109"/>
    </row>
    <row r="5" spans="1:18" x14ac:dyDescent="0.2">
      <c r="A5" s="38" t="s">
        <v>69</v>
      </c>
      <c r="B5" s="108">
        <f>'Major Airline Stats'!K28</f>
        <v>607928</v>
      </c>
      <c r="C5" s="83">
        <f>'Regional Major'!M25</f>
        <v>5197</v>
      </c>
      <c r="D5" s="83">
        <f>Cargo!P16</f>
        <v>16109383</v>
      </c>
      <c r="E5" s="83">
        <f>SUM(B5:D5)</f>
        <v>16722508</v>
      </c>
      <c r="F5" s="83">
        <f>E5*0.00045359237</f>
        <v>7585.2020360639599</v>
      </c>
      <c r="G5" s="83">
        <f>'[1]Cargo Summary'!F5</f>
        <v>10019.476703671049</v>
      </c>
      <c r="H5" s="70">
        <f>(F5-G5)/G5</f>
        <v>-0.24295427192471961</v>
      </c>
      <c r="I5" s="83">
        <f>+F5+'[2]Cargo Summary'!I5</f>
        <v>49965.135487735155</v>
      </c>
      <c r="J5" s="83">
        <f>'[1]Cargo Summary'!I5</f>
        <v>53678.85225670044</v>
      </c>
      <c r="K5" s="58">
        <f>(I5-J5)/J5</f>
        <v>-6.9183982384826828E-2</v>
      </c>
      <c r="M5" s="19"/>
    </row>
    <row r="6" spans="1:18" x14ac:dyDescent="0.2">
      <c r="A6" s="38" t="s">
        <v>16</v>
      </c>
      <c r="B6" s="108">
        <f>'Major Airline Stats'!K29</f>
        <v>703611</v>
      </c>
      <c r="C6" s="83">
        <f>'Regional Major'!M26</f>
        <v>0</v>
      </c>
      <c r="D6" s="83">
        <f>Cargo!P17</f>
        <v>45507</v>
      </c>
      <c r="E6" s="83">
        <f>SUM(B6:D6)</f>
        <v>749118</v>
      </c>
      <c r="F6" s="83">
        <f>E6*0.00045359237</f>
        <v>339.79420902966001</v>
      </c>
      <c r="G6" s="83">
        <f>'[1]Cargo Summary'!F6</f>
        <v>846.6528382235</v>
      </c>
      <c r="H6" s="3">
        <f>(F6-G6)/G6</f>
        <v>-0.59866170207066516</v>
      </c>
      <c r="I6" s="83">
        <f>+F6+'[2]Cargo Summary'!I6</f>
        <v>3067.8538508001998</v>
      </c>
      <c r="J6" s="83">
        <f>'[1]Cargo Summary'!I6</f>
        <v>5102.4505910978605</v>
      </c>
      <c r="K6" s="58">
        <f>(I6-J6)/J6</f>
        <v>-0.3987489352366056</v>
      </c>
      <c r="M6" s="19"/>
    </row>
    <row r="7" spans="1:18" ht="18" customHeight="1" thickBot="1" x14ac:dyDescent="0.25">
      <c r="A7" s="47" t="s">
        <v>72</v>
      </c>
      <c r="B7" s="110">
        <f>SUM(B5:B6)</f>
        <v>1311539</v>
      </c>
      <c r="C7" s="91">
        <f t="shared" ref="C7:J7" si="0">SUM(C5:C6)</f>
        <v>5197</v>
      </c>
      <c r="D7" s="91">
        <f t="shared" si="0"/>
        <v>16154890</v>
      </c>
      <c r="E7" s="91">
        <f t="shared" si="0"/>
        <v>17471626</v>
      </c>
      <c r="F7" s="91">
        <f t="shared" si="0"/>
        <v>7924.99624509362</v>
      </c>
      <c r="G7" s="91">
        <f t="shared" si="0"/>
        <v>10866.129541894548</v>
      </c>
      <c r="H7" s="22">
        <f>(F7-G7)/G7</f>
        <v>-0.27066981720228334</v>
      </c>
      <c r="I7" s="91">
        <f t="shared" si="0"/>
        <v>53032.989338535357</v>
      </c>
      <c r="J7" s="91">
        <f t="shared" si="0"/>
        <v>58781.302847798303</v>
      </c>
      <c r="K7" s="211">
        <f>(I7-J7)/J7</f>
        <v>-9.7791529462131557E-2</v>
      </c>
      <c r="M7" s="19"/>
    </row>
    <row r="8" spans="1:18" ht="13.5" thickTop="1" x14ac:dyDescent="0.2">
      <c r="A8" s="38"/>
      <c r="B8" s="108"/>
      <c r="C8" s="83"/>
      <c r="D8" s="83"/>
      <c r="E8" s="83"/>
      <c r="F8" s="83"/>
      <c r="G8" s="83"/>
      <c r="I8" s="83"/>
      <c r="J8" s="83"/>
      <c r="K8" s="58"/>
      <c r="M8" s="19"/>
    </row>
    <row r="9" spans="1:18" x14ac:dyDescent="0.2">
      <c r="A9" s="38" t="s">
        <v>70</v>
      </c>
      <c r="B9" s="108"/>
      <c r="C9" s="83"/>
      <c r="D9" s="83"/>
      <c r="E9" s="83"/>
      <c r="F9" s="83"/>
      <c r="G9" s="83"/>
      <c r="I9" s="83"/>
      <c r="J9" s="83"/>
      <c r="K9" s="58"/>
      <c r="M9" s="19"/>
    </row>
    <row r="10" spans="1:18" x14ac:dyDescent="0.2">
      <c r="A10" s="38" t="s">
        <v>69</v>
      </c>
      <c r="B10" s="108">
        <f>'Major Airline Stats'!K33</f>
        <v>222834</v>
      </c>
      <c r="C10" s="83">
        <f>'Regional Major'!M30</f>
        <v>805</v>
      </c>
      <c r="D10" s="83">
        <f>Cargo!P21</f>
        <v>14562627</v>
      </c>
      <c r="E10" s="83">
        <f>SUM(B10:D10)</f>
        <v>14786266</v>
      </c>
      <c r="F10" s="83">
        <f>E10*0.00045359237</f>
        <v>6706.9374383904196</v>
      </c>
      <c r="G10" s="83">
        <f>'[1]Cargo Summary'!F10</f>
        <v>7833.3832869399794</v>
      </c>
      <c r="H10" s="3">
        <f>(F10-G10)/G10</f>
        <v>-0.14380068066216031</v>
      </c>
      <c r="I10" s="83">
        <f>+F10+'[2]Cargo Summary'!I10</f>
        <v>40988.48669357365</v>
      </c>
      <c r="J10" s="83">
        <f>'[1]Cargo Summary'!I10</f>
        <v>45988.600949298692</v>
      </c>
      <c r="K10" s="58">
        <f>(I10-J10)/J10</f>
        <v>-0.10872507866106965</v>
      </c>
      <c r="M10" s="19"/>
    </row>
    <row r="11" spans="1:18" x14ac:dyDescent="0.2">
      <c r="A11" s="38" t="s">
        <v>16</v>
      </c>
      <c r="B11" s="108">
        <f>'Major Airline Stats'!K34</f>
        <v>716576</v>
      </c>
      <c r="C11" s="83">
        <f>'Regional Major'!M31</f>
        <v>0</v>
      </c>
      <c r="D11" s="83">
        <f>Cargo!P22</f>
        <v>658568</v>
      </c>
      <c r="E11" s="83">
        <f>SUM(B11:D11)</f>
        <v>1375144</v>
      </c>
      <c r="F11" s="83">
        <f>E11*0.00045359237</f>
        <v>623.75482605128002</v>
      </c>
      <c r="G11" s="83">
        <f>'[1]Cargo Summary'!F11</f>
        <v>1129.17193869326</v>
      </c>
      <c r="H11" s="19">
        <f>(F11-G11)/G11</f>
        <v>-0.44759978115190902</v>
      </c>
      <c r="I11" s="83">
        <f>+F11+'[2]Cargo Summary'!I11</f>
        <v>4869.075502363381</v>
      </c>
      <c r="J11" s="83">
        <f>'[1]Cargo Summary'!I11</f>
        <v>7510.2191349716295</v>
      </c>
      <c r="K11" s="58">
        <f>(I11-J11)/J11</f>
        <v>-0.35167331140973768</v>
      </c>
      <c r="M11" s="19"/>
    </row>
    <row r="12" spans="1:18" ht="18" customHeight="1" thickBot="1" x14ac:dyDescent="0.25">
      <c r="A12" s="47" t="s">
        <v>73</v>
      </c>
      <c r="B12" s="110">
        <f>SUM(B10:B11)</f>
        <v>939410</v>
      </c>
      <c r="C12" s="91">
        <f t="shared" ref="C12:J12" si="1">SUM(C10:C11)</f>
        <v>805</v>
      </c>
      <c r="D12" s="91">
        <f t="shared" si="1"/>
        <v>15221195</v>
      </c>
      <c r="E12" s="91">
        <f t="shared" si="1"/>
        <v>16161410</v>
      </c>
      <c r="F12" s="91">
        <f t="shared" si="1"/>
        <v>7330.6922644417</v>
      </c>
      <c r="G12" s="91">
        <f t="shared" si="1"/>
        <v>8962.5552256332394</v>
      </c>
      <c r="H12" s="22">
        <f>(F12-G12)/G12</f>
        <v>-0.18207563804174406</v>
      </c>
      <c r="I12" s="91">
        <f t="shared" si="1"/>
        <v>45857.562195937033</v>
      </c>
      <c r="J12" s="91">
        <f t="shared" si="1"/>
        <v>53498.820084270323</v>
      </c>
      <c r="K12" s="211">
        <f>(I12-J12)/J12</f>
        <v>-0.14283040030222957</v>
      </c>
      <c r="M12" s="19"/>
    </row>
    <row r="13" spans="1:18" ht="13.5" thickTop="1" x14ac:dyDescent="0.2">
      <c r="A13" s="38"/>
      <c r="B13" s="108"/>
      <c r="C13" s="83"/>
      <c r="D13" s="83"/>
      <c r="E13" s="83"/>
      <c r="F13" s="83"/>
      <c r="G13" s="83"/>
      <c r="I13" s="83"/>
      <c r="J13" s="83"/>
      <c r="K13" s="58"/>
      <c r="M13" s="19"/>
    </row>
    <row r="14" spans="1:18" x14ac:dyDescent="0.2">
      <c r="A14" s="38" t="s">
        <v>71</v>
      </c>
      <c r="B14" s="108"/>
      <c r="C14" s="83"/>
      <c r="D14" s="83"/>
      <c r="E14" s="83"/>
      <c r="F14" s="83"/>
      <c r="G14" s="83"/>
      <c r="I14" s="83"/>
      <c r="J14" s="83"/>
      <c r="K14" s="58"/>
      <c r="M14" s="19"/>
    </row>
    <row r="15" spans="1:18" x14ac:dyDescent="0.2">
      <c r="A15" s="38" t="s">
        <v>69</v>
      </c>
      <c r="B15" s="108">
        <f>'Major Airline Stats'!K38</f>
        <v>0</v>
      </c>
      <c r="C15" s="83">
        <f>'Regional Major'!M35</f>
        <v>0</v>
      </c>
      <c r="D15" s="83">
        <f>Cargo!P26</f>
        <v>0</v>
      </c>
      <c r="E15" s="83">
        <f>SUM(B15:D15)</f>
        <v>0</v>
      </c>
      <c r="F15" s="83">
        <f>E15*0.00045359237</f>
        <v>0</v>
      </c>
      <c r="G15" s="83">
        <f>'[1]Cargo Summary'!F15</f>
        <v>0</v>
      </c>
      <c r="H15" t="e">
        <f>(F15-G15)/G15</f>
        <v>#DIV/0!</v>
      </c>
      <c r="I15" s="83">
        <f>+F15+'[2]Cargo Summary'!I15</f>
        <v>0</v>
      </c>
      <c r="J15" s="83">
        <f>'[1]Cargo Summary'!I15</f>
        <v>0</v>
      </c>
      <c r="K15" s="58" t="e">
        <f>(I15-J15)/J15</f>
        <v>#DIV/0!</v>
      </c>
      <c r="M15" s="19"/>
    </row>
    <row r="16" spans="1:18" ht="15" customHeight="1" x14ac:dyDescent="0.2">
      <c r="A16" s="38" t="s">
        <v>16</v>
      </c>
      <c r="B16" s="108">
        <f>'Major Airline Stats'!K39</f>
        <v>0</v>
      </c>
      <c r="C16" s="83">
        <f>'Regional Major'!M36</f>
        <v>0</v>
      </c>
      <c r="D16" s="83">
        <f>Cargo!P27</f>
        <v>0</v>
      </c>
      <c r="E16" s="83">
        <f>SUM(B16:D16)</f>
        <v>0</v>
      </c>
      <c r="F16" s="83">
        <f>E16*0.00045359237</f>
        <v>0</v>
      </c>
      <c r="G16" s="83">
        <f>'[1]Cargo Summary'!F16</f>
        <v>0</v>
      </c>
      <c r="H16" s="3" t="e">
        <f>(F16-G16)/G16</f>
        <v>#DIV/0!</v>
      </c>
      <c r="I16" s="83">
        <f>+F16+'[2]Cargo Summary'!I16</f>
        <v>0</v>
      </c>
      <c r="J16" s="83">
        <f>'[1]Cargo Summary'!I16</f>
        <v>0</v>
      </c>
      <c r="K16" s="58">
        <v>1</v>
      </c>
      <c r="M16" s="19"/>
    </row>
    <row r="17" spans="1:13" ht="18" customHeight="1" thickBot="1" x14ac:dyDescent="0.25">
      <c r="A17" s="47" t="s">
        <v>74</v>
      </c>
      <c r="B17" s="110">
        <f>SUM(B15:B16)</f>
        <v>0</v>
      </c>
      <c r="C17" s="91">
        <f t="shared" ref="C17:J17" si="2">SUM(C15:C16)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22" t="e">
        <f>(F17-G17)/G17</f>
        <v>#DIV/0!</v>
      </c>
      <c r="I17" s="91">
        <f t="shared" si="2"/>
        <v>0</v>
      </c>
      <c r="J17" s="91">
        <f t="shared" si="2"/>
        <v>0</v>
      </c>
      <c r="K17" s="211" t="e">
        <f>(I17-J17)/J17</f>
        <v>#DIV/0!</v>
      </c>
      <c r="M17" s="19"/>
    </row>
    <row r="18" spans="1:13" ht="13.5" thickTop="1" x14ac:dyDescent="0.2">
      <c r="A18" s="38"/>
      <c r="B18" s="108"/>
      <c r="C18" s="83"/>
      <c r="D18" s="83"/>
      <c r="E18" s="83"/>
      <c r="F18" s="83"/>
      <c r="G18" s="83"/>
      <c r="I18" s="83"/>
      <c r="J18" s="83"/>
      <c r="K18" s="58"/>
      <c r="M18" s="19"/>
    </row>
    <row r="19" spans="1:13" x14ac:dyDescent="0.2">
      <c r="A19" s="38" t="s">
        <v>14</v>
      </c>
      <c r="B19" s="108"/>
      <c r="C19" s="83"/>
      <c r="D19" s="83"/>
      <c r="E19" s="83"/>
      <c r="F19" s="83"/>
      <c r="G19" s="83"/>
      <c r="I19" s="83"/>
      <c r="J19" s="83"/>
      <c r="K19" s="58"/>
      <c r="M19" s="19"/>
    </row>
    <row r="20" spans="1:13" x14ac:dyDescent="0.2">
      <c r="A20" s="38" t="s">
        <v>69</v>
      </c>
      <c r="B20" s="108">
        <f t="shared" ref="B20:D21" si="3">B15+B10+B5</f>
        <v>830762</v>
      </c>
      <c r="C20" s="83">
        <f t="shared" si="3"/>
        <v>6002</v>
      </c>
      <c r="D20" s="83">
        <f t="shared" si="3"/>
        <v>30672010</v>
      </c>
      <c r="E20" s="83">
        <f>SUM(B20:D20)</f>
        <v>31508774</v>
      </c>
      <c r="F20" s="83">
        <f>E20*0.00045359237</f>
        <v>14292.13947445438</v>
      </c>
      <c r="G20" s="83">
        <f>'[1]Cargo Summary'!F20</f>
        <v>17852.859990611028</v>
      </c>
      <c r="H20" s="3">
        <f>(F20-G20)/G20</f>
        <v>-0.19944818466224809</v>
      </c>
      <c r="I20" s="83">
        <f>+I5+I10+I15</f>
        <v>90953.622181308805</v>
      </c>
      <c r="J20" s="83">
        <f>+J5+J10+J15</f>
        <v>99667.453205999132</v>
      </c>
      <c r="K20" s="58">
        <f>(I20-J20)/J20</f>
        <v>-8.7429052758878245E-2</v>
      </c>
      <c r="M20" s="19"/>
    </row>
    <row r="21" spans="1:13" x14ac:dyDescent="0.2">
      <c r="A21" s="38" t="s">
        <v>16</v>
      </c>
      <c r="B21" s="108">
        <f t="shared" si="3"/>
        <v>1420187</v>
      </c>
      <c r="C21" s="84">
        <f t="shared" si="3"/>
        <v>0</v>
      </c>
      <c r="D21" s="84">
        <f t="shared" si="3"/>
        <v>704075</v>
      </c>
      <c r="E21" s="83">
        <f>SUM(B21:D21)</f>
        <v>2124262</v>
      </c>
      <c r="F21" s="83">
        <f>E21*0.00045359237</f>
        <v>963.54903508094003</v>
      </c>
      <c r="G21" s="83">
        <f>'[1]Cargo Summary'!F21</f>
        <v>1975.8247769167599</v>
      </c>
      <c r="H21" s="3">
        <f>(F21-G21)/G21</f>
        <v>-0.51233072571114247</v>
      </c>
      <c r="I21" s="83">
        <f>+I6+I11+I16</f>
        <v>7936.9293531635813</v>
      </c>
      <c r="J21" s="83">
        <f>+J6+J11+J16</f>
        <v>12612.669726069489</v>
      </c>
      <c r="K21" s="58">
        <f>(I21-J21)/J21</f>
        <v>-0.37071773656623119</v>
      </c>
      <c r="M21" s="19"/>
    </row>
    <row r="22" spans="1:13" ht="18" customHeight="1" thickBot="1" x14ac:dyDescent="0.25">
      <c r="A22" s="60" t="s">
        <v>62</v>
      </c>
      <c r="B22" s="111">
        <f>SUM(B20:B21)</f>
        <v>2250949</v>
      </c>
      <c r="C22" s="112">
        <f t="shared" ref="C22:J22" si="4">SUM(C20:C21)</f>
        <v>6002</v>
      </c>
      <c r="D22" s="112">
        <f t="shared" si="4"/>
        <v>31376085</v>
      </c>
      <c r="E22" s="112">
        <f t="shared" si="4"/>
        <v>33633036</v>
      </c>
      <c r="F22" s="112">
        <f t="shared" si="4"/>
        <v>15255.688509535319</v>
      </c>
      <c r="G22" s="112">
        <f t="shared" si="4"/>
        <v>19828.68476752779</v>
      </c>
      <c r="H22" s="217">
        <f>(F22-G22)/G22</f>
        <v>-0.23062529419406494</v>
      </c>
      <c r="I22" s="112">
        <f t="shared" si="4"/>
        <v>98890.551534472383</v>
      </c>
      <c r="J22" s="112">
        <f t="shared" si="4"/>
        <v>112280.12293206863</v>
      </c>
      <c r="K22" s="218">
        <f>(I22-J22)/J22</f>
        <v>-0.11925148501749647</v>
      </c>
      <c r="M22" s="19"/>
    </row>
    <row r="23" spans="1:13" x14ac:dyDescent="0.2">
      <c r="G23" s="2"/>
    </row>
    <row r="26" spans="1:13" x14ac:dyDescent="0.2">
      <c r="A26" s="20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June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70"/>
  <sheetViews>
    <sheetView zoomScaleNormal="100" workbookViewId="0">
      <selection activeCell="L14" sqref="L14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39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43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  <col min="20" max="20" width="11.7109375" customWidth="1"/>
  </cols>
  <sheetData>
    <row r="1" spans="1:18" ht="13.5" thickBot="1" x14ac:dyDescent="0.25">
      <c r="F1" s="142"/>
      <c r="K1"/>
    </row>
    <row r="2" spans="1:18" s="9" customFormat="1" ht="26.25" thickBot="1" x14ac:dyDescent="0.25">
      <c r="A2" s="484" t="s">
        <v>187</v>
      </c>
      <c r="B2" s="485"/>
      <c r="C2" s="314" t="s">
        <v>217</v>
      </c>
      <c r="D2" s="316" t="s">
        <v>205</v>
      </c>
      <c r="E2" s="317" t="s">
        <v>96</v>
      </c>
      <c r="F2" s="318" t="s">
        <v>218</v>
      </c>
      <c r="G2" s="316" t="s">
        <v>206</v>
      </c>
      <c r="H2" s="315" t="s">
        <v>97</v>
      </c>
      <c r="I2" s="317" t="s">
        <v>138</v>
      </c>
      <c r="J2" s="484" t="s">
        <v>183</v>
      </c>
      <c r="K2" s="485"/>
      <c r="L2" s="314" t="s">
        <v>219</v>
      </c>
      <c r="M2" s="316" t="s">
        <v>207</v>
      </c>
      <c r="N2" s="319" t="s">
        <v>97</v>
      </c>
      <c r="O2" s="320" t="s">
        <v>220</v>
      </c>
      <c r="P2" s="320" t="s">
        <v>208</v>
      </c>
      <c r="Q2" s="345" t="s">
        <v>97</v>
      </c>
      <c r="R2" s="317" t="s">
        <v>138</v>
      </c>
    </row>
    <row r="3" spans="1:18" s="9" customFormat="1" ht="13.5" customHeight="1" thickBot="1" x14ac:dyDescent="0.25">
      <c r="A3" s="486">
        <v>43983</v>
      </c>
      <c r="B3" s="487"/>
      <c r="C3" s="488" t="s">
        <v>9</v>
      </c>
      <c r="D3" s="489"/>
      <c r="E3" s="489"/>
      <c r="F3" s="489"/>
      <c r="G3" s="489"/>
      <c r="H3" s="490"/>
      <c r="I3" s="441"/>
      <c r="J3" s="486">
        <f>+A3</f>
        <v>43983</v>
      </c>
      <c r="K3" s="487"/>
      <c r="L3" s="481" t="s">
        <v>184</v>
      </c>
      <c r="M3" s="482"/>
      <c r="N3" s="482"/>
      <c r="O3" s="482"/>
      <c r="P3" s="482"/>
      <c r="Q3" s="482"/>
      <c r="R3" s="483"/>
    </row>
    <row r="4" spans="1:18" x14ac:dyDescent="0.2">
      <c r="A4" s="231"/>
      <c r="B4" s="232"/>
      <c r="C4" s="233"/>
      <c r="D4" s="234"/>
      <c r="E4" s="235"/>
      <c r="F4" s="321"/>
      <c r="G4" s="234"/>
      <c r="H4" s="334"/>
      <c r="I4" s="235"/>
      <c r="J4" s="236"/>
      <c r="K4" s="232"/>
      <c r="L4" s="242"/>
      <c r="N4" s="58"/>
      <c r="O4" s="31"/>
      <c r="R4" s="33"/>
    </row>
    <row r="5" spans="1:18" x14ac:dyDescent="0.2">
      <c r="A5" s="238" t="s">
        <v>233</v>
      </c>
      <c r="B5" s="33"/>
      <c r="C5" s="450">
        <f>SUM(C6:C7)</f>
        <v>124</v>
      </c>
      <c r="D5" s="450">
        <f>SUM(D6:D7)</f>
        <v>62</v>
      </c>
      <c r="E5" s="451">
        <f>(C5-D5)/D5</f>
        <v>1</v>
      </c>
      <c r="F5" s="450">
        <f>SUM(F6:F7)</f>
        <v>438</v>
      </c>
      <c r="G5" s="450">
        <f>SUM(G6:G7)</f>
        <v>358</v>
      </c>
      <c r="H5" s="452">
        <f>(F5-G5)/G5</f>
        <v>0.22346368715083798</v>
      </c>
      <c r="I5" s="451">
        <f>+F5/$F$33</f>
        <v>6.2242432854909761E-2</v>
      </c>
      <c r="J5" s="238" t="s">
        <v>233</v>
      </c>
      <c r="K5" s="33"/>
      <c r="L5" s="450">
        <f>SUM(L6:L7)</f>
        <v>2081845</v>
      </c>
      <c r="M5" s="450">
        <f>SUM(M6:M7)</f>
        <v>2070321</v>
      </c>
      <c r="N5" s="451">
        <f>(L5-M5)/M5</f>
        <v>5.5662865806800008E-3</v>
      </c>
      <c r="O5" s="450">
        <f>SUM(O6:O7)</f>
        <v>15129234</v>
      </c>
      <c r="P5" s="450">
        <f>SUM(P6:P7)</f>
        <v>13083584</v>
      </c>
      <c r="Q5" s="452">
        <f>(O5-P5)/P5</f>
        <v>0.15635241841990696</v>
      </c>
      <c r="R5" s="451">
        <f>O5/$O$33</f>
        <v>8.0477053402175314E-2</v>
      </c>
    </row>
    <row r="6" spans="1:18" x14ac:dyDescent="0.2">
      <c r="A6" s="31"/>
      <c r="B6" s="295" t="s">
        <v>234</v>
      </c>
      <c r="C6" s="299">
        <f>+'[3]Atlas Air'!$GU$19</f>
        <v>0</v>
      </c>
      <c r="D6" s="192">
        <f>+'[3]Atlas Air'!$GG$19</f>
        <v>62</v>
      </c>
      <c r="E6" s="301">
        <f>(C6-D6)/D6</f>
        <v>-1</v>
      </c>
      <c r="F6" s="299">
        <f>+SUM('[3]Atlas Air'!$GP$19:$GU$19)</f>
        <v>276</v>
      </c>
      <c r="G6" s="192">
        <f>+SUM('[3]Atlas Air'!$GB$19:$GG$19)</f>
        <v>358</v>
      </c>
      <c r="H6" s="300">
        <f>(F6-G6)/G6</f>
        <v>-0.22905027932960895</v>
      </c>
      <c r="I6" s="301">
        <f>+F6/$F$33</f>
        <v>3.9221259059258204E-2</v>
      </c>
      <c r="J6" s="31"/>
      <c r="K6" s="295" t="s">
        <v>234</v>
      </c>
      <c r="L6" s="299">
        <f>+'[3]Atlas Air'!$GU$64</f>
        <v>0</v>
      </c>
      <c r="M6" s="192">
        <f>+'[3]Atlas Air'!$GG$64</f>
        <v>2070321</v>
      </c>
      <c r="N6" s="301">
        <f>(L6-M6)/M6</f>
        <v>-1</v>
      </c>
      <c r="O6" s="192">
        <f>+SUM('[3]Atlas Air'!$GP$64:$GU$64)</f>
        <v>12339789</v>
      </c>
      <c r="P6" s="192">
        <f>+SUM('[3]Atlas Air'!$GB$64:$GG$64)</f>
        <v>13083584</v>
      </c>
      <c r="Q6" s="300">
        <f>(O6-P6)/P6</f>
        <v>-5.684948405574497E-2</v>
      </c>
      <c r="R6" s="301">
        <f>O6/$O$33</f>
        <v>6.563913667569525E-2</v>
      </c>
    </row>
    <row r="7" spans="1:18" x14ac:dyDescent="0.2">
      <c r="A7" s="31"/>
      <c r="B7" s="295" t="s">
        <v>49</v>
      </c>
      <c r="C7" s="299">
        <f>+'[3]Sun Country Cargo'!$GU$19</f>
        <v>124</v>
      </c>
      <c r="D7" s="192">
        <f>+'[3]Sun Country Cargo'!$GG$19</f>
        <v>0</v>
      </c>
      <c r="E7" s="301" t="e">
        <f>(C7-D7)/D7</f>
        <v>#DIV/0!</v>
      </c>
      <c r="F7" s="299">
        <f>+SUM('[3]Sun Country Cargo'!$GP$19:$GU$19)</f>
        <v>162</v>
      </c>
      <c r="G7" s="192">
        <f>+SUM('[3]Sun Country Cargo'!$GB$19:$GG$19)</f>
        <v>0</v>
      </c>
      <c r="H7" s="300" t="e">
        <f>(F7-G7)/G7</f>
        <v>#DIV/0!</v>
      </c>
      <c r="I7" s="301">
        <f>+F7/$F$33</f>
        <v>2.3021173795651557E-2</v>
      </c>
      <c r="J7" s="31"/>
      <c r="K7" s="295" t="s">
        <v>49</v>
      </c>
      <c r="L7" s="299">
        <f>+'[3]Sun Country Cargo'!$GU$64</f>
        <v>2081845</v>
      </c>
      <c r="M7" s="192">
        <f>+'[3]Sun Country Cargo'!$GG$64</f>
        <v>0</v>
      </c>
      <c r="N7" s="301" t="e">
        <f>(L7-M7)/M7</f>
        <v>#DIV/0!</v>
      </c>
      <c r="O7" s="192">
        <f>+SUM('[3]Sun Country Cargo'!$GP$64:$GU$64)</f>
        <v>2789445</v>
      </c>
      <c r="P7" s="192">
        <f>+SUM('[3]Sun Country Cargo'!$GB$64:$GG$64)</f>
        <v>0</v>
      </c>
      <c r="Q7" s="300" t="e">
        <f>(O7-P7)/P7</f>
        <v>#DIV/0!</v>
      </c>
      <c r="R7" s="301">
        <f>O7/$O$33</f>
        <v>1.4837916726480067E-2</v>
      </c>
    </row>
    <row r="8" spans="1:18" x14ac:dyDescent="0.2">
      <c r="A8" s="31"/>
      <c r="B8" s="33"/>
      <c r="F8" s="453"/>
      <c r="I8" s="58"/>
      <c r="J8" s="367"/>
      <c r="K8" s="33"/>
      <c r="N8" s="58"/>
      <c r="R8" s="33"/>
    </row>
    <row r="9" spans="1:18" ht="14.1" customHeight="1" x14ac:dyDescent="0.2">
      <c r="A9" s="238" t="s">
        <v>235</v>
      </c>
      <c r="B9" s="33"/>
      <c r="C9" s="450">
        <f>SUM(C10:C16)</f>
        <v>134</v>
      </c>
      <c r="D9" s="450">
        <f>SUM(D10:D16)</f>
        <v>121</v>
      </c>
      <c r="E9" s="451">
        <f>(C9-D9)/D9</f>
        <v>0.10743801652892562</v>
      </c>
      <c r="F9" s="450">
        <f>SUM(F10:F16)</f>
        <v>791</v>
      </c>
      <c r="G9" s="450">
        <f>SUM(G10:G16)</f>
        <v>761</v>
      </c>
      <c r="H9" s="452">
        <f>(F9-G9)/G9</f>
        <v>3.9421813403416557E-2</v>
      </c>
      <c r="I9" s="451">
        <f>+F9/$F$33</f>
        <v>0.11240585476765667</v>
      </c>
      <c r="J9" s="238" t="s">
        <v>235</v>
      </c>
      <c r="K9" s="33"/>
      <c r="L9" s="450">
        <f>SUM(L10:L16)</f>
        <v>1400276</v>
      </c>
      <c r="M9" s="450">
        <f>SUM(M10:M16)</f>
        <v>1337349</v>
      </c>
      <c r="N9" s="451">
        <f t="shared" ref="N9:N16" si="0">(L9-M9)/M9</f>
        <v>4.7053536511411753E-2</v>
      </c>
      <c r="O9" s="450">
        <f>SUM(O10:O16)</f>
        <v>9260805</v>
      </c>
      <c r="P9" s="450">
        <f>SUM(P10:P16)</f>
        <v>8372909</v>
      </c>
      <c r="Q9" s="452">
        <f t="shared" ref="Q9:Q16" si="1">(O9-P9)/P9</f>
        <v>0.10604390899268104</v>
      </c>
      <c r="R9" s="451">
        <f t="shared" ref="R9:R16" si="2">O9/$O$33</f>
        <v>4.9261072869395253E-2</v>
      </c>
    </row>
    <row r="10" spans="1:18" ht="14.1" customHeight="1" x14ac:dyDescent="0.2">
      <c r="A10" s="238"/>
      <c r="B10" s="295" t="s">
        <v>236</v>
      </c>
      <c r="C10" s="299">
        <f>+[3]Airborne!$GU$19</f>
        <v>0</v>
      </c>
      <c r="D10" s="192">
        <f>+[3]Airborne!$GG$19</f>
        <v>1</v>
      </c>
      <c r="E10" s="301">
        <f>(C10-D10)/D10</f>
        <v>-1</v>
      </c>
      <c r="F10" s="299">
        <f>+SUM([3]Airborne!$GP$19:$GU$19)</f>
        <v>0</v>
      </c>
      <c r="G10" s="192">
        <f>+SUM([3]Airborne!$GB$19:$GG$19)</f>
        <v>2</v>
      </c>
      <c r="H10" s="300">
        <f>(F10-G10)/G10</f>
        <v>-1</v>
      </c>
      <c r="I10" s="301">
        <f t="shared" ref="I10" si="3">+F10/$F$33</f>
        <v>0</v>
      </c>
      <c r="J10" s="238"/>
      <c r="K10" s="295" t="s">
        <v>236</v>
      </c>
      <c r="L10" s="299">
        <f>+[3]Airborne!$GU$64</f>
        <v>0</v>
      </c>
      <c r="M10" s="192">
        <f>+[3]Airborne!$GG$64</f>
        <v>0</v>
      </c>
      <c r="N10" s="301" t="e">
        <f t="shared" si="0"/>
        <v>#DIV/0!</v>
      </c>
      <c r="O10" s="299">
        <f>+SUM([3]Airborne!$GP$64:$GU$64)</f>
        <v>0</v>
      </c>
      <c r="P10" s="192">
        <f>+SUM([3]Airborne!$GB$64:$GG$64)</f>
        <v>0</v>
      </c>
      <c r="Q10" s="300" t="e">
        <f t="shared" si="1"/>
        <v>#DIV/0!</v>
      </c>
      <c r="R10" s="301">
        <f t="shared" si="2"/>
        <v>0</v>
      </c>
    </row>
    <row r="11" spans="1:18" ht="14.1" customHeight="1" x14ac:dyDescent="0.2">
      <c r="A11" s="238"/>
      <c r="B11" s="33" t="s">
        <v>234</v>
      </c>
      <c r="C11" s="299">
        <f>+[3]DHL_Atlas!$GU$19</f>
        <v>4</v>
      </c>
      <c r="D11" s="192">
        <f>+[3]DHL_Atlas!$GG$19</f>
        <v>2</v>
      </c>
      <c r="E11" s="301">
        <f t="shared" ref="E11:E16" si="4">(C11-D11)/D11</f>
        <v>1</v>
      </c>
      <c r="F11" s="299">
        <f>+SUM([3]DHL_Atlas!$GP$19:$GU$19)</f>
        <v>6</v>
      </c>
      <c r="G11" s="192">
        <f>+SUM([3]DHL_Atlas!$GB$19:$GG$19)</f>
        <v>6</v>
      </c>
      <c r="H11" s="300">
        <f t="shared" ref="H11:H16" si="5">(F11-G11)/G11</f>
        <v>0</v>
      </c>
      <c r="I11" s="301">
        <f>+F11/$F$33</f>
        <v>8.5263606650561323E-4</v>
      </c>
      <c r="J11" s="238"/>
      <c r="K11" s="33" t="s">
        <v>234</v>
      </c>
      <c r="L11" s="299">
        <f>+[3]DHL_Atlas!$GU$64</f>
        <v>125645</v>
      </c>
      <c r="M11" s="192">
        <f>+[3]DHL_Atlas!$GG$64</f>
        <v>42928</v>
      </c>
      <c r="N11" s="301">
        <f t="shared" si="0"/>
        <v>1.9268775624301155</v>
      </c>
      <c r="O11" s="299">
        <f>+SUM([3]DHL_Atlas!$GP$64:$GU$64)</f>
        <v>186366</v>
      </c>
      <c r="P11" s="192">
        <f>+SUM([3]DHL_Atlas!$GB$64:$GG$64)</f>
        <v>84668</v>
      </c>
      <c r="Q11" s="300">
        <f t="shared" si="1"/>
        <v>1.2011385647470119</v>
      </c>
      <c r="R11" s="301">
        <f t="shared" si="2"/>
        <v>9.9133812950145429E-4</v>
      </c>
    </row>
    <row r="12" spans="1:18" ht="14.1" customHeight="1" x14ac:dyDescent="0.2">
      <c r="A12" s="238"/>
      <c r="B12" s="33" t="s">
        <v>237</v>
      </c>
      <c r="C12" s="299">
        <f>+[3]DHL!$GU$19</f>
        <v>0</v>
      </c>
      <c r="D12" s="192">
        <f>+[3]DHL!$GG$19</f>
        <v>0</v>
      </c>
      <c r="E12" s="301" t="e">
        <f t="shared" si="4"/>
        <v>#DIV/0!</v>
      </c>
      <c r="F12" s="299">
        <f>+SUM([3]DHL!$GP$19:$GU$19)</f>
        <v>163</v>
      </c>
      <c r="G12" s="192">
        <f>+SUM([3]DHL!$GB$19:$GG$19)</f>
        <v>0</v>
      </c>
      <c r="H12" s="300" t="e">
        <f t="shared" si="5"/>
        <v>#DIV/0!</v>
      </c>
      <c r="I12" s="301">
        <f>+F12/$F$33</f>
        <v>2.3163279806735826E-2</v>
      </c>
      <c r="J12" s="238"/>
      <c r="K12" s="33" t="s">
        <v>237</v>
      </c>
      <c r="L12" s="299">
        <f>+[3]DHL!$GU$64</f>
        <v>0</v>
      </c>
      <c r="M12" s="192">
        <f>+[3]DHL!$GG$64</f>
        <v>0</v>
      </c>
      <c r="N12" s="301" t="e">
        <f t="shared" si="0"/>
        <v>#DIV/0!</v>
      </c>
      <c r="O12" s="299">
        <f>+SUM([3]DHL!$GP$64:$GU$64)</f>
        <v>5299897</v>
      </c>
      <c r="P12" s="192">
        <f>+SUM([3]DHL!$GB$64:$GG$64)</f>
        <v>0</v>
      </c>
      <c r="Q12" s="300" t="e">
        <f t="shared" si="1"/>
        <v>#DIV/0!</v>
      </c>
      <c r="R12" s="301">
        <f t="shared" si="2"/>
        <v>2.8191783793880692E-2</v>
      </c>
    </row>
    <row r="13" spans="1:18" ht="14.1" customHeight="1" x14ac:dyDescent="0.2">
      <c r="A13" s="238"/>
      <c r="B13" s="33" t="s">
        <v>210</v>
      </c>
      <c r="C13" s="299">
        <f>+[3]Encore!$GU$19+[3]DHL_Encore!$GU$12</f>
        <v>90</v>
      </c>
      <c r="D13" s="192">
        <f>+[3]Encore!$GG$19+[3]DHL_Encore!$GG$19</f>
        <v>82</v>
      </c>
      <c r="E13" s="301">
        <f t="shared" si="4"/>
        <v>9.7560975609756101E-2</v>
      </c>
      <c r="F13" s="299">
        <f>+SUM([3]Encore!$GP$19:$GU$19)+SUM([3]DHL_Encore!$GP$19:$GU$19)</f>
        <v>510</v>
      </c>
      <c r="G13" s="192">
        <f>+SUM([3]Encore!$GB$19:$GG$19)+SUM([3]DHL_Encore!$GB$19:$GG$19)</f>
        <v>507</v>
      </c>
      <c r="H13" s="300">
        <f t="shared" si="5"/>
        <v>5.9171597633136093E-3</v>
      </c>
      <c r="I13" s="301">
        <f t="shared" ref="I13:I16" si="6">+F13/$F$33</f>
        <v>7.2474065652977121E-2</v>
      </c>
      <c r="J13" s="238"/>
      <c r="K13" s="33" t="s">
        <v>210</v>
      </c>
      <c r="L13" s="299">
        <f>+[3]Encore!$GU$64+[3]DHL_Encore!$GU$64</f>
        <v>126727</v>
      </c>
      <c r="M13" s="192">
        <f>+[3]Encore!$GG$64+[3]DHL_Encore!$GG$64</f>
        <v>91931</v>
      </c>
      <c r="N13" s="301">
        <f t="shared" si="0"/>
        <v>0.37850126725478894</v>
      </c>
      <c r="O13" s="299">
        <f>+SUM([3]Encore!$GP$64:$GU$64)+SUM([3]DHL_Encore!$GP$64:$GU$64)</f>
        <v>727179</v>
      </c>
      <c r="P13" s="192">
        <f>+SUM([3]Encore!$GB$64:$GG$64)+SUM([3]DHL_Encore!$GB$64:$GG$64)</f>
        <v>612151</v>
      </c>
      <c r="Q13" s="300">
        <f t="shared" si="1"/>
        <v>0.18790788547270199</v>
      </c>
      <c r="R13" s="301">
        <f t="shared" si="2"/>
        <v>3.868088973700879E-3</v>
      </c>
    </row>
    <row r="14" spans="1:18" ht="14.1" customHeight="1" x14ac:dyDescent="0.2">
      <c r="A14" s="238"/>
      <c r="B14" s="33" t="s">
        <v>238</v>
      </c>
      <c r="C14" s="299">
        <f>+[3]DHL_Kalitta!$GU$19</f>
        <v>0</v>
      </c>
      <c r="D14" s="192">
        <f>+[3]DHL_Kalitta!$GG$19</f>
        <v>36</v>
      </c>
      <c r="E14" s="301">
        <f t="shared" si="4"/>
        <v>-1</v>
      </c>
      <c r="F14" s="299">
        <f>+SUM([3]DHL_Kalitta!$GP$19:$GU$19)</f>
        <v>34</v>
      </c>
      <c r="G14" s="192">
        <f>+SUM([3]DHL_Kalitta!$GB$19:$GG$19)</f>
        <v>246</v>
      </c>
      <c r="H14" s="300">
        <f t="shared" si="5"/>
        <v>-0.86178861788617889</v>
      </c>
      <c r="I14" s="301">
        <f>+F14/$F$33</f>
        <v>4.8316043768651413E-3</v>
      </c>
      <c r="J14" s="238"/>
      <c r="K14" s="33" t="s">
        <v>238</v>
      </c>
      <c r="L14" s="299">
        <f>+[3]DHL_Kalitta!$GU$64</f>
        <v>0</v>
      </c>
      <c r="M14" s="192">
        <f>+[3]DHL_Kalitta!$GG$64</f>
        <v>1202490</v>
      </c>
      <c r="N14" s="301">
        <f t="shared" si="0"/>
        <v>-1</v>
      </c>
      <c r="O14" s="299">
        <f>+SUM([3]DHL_Kalitta!$GP$64:$GU$64)</f>
        <v>835987</v>
      </c>
      <c r="P14" s="192">
        <f>+SUM([3]DHL_Kalitta!$GB$64:$GG$64)</f>
        <v>7676090</v>
      </c>
      <c r="Q14" s="300">
        <f t="shared" si="1"/>
        <v>-0.8910920794310645</v>
      </c>
      <c r="R14" s="301">
        <f t="shared" si="2"/>
        <v>4.4468722238366022E-3</v>
      </c>
    </row>
    <row r="15" spans="1:18" ht="14.1" customHeight="1" x14ac:dyDescent="0.2">
      <c r="A15" s="238"/>
      <c r="B15" s="33" t="s">
        <v>239</v>
      </c>
      <c r="C15" s="299">
        <f>+[3]DHL_Southair!$GU$19</f>
        <v>0</v>
      </c>
      <c r="D15" s="192">
        <f>+[3]DHL_Southair!$GG$19</f>
        <v>0</v>
      </c>
      <c r="E15" s="301" t="e">
        <f t="shared" si="4"/>
        <v>#DIV/0!</v>
      </c>
      <c r="F15" s="299">
        <f>+SUM([3]DHL_Southair!$GP$19:$GU$19)</f>
        <v>0</v>
      </c>
      <c r="G15" s="192">
        <f>+SUM([3]DHL_Southair!$GB$19:$GG$19)</f>
        <v>0</v>
      </c>
      <c r="H15" s="300" t="e">
        <f t="shared" si="5"/>
        <v>#DIV/0!</v>
      </c>
      <c r="I15" s="301">
        <f>+F15/$F$33</f>
        <v>0</v>
      </c>
      <c r="J15" s="238"/>
      <c r="K15" s="33" t="s">
        <v>239</v>
      </c>
      <c r="L15" s="299">
        <f>+[3]DHL_Southair!$GU$64</f>
        <v>0</v>
      </c>
      <c r="M15" s="192">
        <f>+[3]DHL_Southair!$GG$64</f>
        <v>0</v>
      </c>
      <c r="N15" s="301" t="e">
        <f t="shared" si="0"/>
        <v>#DIV/0!</v>
      </c>
      <c r="O15" s="299">
        <f>+SUM([3]DHL_Southair!$GP$64:$GU$64)</f>
        <v>0</v>
      </c>
      <c r="P15" s="192">
        <f>+SUM([3]DHL_Southair!$GB$64:$GG$64)</f>
        <v>0</v>
      </c>
      <c r="Q15" s="300" t="e">
        <f t="shared" si="1"/>
        <v>#DIV/0!</v>
      </c>
      <c r="R15" s="301">
        <f t="shared" si="2"/>
        <v>0</v>
      </c>
    </row>
    <row r="16" spans="1:18" ht="14.1" customHeight="1" x14ac:dyDescent="0.2">
      <c r="A16" s="238"/>
      <c r="B16" s="33" t="s">
        <v>240</v>
      </c>
      <c r="C16" s="299">
        <f>+[3]DHL_Swift!$GU$19</f>
        <v>40</v>
      </c>
      <c r="D16" s="192">
        <f>+[3]DHL_Swift!$GG$19</f>
        <v>0</v>
      </c>
      <c r="E16" s="301" t="e">
        <f t="shared" si="4"/>
        <v>#DIV/0!</v>
      </c>
      <c r="F16" s="299">
        <f>+SUM([3]DHL_Swift!$GP$19:$GU$19)</f>
        <v>78</v>
      </c>
      <c r="G16" s="192">
        <f>+SUM([3]DHL_Swift!$GB$19:$GG$19)</f>
        <v>0</v>
      </c>
      <c r="H16" s="300" t="e">
        <f t="shared" si="5"/>
        <v>#DIV/0!</v>
      </c>
      <c r="I16" s="301">
        <f t="shared" si="6"/>
        <v>1.1084268864572972E-2</v>
      </c>
      <c r="J16" s="238"/>
      <c r="K16" s="33" t="s">
        <v>240</v>
      </c>
      <c r="L16" s="299">
        <f>+[3]DHL_Swift!$GU$64</f>
        <v>1147904</v>
      </c>
      <c r="M16" s="192">
        <f>+[3]DHL_Swift!$GG$64</f>
        <v>0</v>
      </c>
      <c r="N16" s="301" t="e">
        <f t="shared" si="0"/>
        <v>#DIV/0!</v>
      </c>
      <c r="O16" s="299">
        <f>+SUM([3]DHL_Swift!$GP$64:$GU$64)</f>
        <v>2211376</v>
      </c>
      <c r="P16" s="192">
        <f>+SUM([3]DHL_Swift!$GB$64:$GG$64)</f>
        <v>0</v>
      </c>
      <c r="Q16" s="300" t="e">
        <f t="shared" si="1"/>
        <v>#DIV/0!</v>
      </c>
      <c r="R16" s="301">
        <f t="shared" si="2"/>
        <v>1.1762989748475623E-2</v>
      </c>
    </row>
    <row r="17" spans="1:19" ht="14.1" customHeight="1" x14ac:dyDescent="0.2">
      <c r="A17" s="238"/>
      <c r="B17" s="33"/>
      <c r="C17" s="239"/>
      <c r="D17" s="115"/>
      <c r="E17" s="241"/>
      <c r="F17" s="239"/>
      <c r="G17" s="115"/>
      <c r="H17" s="240"/>
      <c r="I17" s="241"/>
      <c r="J17" s="238"/>
      <c r="K17" s="33"/>
      <c r="L17" s="242"/>
      <c r="N17" s="58"/>
      <c r="O17" s="242"/>
      <c r="P17" s="115"/>
      <c r="Q17" s="3"/>
      <c r="R17" s="58"/>
    </row>
    <row r="18" spans="1:19" ht="14.1" customHeight="1" x14ac:dyDescent="0.2">
      <c r="A18" s="238" t="s">
        <v>185</v>
      </c>
      <c r="B18" s="33"/>
      <c r="C18" s="454">
        <f>SUM(C19:C22)</f>
        <v>306</v>
      </c>
      <c r="D18" s="450">
        <f>SUM(D19:D22)</f>
        <v>326</v>
      </c>
      <c r="E18" s="451">
        <f>(C18-D18)/D18</f>
        <v>-6.1349693251533742E-2</v>
      </c>
      <c r="F18" s="454">
        <f>SUM(F19:F22)</f>
        <v>1839</v>
      </c>
      <c r="G18" s="450">
        <f>SUM(G19:G22)</f>
        <v>1940</v>
      </c>
      <c r="H18" s="452">
        <f t="shared" ref="H18:H19" si="7">(F18-G18)/G18</f>
        <v>-5.2061855670103095E-2</v>
      </c>
      <c r="I18" s="451">
        <f>+F18/$F$33</f>
        <v>0.26133295438397042</v>
      </c>
      <c r="J18" s="238" t="s">
        <v>185</v>
      </c>
      <c r="K18" s="33"/>
      <c r="L18" s="454">
        <f>SUM(L19:L22)</f>
        <v>15591179</v>
      </c>
      <c r="M18" s="450">
        <f>SUM(M19:M22)</f>
        <v>15709999</v>
      </c>
      <c r="N18" s="451">
        <f>(L18-M18)/M18</f>
        <v>-7.5633359365586206E-3</v>
      </c>
      <c r="O18" s="454">
        <f>SUM(O19:O22)</f>
        <v>94856198</v>
      </c>
      <c r="P18" s="450">
        <f>SUM(P19:P22)</f>
        <v>87418400</v>
      </c>
      <c r="Q18" s="452">
        <f t="shared" ref="Q18:Q20" si="8">(O18-P18)/P18</f>
        <v>8.5082751457359093E-2</v>
      </c>
      <c r="R18" s="451">
        <f>O18/$O$33</f>
        <v>0.50456932003122668</v>
      </c>
    </row>
    <row r="19" spans="1:19" x14ac:dyDescent="0.2">
      <c r="A19" s="31"/>
      <c r="B19" s="295" t="s">
        <v>185</v>
      </c>
      <c r="C19" s="299">
        <f>+[3]FedEx!$GU$19</f>
        <v>234</v>
      </c>
      <c r="D19" s="192">
        <f>+[3]FedEx!$GG$19</f>
        <v>252</v>
      </c>
      <c r="E19" s="301">
        <f>(C19-D19)/D19</f>
        <v>-7.1428571428571425E-2</v>
      </c>
      <c r="F19" s="299">
        <f>+SUM([3]FedEx!$GP$19:$GU$19)</f>
        <v>1392</v>
      </c>
      <c r="G19" s="192">
        <f>+SUM([3]FedEx!$GB$19:$GG$19)</f>
        <v>1534</v>
      </c>
      <c r="H19" s="300">
        <f t="shared" si="7"/>
        <v>-9.2568448500651893E-2</v>
      </c>
      <c r="I19" s="301">
        <f>+F19/$F$33</f>
        <v>0.19781156742930225</v>
      </c>
      <c r="J19" s="238"/>
      <c r="K19" s="295" t="s">
        <v>185</v>
      </c>
      <c r="L19" s="299">
        <f>+[3]FedEx!$GU$64</f>
        <v>15376219</v>
      </c>
      <c r="M19" s="192">
        <f>+[3]FedEx!$GG$64</f>
        <v>15473353</v>
      </c>
      <c r="N19" s="301">
        <f>(L19-M19)/M19</f>
        <v>-6.2775017153683501E-3</v>
      </c>
      <c r="O19" s="299">
        <f>+SUM([3]FedEx!$GP$64:$GU$64)</f>
        <v>93044591</v>
      </c>
      <c r="P19" s="192">
        <f>+SUM([3]FedEx!$GB$64:$GG$64)</f>
        <v>86510083</v>
      </c>
      <c r="Q19" s="300">
        <f t="shared" si="8"/>
        <v>7.5534640280023768E-2</v>
      </c>
      <c r="R19" s="301">
        <f>O19/$O$33</f>
        <v>0.4949328246684902</v>
      </c>
    </row>
    <row r="20" spans="1:19" x14ac:dyDescent="0.2">
      <c r="A20" s="31"/>
      <c r="B20" s="295" t="s">
        <v>241</v>
      </c>
      <c r="C20" s="299">
        <f>+'[3]Mountain Cargo'!$GU$19</f>
        <v>42</v>
      </c>
      <c r="D20" s="192">
        <f>+'[3]Mountain Cargo'!$GG$19</f>
        <v>42</v>
      </c>
      <c r="E20" s="301">
        <f>(C20-D20)/D20</f>
        <v>0</v>
      </c>
      <c r="F20" s="299">
        <f>+SUM('[3]Mountain Cargo'!$GP$19:$GU$19)</f>
        <v>258</v>
      </c>
      <c r="G20" s="192">
        <f>+SUM('[3]Mountain Cargo'!$GB$19:$GG$19)</f>
        <v>202</v>
      </c>
      <c r="H20" s="300">
        <f>(F20-G20)/G20</f>
        <v>0.27722772277227725</v>
      </c>
      <c r="I20" s="301">
        <f>+F20/$F$33</f>
        <v>3.6663350859741366E-2</v>
      </c>
      <c r="J20" s="367"/>
      <c r="K20" s="295" t="s">
        <v>241</v>
      </c>
      <c r="L20" s="299">
        <f>+'[3]Mountain Cargo'!$GU$64</f>
        <v>152330</v>
      </c>
      <c r="M20" s="192">
        <f>+'[3]Mountain Cargo'!$GG$64</f>
        <v>219108</v>
      </c>
      <c r="N20" s="301">
        <f>(L20-M20)/M20</f>
        <v>-0.30477207587125982</v>
      </c>
      <c r="O20" s="299">
        <f>+SUM('[3]Mountain Cargo'!$GP$64:$GU$64)</f>
        <v>1538033</v>
      </c>
      <c r="P20" s="192">
        <f>+SUM('[3]Mountain Cargo'!$GB$64:$GG$64)</f>
        <v>798834</v>
      </c>
      <c r="Q20" s="300">
        <f t="shared" si="8"/>
        <v>0.92534744389948353</v>
      </c>
      <c r="R20" s="301">
        <f>O20/$O$33</f>
        <v>8.1812710329754908E-3</v>
      </c>
    </row>
    <row r="21" spans="1:19" x14ac:dyDescent="0.2">
      <c r="A21" s="31"/>
      <c r="B21" s="295" t="s">
        <v>178</v>
      </c>
      <c r="C21" s="299">
        <f>+[3]IFL!$GU$19</f>
        <v>30</v>
      </c>
      <c r="D21" s="192">
        <f>+[3]IFL!$GG$19</f>
        <v>32</v>
      </c>
      <c r="E21" s="301">
        <f>(C21-D21)/D21</f>
        <v>-6.25E-2</v>
      </c>
      <c r="F21" s="299">
        <f>+SUM([3]IFL!$GP$19:$GU$19)</f>
        <v>189</v>
      </c>
      <c r="G21" s="192">
        <f>+SUM([3]IFL!$GB$19:$GG$19)</f>
        <v>195</v>
      </c>
      <c r="H21" s="300">
        <f>(F21-G21)/G21</f>
        <v>-3.0769230769230771E-2</v>
      </c>
      <c r="I21" s="301">
        <f>+F21/$F$33</f>
        <v>2.6858036094926815E-2</v>
      </c>
      <c r="J21" s="367"/>
      <c r="K21" s="295" t="s">
        <v>178</v>
      </c>
      <c r="L21" s="299">
        <f>+[3]IFL!$GU$64</f>
        <v>62630</v>
      </c>
      <c r="M21" s="192">
        <f>+[3]IFL!$GG$64</f>
        <v>17538</v>
      </c>
      <c r="N21" s="301">
        <f>(L21-M21)/M21</f>
        <v>2.5711027483179381</v>
      </c>
      <c r="O21" s="299">
        <f>+SUM([3]IFL!$GP$64:$GU$64)</f>
        <v>273574</v>
      </c>
      <c r="P21" s="192">
        <f>+SUM([3]IFL!$GB$64:$GG$64)</f>
        <v>99797</v>
      </c>
      <c r="Q21" s="300">
        <f>(O21-P21)/P21</f>
        <v>1.7413048488431515</v>
      </c>
      <c r="R21" s="301">
        <f>O21/$O$33</f>
        <v>1.455224329760959E-3</v>
      </c>
    </row>
    <row r="22" spans="1:19" ht="14.1" customHeight="1" x14ac:dyDescent="0.2">
      <c r="A22" s="238"/>
      <c r="B22" s="295" t="s">
        <v>85</v>
      </c>
      <c r="C22" s="299">
        <f>+'[3]CSA Air'!$GU$19</f>
        <v>0</v>
      </c>
      <c r="D22" s="192">
        <f>+'[3]CSA Air'!$GG$19</f>
        <v>0</v>
      </c>
      <c r="E22" s="301" t="e">
        <f>(C22-D22)/D22</f>
        <v>#DIV/0!</v>
      </c>
      <c r="F22" s="299">
        <f>+SUM('[3]CSA Air'!$GP$19:$GU$19)</f>
        <v>0</v>
      </c>
      <c r="G22" s="192">
        <f>+SUM('[3]CSA Air'!$GB$19:$GG$19)</f>
        <v>9</v>
      </c>
      <c r="H22" s="300">
        <f t="shared" ref="H22" si="9">(F22-G22)/G22</f>
        <v>-1</v>
      </c>
      <c r="I22" s="301">
        <f>+F22/$F$33</f>
        <v>0</v>
      </c>
      <c r="J22" s="238"/>
      <c r="K22" s="295" t="s">
        <v>85</v>
      </c>
      <c r="L22" s="299">
        <f>+'[3]CSA Air'!$GU$64</f>
        <v>0</v>
      </c>
      <c r="M22" s="192">
        <f>+'[3]CSA Air'!$GG$64</f>
        <v>0</v>
      </c>
      <c r="N22" s="301" t="e">
        <f>(L22-M22)/M22</f>
        <v>#DIV/0!</v>
      </c>
      <c r="O22" s="299">
        <f>+SUM('[3]CSA Air'!$GP$64:$GU$64)</f>
        <v>0</v>
      </c>
      <c r="P22" s="192">
        <f>+SUM('[3]CSA Air'!$GB$64:$GG$64)</f>
        <v>9686</v>
      </c>
      <c r="Q22" s="300">
        <f t="shared" ref="Q22" si="10">(O22-P22)/P22</f>
        <v>-1</v>
      </c>
      <c r="R22" s="301">
        <f>O22/$O$33</f>
        <v>0</v>
      </c>
    </row>
    <row r="23" spans="1:19" ht="14.1" customHeight="1" x14ac:dyDescent="0.2">
      <c r="A23" s="238"/>
      <c r="B23" s="33"/>
      <c r="C23" s="239"/>
      <c r="D23" s="115"/>
      <c r="E23" s="241"/>
      <c r="F23" s="239"/>
      <c r="G23" s="115"/>
      <c r="H23" s="240"/>
      <c r="I23" s="241"/>
      <c r="J23" s="238"/>
      <c r="K23" s="33"/>
      <c r="L23" s="242"/>
      <c r="N23" s="58"/>
      <c r="O23" s="242"/>
      <c r="P23" s="115"/>
      <c r="Q23" s="3"/>
      <c r="R23" s="58"/>
    </row>
    <row r="24" spans="1:19" ht="14.1" customHeight="1" x14ac:dyDescent="0.2">
      <c r="A24" s="238"/>
      <c r="B24" s="33"/>
      <c r="C24" s="239"/>
      <c r="D24" s="115"/>
      <c r="E24" s="241"/>
      <c r="F24" s="239"/>
      <c r="G24" s="115"/>
      <c r="H24" s="240"/>
      <c r="I24" s="241"/>
      <c r="J24" s="238"/>
      <c r="K24" s="33"/>
      <c r="L24" s="242"/>
      <c r="N24" s="58"/>
      <c r="O24" s="242"/>
      <c r="P24" s="2"/>
      <c r="Q24" s="3"/>
      <c r="R24" s="58"/>
    </row>
    <row r="25" spans="1:19" ht="14.1" customHeight="1" x14ac:dyDescent="0.2">
      <c r="A25" s="238" t="s">
        <v>83</v>
      </c>
      <c r="B25" s="33"/>
      <c r="C25" s="450">
        <f>SUM(C26:C27)</f>
        <v>670</v>
      </c>
      <c r="D25" s="450">
        <f>SUM(D26:D27)</f>
        <v>644</v>
      </c>
      <c r="E25" s="451">
        <f>(C25-D25)/D25</f>
        <v>4.0372670807453416E-2</v>
      </c>
      <c r="F25" s="450">
        <f>SUM(F26:F27)</f>
        <v>3960</v>
      </c>
      <c r="G25" s="450">
        <f>SUM(G26:G27)</f>
        <v>3942</v>
      </c>
      <c r="H25" s="452">
        <f>(F25-G25)/G25</f>
        <v>4.5662100456621002E-3</v>
      </c>
      <c r="I25" s="451">
        <f>+F25/$F$33</f>
        <v>0.5627398038937047</v>
      </c>
      <c r="J25" s="238" t="s">
        <v>83</v>
      </c>
      <c r="K25" s="33"/>
      <c r="L25" s="450">
        <f>SUM(L26:L27)</f>
        <v>12302785</v>
      </c>
      <c r="M25" s="450">
        <f>SUM(M26:M27)</f>
        <v>13023012</v>
      </c>
      <c r="N25" s="451">
        <f>(L25-M25)/M25</f>
        <v>-5.5304180016113015E-2</v>
      </c>
      <c r="O25" s="450">
        <f>SUM(O26:O27)</f>
        <v>68483451</v>
      </c>
      <c r="P25" s="450">
        <f>SUM(P26:P27)</f>
        <v>69057536</v>
      </c>
      <c r="Q25" s="452">
        <f>(O25-P25)/P25</f>
        <v>-8.3131405093862607E-3</v>
      </c>
      <c r="R25" s="451">
        <f>O25/$O$33</f>
        <v>0.36428455950197192</v>
      </c>
    </row>
    <row r="26" spans="1:19" ht="14.1" customHeight="1" x14ac:dyDescent="0.2">
      <c r="A26" s="238"/>
      <c r="B26" s="295" t="s">
        <v>83</v>
      </c>
      <c r="C26" s="299">
        <f>+[3]UPS!$GU$19</f>
        <v>276</v>
      </c>
      <c r="D26" s="192">
        <f>+[3]UPS!$GG$19</f>
        <v>276</v>
      </c>
      <c r="E26" s="301">
        <f>(C26-D26)/D26</f>
        <v>0</v>
      </c>
      <c r="F26" s="299">
        <f>+SUM([3]UPS!$GP$19:$GU$19)</f>
        <v>1608</v>
      </c>
      <c r="G26" s="192">
        <f>+SUM([3]UPS!$GB$19:$GG$19)</f>
        <v>1646</v>
      </c>
      <c r="H26" s="300">
        <f>(F26-G26)/G26</f>
        <v>-2.3086269744835967E-2</v>
      </c>
      <c r="I26" s="301">
        <f>+F26/$F$33</f>
        <v>0.22850646582350434</v>
      </c>
      <c r="J26" s="238"/>
      <c r="K26" s="295" t="s">
        <v>83</v>
      </c>
      <c r="L26" s="299">
        <f>+[3]UPS!$GU$64</f>
        <v>12302785</v>
      </c>
      <c r="M26" s="192">
        <f>+[3]UPS!$GG$64</f>
        <v>13023012</v>
      </c>
      <c r="N26" s="301">
        <f>(L26-M26)/M26</f>
        <v>-5.5304180016113015E-2</v>
      </c>
      <c r="O26" s="299">
        <f>+SUM([3]UPS!$GP$64:$GU$64)</f>
        <v>68483451</v>
      </c>
      <c r="P26" s="192">
        <f>+SUM([3]UPS!$GB$64:$GG$64)</f>
        <v>69057536</v>
      </c>
      <c r="Q26" s="300">
        <f>(O26-P26)/P26</f>
        <v>-8.3131405093862607E-3</v>
      </c>
      <c r="R26" s="301">
        <f>O26/$O$33</f>
        <v>0.36428455950197192</v>
      </c>
    </row>
    <row r="27" spans="1:19" ht="14.1" customHeight="1" x14ac:dyDescent="0.2">
      <c r="A27" s="238"/>
      <c r="B27" s="295" t="s">
        <v>84</v>
      </c>
      <c r="C27" s="299">
        <f>+[3]Bemidji!$GU$19</f>
        <v>394</v>
      </c>
      <c r="D27" s="192">
        <f>+[3]Bemidji!$GG$19</f>
        <v>368</v>
      </c>
      <c r="E27" s="301">
        <f>(C27-D27)/D27</f>
        <v>7.0652173913043473E-2</v>
      </c>
      <c r="F27" s="299">
        <f>+SUM([3]Bemidji!$GP$19:$GU$19)</f>
        <v>2352</v>
      </c>
      <c r="G27" s="192">
        <f>+SUM([3]Bemidji!$GB$19:$GG$19)</f>
        <v>2296</v>
      </c>
      <c r="H27" s="300">
        <f t="shared" ref="H27" si="11">(F27-G27)/G27</f>
        <v>2.4390243902439025E-2</v>
      </c>
      <c r="I27" s="301">
        <f>+F27/$F$33</f>
        <v>0.33423333807020039</v>
      </c>
      <c r="J27" s="238"/>
      <c r="K27" s="295" t="s">
        <v>84</v>
      </c>
      <c r="L27" s="478" t="s">
        <v>188</v>
      </c>
      <c r="M27" s="479"/>
      <c r="N27" s="479"/>
      <c r="O27" s="479"/>
      <c r="P27" s="479"/>
      <c r="Q27" s="479"/>
      <c r="R27" s="480"/>
    </row>
    <row r="28" spans="1:19" ht="14.1" customHeight="1" x14ac:dyDescent="0.2">
      <c r="A28" s="31"/>
      <c r="B28" s="33"/>
      <c r="C28" s="239"/>
      <c r="E28" s="58"/>
      <c r="F28" s="242"/>
      <c r="I28" s="58"/>
      <c r="J28" s="31"/>
      <c r="K28" s="33"/>
      <c r="L28" s="242"/>
      <c r="N28" s="58"/>
      <c r="O28" s="242"/>
      <c r="P28" s="2"/>
      <c r="Q28" s="3"/>
      <c r="R28" s="58"/>
    </row>
    <row r="29" spans="1:19" ht="14.1" customHeight="1" x14ac:dyDescent="0.2">
      <c r="A29" s="238" t="s">
        <v>128</v>
      </c>
      <c r="B29" s="33"/>
      <c r="C29" s="454">
        <f>+'[3]Misc Cargo'!$GU$19</f>
        <v>0</v>
      </c>
      <c r="D29" s="450">
        <f>+'[3]Misc Cargo'!$GG$19</f>
        <v>2</v>
      </c>
      <c r="E29" s="451">
        <f>(C29-D29)/D29</f>
        <v>-1</v>
      </c>
      <c r="F29" s="454">
        <f>+SUM('[3]Misc Cargo'!$GP$19:$GU$19)</f>
        <v>9</v>
      </c>
      <c r="G29" s="450">
        <f>+SUM('[3]Misc Cargo'!$GB$19:$GG$19)</f>
        <v>2</v>
      </c>
      <c r="H29" s="452">
        <f>(F29-G29)/G29</f>
        <v>3.5</v>
      </c>
      <c r="I29" s="451">
        <f>+F29/$F$33</f>
        <v>1.2789540997584197E-3</v>
      </c>
      <c r="J29" s="238" t="s">
        <v>128</v>
      </c>
      <c r="K29" s="33"/>
      <c r="L29" s="454">
        <f>+'[3]Misc Cargo'!$GU$64</f>
        <v>0</v>
      </c>
      <c r="M29" s="450">
        <f>+'[3]Misc Cargo'!$GG$64</f>
        <v>29717</v>
      </c>
      <c r="N29" s="451">
        <f>(L29-M29)/M29</f>
        <v>-1</v>
      </c>
      <c r="O29" s="454">
        <f>+SUM('[3]Misc Cargo'!$GP$64:$GU$64)</f>
        <v>264695</v>
      </c>
      <c r="P29" s="450">
        <f>+SUM('[3]Misc Cargo'!$GB$64:$GG$64)</f>
        <v>29717</v>
      </c>
      <c r="Q29" s="452">
        <f>(O29-P29)/P29</f>
        <v>7.9071911700373523</v>
      </c>
      <c r="R29" s="451">
        <f>O29/$O$33</f>
        <v>1.4079941952308225E-3</v>
      </c>
      <c r="S29" s="322"/>
    </row>
    <row r="30" spans="1:19" ht="14.1" customHeight="1" x14ac:dyDescent="0.2">
      <c r="A30" s="31"/>
      <c r="B30" s="33"/>
      <c r="C30" s="239"/>
      <c r="E30" s="58"/>
      <c r="F30" s="242"/>
      <c r="I30" s="58"/>
      <c r="J30" s="31"/>
      <c r="K30" s="33"/>
      <c r="L30" s="242"/>
      <c r="N30" s="58"/>
      <c r="O30" s="242"/>
      <c r="P30" s="2"/>
      <c r="Q30" s="3"/>
      <c r="R30" s="58"/>
    </row>
    <row r="31" spans="1:19" ht="14.1" customHeight="1" thickBot="1" x14ac:dyDescent="0.25">
      <c r="A31" s="323"/>
      <c r="B31" s="324"/>
      <c r="C31" s="325"/>
      <c r="D31" s="327"/>
      <c r="E31" s="328"/>
      <c r="F31" s="325"/>
      <c r="G31" s="327"/>
      <c r="H31" s="326"/>
      <c r="I31" s="328"/>
      <c r="J31" s="238"/>
      <c r="K31" s="33"/>
      <c r="L31" s="245"/>
      <c r="M31" s="247"/>
      <c r="N31" s="248"/>
      <c r="O31" s="245"/>
      <c r="P31" s="247"/>
      <c r="Q31" s="246"/>
      <c r="R31" s="324"/>
      <c r="S31" s="322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329" t="s">
        <v>186</v>
      </c>
      <c r="C33" s="330">
        <f>+C29+C25+C18+C9+C5</f>
        <v>1234</v>
      </c>
      <c r="D33" s="330">
        <f>+D29+D25+D18+D9+D5</f>
        <v>1155</v>
      </c>
      <c r="E33" s="331">
        <f>(C33-D33)/D33</f>
        <v>6.8398268398268403E-2</v>
      </c>
      <c r="F33" s="330">
        <f>+F29+F25+F18+F9+F5</f>
        <v>7037</v>
      </c>
      <c r="G33" s="330">
        <f>+G29+G25+G18+G9+G5</f>
        <v>7003</v>
      </c>
      <c r="H33" s="332">
        <f>(F33-G33)/G33</f>
        <v>4.8550621162358988E-3</v>
      </c>
      <c r="I33" s="344"/>
      <c r="J33"/>
      <c r="K33" s="329" t="s">
        <v>186</v>
      </c>
      <c r="L33" s="330">
        <f>+L29+L25+L18+L9+L5</f>
        <v>31376085</v>
      </c>
      <c r="M33" s="330">
        <f>+M29+M25+M18+M9+M5</f>
        <v>32170398</v>
      </c>
      <c r="N33" s="333">
        <f>(L33-M33)/M33</f>
        <v>-2.4690804260488166E-2</v>
      </c>
      <c r="O33" s="330">
        <f>+O29+O25+O18+O9+O5</f>
        <v>187994383</v>
      </c>
      <c r="P33" s="330">
        <f>+P29+P25+P18+P9+P5</f>
        <v>177962146</v>
      </c>
      <c r="Q33" s="332">
        <f t="shared" ref="Q33" si="12">(O33-P33)/P33</f>
        <v>5.637287044178485E-2</v>
      </c>
      <c r="R33" s="344"/>
    </row>
    <row r="34" spans="2:18" x14ac:dyDescent="0.2">
      <c r="D34" s="3"/>
      <c r="F34"/>
      <c r="G34"/>
      <c r="H34"/>
      <c r="I34"/>
      <c r="J34"/>
      <c r="K34"/>
      <c r="L34"/>
      <c r="M34"/>
      <c r="N34"/>
    </row>
    <row r="35" spans="2:18" x14ac:dyDescent="0.2">
      <c r="D35" s="3"/>
      <c r="F35"/>
      <c r="G35"/>
      <c r="H35"/>
      <c r="I35"/>
      <c r="J35"/>
      <c r="K35"/>
      <c r="L35"/>
      <c r="M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F103" s="142"/>
      <c r="K103"/>
    </row>
    <row r="104" spans="4:14" x14ac:dyDescent="0.2">
      <c r="F104" s="142"/>
      <c r="K104"/>
    </row>
    <row r="105" spans="4:14" x14ac:dyDescent="0.2">
      <c r="F105" s="142"/>
      <c r="K105"/>
    </row>
    <row r="106" spans="4:14" x14ac:dyDescent="0.2">
      <c r="F106" s="142"/>
      <c r="K106"/>
    </row>
    <row r="107" spans="4:14" x14ac:dyDescent="0.2">
      <c r="F107" s="142"/>
      <c r="K107"/>
    </row>
    <row r="108" spans="4:14" x14ac:dyDescent="0.2">
      <c r="F108" s="142"/>
      <c r="K108"/>
    </row>
    <row r="109" spans="4:14" x14ac:dyDescent="0.2">
      <c r="F109" s="142"/>
      <c r="K109"/>
    </row>
    <row r="110" spans="4:14" x14ac:dyDescent="0.2">
      <c r="F110" s="142"/>
      <c r="K110"/>
    </row>
    <row r="111" spans="4:14" x14ac:dyDescent="0.2">
      <c r="F111" s="142"/>
      <c r="K111"/>
    </row>
    <row r="112" spans="4:14" x14ac:dyDescent="0.2">
      <c r="F112" s="142"/>
      <c r="K112"/>
    </row>
    <row r="113" spans="6:11" x14ac:dyDescent="0.2">
      <c r="F113" s="142"/>
      <c r="K113"/>
    </row>
    <row r="114" spans="6:11" x14ac:dyDescent="0.2">
      <c r="F114" s="142"/>
      <c r="K114"/>
    </row>
    <row r="115" spans="6:11" x14ac:dyDescent="0.2">
      <c r="F115" s="142"/>
      <c r="K115"/>
    </row>
    <row r="116" spans="6:11" x14ac:dyDescent="0.2">
      <c r="F116" s="142"/>
      <c r="K116"/>
    </row>
    <row r="117" spans="6:11" x14ac:dyDescent="0.2">
      <c r="F117" s="142"/>
      <c r="K117"/>
    </row>
    <row r="118" spans="6:11" x14ac:dyDescent="0.2">
      <c r="F118" s="142"/>
      <c r="K118"/>
    </row>
    <row r="119" spans="6:11" x14ac:dyDescent="0.2">
      <c r="F119" s="142"/>
      <c r="K119"/>
    </row>
    <row r="120" spans="6:11" x14ac:dyDescent="0.2">
      <c r="F120" s="142"/>
      <c r="K120"/>
    </row>
    <row r="121" spans="6:11" x14ac:dyDescent="0.2">
      <c r="F121" s="142"/>
      <c r="K121"/>
    </row>
    <row r="122" spans="6:11" x14ac:dyDescent="0.2">
      <c r="F122" s="142"/>
      <c r="K122"/>
    </row>
    <row r="123" spans="6:11" x14ac:dyDescent="0.2">
      <c r="F123" s="142"/>
      <c r="K123"/>
    </row>
    <row r="124" spans="6:11" x14ac:dyDescent="0.2">
      <c r="F124" s="142"/>
      <c r="K124"/>
    </row>
    <row r="125" spans="6:11" x14ac:dyDescent="0.2">
      <c r="F125" s="142"/>
      <c r="K125"/>
    </row>
    <row r="126" spans="6:11" x14ac:dyDescent="0.2">
      <c r="F126" s="142"/>
      <c r="K126"/>
    </row>
    <row r="127" spans="6:11" x14ac:dyDescent="0.2">
      <c r="F127" s="142"/>
      <c r="K127"/>
    </row>
    <row r="128" spans="6:11" x14ac:dyDescent="0.2">
      <c r="F128" s="142"/>
      <c r="K128"/>
    </row>
    <row r="129" spans="6:11" x14ac:dyDescent="0.2">
      <c r="F129" s="142"/>
      <c r="K129"/>
    </row>
    <row r="130" spans="6:11" x14ac:dyDescent="0.2">
      <c r="F130" s="142"/>
      <c r="K130"/>
    </row>
    <row r="131" spans="6:11" x14ac:dyDescent="0.2">
      <c r="F131" s="142"/>
      <c r="K131"/>
    </row>
    <row r="132" spans="6:11" x14ac:dyDescent="0.2">
      <c r="F132" s="142"/>
      <c r="K132"/>
    </row>
    <row r="133" spans="6:11" x14ac:dyDescent="0.2">
      <c r="F133" s="142"/>
      <c r="K133"/>
    </row>
    <row r="134" spans="6:11" x14ac:dyDescent="0.2">
      <c r="F134" s="142"/>
      <c r="K134"/>
    </row>
    <row r="135" spans="6:11" x14ac:dyDescent="0.2">
      <c r="F135" s="142"/>
      <c r="K135"/>
    </row>
    <row r="136" spans="6:11" x14ac:dyDescent="0.2">
      <c r="F136" s="142"/>
      <c r="K136"/>
    </row>
    <row r="137" spans="6:11" x14ac:dyDescent="0.2">
      <c r="F137" s="142"/>
      <c r="K137"/>
    </row>
    <row r="138" spans="6:11" x14ac:dyDescent="0.2">
      <c r="F138" s="142"/>
      <c r="K138"/>
    </row>
    <row r="139" spans="6:11" x14ac:dyDescent="0.2">
      <c r="F139" s="142"/>
      <c r="K139"/>
    </row>
    <row r="140" spans="6:11" x14ac:dyDescent="0.2">
      <c r="F140" s="142"/>
      <c r="K140"/>
    </row>
    <row r="141" spans="6:11" x14ac:dyDescent="0.2">
      <c r="F141" s="142"/>
      <c r="K141"/>
    </row>
    <row r="142" spans="6:11" x14ac:dyDescent="0.2">
      <c r="F142" s="142"/>
      <c r="K142"/>
    </row>
    <row r="143" spans="6:11" x14ac:dyDescent="0.2">
      <c r="F143" s="142"/>
      <c r="K143"/>
    </row>
    <row r="144" spans="6:11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</sheetData>
  <mergeCells count="7">
    <mergeCell ref="L27:R27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June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2020-04-09T16:45:55Z</cp:lastPrinted>
  <dcterms:created xsi:type="dcterms:W3CDTF">2007-09-24T12:26:24Z</dcterms:created>
  <dcterms:modified xsi:type="dcterms:W3CDTF">2022-04-01T15:54:52Z</dcterms:modified>
</cp:coreProperties>
</file>