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1D19D841-F7B2-49F5-B500-E412D323AC3C}" xr6:coauthVersionLast="47" xr6:coauthVersionMax="47" xr10:uidLastSave="{00000000-0000-0000-0000-000000000000}"/>
  <bookViews>
    <workbookView xWindow="31380" yWindow="1245" windowWidth="21600" windowHeight="1335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7" l="1"/>
  <c r="E10" i="7"/>
  <c r="J36" i="16"/>
  <c r="J35" i="16"/>
  <c r="J29" i="16"/>
  <c r="J28" i="16"/>
  <c r="J23" i="16"/>
  <c r="J22" i="16"/>
  <c r="J18" i="16"/>
  <c r="J17" i="16"/>
  <c r="J10" i="16"/>
  <c r="J9" i="16"/>
  <c r="J5" i="16"/>
  <c r="J4" i="16"/>
  <c r="F16" i="2"/>
  <c r="F15" i="2"/>
  <c r="F10" i="2" l="1"/>
  <c r="F9" i="2"/>
  <c r="F5" i="2"/>
  <c r="F4" i="2"/>
  <c r="F11" i="7" l="1"/>
  <c r="F10" i="7"/>
  <c r="F6" i="7"/>
  <c r="F5" i="7"/>
  <c r="Y57" i="9"/>
  <c r="X57" i="9"/>
  <c r="V57" i="9"/>
  <c r="U57" i="9"/>
  <c r="P57" i="9"/>
  <c r="O57" i="9"/>
  <c r="M57" i="9"/>
  <c r="L57" i="9"/>
  <c r="G57" i="9"/>
  <c r="F57" i="9"/>
  <c r="D57" i="9"/>
  <c r="C57" i="9"/>
  <c r="F17" i="3"/>
  <c r="F16" i="3"/>
  <c r="F11" i="3"/>
  <c r="F10" i="3"/>
  <c r="F6" i="3"/>
  <c r="F5" i="3"/>
  <c r="F39" i="3"/>
  <c r="F38" i="3"/>
  <c r="F34" i="3"/>
  <c r="F33" i="3"/>
  <c r="F29" i="3"/>
  <c r="F28" i="3"/>
  <c r="F21" i="3"/>
  <c r="F20" i="3"/>
  <c r="W57" i="9" l="1"/>
  <c r="N57" i="9"/>
  <c r="Q57" i="9"/>
  <c r="Z57" i="9"/>
  <c r="F12" i="7"/>
  <c r="F7" i="7"/>
  <c r="E57" i="9"/>
  <c r="H57" i="9"/>
  <c r="Y55" i="9" l="1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6" i="7"/>
  <c r="J26" i="7"/>
  <c r="E26" i="7"/>
  <c r="E25" i="7"/>
  <c r="G11" i="7"/>
  <c r="D11" i="7"/>
  <c r="C11" i="7"/>
  <c r="B11" i="7"/>
  <c r="G10" i="7"/>
  <c r="D10" i="7"/>
  <c r="C10" i="7"/>
  <c r="B10" i="7"/>
  <c r="G6" i="7"/>
  <c r="E6" i="7"/>
  <c r="D6" i="7"/>
  <c r="C6" i="7"/>
  <c r="B6" i="7"/>
  <c r="G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E39" i="3"/>
  <c r="D39" i="3"/>
  <c r="C39" i="3"/>
  <c r="B39" i="3"/>
  <c r="J38" i="3"/>
  <c r="I38" i="3"/>
  <c r="H38" i="3"/>
  <c r="G38" i="3"/>
  <c r="E38" i="3"/>
  <c r="D38" i="3"/>
  <c r="C38" i="3"/>
  <c r="B38" i="3"/>
  <c r="J34" i="3"/>
  <c r="I34" i="3"/>
  <c r="H34" i="3"/>
  <c r="G34" i="3"/>
  <c r="E34" i="3"/>
  <c r="D34" i="3"/>
  <c r="C34" i="3"/>
  <c r="B34" i="3"/>
  <c r="J33" i="3"/>
  <c r="I33" i="3"/>
  <c r="H33" i="3"/>
  <c r="G33" i="3"/>
  <c r="E33" i="3"/>
  <c r="D33" i="3"/>
  <c r="C33" i="3"/>
  <c r="B33" i="3"/>
  <c r="J29" i="3"/>
  <c r="I29" i="3"/>
  <c r="H29" i="3"/>
  <c r="G29" i="3"/>
  <c r="E29" i="3"/>
  <c r="D29" i="3"/>
  <c r="C29" i="3"/>
  <c r="B29" i="3"/>
  <c r="J28" i="3"/>
  <c r="I28" i="3"/>
  <c r="H28" i="3"/>
  <c r="G28" i="3"/>
  <c r="E28" i="3"/>
  <c r="D28" i="3"/>
  <c r="C28" i="3"/>
  <c r="B28" i="3"/>
  <c r="J21" i="3"/>
  <c r="I21" i="3"/>
  <c r="H21" i="3"/>
  <c r="G21" i="3"/>
  <c r="E21" i="3"/>
  <c r="D21" i="3"/>
  <c r="C21" i="3"/>
  <c r="B21" i="3"/>
  <c r="J20" i="3"/>
  <c r="I20" i="3"/>
  <c r="H20" i="3"/>
  <c r="G20" i="3"/>
  <c r="E20" i="3"/>
  <c r="D20" i="3"/>
  <c r="C20" i="3"/>
  <c r="B20" i="3"/>
  <c r="J17" i="3"/>
  <c r="I17" i="3"/>
  <c r="H17" i="3"/>
  <c r="G17" i="3"/>
  <c r="E17" i="3"/>
  <c r="D17" i="3"/>
  <c r="C17" i="3"/>
  <c r="B17" i="3"/>
  <c r="J16" i="3"/>
  <c r="I16" i="3"/>
  <c r="H16" i="3"/>
  <c r="G16" i="3"/>
  <c r="E16" i="3"/>
  <c r="D16" i="3"/>
  <c r="C16" i="3"/>
  <c r="B16" i="3"/>
  <c r="J11" i="3"/>
  <c r="I11" i="3"/>
  <c r="H11" i="3"/>
  <c r="G11" i="3"/>
  <c r="E11" i="3"/>
  <c r="D11" i="3"/>
  <c r="C11" i="3"/>
  <c r="B11" i="3"/>
  <c r="J10" i="3"/>
  <c r="I10" i="3"/>
  <c r="H10" i="3"/>
  <c r="G10" i="3"/>
  <c r="E10" i="3"/>
  <c r="D10" i="3"/>
  <c r="C10" i="3"/>
  <c r="B10" i="3"/>
  <c r="J6" i="3"/>
  <c r="I6" i="3"/>
  <c r="H6" i="3"/>
  <c r="G6" i="3"/>
  <c r="E6" i="3"/>
  <c r="D6" i="3"/>
  <c r="C6" i="3"/>
  <c r="B6" i="3"/>
  <c r="J5" i="3"/>
  <c r="I5" i="3"/>
  <c r="H5" i="3"/>
  <c r="G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E16" i="2"/>
  <c r="D16" i="2"/>
  <c r="C16" i="2"/>
  <c r="B16" i="2"/>
  <c r="I15" i="2"/>
  <c r="H15" i="2"/>
  <c r="G15" i="2"/>
  <c r="E15" i="2"/>
  <c r="D15" i="2"/>
  <c r="C15" i="2"/>
  <c r="B15" i="2"/>
  <c r="I10" i="2"/>
  <c r="H10" i="2"/>
  <c r="G10" i="2"/>
  <c r="E10" i="2"/>
  <c r="D10" i="2"/>
  <c r="C10" i="2"/>
  <c r="B10" i="2"/>
  <c r="I9" i="2"/>
  <c r="H9" i="2"/>
  <c r="G9" i="2"/>
  <c r="E9" i="2"/>
  <c r="D9" i="2"/>
  <c r="C9" i="2"/>
  <c r="B9" i="2"/>
  <c r="I5" i="2"/>
  <c r="H5" i="2"/>
  <c r="G5" i="2"/>
  <c r="E5" i="2"/>
  <c r="D5" i="2"/>
  <c r="C5" i="2"/>
  <c r="B5" i="2"/>
  <c r="I4" i="2"/>
  <c r="H4" i="2"/>
  <c r="G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25" i="7"/>
  <c r="J25" i="7"/>
  <c r="K16" i="3" l="1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O24" i="7"/>
  <c r="M23" i="7"/>
  <c r="L23" i="7"/>
  <c r="J24" i="7"/>
  <c r="B23" i="7"/>
  <c r="C23" i="7"/>
  <c r="E24" i="7"/>
  <c r="E61" i="9" l="1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B26" i="7" l="1"/>
  <c r="C26" i="7"/>
  <c r="H18" i="8"/>
  <c r="H31" i="8"/>
  <c r="H32" i="8"/>
  <c r="H28" i="8"/>
  <c r="D26" i="7" l="1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5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K18" i="3" s="1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H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H6" i="7"/>
  <c r="C7" i="1" s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B33" i="1" l="1"/>
  <c r="F31" i="7"/>
  <c r="K22" i="3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L21" i="15" l="1"/>
  <c r="F22" i="7"/>
  <c r="F32" i="7"/>
  <c r="F30" i="7"/>
  <c r="F29" i="7"/>
  <c r="F28" i="7"/>
  <c r="F27" i="7"/>
  <c r="F26" i="7"/>
  <c r="B6" i="5"/>
  <c r="B7" i="5" s="1"/>
  <c r="B28" i="1"/>
  <c r="B10" i="5"/>
  <c r="B12" i="5" s="1"/>
  <c r="C27" i="1"/>
  <c r="B27" i="1"/>
  <c r="K6" i="2"/>
  <c r="D5" i="1" s="1"/>
  <c r="B8" i="1"/>
  <c r="D6" i="1"/>
  <c r="C8" i="1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C7" i="5"/>
  <c r="E5" i="5"/>
  <c r="F5" i="5" s="1"/>
  <c r="C33" i="1" l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C11" i="1"/>
  <c r="M26" i="7" s="1"/>
  <c r="B11" i="1"/>
  <c r="D28" i="1"/>
  <c r="B22" i="1"/>
  <c r="B29" i="1"/>
  <c r="C12" i="5"/>
  <c r="C21" i="5"/>
  <c r="E11" i="5"/>
  <c r="F11" i="5" s="1"/>
  <c r="C29" i="1"/>
  <c r="F16" i="1"/>
  <c r="D22" i="1"/>
  <c r="F22" i="1" s="1"/>
  <c r="D22" i="5"/>
  <c r="F15" i="5"/>
  <c r="E17" i="5"/>
  <c r="D27" i="1" s="1"/>
  <c r="F17" i="1"/>
  <c r="L25" i="7" l="1"/>
  <c r="L26" i="7"/>
  <c r="H26" i="7"/>
  <c r="M25" i="7"/>
  <c r="H22" i="7"/>
  <c r="N23" i="7"/>
  <c r="G22" i="7"/>
  <c r="N21" i="7"/>
  <c r="P31" i="7"/>
  <c r="P29" i="7"/>
  <c r="P27" i="7"/>
  <c r="B22" i="5"/>
  <c r="C32" i="1"/>
  <c r="H6" i="5"/>
  <c r="F28" i="1"/>
  <c r="F10" i="1"/>
  <c r="E7" i="5"/>
  <c r="E21" i="5"/>
  <c r="F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G26" i="7" l="1"/>
  <c r="I26" i="7" s="1"/>
  <c r="K26" i="7" s="1"/>
  <c r="N26" i="7"/>
  <c r="P26" i="7" s="1"/>
  <c r="N25" i="7"/>
  <c r="P25" i="7" s="1"/>
  <c r="I22" i="7"/>
  <c r="K22" i="7" s="1"/>
  <c r="K31" i="7"/>
  <c r="P32" i="7"/>
  <c r="K30" i="7"/>
  <c r="P30" i="7"/>
  <c r="K29" i="7"/>
  <c r="K28" i="7"/>
  <c r="P28" i="7"/>
  <c r="K27" i="7"/>
  <c r="P22" i="7"/>
  <c r="P23" i="7"/>
  <c r="H21" i="5"/>
  <c r="E22" i="5"/>
  <c r="F22" i="5"/>
  <c r="H22" i="5" s="1"/>
  <c r="H20" i="5"/>
  <c r="K32" i="7" l="1"/>
  <c r="I21" i="7" l="1"/>
  <c r="P21" i="7"/>
  <c r="K21" i="7" l="1"/>
  <c r="D23" i="7"/>
  <c r="I23" i="7" l="1"/>
  <c r="F23" i="7"/>
  <c r="K23" i="7" l="1"/>
  <c r="C25" i="7" l="1"/>
  <c r="H25" i="7" s="1"/>
  <c r="B25" i="7"/>
  <c r="D25" i="7" s="1"/>
  <c r="F25" i="7" s="1"/>
  <c r="G25" i="7" l="1"/>
  <c r="I25" i="7" s="1"/>
  <c r="K25" i="7" s="1"/>
  <c r="C24" i="7"/>
  <c r="C33" i="7" s="1"/>
  <c r="B24" i="7"/>
  <c r="D24" i="7" l="1"/>
  <c r="B33" i="7"/>
  <c r="F24" i="7" l="1"/>
  <c r="D33" i="7"/>
  <c r="F33" i="7" s="1"/>
  <c r="G21" i="1" l="1"/>
  <c r="G20" i="1"/>
  <c r="D33" i="1"/>
  <c r="I16" i="5"/>
  <c r="I20" i="1" l="1"/>
  <c r="I21" i="1"/>
  <c r="G18" i="1"/>
  <c r="G7" i="1"/>
  <c r="G19" i="1"/>
  <c r="G5" i="1"/>
  <c r="G16" i="1"/>
  <c r="I5" i="5"/>
  <c r="I18" i="1" l="1"/>
  <c r="I19" i="1"/>
  <c r="I7" i="1"/>
  <c r="I5" i="1"/>
  <c r="G17" i="1"/>
  <c r="G6" i="1"/>
  <c r="I16" i="1"/>
  <c r="K5" i="5"/>
  <c r="D32" i="1"/>
  <c r="I10" i="5"/>
  <c r="I15" i="5"/>
  <c r="G27" i="1"/>
  <c r="M24" i="7" l="1"/>
  <c r="M33" i="7" s="1"/>
  <c r="I17" i="1"/>
  <c r="I6" i="1"/>
  <c r="G22" i="1"/>
  <c r="I22" i="1" s="1"/>
  <c r="G28" i="1"/>
  <c r="K10" i="5"/>
  <c r="G10" i="1"/>
  <c r="L24" i="7"/>
  <c r="H24" i="7"/>
  <c r="H33" i="7" s="1"/>
  <c r="I17" i="5"/>
  <c r="K17" i="5" s="1"/>
  <c r="K15" i="5"/>
  <c r="I11" i="5"/>
  <c r="I6" i="5"/>
  <c r="I27" i="1"/>
  <c r="G29" i="1"/>
  <c r="I29" i="1" s="1"/>
  <c r="D34" i="1"/>
  <c r="E33" i="1" s="1"/>
  <c r="G8" i="1"/>
  <c r="I20" i="5"/>
  <c r="E32" i="1" l="1"/>
  <c r="K11" i="5"/>
  <c r="I10" i="1"/>
  <c r="I28" i="1"/>
  <c r="I8" i="1"/>
  <c r="G11" i="1"/>
  <c r="I11" i="1" s="1"/>
  <c r="K6" i="5"/>
  <c r="I7" i="5"/>
  <c r="K7" i="5" s="1"/>
  <c r="N24" i="7"/>
  <c r="G24" i="7"/>
  <c r="L33" i="7"/>
  <c r="I12" i="5"/>
  <c r="K12" i="5" s="1"/>
  <c r="I21" i="5"/>
  <c r="K20" i="5"/>
  <c r="K21" i="5" l="1"/>
  <c r="I22" i="5"/>
  <c r="K22" i="5" s="1"/>
  <c r="I24" i="7"/>
  <c r="G33" i="7"/>
  <c r="P24" i="7"/>
  <c r="N33" i="7"/>
  <c r="P33" i="7" s="1"/>
  <c r="K24" i="7" l="1"/>
  <c r="I33" i="7"/>
  <c r="K33" i="7" s="1"/>
</calcChain>
</file>

<file path=xl/sharedStrings.xml><?xml version="1.0" encoding="utf-8"?>
<sst xmlns="http://schemas.openxmlformats.org/spreadsheetml/2006/main" count="678" uniqueCount="253">
  <si>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</si>
  <si>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</si>
  <si>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</si>
  <si>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</si>
  <si>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</si>
  <si>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</si>
  <si>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</si>
  <si>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</si>
  <si>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</si>
  <si>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</si>
  <si>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</si>
  <si>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</si>
  <si>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</si>
  <si>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</si>
  <si>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</si>
  <si>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</si>
  <si>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</si>
  <si>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</si>
  <si>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</si>
  <si>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</si>
  <si>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</si>
  <si>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</si>
  <si>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</si>
  <si>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</si>
  <si>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</si>
  <si>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</si>
  <si>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</si>
  <si>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</si>
  <si>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</si>
  <si>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</si>
  <si>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</si>
  <si>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</si>
  <si>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</si>
  <si>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</si>
  <si>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</si>
  <si>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</si>
  <si>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</si>
  <si>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</si>
  <si>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</si>
  <si>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</si>
  <si>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</si>
  <si>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</si>
  <si>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</si>
  <si>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</si>
  <si>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</si>
  <si>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</si>
  <si>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</si>
  <si>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</si>
  <si>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</si>
  <si>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</si>
  <si>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</si>
  <si>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</si>
  <si>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</si>
  <si>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</si>
  <si>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</si>
  <si>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</si>
  <si>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</si>
  <si>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</si>
  <si>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</si>
  <si>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</si>
  <si>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</si>
  <si>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</si>
  <si>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</si>
  <si>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</si>
  <si>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</si>
  <si>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</si>
  <si>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</si>
  <si>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</si>
  <si>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</si>
  <si>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</si>
  <si>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</si>
  <si>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</si>
  <si>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</si>
  <si>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</si>
  <si>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</si>
  <si>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</si>
  <si>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</si>
  <si>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</si>
  <si>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</si>
  <si>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</si>
  <si>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</si>
  <si>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</si>
  <si>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</si>
  <si>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</si>
  <si>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</si>
  <si>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</si>
  <si>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</si>
  <si>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</si>
  <si>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</si>
  <si>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</si>
  <si>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</si>
  <si>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</si>
  <si>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</si>
  <si>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</si>
  <si>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</si>
  <si>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</si>
  <si>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</si>
  <si>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</si>
  <si>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</si>
  <si>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</si>
  <si>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</si>
  <si>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</si>
  <si>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</si>
  <si>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</si>
  <si>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</si>
  <si>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</si>
  <si>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</si>
  <si>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</si>
  <si>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</si>
  <si>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</si>
  <si>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</si>
  <si>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</si>
  <si>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</si>
  <si>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</si>
  <si>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</si>
  <si>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</si>
  <si>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</si>
  <si>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</si>
  <si>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</si>
  <si>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</si>
  <si>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</si>
  <si>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</si>
  <si>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</si>
  <si>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</si>
  <si>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</si>
  <si>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</si>
  <si>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</si>
  <si>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</si>
  <si>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</si>
  <si>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</si>
  <si>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</si>
  <si>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</si>
  <si>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</si>
  <si>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</si>
  <si>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</si>
  <si>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</si>
  <si>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</si>
  <si>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</si>
  <si>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</si>
  <si>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</si>
  <si>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</si>
  <si>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</si>
  <si>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</si>
  <si>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</si>
  <si>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</si>
  <si>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</si>
  <si>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</si>
  <si>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</si>
  <si>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</si>
  <si>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</si>
  <si>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</si>
  <si>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</si>
  <si>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</si>
  <si>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</si>
  <si>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</si>
  <si>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</si>
  <si>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</si>
  <si>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</si>
  <si>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</si>
  <si>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</si>
  <si>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</si>
  <si>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</si>
  <si>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</si>
  <si>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</si>
  <si>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</si>
  <si>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</si>
  <si>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</si>
  <si>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</si>
  <si>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</si>
  <si>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</si>
  <si>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</si>
  <si>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</si>
  <si>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</si>
  <si>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</si>
  <si>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</si>
  <si>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</si>
  <si>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</si>
  <si>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</si>
  <si>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</si>
  <si>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</si>
  <si>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</si>
  <si>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</si>
  <si>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</si>
  <si>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</si>
  <si>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</si>
  <si>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</si>
  <si>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</si>
  <si>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</si>
  <si>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</si>
  <si>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</si>
  <si>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</si>
  <si>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</si>
  <si>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</si>
  <si>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</si>
  <si>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</si>
  <si>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</si>
  <si>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</si>
  <si>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</si>
  <si>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</si>
  <si>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</si>
  <si>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</si>
  <si>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</si>
  <si>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</si>
  <si>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</si>
  <si>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</si>
  <si>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</si>
  <si>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</si>
  <si>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</si>
  <si>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</si>
  <si>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</si>
  <si>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</si>
  <si>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</si>
  <si>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</si>
  <si>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</si>
  <si>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</si>
  <si>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</si>
  <si>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</si>
  <si>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</si>
  <si>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</si>
  <si>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</si>
  <si>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</si>
  <si>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</si>
  <si>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</si>
  <si>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</si>
  <si>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</si>
  <si>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</si>
  <si>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</si>
  <si>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</si>
  <si>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</si>
  <si>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</si>
  <si>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</si>
  <si>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</si>
  <si>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</si>
  <si>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</si>
  <si>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</si>
  <si>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</si>
  <si>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</si>
  <si>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</si>
  <si>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</si>
  <si>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</si>
  <si>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</si>
  <si>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</si>
  <si>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</si>
  <si>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</si>
  <si>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</si>
  <si>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</si>
  <si>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June 2022</t>
  </si>
  <si>
    <t>WestJet</t>
  </si>
  <si>
    <t>Red Way</t>
  </si>
  <si>
    <t>.</t>
  </si>
  <si>
    <t>N/A</t>
  </si>
  <si>
    <t>Air Wisconsin-American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</si>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</sst>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10" fontId="0" fillId="0" borderId="0" xfId="0" applyNumberFormat="1" applyAlignment="1">
      <alignment horizontal="center"/>
    </xf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64" fontId="0" fillId="0" borderId="17" xfId="3" applyNumberFormat="1" applyFont="1" applyBorder="1" applyAlignment="1">
      <alignment horizontal="center"/>
    </xf>
    <xf numFmtId="164" fontId="0" fillId="0" borderId="18" xfId="3" applyNumberFormat="1" applyFon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2315839</v>
          </cell>
          <cell r="G5">
            <v>12097165</v>
          </cell>
        </row>
        <row r="6">
          <cell r="D6">
            <v>457068</v>
          </cell>
          <cell r="G6">
            <v>2550685</v>
          </cell>
        </row>
        <row r="7">
          <cell r="D7">
            <v>0</v>
          </cell>
          <cell r="G7">
            <v>4412</v>
          </cell>
        </row>
        <row r="10">
          <cell r="D10">
            <v>73974</v>
          </cell>
          <cell r="G10">
            <v>411893</v>
          </cell>
        </row>
        <row r="16">
          <cell r="D16">
            <v>15564</v>
          </cell>
          <cell r="G16">
            <v>87690</v>
          </cell>
        </row>
        <row r="17">
          <cell r="D17">
            <v>8285</v>
          </cell>
          <cell r="G17">
            <v>49652</v>
          </cell>
        </row>
        <row r="18">
          <cell r="D18">
            <v>0</v>
          </cell>
          <cell r="G18">
            <v>43</v>
          </cell>
        </row>
        <row r="19">
          <cell r="D19">
            <v>1268</v>
          </cell>
          <cell r="G19">
            <v>7820</v>
          </cell>
        </row>
        <row r="20">
          <cell r="D20">
            <v>1723</v>
          </cell>
          <cell r="G20">
            <v>8313</v>
          </cell>
        </row>
        <row r="21">
          <cell r="D21">
            <v>88</v>
          </cell>
          <cell r="G21">
            <v>481</v>
          </cell>
        </row>
        <row r="27">
          <cell r="D27">
            <v>18662.476149998525</v>
          </cell>
          <cell r="G27">
            <v>99221.00985998346</v>
          </cell>
        </row>
        <row r="28">
          <cell r="D28">
            <v>2451.7633750248096</v>
          </cell>
          <cell r="G28">
            <v>16956.317888388337</v>
          </cell>
        </row>
        <row r="32">
          <cell r="B32">
            <v>926354</v>
          </cell>
          <cell r="D32">
            <v>5062353</v>
          </cell>
        </row>
        <row r="33">
          <cell r="B33">
            <v>453680</v>
          </cell>
          <cell r="D33">
            <v>2237277</v>
          </cell>
        </row>
      </sheetData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>
        <row r="5">
          <cell r="F5">
            <v>10309.573382196319</v>
          </cell>
          <cell r="I5">
            <v>55986.429231363698</v>
          </cell>
        </row>
        <row r="6">
          <cell r="F6">
            <v>1391.6050618346799</v>
          </cell>
          <cell r="I6">
            <v>9368.4550794819588</v>
          </cell>
        </row>
        <row r="10">
          <cell r="F10">
            <v>8352.9027678022067</v>
          </cell>
          <cell r="I10">
            <v>43234.580628619762</v>
          </cell>
        </row>
        <row r="11">
          <cell r="F11">
            <v>1060.15831319013</v>
          </cell>
          <cell r="I11">
            <v>7587.8628089063805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18662.476149998529</v>
          </cell>
          <cell r="I20">
            <v>99221.009859983489</v>
          </cell>
        </row>
        <row r="21">
          <cell r="F21">
            <v>2451.7633750248101</v>
          </cell>
          <cell r="I21">
            <v>16956.317888388341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11329924</v>
          </cell>
        </row>
        <row r="6">
          <cell r="G6">
            <v>1613854</v>
          </cell>
        </row>
        <row r="7">
          <cell r="G7">
            <v>1279</v>
          </cell>
        </row>
        <row r="10">
          <cell r="G10">
            <v>389125</v>
          </cell>
        </row>
        <row r="16">
          <cell r="G16">
            <v>83434</v>
          </cell>
        </row>
        <row r="17">
          <cell r="G17">
            <v>30739</v>
          </cell>
        </row>
        <row r="18">
          <cell r="G18">
            <v>17</v>
          </cell>
        </row>
        <row r="19">
          <cell r="G19">
            <v>5854</v>
          </cell>
        </row>
        <row r="20">
          <cell r="G20">
            <v>6739</v>
          </cell>
        </row>
        <row r="21">
          <cell r="G21">
            <v>272</v>
          </cell>
        </row>
        <row r="27">
          <cell r="G27">
            <v>78399.162009440653</v>
          </cell>
        </row>
        <row r="28">
          <cell r="G28">
            <v>5976.4904294372209</v>
          </cell>
        </row>
        <row r="32">
          <cell r="D32">
            <v>4511259</v>
          </cell>
        </row>
        <row r="33">
          <cell r="D33">
            <v>1926422</v>
          </cell>
        </row>
      </sheetData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</row>
      </sheetData>
      <sheetData sheetId="6"/>
      <sheetData sheetId="7">
        <row r="5">
          <cell r="I5">
            <v>42732.358847428251</v>
          </cell>
        </row>
        <row r="6">
          <cell r="I6">
            <v>3097.2357501593201</v>
          </cell>
        </row>
        <row r="10">
          <cell r="I10">
            <v>35666.803162012402</v>
          </cell>
        </row>
        <row r="11">
          <cell r="I11">
            <v>2879.2546792778999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78399.162009440653</v>
          </cell>
        </row>
        <row r="21">
          <cell r="I21">
            <v>5976.4904294372209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5">
        <row r="4">
          <cell r="IK4">
            <v>25</v>
          </cell>
        </row>
        <row r="5">
          <cell r="IK5">
            <v>25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</row>
        <row r="22">
          <cell r="IK22">
            <v>3810</v>
          </cell>
        </row>
        <row r="23">
          <cell r="IK23">
            <v>3669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6"/>
      <sheetData sheetId="7">
        <row r="4">
          <cell r="IK4">
            <v>106</v>
          </cell>
        </row>
        <row r="5">
          <cell r="IK5">
            <v>107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</row>
        <row r="22">
          <cell r="IK22">
            <v>15844</v>
          </cell>
        </row>
        <row r="23">
          <cell r="IK23">
            <v>15697</v>
          </cell>
        </row>
        <row r="27">
          <cell r="IK27">
            <v>354</v>
          </cell>
        </row>
        <row r="28">
          <cell r="IK28">
            <v>426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</row>
        <row r="47">
          <cell r="IK47">
            <v>24934</v>
          </cell>
        </row>
        <row r="52">
          <cell r="IK52">
            <v>13754</v>
          </cell>
        </row>
        <row r="53">
          <cell r="IK53">
            <v>78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</row>
      </sheetData>
      <sheetData sheetId="8"/>
      <sheetData sheetId="9">
        <row r="4">
          <cell r="IK4">
            <v>350</v>
          </cell>
        </row>
        <row r="5">
          <cell r="IK5">
            <v>352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</row>
        <row r="22">
          <cell r="IK22">
            <v>53479</v>
          </cell>
        </row>
        <row r="23">
          <cell r="IK23">
            <v>52052</v>
          </cell>
        </row>
        <row r="27">
          <cell r="IK27">
            <v>1752</v>
          </cell>
        </row>
        <row r="28">
          <cell r="IK28">
            <v>2040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</row>
        <row r="47">
          <cell r="IK47">
            <v>39733</v>
          </cell>
        </row>
        <row r="48">
          <cell r="IK48">
            <v>12762</v>
          </cell>
        </row>
        <row r="52">
          <cell r="IK52">
            <v>3975</v>
          </cell>
        </row>
        <row r="53">
          <cell r="IK53">
            <v>176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</row>
      </sheetData>
      <sheetData sheetId="10"/>
      <sheetData sheetId="11"/>
      <sheetData sheetId="12">
        <row r="15">
          <cell r="IJ15">
            <v>3</v>
          </cell>
          <cell r="IK15">
            <v>11</v>
          </cell>
        </row>
        <row r="16">
          <cell r="IJ16">
            <v>3</v>
          </cell>
          <cell r="IK16">
            <v>11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</row>
        <row r="32">
          <cell r="IJ32">
            <v>608</v>
          </cell>
          <cell r="IK32">
            <v>2259</v>
          </cell>
        </row>
        <row r="33">
          <cell r="IJ33">
            <v>760</v>
          </cell>
          <cell r="IK33">
            <v>2746</v>
          </cell>
        </row>
        <row r="37">
          <cell r="IJ37">
            <v>2</v>
          </cell>
          <cell r="IK37">
            <v>7</v>
          </cell>
        </row>
        <row r="38">
          <cell r="IJ38">
            <v>1</v>
          </cell>
          <cell r="IK38">
            <v>8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</row>
        <row r="47">
          <cell r="IK47">
            <v>47170</v>
          </cell>
        </row>
        <row r="52">
          <cell r="IK52">
            <v>6378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</row>
      </sheetData>
      <sheetData sheetId="13">
        <row r="4">
          <cell r="IK4">
            <v>6007</v>
          </cell>
        </row>
        <row r="5">
          <cell r="IK5">
            <v>5981</v>
          </cell>
        </row>
        <row r="8">
          <cell r="IK8">
            <v>4</v>
          </cell>
        </row>
        <row r="9">
          <cell r="IK9">
            <v>21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</row>
        <row r="22">
          <cell r="IK22">
            <v>875784</v>
          </cell>
        </row>
        <row r="23">
          <cell r="IK23">
            <v>861772</v>
          </cell>
        </row>
        <row r="27">
          <cell r="IK27">
            <v>23560</v>
          </cell>
        </row>
        <row r="28">
          <cell r="IK28">
            <v>24538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</row>
        <row r="47">
          <cell r="IK47">
            <v>3093436</v>
          </cell>
        </row>
        <row r="48">
          <cell r="IK48">
            <v>451007</v>
          </cell>
        </row>
        <row r="52">
          <cell r="IK52">
            <v>2228626</v>
          </cell>
        </row>
        <row r="53">
          <cell r="IK53">
            <v>565497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</row>
        <row r="70">
          <cell r="IK70">
            <v>478806</v>
          </cell>
        </row>
        <row r="71">
          <cell r="IK71">
            <v>382966</v>
          </cell>
        </row>
        <row r="73">
          <cell r="IK73">
            <v>51640</v>
          </cell>
        </row>
        <row r="74">
          <cell r="IK74">
            <v>41304</v>
          </cell>
        </row>
      </sheetData>
      <sheetData sheetId="14">
        <row r="4">
          <cell r="IK4">
            <v>78</v>
          </cell>
        </row>
        <row r="5">
          <cell r="IK5">
            <v>78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</row>
        <row r="22">
          <cell r="IK22">
            <v>911</v>
          </cell>
        </row>
        <row r="23">
          <cell r="IK23">
            <v>885</v>
          </cell>
        </row>
        <row r="27">
          <cell r="IK27">
            <v>29</v>
          </cell>
        </row>
        <row r="28">
          <cell r="IK28">
            <v>35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15">
        <row r="4">
          <cell r="IK4">
            <v>60</v>
          </cell>
        </row>
        <row r="5">
          <cell r="IK5">
            <v>60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</row>
        <row r="22">
          <cell r="IK22">
            <v>9929</v>
          </cell>
        </row>
        <row r="23">
          <cell r="IK23">
            <v>9871</v>
          </cell>
        </row>
        <row r="27">
          <cell r="IK27">
            <v>71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  <cell r="IJ15">
            <v>26</v>
          </cell>
          <cell r="IK15">
            <v>31</v>
          </cell>
        </row>
        <row r="16">
          <cell r="IF16">
            <v>3</v>
          </cell>
          <cell r="IH16">
            <v>6</v>
          </cell>
          <cell r="II16">
            <v>19</v>
          </cell>
          <cell r="IJ16">
            <v>26</v>
          </cell>
          <cell r="IK16">
            <v>31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</row>
        <row r="32">
          <cell r="IF32">
            <v>457</v>
          </cell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</row>
        <row r="33">
          <cell r="IF33">
            <v>274</v>
          </cell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</row>
        <row r="37">
          <cell r="IH37">
            <v>14</v>
          </cell>
          <cell r="II37">
            <v>27</v>
          </cell>
          <cell r="IJ37">
            <v>22</v>
          </cell>
          <cell r="IK37">
            <v>23</v>
          </cell>
        </row>
        <row r="38">
          <cell r="IF38">
            <v>10</v>
          </cell>
          <cell r="IH38">
            <v>4</v>
          </cell>
          <cell r="II38">
            <v>36</v>
          </cell>
          <cell r="IJ38">
            <v>29</v>
          </cell>
          <cell r="IK38">
            <v>20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</row>
        <row r="47">
          <cell r="IK47">
            <v>720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</row>
      </sheetData>
      <sheetData sheetId="17">
        <row r="4">
          <cell r="IK4">
            <v>44</v>
          </cell>
        </row>
        <row r="5">
          <cell r="IK5">
            <v>44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</row>
        <row r="22">
          <cell r="IK22">
            <v>5379</v>
          </cell>
        </row>
        <row r="23">
          <cell r="IK23">
            <v>5699</v>
          </cell>
        </row>
        <row r="27">
          <cell r="IK27">
            <v>71</v>
          </cell>
        </row>
        <row r="28">
          <cell r="IK28">
            <v>75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</row>
        <row r="47">
          <cell r="IK47">
            <v>219000</v>
          </cell>
        </row>
        <row r="52">
          <cell r="IK52">
            <v>81400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</row>
      </sheetData>
      <sheetData sheetId="19"/>
      <sheetData sheetId="20"/>
      <sheetData sheetId="21"/>
      <sheetData sheetId="22">
        <row r="4">
          <cell r="IK4">
            <v>608</v>
          </cell>
        </row>
        <row r="5">
          <cell r="IK5">
            <v>608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</row>
        <row r="22">
          <cell r="IK22">
            <v>80722</v>
          </cell>
        </row>
        <row r="23">
          <cell r="IK23">
            <v>76861</v>
          </cell>
        </row>
        <row r="27">
          <cell r="IK27">
            <v>1522</v>
          </cell>
        </row>
        <row r="28">
          <cell r="IK28">
            <v>1634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</row>
        <row r="47">
          <cell r="IK47">
            <v>187740</v>
          </cell>
        </row>
        <row r="52">
          <cell r="IK52">
            <v>47908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</row>
        <row r="70">
          <cell r="IK70">
            <v>76483</v>
          </cell>
        </row>
        <row r="71">
          <cell r="IK71">
            <v>378</v>
          </cell>
        </row>
      </sheetData>
      <sheetData sheetId="23">
        <row r="4">
          <cell r="IK4">
            <v>119</v>
          </cell>
        </row>
        <row r="5">
          <cell r="IK5">
            <v>119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</row>
        <row r="22">
          <cell r="IK22">
            <v>17146</v>
          </cell>
        </row>
        <row r="23">
          <cell r="IK23">
            <v>16191</v>
          </cell>
        </row>
        <row r="27">
          <cell r="IK27">
            <v>165</v>
          </cell>
        </row>
        <row r="28">
          <cell r="IK28">
            <v>196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24">
        <row r="4">
          <cell r="IK4">
            <v>1071</v>
          </cell>
        </row>
        <row r="5">
          <cell r="IK5">
            <v>1079</v>
          </cell>
        </row>
        <row r="8">
          <cell r="IK8">
            <v>56</v>
          </cell>
        </row>
        <row r="9">
          <cell r="IK9">
            <v>44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</row>
        <row r="22">
          <cell r="IK22">
            <v>170081</v>
          </cell>
        </row>
        <row r="23">
          <cell r="IK23">
            <v>171813</v>
          </cell>
        </row>
        <row r="27">
          <cell r="IK27">
            <v>2840</v>
          </cell>
        </row>
        <row r="28">
          <cell r="IK28">
            <v>3073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</row>
        <row r="70">
          <cell r="IK70">
            <v>171813</v>
          </cell>
        </row>
        <row r="73">
          <cell r="IK73">
            <v>2698</v>
          </cell>
        </row>
      </sheetData>
      <sheetData sheetId="25"/>
      <sheetData sheetId="26"/>
      <sheetData sheetId="27">
        <row r="4">
          <cell r="IK4">
            <v>433</v>
          </cell>
        </row>
        <row r="5">
          <cell r="IK5">
            <v>439</v>
          </cell>
        </row>
        <row r="8">
          <cell r="IK8">
            <v>4</v>
          </cell>
        </row>
        <row r="9">
          <cell r="IK9">
            <v>2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</row>
        <row r="22">
          <cell r="IK22">
            <v>62145</v>
          </cell>
        </row>
        <row r="23">
          <cell r="IK23">
            <v>59390</v>
          </cell>
        </row>
        <row r="27">
          <cell r="IK27">
            <v>2040</v>
          </cell>
        </row>
        <row r="28">
          <cell r="IK28">
            <v>2005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</row>
        <row r="47">
          <cell r="IK47">
            <v>38493</v>
          </cell>
        </row>
        <row r="48">
          <cell r="IK48">
            <v>34585</v>
          </cell>
        </row>
        <row r="52">
          <cell r="IK52">
            <v>27182</v>
          </cell>
        </row>
        <row r="53">
          <cell r="IK53">
            <v>272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</row>
      </sheetData>
      <sheetData sheetId="28">
        <row r="15">
          <cell r="IK15">
            <v>25</v>
          </cell>
        </row>
        <row r="16">
          <cell r="IK16">
            <v>25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</row>
        <row r="32">
          <cell r="IK32">
            <v>2931</v>
          </cell>
        </row>
        <row r="33">
          <cell r="IK33">
            <v>3349</v>
          </cell>
        </row>
        <row r="37">
          <cell r="IK37">
            <v>2</v>
          </cell>
        </row>
        <row r="38">
          <cell r="IK38">
            <v>1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0">
        <row r="4">
          <cell r="IK4">
            <v>32</v>
          </cell>
        </row>
        <row r="5">
          <cell r="IK5">
            <v>32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</row>
        <row r="22">
          <cell r="IK22">
            <v>2287</v>
          </cell>
        </row>
        <row r="23">
          <cell r="IK23">
            <v>2278</v>
          </cell>
        </row>
        <row r="27">
          <cell r="IK27">
            <v>56</v>
          </cell>
        </row>
        <row r="28">
          <cell r="IK28">
            <v>54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</row>
      </sheetData>
      <sheetData sheetId="31">
        <row r="4">
          <cell r="IK4">
            <v>88</v>
          </cell>
        </row>
        <row r="5">
          <cell r="IK5">
            <v>88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</row>
        <row r="22">
          <cell r="IK22">
            <v>4057</v>
          </cell>
        </row>
        <row r="23">
          <cell r="IK23">
            <v>4001</v>
          </cell>
        </row>
        <row r="27">
          <cell r="IK27">
            <v>83</v>
          </cell>
        </row>
        <row r="28">
          <cell r="IK28">
            <v>74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43"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</row>
        <row r="47">
          <cell r="IK47">
            <v>33027.800000000003</v>
          </cell>
        </row>
        <row r="52">
          <cell r="IK52">
            <v>32564.5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</row>
      </sheetData>
      <sheetData sheetId="45">
        <row r="4">
          <cell r="IK4">
            <v>92</v>
          </cell>
        </row>
        <row r="5">
          <cell r="IK5">
            <v>89</v>
          </cell>
        </row>
        <row r="9">
          <cell r="IK9">
            <v>2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</row>
        <row r="22">
          <cell r="IK22">
            <v>6209</v>
          </cell>
        </row>
        <row r="23">
          <cell r="IK23">
            <v>5836</v>
          </cell>
        </row>
        <row r="27">
          <cell r="IK27">
            <v>236</v>
          </cell>
        </row>
        <row r="28">
          <cell r="IK28">
            <v>240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46"/>
      <sheetData sheetId="47"/>
      <sheetData sheetId="48">
        <row r="4">
          <cell r="IK4">
            <v>679</v>
          </cell>
        </row>
        <row r="5">
          <cell r="IK5">
            <v>681</v>
          </cell>
        </row>
        <row r="8">
          <cell r="IK8">
            <v>1</v>
          </cell>
        </row>
        <row r="9">
          <cell r="IK9">
            <v>1</v>
          </cell>
        </row>
        <row r="15">
          <cell r="IF15">
            <v>1</v>
          </cell>
          <cell r="IH15">
            <v>23</v>
          </cell>
          <cell r="II15">
            <v>9</v>
          </cell>
          <cell r="IK15">
            <v>16</v>
          </cell>
        </row>
        <row r="16">
          <cell r="IF16">
            <v>1</v>
          </cell>
          <cell r="IH16">
            <v>23</v>
          </cell>
          <cell r="II16">
            <v>10</v>
          </cell>
          <cell r="IK16">
            <v>15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</row>
        <row r="22">
          <cell r="IK22">
            <v>45466</v>
          </cell>
        </row>
        <row r="23">
          <cell r="IK23">
            <v>45986</v>
          </cell>
        </row>
        <row r="27">
          <cell r="IK27">
            <v>1323</v>
          </cell>
        </row>
        <row r="28">
          <cell r="IK28">
            <v>1321</v>
          </cell>
        </row>
        <row r="32">
          <cell r="IH32">
            <v>1240</v>
          </cell>
          <cell r="II32">
            <v>622</v>
          </cell>
          <cell r="IK32">
            <v>1081</v>
          </cell>
        </row>
        <row r="33">
          <cell r="IH33">
            <v>1517</v>
          </cell>
          <cell r="II33">
            <v>473</v>
          </cell>
          <cell r="IK33">
            <v>1027</v>
          </cell>
        </row>
        <row r="37">
          <cell r="IH37">
            <v>20</v>
          </cell>
          <cell r="II37">
            <v>4</v>
          </cell>
          <cell r="IK37">
            <v>11</v>
          </cell>
        </row>
        <row r="38">
          <cell r="IH38">
            <v>25</v>
          </cell>
          <cell r="II38">
            <v>5</v>
          </cell>
          <cell r="IK38">
            <v>9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  <row r="70">
          <cell r="IK70">
            <v>15236</v>
          </cell>
        </row>
        <row r="71">
          <cell r="IK71">
            <v>30750</v>
          </cell>
        </row>
        <row r="73">
          <cell r="IK73">
            <v>340</v>
          </cell>
        </row>
        <row r="74">
          <cell r="IK74">
            <v>687</v>
          </cell>
        </row>
      </sheetData>
      <sheetData sheetId="49">
        <row r="4">
          <cell r="IK4">
            <v>28</v>
          </cell>
        </row>
        <row r="5">
          <cell r="IK5">
            <v>28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</row>
        <row r="22">
          <cell r="IK22">
            <v>1941</v>
          </cell>
        </row>
        <row r="23">
          <cell r="IK23">
            <v>1808</v>
          </cell>
        </row>
        <row r="27">
          <cell r="IK27">
            <v>34</v>
          </cell>
        </row>
        <row r="28">
          <cell r="IK28">
            <v>44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50">
        <row r="4">
          <cell r="IK4">
            <v>50</v>
          </cell>
        </row>
        <row r="5">
          <cell r="IK5">
            <v>50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</row>
        <row r="22">
          <cell r="IK22">
            <v>3202</v>
          </cell>
        </row>
        <row r="23">
          <cell r="IK23">
            <v>3474</v>
          </cell>
        </row>
        <row r="27">
          <cell r="IK27">
            <v>85</v>
          </cell>
        </row>
        <row r="28">
          <cell r="IK28">
            <v>75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</row>
        <row r="47">
          <cell r="IK47">
            <v>649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</row>
      </sheetData>
      <sheetData sheetId="51">
        <row r="4">
          <cell r="IK4">
            <v>2</v>
          </cell>
        </row>
        <row r="5">
          <cell r="IK5">
            <v>2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</row>
        <row r="22">
          <cell r="IK22">
            <v>129</v>
          </cell>
        </row>
        <row r="23">
          <cell r="IK23">
            <v>139</v>
          </cell>
        </row>
        <row r="27">
          <cell r="IK27">
            <v>5</v>
          </cell>
        </row>
        <row r="28">
          <cell r="IK28">
            <v>4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52"/>
      <sheetData sheetId="53">
        <row r="4">
          <cell r="IK4">
            <v>1857</v>
          </cell>
        </row>
        <row r="5">
          <cell r="IK5">
            <v>1857</v>
          </cell>
        </row>
        <row r="9">
          <cell r="IK9">
            <v>3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</row>
        <row r="22">
          <cell r="IK22">
            <v>112294</v>
          </cell>
        </row>
        <row r="23">
          <cell r="IK23">
            <v>116009</v>
          </cell>
        </row>
        <row r="27">
          <cell r="IK27">
            <v>3315</v>
          </cell>
        </row>
        <row r="28">
          <cell r="IK28">
            <v>3151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  <row r="70">
          <cell r="IK70">
            <v>41104</v>
          </cell>
        </row>
        <row r="71">
          <cell r="IK71">
            <v>74905</v>
          </cell>
        </row>
        <row r="73">
          <cell r="IK73">
            <v>2301</v>
          </cell>
        </row>
        <row r="74">
          <cell r="IK74">
            <v>4194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4">
          <cell r="IK4">
            <v>4</v>
          </cell>
        </row>
        <row r="5">
          <cell r="IK5">
            <v>4</v>
          </cell>
        </row>
        <row r="22">
          <cell r="IK22">
            <v>130</v>
          </cell>
        </row>
        <row r="23">
          <cell r="IK23">
            <v>117</v>
          </cell>
        </row>
      </sheetData>
      <sheetData sheetId="65">
        <row r="9">
          <cell r="IK9">
            <v>1</v>
          </cell>
        </row>
        <row r="15">
          <cell r="IG15">
            <v>2</v>
          </cell>
          <cell r="IK15">
            <v>1</v>
          </cell>
        </row>
        <row r="16">
          <cell r="IG16">
            <v>2</v>
          </cell>
        </row>
        <row r="32">
          <cell r="IG32">
            <v>216</v>
          </cell>
          <cell r="IJ32">
            <v>551</v>
          </cell>
          <cell r="IK32">
            <v>444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</row>
        <row r="32">
          <cell r="IF32">
            <v>65</v>
          </cell>
          <cell r="IG32">
            <v>55</v>
          </cell>
        </row>
      </sheetData>
      <sheetData sheetId="67">
        <row r="4">
          <cell r="IK4">
            <v>8</v>
          </cell>
        </row>
        <row r="5">
          <cell r="IK5">
            <v>8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</row>
        <row r="47">
          <cell r="IK47">
            <v>635975</v>
          </cell>
        </row>
        <row r="52">
          <cell r="IK52">
            <v>305722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</row>
      </sheetData>
      <sheetData sheetId="68">
        <row r="4">
          <cell r="IK4">
            <v>64</v>
          </cell>
        </row>
        <row r="5">
          <cell r="IK5">
            <v>64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</row>
        <row r="47">
          <cell r="IK47">
            <v>1733877</v>
          </cell>
        </row>
        <row r="52">
          <cell r="IK52">
            <v>1495973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</row>
      </sheetData>
      <sheetData sheetId="69"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</row>
      </sheetData>
      <sheetData sheetId="70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7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</row>
      </sheetData>
      <sheetData sheetId="73">
        <row r="4">
          <cell r="IK4">
            <v>40</v>
          </cell>
        </row>
        <row r="5">
          <cell r="IK5">
            <v>40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</row>
        <row r="47">
          <cell r="IK47">
            <v>44717</v>
          </cell>
        </row>
        <row r="52">
          <cell r="IK52">
            <v>52096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</row>
      </sheetData>
      <sheetData sheetId="74">
        <row r="12">
          <cell r="IK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75"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76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</row>
      </sheetData>
      <sheetData sheetId="77"/>
      <sheetData sheetId="78">
        <row r="4">
          <cell r="IK4">
            <v>40</v>
          </cell>
        </row>
        <row r="5">
          <cell r="IK5">
            <v>40</v>
          </cell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</row>
        <row r="47">
          <cell r="IK47">
            <v>908207</v>
          </cell>
        </row>
        <row r="52">
          <cell r="IK52">
            <v>458513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80"/>
      <sheetData sheetId="81">
        <row r="4">
          <cell r="IK4">
            <v>89</v>
          </cell>
        </row>
        <row r="5">
          <cell r="IK5">
            <v>89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</row>
        <row r="47">
          <cell r="IK47">
            <v>6070688</v>
          </cell>
        </row>
        <row r="52">
          <cell r="IK52">
            <v>6830473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</row>
      </sheetData>
      <sheetData sheetId="82">
        <row r="4">
          <cell r="IK4">
            <v>23</v>
          </cell>
        </row>
        <row r="5">
          <cell r="IK5">
            <v>23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</row>
        <row r="48">
          <cell r="IK48">
            <v>58109</v>
          </cell>
        </row>
        <row r="53">
          <cell r="IK53">
            <v>127103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</row>
      </sheetData>
      <sheetData sheetId="83">
        <row r="4">
          <cell r="IK4">
            <v>17</v>
          </cell>
        </row>
        <row r="5">
          <cell r="IK5">
            <v>17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</row>
        <row r="47">
          <cell r="IK47">
            <v>55038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</row>
      </sheetData>
      <sheetData sheetId="84">
        <row r="4">
          <cell r="IK4">
            <v>126</v>
          </cell>
        </row>
        <row r="5">
          <cell r="IK5">
            <v>126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</row>
        <row r="47">
          <cell r="IK47">
            <v>6099965</v>
          </cell>
        </row>
        <row r="48">
          <cell r="IK48">
            <v>294559</v>
          </cell>
        </row>
        <row r="52">
          <cell r="IK52">
            <v>4845442</v>
          </cell>
        </row>
        <row r="53">
          <cell r="IK53">
            <v>121155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</row>
      </sheetData>
      <sheetData sheetId="85"/>
      <sheetData sheetId="86"/>
      <sheetData sheetId="87"/>
      <sheetData sheetId="88">
        <row r="4">
          <cell r="IK4">
            <v>174</v>
          </cell>
        </row>
        <row r="5">
          <cell r="IK5">
            <v>174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</row>
      </sheetData>
      <sheetData sheetId="91">
        <row r="4">
          <cell r="IK4">
            <v>19</v>
          </cell>
        </row>
        <row r="5">
          <cell r="IK5">
            <v>15</v>
          </cell>
        </row>
      </sheetData>
      <sheetData sheetId="92">
        <row r="4">
          <cell r="IK4">
            <v>860</v>
          </cell>
        </row>
        <row r="5">
          <cell r="IK5">
            <v>861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C24" sqref="C24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45078</v>
      </c>
      <c r="B2" s="10"/>
      <c r="C2" s="10"/>
      <c r="D2" s="447" t="s">
        <v>228</v>
      </c>
      <c r="E2" s="447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8"/>
      <c r="E3" s="449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1402273</v>
      </c>
      <c r="C5" s="10">
        <f>'Major Airline Stats'!K5</f>
        <v>1386353</v>
      </c>
      <c r="D5" s="2">
        <f>'Major Airline Stats'!K6</f>
        <v>2788626</v>
      </c>
      <c r="E5" s="2">
        <f>'[1]Monthly Summary'!D5</f>
        <v>2315839</v>
      </c>
      <c r="F5" s="3">
        <f>(D5-E5)/E5</f>
        <v>0.2041536566229345</v>
      </c>
      <c r="G5" s="2">
        <f>+D5+'[2]Monthly Summary'!G5</f>
        <v>14118550</v>
      </c>
      <c r="H5" s="2">
        <f>'[1]Monthly Summary'!G5</f>
        <v>12097165</v>
      </c>
      <c r="I5" s="65">
        <f>(G5-H5)/H5</f>
        <v>0.16709576169292559</v>
      </c>
      <c r="J5" s="2"/>
    </row>
    <row r="6" spans="1:14" x14ac:dyDescent="0.2">
      <c r="A6" s="50" t="s">
        <v>5</v>
      </c>
      <c r="B6" s="217">
        <f>'Regional Major'!M5</f>
        <v>190383</v>
      </c>
      <c r="C6" s="217">
        <f>'Regional Major'!M6</f>
        <v>196189</v>
      </c>
      <c r="D6" s="2">
        <f>B6+C6</f>
        <v>386572</v>
      </c>
      <c r="E6" s="2">
        <f>'[1]Monthly Summary'!D6</f>
        <v>457068</v>
      </c>
      <c r="F6" s="3">
        <f>(D6-E6)/E6</f>
        <v>-0.15423525602317378</v>
      </c>
      <c r="G6" s="2">
        <f>+D6+'[2]Monthly Summary'!G6</f>
        <v>2000426</v>
      </c>
      <c r="H6" s="2">
        <f>'[1]Monthly Summary'!G6</f>
        <v>2550685</v>
      </c>
      <c r="I6" s="65">
        <f>(G6-H6)/H6</f>
        <v>-0.21572989216622201</v>
      </c>
      <c r="K6" s="2"/>
    </row>
    <row r="7" spans="1:14" x14ac:dyDescent="0.2">
      <c r="A7" s="50" t="s">
        <v>6</v>
      </c>
      <c r="B7" s="2">
        <f>Charter!H5</f>
        <v>574</v>
      </c>
      <c r="C7" s="217">
        <f>Charter!H6</f>
        <v>117</v>
      </c>
      <c r="D7" s="2">
        <f>B7+C7</f>
        <v>691</v>
      </c>
      <c r="E7" s="2">
        <f>'[1]Monthly Summary'!D7</f>
        <v>0</v>
      </c>
      <c r="F7" s="438" t="s">
        <v>250</v>
      </c>
      <c r="G7" s="2">
        <f>+D7+'[2]Monthly Summary'!G7</f>
        <v>1970</v>
      </c>
      <c r="H7" s="2">
        <f>'[1]Monthly Summary'!G7</f>
        <v>4412</v>
      </c>
      <c r="I7" s="65">
        <f>(G7-H7)/H7</f>
        <v>-0.55349048050770622</v>
      </c>
      <c r="K7" s="2"/>
    </row>
    <row r="8" spans="1:14" x14ac:dyDescent="0.2">
      <c r="A8" s="52" t="s">
        <v>7</v>
      </c>
      <c r="B8" s="119">
        <f>SUM(B5:B7)</f>
        <v>1593230</v>
      </c>
      <c r="C8" s="119">
        <f>SUM(C5:C7)</f>
        <v>1582659</v>
      </c>
      <c r="D8" s="119">
        <f>SUM(D5:D7)</f>
        <v>3175889</v>
      </c>
      <c r="E8" s="119">
        <f>SUM(E5:E7)</f>
        <v>2772907</v>
      </c>
      <c r="F8" s="71">
        <f>(D8-E8)/E8</f>
        <v>0.14532835035578184</v>
      </c>
      <c r="G8" s="119">
        <f>SUM(G5:G7)</f>
        <v>16120946</v>
      </c>
      <c r="H8" s="119">
        <f>SUM(H5:H7)</f>
        <v>14652262</v>
      </c>
      <c r="I8" s="70">
        <f>(G8-H8)/H8</f>
        <v>0.1002359908661202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40009</v>
      </c>
      <c r="C10" s="218">
        <f>'Major Airline Stats'!K10+'Regional Major'!M11</f>
        <v>41682</v>
      </c>
      <c r="D10" s="96">
        <f>SUM(B10:C10)</f>
        <v>81691</v>
      </c>
      <c r="E10" s="402">
        <f>'[1]Monthly Summary'!D10</f>
        <v>73974</v>
      </c>
      <c r="F10" s="72">
        <f>(D10-E10)/E10</f>
        <v>0.10432043691026577</v>
      </c>
      <c r="G10" s="402">
        <f>+D10+'[2]Monthly Summary'!G10</f>
        <v>470816</v>
      </c>
      <c r="H10" s="402">
        <f>'[1]Monthly Summary'!G10</f>
        <v>411893</v>
      </c>
      <c r="I10" s="75">
        <f>(G10-H10)/H10</f>
        <v>0.14305414270210953</v>
      </c>
      <c r="J10" s="169"/>
    </row>
    <row r="11" spans="1:14" ht="15.75" thickBot="1" x14ac:dyDescent="0.3">
      <c r="A11" s="51" t="s">
        <v>13</v>
      </c>
      <c r="B11" s="197">
        <f>B10+B8</f>
        <v>1633239</v>
      </c>
      <c r="C11" s="197">
        <f>C10+C8</f>
        <v>1624341</v>
      </c>
      <c r="D11" s="197">
        <f>D10+D8</f>
        <v>3257580</v>
      </c>
      <c r="E11" s="197">
        <f>E10+E8</f>
        <v>2846881</v>
      </c>
      <c r="F11" s="73">
        <f>(D11-E11)/E11</f>
        <v>0.1442627914549291</v>
      </c>
      <c r="G11" s="197">
        <f>G8+G10</f>
        <v>16591762</v>
      </c>
      <c r="H11" s="197">
        <f>H8+H10</f>
        <v>15064155</v>
      </c>
      <c r="I11" s="76">
        <f>(G11-H11)/H11</f>
        <v>0.10140674999692979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7" t="s">
        <v>228</v>
      </c>
      <c r="E13" s="447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8"/>
      <c r="E14" s="449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9535</v>
      </c>
      <c r="C16" s="226">
        <f>'Major Airline Stats'!K16+'Major Airline Stats'!K20</f>
        <v>9530</v>
      </c>
      <c r="D16" s="31">
        <f t="shared" ref="D16:D21" si="0">SUM(B16:C16)</f>
        <v>19065</v>
      </c>
      <c r="E16" s="2">
        <f>'[1]Monthly Summary'!D16</f>
        <v>15564</v>
      </c>
      <c r="F16" s="74">
        <f t="shared" ref="F16:F22" si="1">(D16-E16)/E16</f>
        <v>0.22494217424826524</v>
      </c>
      <c r="G16" s="2">
        <f>+D16+'[2]Monthly Summary'!G16</f>
        <v>102499</v>
      </c>
      <c r="H16" s="2">
        <f>'[1]Monthly Summary'!G16</f>
        <v>87690</v>
      </c>
      <c r="I16" s="192">
        <f t="shared" ref="I16:I22" si="2">(G16-H16)/H16</f>
        <v>0.16887900558786634</v>
      </c>
      <c r="N16" s="95"/>
    </row>
    <row r="17" spans="1:13" x14ac:dyDescent="0.2">
      <c r="A17" s="50" t="s">
        <v>5</v>
      </c>
      <c r="B17" s="31">
        <f>'Regional Major'!M15+'Regional Major'!M18</f>
        <v>3043</v>
      </c>
      <c r="C17" s="31">
        <f>'Regional Major'!M16+'Regional Major'!M19</f>
        <v>3046</v>
      </c>
      <c r="D17" s="31">
        <f>SUM(B17:C17)</f>
        <v>6089</v>
      </c>
      <c r="E17" s="2">
        <f>'[1]Monthly Summary'!D17</f>
        <v>8285</v>
      </c>
      <c r="F17" s="74">
        <f t="shared" si="1"/>
        <v>-0.26505733252866626</v>
      </c>
      <c r="G17" s="2">
        <f>+D17+'[2]Monthly Summary'!G17</f>
        <v>36828</v>
      </c>
      <c r="H17" s="2">
        <f>'[1]Monthly Summary'!G17</f>
        <v>49652</v>
      </c>
      <c r="I17" s="192">
        <f t="shared" si="2"/>
        <v>-0.25827761218077822</v>
      </c>
      <c r="L17" s="2"/>
      <c r="M17" s="2"/>
    </row>
    <row r="18" spans="1:13" x14ac:dyDescent="0.2">
      <c r="A18" s="50" t="s">
        <v>10</v>
      </c>
      <c r="B18" s="31">
        <f>Charter!H10</f>
        <v>5</v>
      </c>
      <c r="C18" s="31">
        <f>Charter!H11</f>
        <v>5</v>
      </c>
      <c r="D18" s="31">
        <f t="shared" si="0"/>
        <v>10</v>
      </c>
      <c r="E18" s="2">
        <f>'[1]Monthly Summary'!D18</f>
        <v>0</v>
      </c>
      <c r="F18" s="438" t="s">
        <v>250</v>
      </c>
      <c r="G18" s="2">
        <f>+D18+'[2]Monthly Summary'!G18</f>
        <v>27</v>
      </c>
      <c r="H18" s="2">
        <f>'[1]Monthly Summary'!G18</f>
        <v>43</v>
      </c>
      <c r="I18" s="192">
        <f t="shared" si="2"/>
        <v>-0.37209302325581395</v>
      </c>
    </row>
    <row r="19" spans="1:13" x14ac:dyDescent="0.2">
      <c r="A19" s="50" t="s">
        <v>11</v>
      </c>
      <c r="B19" s="31">
        <f>Cargo!S4+Cargo!S8</f>
        <v>581</v>
      </c>
      <c r="C19" s="31">
        <f>Cargo!S5+Cargo!S9</f>
        <v>581</v>
      </c>
      <c r="D19" s="31">
        <f t="shared" si="0"/>
        <v>1162</v>
      </c>
      <c r="E19" s="2">
        <f>'[1]Monthly Summary'!D19</f>
        <v>1268</v>
      </c>
      <c r="F19" s="74">
        <f t="shared" si="1"/>
        <v>-8.3596214511041003E-2</v>
      </c>
      <c r="G19" s="2">
        <f>+D19+'[2]Monthly Summary'!G19</f>
        <v>7016</v>
      </c>
      <c r="H19" s="2">
        <f>'[1]Monthly Summary'!G19</f>
        <v>7820</v>
      </c>
      <c r="I19" s="192">
        <f t="shared" si="2"/>
        <v>-0.10281329923273658</v>
      </c>
    </row>
    <row r="20" spans="1:13" x14ac:dyDescent="0.2">
      <c r="A20" s="50" t="s">
        <v>146</v>
      </c>
      <c r="B20" s="31">
        <f>'[3]General Avation'!$IK$4</f>
        <v>860</v>
      </c>
      <c r="C20" s="31">
        <f>'[3]General Avation'!$IK$5</f>
        <v>861</v>
      </c>
      <c r="D20" s="31">
        <f t="shared" si="0"/>
        <v>1721</v>
      </c>
      <c r="E20" s="2">
        <f>'[1]Monthly Summary'!D20</f>
        <v>1723</v>
      </c>
      <c r="F20" s="74">
        <f t="shared" si="1"/>
        <v>-1.1607661056297156E-3</v>
      </c>
      <c r="G20" s="2">
        <f>+D20+'[2]Monthly Summary'!G20</f>
        <v>8460</v>
      </c>
      <c r="H20" s="2">
        <f>'[1]Monthly Summary'!G20</f>
        <v>8313</v>
      </c>
      <c r="I20" s="192">
        <f t="shared" si="2"/>
        <v>1.7683146878383255E-2</v>
      </c>
      <c r="M20" s="2"/>
    </row>
    <row r="21" spans="1:13" ht="12.75" customHeight="1" x14ac:dyDescent="0.2">
      <c r="A21" s="50" t="s">
        <v>12</v>
      </c>
      <c r="B21" s="11">
        <f>'[3]Military '!$IK$4</f>
        <v>19</v>
      </c>
      <c r="C21" s="11">
        <f>'[3]Military '!$IK$5</f>
        <v>15</v>
      </c>
      <c r="D21" s="11">
        <f t="shared" si="0"/>
        <v>34</v>
      </c>
      <c r="E21" s="402">
        <f>'[1]Monthly Summary'!D21</f>
        <v>88</v>
      </c>
      <c r="F21" s="190">
        <f t="shared" si="1"/>
        <v>-0.61363636363636365</v>
      </c>
      <c r="G21" s="402">
        <f>+D21+'[2]Monthly Summary'!G21</f>
        <v>306</v>
      </c>
      <c r="H21" s="402">
        <f>'[1]Monthly Summary'!G21</f>
        <v>481</v>
      </c>
      <c r="I21" s="193">
        <f t="shared" si="2"/>
        <v>-0.36382536382536385</v>
      </c>
      <c r="K21" s="95"/>
      <c r="M21" s="436"/>
    </row>
    <row r="22" spans="1:13" ht="15.75" thickBot="1" x14ac:dyDescent="0.3">
      <c r="A22" s="51" t="s">
        <v>28</v>
      </c>
      <c r="B22" s="198">
        <f>SUM(B16:B21)</f>
        <v>14043</v>
      </c>
      <c r="C22" s="198">
        <f>SUM(C16:C21)</f>
        <v>14038</v>
      </c>
      <c r="D22" s="198">
        <f>SUM(D16:D21)</f>
        <v>28081</v>
      </c>
      <c r="E22" s="198">
        <f>SUM(E16:E21)</f>
        <v>26928</v>
      </c>
      <c r="F22" s="195">
        <f t="shared" si="1"/>
        <v>4.2817884729649439E-2</v>
      </c>
      <c r="G22" s="198">
        <f>SUM(G16:G21)</f>
        <v>155136</v>
      </c>
      <c r="H22" s="198">
        <f>SUM(H16:H21)</f>
        <v>153999</v>
      </c>
      <c r="I22" s="196">
        <f t="shared" si="2"/>
        <v>7.3831648257456214E-3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47" t="s">
        <v>228</v>
      </c>
      <c r="E24" s="447" t="s">
        <v>220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8"/>
      <c r="E25" s="449"/>
      <c r="F25" s="5" t="s">
        <v>2</v>
      </c>
      <c r="G25" s="5" t="s">
        <v>229</v>
      </c>
      <c r="H25" s="5" t="s">
        <v>221</v>
      </c>
      <c r="I25" s="5" t="s">
        <v>2</v>
      </c>
    </row>
    <row r="26" spans="1:13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8724.1097906684263</v>
      </c>
      <c r="C27" s="13">
        <f>(Cargo!S21+'Major Airline Stats'!K33+'Regional Major'!M30)*0.00045359237</f>
        <v>7452.5255874504046</v>
      </c>
      <c r="D27" s="13">
        <f>(SUM(B27:C27)+('Cargo Summary'!E17*0.00045359237))</f>
        <v>16176.63537811883</v>
      </c>
      <c r="E27" s="2">
        <f>'[1]Monthly Summary'!D27</f>
        <v>18662.476149998525</v>
      </c>
      <c r="F27" s="77">
        <f>(D27-E27)/E27</f>
        <v>-0.13319994366770518</v>
      </c>
      <c r="G27" s="2">
        <f>+D27+'[2]Monthly Summary'!G27</f>
        <v>94575.797387559491</v>
      </c>
      <c r="H27" s="2">
        <f>'[1]Monthly Summary'!G27</f>
        <v>99221.00985998346</v>
      </c>
      <c r="I27" s="79">
        <f>(G27-H27)/H27</f>
        <v>-4.6816823160529195E-2</v>
      </c>
    </row>
    <row r="28" spans="1:13" x14ac:dyDescent="0.2">
      <c r="A28" s="45" t="s">
        <v>16</v>
      </c>
      <c r="B28" s="13">
        <f>(Cargo!S17+'Major Airline Stats'!K29+'Regional Major'!M26)*0.00045359237</f>
        <v>386.01708590213997</v>
      </c>
      <c r="C28" s="13">
        <f>(Cargo!S22+'Major Airline Stats'!K34+'Regional Major'!M31)*0.00045359237</f>
        <v>369.35164863596998</v>
      </c>
      <c r="D28" s="13">
        <f>SUM(B28:C28)</f>
        <v>755.36873453810995</v>
      </c>
      <c r="E28" s="2">
        <f>'[1]Monthly Summary'!D28</f>
        <v>2451.7633750248096</v>
      </c>
      <c r="F28" s="77">
        <f>(D28-E28)/E28</f>
        <v>-0.69190797846449337</v>
      </c>
      <c r="G28" s="2">
        <f>+D28+'[2]Monthly Summary'!G28</f>
        <v>6731.8591639753304</v>
      </c>
      <c r="H28" s="2">
        <f>'[1]Monthly Summary'!G28</f>
        <v>16956.317888388337</v>
      </c>
      <c r="I28" s="79">
        <f>(G28-H28)/H28</f>
        <v>-0.60298814823557312</v>
      </c>
    </row>
    <row r="29" spans="1:13" ht="15.75" thickBot="1" x14ac:dyDescent="0.3">
      <c r="A29" s="46" t="s">
        <v>62</v>
      </c>
      <c r="B29" s="38">
        <f>SUM(B27:B28)</f>
        <v>9110.1268765705663</v>
      </c>
      <c r="C29" s="38">
        <f>SUM(C27:C28)</f>
        <v>7821.877236086375</v>
      </c>
      <c r="D29" s="38">
        <f>SUM(D27:D28)</f>
        <v>16932.004112656941</v>
      </c>
      <c r="E29" s="38">
        <f>SUM(E27:E28)</f>
        <v>21114.239525023335</v>
      </c>
      <c r="F29" s="78">
        <f>(D29-E29)/E29</f>
        <v>-0.19807653538314074</v>
      </c>
      <c r="G29" s="38">
        <f>SUM(G27:G28)</f>
        <v>101307.65655153482</v>
      </c>
      <c r="H29" s="38">
        <f>SUM(H27:H28)</f>
        <v>116177.3277483718</v>
      </c>
      <c r="I29" s="80">
        <f>(G29-H29)/H29</f>
        <v>-0.12799116217445769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46" t="s">
        <v>142</v>
      </c>
      <c r="C31" s="445"/>
      <c r="D31" s="446" t="s">
        <v>149</v>
      </c>
      <c r="E31" s="445"/>
      <c r="F31" s="308"/>
      <c r="G31" s="309"/>
    </row>
    <row r="32" spans="1:13" x14ac:dyDescent="0.2">
      <c r="A32" s="290" t="s">
        <v>143</v>
      </c>
      <c r="B32" s="291">
        <f>C8-B33</f>
        <v>1047475</v>
      </c>
      <c r="C32" s="292">
        <f>B32/C8</f>
        <v>0.66184503421141261</v>
      </c>
      <c r="D32" s="293">
        <f>+B32+'[2]Monthly Summary'!$D$32</f>
        <v>5558734</v>
      </c>
      <c r="E32" s="442">
        <f>+D32/D34</f>
        <v>0.69307959512938355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535184</v>
      </c>
      <c r="C33" s="297">
        <f>+B33/C8</f>
        <v>0.33815496578858745</v>
      </c>
      <c r="D33" s="298">
        <f>+B33+'[2]Monthly Summary'!$D$33</f>
        <v>2461606</v>
      </c>
      <c r="E33" s="443">
        <f>+D33/D34</f>
        <v>0.30692040487061645</v>
      </c>
      <c r="G33" s="230"/>
      <c r="H33" s="436"/>
      <c r="I33" s="307"/>
    </row>
    <row r="34" spans="1:14" ht="13.5" thickBot="1" x14ac:dyDescent="0.25">
      <c r="B34" s="230"/>
      <c r="D34" s="300">
        <f>SUM(D32:D33)</f>
        <v>8020340</v>
      </c>
    </row>
    <row r="35" spans="1:14" ht="13.5" thickBot="1" x14ac:dyDescent="0.25">
      <c r="B35" s="444" t="s">
        <v>246</v>
      </c>
      <c r="C35" s="445"/>
      <c r="D35" s="446" t="s">
        <v>230</v>
      </c>
      <c r="E35" s="445"/>
    </row>
    <row r="36" spans="1:14" x14ac:dyDescent="0.2">
      <c r="A36" s="290" t="s">
        <v>143</v>
      </c>
      <c r="B36" s="291">
        <f>'[1]Monthly Summary'!$B$32</f>
        <v>926354</v>
      </c>
      <c r="C36" s="292">
        <f>+B36/B38</f>
        <v>0.67125447633898871</v>
      </c>
      <c r="D36" s="293">
        <f>'[1]Monthly Summary'!$D$32</f>
        <v>5062353</v>
      </c>
      <c r="E36" s="294">
        <f>+D36/D38</f>
        <v>0.69350816411242766</v>
      </c>
    </row>
    <row r="37" spans="1:14" ht="13.5" thickBot="1" x14ac:dyDescent="0.25">
      <c r="A37" s="295" t="s">
        <v>144</v>
      </c>
      <c r="B37" s="296">
        <f>'[1]Monthly Summary'!$B$33</f>
        <v>453680</v>
      </c>
      <c r="C37" s="299">
        <f>+B37/B38</f>
        <v>0.32874552366101123</v>
      </c>
      <c r="D37" s="298">
        <f>'[1]Monthly Summary'!$D$33</f>
        <v>2237277</v>
      </c>
      <c r="E37" s="299">
        <f>+D37/D38</f>
        <v>0.30649183588757239</v>
      </c>
      <c r="G37" s="230"/>
      <c r="M37" s="1"/>
    </row>
    <row r="38" spans="1:14" x14ac:dyDescent="0.2">
      <c r="B38" s="312">
        <f>+SUM(B36:B37)</f>
        <v>1380034</v>
      </c>
      <c r="D38" s="300">
        <f>SUM(D36:D37)</f>
        <v>7299630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Q11" activeCellId="1" sqref="Q6 Q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396">
        <v>45078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252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7" ht="15" x14ac:dyDescent="0.25">
      <c r="A2" s="480" t="s">
        <v>138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2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[3]Delta!$IK$32</f>
        <v>88732</v>
      </c>
      <c r="C4" s="12">
        <f>'[3]Atlantic Southeast'!$IK$32</f>
        <v>0</v>
      </c>
      <c r="D4" s="12">
        <f>[3]Pinnacle!$IK$32</f>
        <v>1081</v>
      </c>
      <c r="E4" s="12">
        <f>'[3]Sky West'!$IK$32</f>
        <v>5810</v>
      </c>
      <c r="F4" s="12">
        <f>'[3]Go Jet'!$IK$32</f>
        <v>0</v>
      </c>
      <c r="G4" s="12">
        <f>'[3]Sun Country'!$IK$32</f>
        <v>2427</v>
      </c>
      <c r="H4" s="12">
        <f>[3]Icelandair!$IK$32</f>
        <v>6076</v>
      </c>
      <c r="I4" s="12">
        <f>[3]KLM!$IK$32</f>
        <v>4618</v>
      </c>
      <c r="J4" s="12">
        <f>[3]Jazz_AC!$IK$32</f>
        <v>7907</v>
      </c>
      <c r="K4" s="12">
        <f>'[3]Sky Regional'!$IK$32</f>
        <v>0</v>
      </c>
      <c r="L4" s="12">
        <f>[3]Condor!$IK$32</f>
        <v>2259</v>
      </c>
      <c r="M4" s="12">
        <f>'[3]Aer Lingus'!$IK$32</f>
        <v>0</v>
      </c>
      <c r="N4" s="12">
        <f>'[3]Air France'!$IK$32</f>
        <v>0</v>
      </c>
      <c r="O4" s="12">
        <f>[3]Frontier!$IK$32</f>
        <v>0</v>
      </c>
      <c r="P4" s="12">
        <f>'[3]Charter Misc'!$IK$32+[3]Ryan!$IK$32+[3]Omni!$IK$32</f>
        <v>444</v>
      </c>
      <c r="Q4" s="205">
        <f>SUM(B4:P4)</f>
        <v>119354</v>
      </c>
    </row>
    <row r="5" spans="1:17" x14ac:dyDescent="0.2">
      <c r="A5" s="45" t="s">
        <v>31</v>
      </c>
      <c r="B5" s="7">
        <f>[3]Delta!$IK$33</f>
        <v>92944</v>
      </c>
      <c r="C5" s="7">
        <f>'[3]Atlantic Southeast'!$IK$33</f>
        <v>0</v>
      </c>
      <c r="D5" s="7">
        <f>[3]Pinnacle!$IK$33</f>
        <v>1027</v>
      </c>
      <c r="E5" s="7">
        <f>'[3]Sky West'!$IK$33</f>
        <v>6495</v>
      </c>
      <c r="F5" s="7">
        <f>'[3]Go Jet'!$IK$33</f>
        <v>0</v>
      </c>
      <c r="G5" s="7">
        <f>'[3]Sun Country'!$IK$33</f>
        <v>2698</v>
      </c>
      <c r="H5" s="7">
        <f>[3]Icelandair!$IK$33</f>
        <v>6142</v>
      </c>
      <c r="I5" s="7">
        <f>[3]KLM!$IK$33</f>
        <v>4574</v>
      </c>
      <c r="J5" s="7">
        <f>[3]Jazz_AC!$IK$33</f>
        <v>9136</v>
      </c>
      <c r="K5" s="7">
        <f>'[3]Sky Regional'!$IK$33</f>
        <v>0</v>
      </c>
      <c r="L5" s="7">
        <f>[3]Condor!$IK$33</f>
        <v>2746</v>
      </c>
      <c r="M5" s="7">
        <f>'[3]Aer Lingus'!$IK$33</f>
        <v>0</v>
      </c>
      <c r="N5" s="7">
        <f>'[3]Air France'!$IK$33</f>
        <v>0</v>
      </c>
      <c r="O5" s="7">
        <f>[3]Frontier!$IK$33</f>
        <v>0</v>
      </c>
      <c r="P5" s="7">
        <f>'[3]Charter Misc'!$IK$33++[3]Ryan!$IK$33+[3]Omni!$IK$33</f>
        <v>0</v>
      </c>
      <c r="Q5" s="206">
        <f>SUM(B5:P5)</f>
        <v>125762</v>
      </c>
    </row>
    <row r="6" spans="1:17" ht="15" x14ac:dyDescent="0.25">
      <c r="A6" s="43" t="s">
        <v>7</v>
      </c>
      <c r="B6" s="24">
        <f t="shared" ref="B6:P6" si="0">SUM(B4:B5)</f>
        <v>181676</v>
      </c>
      <c r="C6" s="24">
        <f t="shared" si="0"/>
        <v>0</v>
      </c>
      <c r="D6" s="24">
        <f t="shared" si="0"/>
        <v>2108</v>
      </c>
      <c r="E6" s="24">
        <f t="shared" si="0"/>
        <v>12305</v>
      </c>
      <c r="F6" s="24">
        <f t="shared" ref="F6" si="1">SUM(F4:F5)</f>
        <v>0</v>
      </c>
      <c r="G6" s="24">
        <f t="shared" si="0"/>
        <v>5125</v>
      </c>
      <c r="H6" s="24">
        <f t="shared" si="0"/>
        <v>12218</v>
      </c>
      <c r="I6" s="24">
        <f t="shared" ref="I6" si="2">SUM(I4:I5)</f>
        <v>9192</v>
      </c>
      <c r="J6" s="24">
        <f t="shared" si="0"/>
        <v>17043</v>
      </c>
      <c r="K6" s="24">
        <f t="shared" ref="K6" si="3">SUM(K4:K5)</f>
        <v>0</v>
      </c>
      <c r="L6" s="24">
        <f t="shared" ref="L6:M6" si="4">SUM(L4:L5)</f>
        <v>5005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444</v>
      </c>
      <c r="Q6" s="207">
        <f>SUM(B6:P6)</f>
        <v>245116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[3]Delta!$IK$37</f>
        <v>2189</v>
      </c>
      <c r="C9" s="12">
        <f>'[3]Atlantic Southeast'!$IK$37</f>
        <v>0</v>
      </c>
      <c r="D9" s="12">
        <f>[3]Pinnacle!$IK$37</f>
        <v>11</v>
      </c>
      <c r="E9" s="12">
        <f>'[3]Sky West'!$IK$37</f>
        <v>98</v>
      </c>
      <c r="F9" s="12">
        <f>'[3]Go Jet'!$IK$37</f>
        <v>0</v>
      </c>
      <c r="G9" s="12">
        <f>'[3]Sun Country'!$IK$37</f>
        <v>36</v>
      </c>
      <c r="H9" s="12">
        <f>[3]Icelandair!$IK$37</f>
        <v>23</v>
      </c>
      <c r="I9" s="12">
        <f>[3]KLM!$IK$37</f>
        <v>22</v>
      </c>
      <c r="J9" s="12">
        <f>[3]Jazz_AC!$IK$37</f>
        <v>80</v>
      </c>
      <c r="K9" s="12">
        <f>'[3]Sky Regional'!$IK$37</f>
        <v>0</v>
      </c>
      <c r="L9" s="12">
        <f>[3]Condor!$IK$37</f>
        <v>7</v>
      </c>
      <c r="M9" s="12">
        <f>'[3]Aer Lingus'!$IK$37</f>
        <v>0</v>
      </c>
      <c r="N9" s="12">
        <f>'[3]Air France'!$IK$37</f>
        <v>0</v>
      </c>
      <c r="O9" s="12">
        <f>[3]Frontier!$IK$37</f>
        <v>0</v>
      </c>
      <c r="P9" s="12">
        <f>'[3]Charter Misc'!$IK$37+[3]Ryan!$IK$37+[3]Omni!$IK$37</f>
        <v>0</v>
      </c>
      <c r="Q9" s="205">
        <f>SUM(B9:P9)</f>
        <v>2466</v>
      </c>
    </row>
    <row r="10" spans="1:17" x14ac:dyDescent="0.2">
      <c r="A10" s="45" t="s">
        <v>33</v>
      </c>
      <c r="B10" s="7">
        <f>[3]Delta!$IK$38</f>
        <v>2423</v>
      </c>
      <c r="C10" s="7">
        <f>'[3]Atlantic Southeast'!$IK$38</f>
        <v>0</v>
      </c>
      <c r="D10" s="7">
        <f>[3]Pinnacle!$IK$38</f>
        <v>9</v>
      </c>
      <c r="E10" s="7">
        <f>'[3]Sky West'!$IK$38</f>
        <v>88</v>
      </c>
      <c r="F10" s="7">
        <f>'[3]Go Jet'!$IK$38</f>
        <v>0</v>
      </c>
      <c r="G10" s="7">
        <f>'[3]Sun Country'!$IK$38</f>
        <v>52</v>
      </c>
      <c r="H10" s="7">
        <f>[3]Icelandair!$IK$38</f>
        <v>20</v>
      </c>
      <c r="I10" s="7">
        <f>[3]KLM!$IK$38</f>
        <v>0</v>
      </c>
      <c r="J10" s="7">
        <f>[3]Jazz_AC!$IK$38</f>
        <v>96</v>
      </c>
      <c r="K10" s="7">
        <f>'[3]Sky Regional'!$IK$38</f>
        <v>0</v>
      </c>
      <c r="L10" s="7">
        <f>[3]Condor!$IK$38</f>
        <v>8</v>
      </c>
      <c r="M10" s="7">
        <f>'[3]Aer Lingus'!$IK$38</f>
        <v>0</v>
      </c>
      <c r="N10" s="7">
        <f>'[3]Air France'!$IK$38</f>
        <v>0</v>
      </c>
      <c r="O10" s="7">
        <f>[3]Frontier!$IK$38</f>
        <v>0</v>
      </c>
      <c r="P10" s="7">
        <f>'[3]Charter Misc'!$IK$38+[3]Ryan!$IK$38+[3]Omni!$IK$38</f>
        <v>0</v>
      </c>
      <c r="Q10" s="206">
        <f>SUM(B10:P10)</f>
        <v>2696</v>
      </c>
    </row>
    <row r="11" spans="1:17" ht="15.75" thickBot="1" x14ac:dyDescent="0.3">
      <c r="A11" s="46" t="s">
        <v>34</v>
      </c>
      <c r="B11" s="208">
        <f t="shared" ref="B11:G11" si="5">SUM(B9:B10)</f>
        <v>4612</v>
      </c>
      <c r="C11" s="208">
        <f t="shared" si="5"/>
        <v>0</v>
      </c>
      <c r="D11" s="208">
        <f t="shared" si="5"/>
        <v>20</v>
      </c>
      <c r="E11" s="208">
        <f t="shared" si="5"/>
        <v>186</v>
      </c>
      <c r="F11" s="208">
        <f t="shared" ref="F11" si="6">SUM(F9:F10)</f>
        <v>0</v>
      </c>
      <c r="G11" s="208">
        <f t="shared" si="5"/>
        <v>88</v>
      </c>
      <c r="H11" s="208">
        <f t="shared" ref="H11:P11" si="7">SUM(H9:H10)</f>
        <v>43</v>
      </c>
      <c r="I11" s="208">
        <f t="shared" ref="I11" si="8">SUM(I9:I10)</f>
        <v>22</v>
      </c>
      <c r="J11" s="208">
        <f t="shared" si="7"/>
        <v>176</v>
      </c>
      <c r="K11" s="208">
        <f t="shared" ref="K11" si="9">SUM(K9:K10)</f>
        <v>0</v>
      </c>
      <c r="L11" s="208">
        <f t="shared" si="7"/>
        <v>15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5162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252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7" ht="15" x14ac:dyDescent="0.25">
      <c r="A14" s="483" t="s">
        <v>139</v>
      </c>
      <c r="B14" s="484"/>
      <c r="C14" s="484"/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5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SUM([3]Delta!$IF$32:$IK$32)</f>
        <v>518298</v>
      </c>
      <c r="C17" s="12">
        <f>SUM('[3]Atlantic Southeast'!$IF$32:$IK$32)</f>
        <v>0</v>
      </c>
      <c r="D17" s="12">
        <f>SUM([3]Pinnacle!$IF$32:$IK$32)</f>
        <v>2943</v>
      </c>
      <c r="E17" s="12">
        <f>SUM('[3]Sky West'!$IF$32:$IK$32)</f>
        <v>29024</v>
      </c>
      <c r="F17" s="12">
        <f>SUM('[3]Go Jet'!$IF$32:$IK$32)</f>
        <v>0</v>
      </c>
      <c r="G17" s="12">
        <f>SUM('[3]Sun Country'!$IF$32:$IK$32)</f>
        <v>143207</v>
      </c>
      <c r="H17" s="12">
        <f>SUM([3]Icelandair!$IF$32:$IK$32)</f>
        <v>12867</v>
      </c>
      <c r="I17" s="12">
        <f>SUM([3]KLM!$IF$32:$IK$32)</f>
        <v>23610</v>
      </c>
      <c r="J17" s="12">
        <f>SUM([3]Jazz_AC!$IF$32:$IK$32)</f>
        <v>30965</v>
      </c>
      <c r="K17" s="12">
        <f>SUM('[3]Sky Regional'!$IF$32:$IK$32)</f>
        <v>0</v>
      </c>
      <c r="L17" s="12">
        <f>SUM([3]Condor!$IF$32:$IK$32)</f>
        <v>2867</v>
      </c>
      <c r="M17" s="12">
        <f>SUM('[3]Aer Lingus'!$IF$32:$IK$32)</f>
        <v>0</v>
      </c>
      <c r="N17" s="12">
        <f>SUM('[3]Air France'!$IF$32:$IK$32)</f>
        <v>0</v>
      </c>
      <c r="O17" s="12">
        <f>SUM([3]Frontier!$IF$32:$IK$32)</f>
        <v>0</v>
      </c>
      <c r="P17" s="12">
        <f>SUM('[3]Charter Misc'!$IF$32:$IK$32)+SUM([3]Ryan!$IF$32:$IK$32)+SUM([3]Omni!$IF$32:$IK$32)</f>
        <v>1331</v>
      </c>
      <c r="Q17" s="205">
        <f>SUM(B17:P17)</f>
        <v>765112</v>
      </c>
    </row>
    <row r="18" spans="1:20" x14ac:dyDescent="0.2">
      <c r="A18" s="45" t="s">
        <v>31</v>
      </c>
      <c r="B18" s="7">
        <f>SUM([3]Delta!$IF$33:$IK$33)</f>
        <v>516739</v>
      </c>
      <c r="C18" s="7">
        <f>SUM('[3]Atlantic Southeast'!$IF$33:$IK$33)</f>
        <v>0</v>
      </c>
      <c r="D18" s="7">
        <f>SUM([3]Pinnacle!$IF$33:$IK$33)</f>
        <v>3017</v>
      </c>
      <c r="E18" s="7">
        <f>SUM('[3]Sky West'!$IF$33:$IK$33)</f>
        <v>31312</v>
      </c>
      <c r="F18" s="7">
        <f>SUM('[3]Go Jet'!$IF$33:$IK$33)</f>
        <v>0</v>
      </c>
      <c r="G18" s="7">
        <f>SUM('[3]Sun Country'!$IF$33:$IK$33)</f>
        <v>139141</v>
      </c>
      <c r="H18" s="7">
        <f>SUM([3]Icelandair!$IF$33:$IK$33)</f>
        <v>14099</v>
      </c>
      <c r="I18" s="7">
        <f>SUM([3]KLM!$IF$33:$IK$33)</f>
        <v>21508</v>
      </c>
      <c r="J18" s="7">
        <f>SUM([3]Jazz_AC!$IF$33:$IK$33)</f>
        <v>32915</v>
      </c>
      <c r="K18" s="7">
        <f>SUM('[3]Sky Regional'!$IF$33:$IK$33)</f>
        <v>0</v>
      </c>
      <c r="L18" s="7">
        <f>SUM([3]Condor!$IF$33:$IK$33)</f>
        <v>3506</v>
      </c>
      <c r="M18" s="7">
        <f>SUM('[3]Aer Lingus'!$IF$33:$IK$33)</f>
        <v>0</v>
      </c>
      <c r="N18" s="7">
        <f>SUM('[3]Air France'!$IF$33:$IK$33)</f>
        <v>0</v>
      </c>
      <c r="O18" s="7">
        <f>SUM([3]Frontier!$IF$33:$IK$33)</f>
        <v>0</v>
      </c>
      <c r="P18" s="7">
        <f>SUM('[3]Charter Misc'!$IF$33:$IK$33)++SUM([3]Ryan!$IF$33:$IK$33)+SUM([3]Omni!$IF$33:$IK$33)</f>
        <v>332</v>
      </c>
      <c r="Q18" s="206">
        <f>SUM(B18:P18)</f>
        <v>762569</v>
      </c>
    </row>
    <row r="19" spans="1:20" ht="15" x14ac:dyDescent="0.25">
      <c r="A19" s="43" t="s">
        <v>7</v>
      </c>
      <c r="B19" s="24">
        <f t="shared" ref="B19:P19" si="11">SUM(B17:B18)</f>
        <v>1035037</v>
      </c>
      <c r="C19" s="24">
        <f t="shared" si="11"/>
        <v>0</v>
      </c>
      <c r="D19" s="24">
        <f t="shared" si="11"/>
        <v>5960</v>
      </c>
      <c r="E19" s="24">
        <f t="shared" si="11"/>
        <v>60336</v>
      </c>
      <c r="F19" s="24">
        <f t="shared" ref="F19" si="12">SUM(F17:F18)</f>
        <v>0</v>
      </c>
      <c r="G19" s="24">
        <f t="shared" si="11"/>
        <v>282348</v>
      </c>
      <c r="H19" s="24">
        <f t="shared" si="11"/>
        <v>26966</v>
      </c>
      <c r="I19" s="24">
        <f t="shared" ref="I19" si="13">SUM(I17:I18)</f>
        <v>45118</v>
      </c>
      <c r="J19" s="24">
        <f t="shared" si="11"/>
        <v>63880</v>
      </c>
      <c r="K19" s="24">
        <f t="shared" ref="K19" si="14">SUM(K17:K18)</f>
        <v>0</v>
      </c>
      <c r="L19" s="24">
        <f t="shared" ref="L19:M19" si="15">SUM(L17:L18)</f>
        <v>6373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1663</v>
      </c>
      <c r="Q19" s="207">
        <f>SUM(B19:P19)</f>
        <v>1527681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SUM([3]Delta!$IF$37:$IK$37)</f>
        <v>14141</v>
      </c>
      <c r="C22" s="12">
        <f>SUM('[3]Atlantic Southeast'!$IF$37:$IK$37)</f>
        <v>0</v>
      </c>
      <c r="D22" s="12">
        <f>SUM([3]Pinnacle!$IF$37:$IK$37)</f>
        <v>35</v>
      </c>
      <c r="E22" s="12">
        <f>SUM('[3]Sky West'!$IF$37:$IK$37)</f>
        <v>557</v>
      </c>
      <c r="F22" s="12">
        <f>SUM('[3]Go Jet'!$IF$37:$IK$37)</f>
        <v>0</v>
      </c>
      <c r="G22" s="12">
        <f>SUM('[3]Sun Country'!$IF$37:$IK$37)</f>
        <v>1861</v>
      </c>
      <c r="H22" s="12">
        <f>SUM([3]Icelandair!$IF$37:$IK$37)</f>
        <v>86</v>
      </c>
      <c r="I22" s="12">
        <f>SUM([3]KLM!$IF$37:$IK$37)</f>
        <v>67</v>
      </c>
      <c r="J22" s="12">
        <f>SUM([3]Jazz_AC!$IF$37:$IK$37)</f>
        <v>370</v>
      </c>
      <c r="K22" s="12">
        <f>SUM('[3]Sky Regional'!$IF$37:$IK$37)</f>
        <v>0</v>
      </c>
      <c r="L22" s="12">
        <f>SUM([3]Condor!$IF$37:$IK$37)</f>
        <v>9</v>
      </c>
      <c r="M22" s="12">
        <f>SUM('[3]Aer Lingus'!$IF$37:$IK$37)</f>
        <v>0</v>
      </c>
      <c r="N22" s="12">
        <f>SUM('[3]Air France'!$IF$37:$IK$37)</f>
        <v>0</v>
      </c>
      <c r="O22" s="12">
        <f>SUM([3]Frontier!$IF$37:$IK$37)</f>
        <v>0</v>
      </c>
      <c r="P22" s="12">
        <f>SUM('[3]Charter Misc'!$IF$37:$IK$37)++SUM([3]Ryan!$IF$37:$IK$37)+SUM([3]Omni!$IF$37:$IK$37)</f>
        <v>0</v>
      </c>
      <c r="Q22" s="205">
        <f>SUM(B22:P22)</f>
        <v>17126</v>
      </c>
    </row>
    <row r="23" spans="1:20" x14ac:dyDescent="0.2">
      <c r="A23" s="45" t="s">
        <v>33</v>
      </c>
      <c r="B23" s="7">
        <f>SUM([3]Delta!$IF$38:$IK$38)</f>
        <v>14760</v>
      </c>
      <c r="C23" s="7">
        <f>SUM('[3]Atlantic Southeast'!$IF$38:$IK$38)</f>
        <v>0</v>
      </c>
      <c r="D23" s="7">
        <f>SUM([3]Pinnacle!$IF$38:$IK$38)</f>
        <v>39</v>
      </c>
      <c r="E23" s="7">
        <f>SUM('[3]Sky West'!$IF$38:$IK$38)</f>
        <v>513</v>
      </c>
      <c r="F23" s="7">
        <f>SUM('[3]Go Jet'!$IF$38:$IK$38)</f>
        <v>0</v>
      </c>
      <c r="G23" s="7">
        <f>SUM('[3]Sun Country'!$IF$38:$IK$38)</f>
        <v>1946</v>
      </c>
      <c r="H23" s="7">
        <f>SUM([3]Icelandair!$IF$38:$IK$38)</f>
        <v>99</v>
      </c>
      <c r="I23" s="7">
        <f>SUM([3]KLM!$IF$38:$IK$38)</f>
        <v>3</v>
      </c>
      <c r="J23" s="7">
        <f>SUM([3]Jazz_AC!$IF$38:$IK$38)</f>
        <v>440</v>
      </c>
      <c r="K23" s="7">
        <f>SUM('[3]Sky Regional'!$IF$38:$IK$38)</f>
        <v>0</v>
      </c>
      <c r="L23" s="7">
        <f>SUM([3]Condor!$IF$38:$IK$38)</f>
        <v>9</v>
      </c>
      <c r="M23" s="7">
        <f>SUM('[3]Aer Lingus'!$IF$38:$IK$38)</f>
        <v>0</v>
      </c>
      <c r="N23" s="7">
        <f>SUM('[3]Air France'!$IF$38:$IK$38)</f>
        <v>0</v>
      </c>
      <c r="O23" s="7">
        <f>SUM([3]Frontier!$IF$38:$IK$38)</f>
        <v>0</v>
      </c>
      <c r="P23" s="7">
        <f>SUM('[3]Charter Misc'!$IF$38:$IK$38)++SUM([3]Ryan!$IF$38:$IK$38)+SUM([3]Omni!$IF$38:$IK$38)</f>
        <v>0</v>
      </c>
      <c r="Q23" s="206">
        <f>SUM(B23:P23)</f>
        <v>17809</v>
      </c>
    </row>
    <row r="24" spans="1:20" ht="15.75" thickBot="1" x14ac:dyDescent="0.3">
      <c r="A24" s="46" t="s">
        <v>34</v>
      </c>
      <c r="B24" s="208">
        <f t="shared" ref="B24:P24" si="16">SUM(B22:B23)</f>
        <v>28901</v>
      </c>
      <c r="C24" s="208">
        <f t="shared" si="16"/>
        <v>0</v>
      </c>
      <c r="D24" s="208">
        <f t="shared" si="16"/>
        <v>74</v>
      </c>
      <c r="E24" s="208">
        <f t="shared" si="16"/>
        <v>1070</v>
      </c>
      <c r="F24" s="208">
        <f t="shared" ref="F24" si="17">SUM(F22:F23)</f>
        <v>0</v>
      </c>
      <c r="G24" s="208">
        <f t="shared" si="16"/>
        <v>3807</v>
      </c>
      <c r="H24" s="208">
        <f t="shared" si="16"/>
        <v>185</v>
      </c>
      <c r="I24" s="208">
        <f t="shared" ref="I24" si="18">SUM(I22:I23)</f>
        <v>70</v>
      </c>
      <c r="J24" s="208">
        <f t="shared" si="16"/>
        <v>810</v>
      </c>
      <c r="K24" s="208">
        <f t="shared" ref="K24" si="19">SUM(K22:K23)</f>
        <v>0</v>
      </c>
      <c r="L24" s="208">
        <f t="shared" ref="L24:M24" si="20">SUM(L22:L23)</f>
        <v>18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34935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252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6" t="s">
        <v>140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8"/>
    </row>
    <row r="28" spans="1:20" x14ac:dyDescent="0.2">
      <c r="A28" s="45" t="s">
        <v>22</v>
      </c>
      <c r="B28" s="12">
        <f>[3]Delta!$IK$15</f>
        <v>468</v>
      </c>
      <c r="C28" s="12">
        <f>'[3]Atlantic Southeast'!$IK$15</f>
        <v>0</v>
      </c>
      <c r="D28" s="12">
        <f>[3]Pinnacle!$IK$15</f>
        <v>16</v>
      </c>
      <c r="E28" s="12">
        <f>'[3]Sky West'!$IK$15</f>
        <v>90</v>
      </c>
      <c r="F28" s="12">
        <f>'[3]Go Jet'!$IK$15</f>
        <v>0</v>
      </c>
      <c r="G28" s="12">
        <f>'[3]Sun Country'!$IK$15</f>
        <v>18</v>
      </c>
      <c r="H28" s="12">
        <f>[3]Icelandair!$IK$15</f>
        <v>31</v>
      </c>
      <c r="I28" s="12">
        <f>[3]KLM!$IK$15</f>
        <v>17</v>
      </c>
      <c r="J28" s="12">
        <f>[3]Jazz_AC!$IK$15</f>
        <v>108</v>
      </c>
      <c r="K28" s="12">
        <f>'[3]Sky Regional'!$IK$15</f>
        <v>0</v>
      </c>
      <c r="L28" s="12">
        <f>[3]Condor!$IK$15</f>
        <v>11</v>
      </c>
      <c r="M28" s="12">
        <f>'[3]Aer Lingus'!$IK$15</f>
        <v>0</v>
      </c>
      <c r="N28" s="12">
        <f>'[3]Air France'!$IK$15</f>
        <v>0</v>
      </c>
      <c r="O28" s="12">
        <f>[3]Frontier!$IK$15</f>
        <v>0</v>
      </c>
      <c r="P28" s="12">
        <f>'[3]Charter Misc'!$IK$15+[3]Ryan!$IK$15+[3]Omni!$IK$15</f>
        <v>1</v>
      </c>
      <c r="Q28" s="205">
        <f>SUM(B28:P28)</f>
        <v>760</v>
      </c>
    </row>
    <row r="29" spans="1:20" x14ac:dyDescent="0.2">
      <c r="A29" s="45" t="s">
        <v>23</v>
      </c>
      <c r="B29" s="12">
        <f>[3]Delta!$IK$16</f>
        <v>470</v>
      </c>
      <c r="C29" s="12">
        <f>'[3]Atlantic Southeast'!$IK$16</f>
        <v>0</v>
      </c>
      <c r="D29" s="12">
        <f>[3]Pinnacle!$IK$16</f>
        <v>15</v>
      </c>
      <c r="E29" s="12">
        <f>'[3]Sky West'!$IK$16</f>
        <v>90</v>
      </c>
      <c r="F29" s="12">
        <f>'[3]Go Jet'!$IK$16</f>
        <v>0</v>
      </c>
      <c r="G29" s="12">
        <f>'[3]Sun Country'!$IK$16</f>
        <v>17</v>
      </c>
      <c r="H29" s="12">
        <f>[3]Icelandair!$IK$16</f>
        <v>31</v>
      </c>
      <c r="I29" s="12">
        <f>[3]KLM!$IK$16</f>
        <v>17</v>
      </c>
      <c r="J29" s="12">
        <f>[3]Jazz_AC!$IK$16</f>
        <v>108</v>
      </c>
      <c r="K29" s="12">
        <f>'[3]Sky Regional'!$IK$16</f>
        <v>0</v>
      </c>
      <c r="L29" s="12">
        <f>[3]Condor!$IK$16</f>
        <v>11</v>
      </c>
      <c r="M29" s="12">
        <f>'[3]Aer Lingus'!$IK$16</f>
        <v>0</v>
      </c>
      <c r="N29" s="12">
        <f>'[3]Air France'!$IK$16</f>
        <v>0</v>
      </c>
      <c r="O29" s="12">
        <f>[3]Frontier!$IK$16</f>
        <v>0</v>
      </c>
      <c r="P29" s="12">
        <f>'[3]Charter Misc'!$IK$16+[3]Ryan!$IK$16+[3]Omni!$IK$16</f>
        <v>0</v>
      </c>
      <c r="Q29" s="205">
        <f>SUM(B29:P29)</f>
        <v>759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938</v>
      </c>
      <c r="C31" s="282">
        <f t="shared" si="21"/>
        <v>0</v>
      </c>
      <c r="D31" s="282">
        <f t="shared" si="21"/>
        <v>31</v>
      </c>
      <c r="E31" s="282">
        <f>SUM(E28:E29)</f>
        <v>180</v>
      </c>
      <c r="F31" s="282">
        <f>SUM(F28:F29)</f>
        <v>0</v>
      </c>
      <c r="G31" s="282">
        <f t="shared" si="21"/>
        <v>35</v>
      </c>
      <c r="H31" s="282">
        <f t="shared" si="21"/>
        <v>62</v>
      </c>
      <c r="I31" s="282">
        <f t="shared" ref="I31" si="22">SUM(I28:I29)</f>
        <v>34</v>
      </c>
      <c r="J31" s="282">
        <f t="shared" si="21"/>
        <v>216</v>
      </c>
      <c r="K31" s="282">
        <f t="shared" ref="K31" si="23">SUM(K28:K29)</f>
        <v>0</v>
      </c>
      <c r="L31" s="282">
        <f>SUM(L28:L29)</f>
        <v>22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1</v>
      </c>
      <c r="Q31" s="283">
        <f>SUM(B31:P31)</f>
        <v>1519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252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9" t="s">
        <v>141</v>
      </c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1"/>
    </row>
    <row r="35" spans="1:17" x14ac:dyDescent="0.2">
      <c r="A35" s="45" t="s">
        <v>22</v>
      </c>
      <c r="B35" s="12">
        <f>SUM([3]Delta!$IF$15:$IK$15)</f>
        <v>3007</v>
      </c>
      <c r="C35" s="12">
        <f>SUM('[3]Atlantic Southeast'!$IF$15:$IK$15)</f>
        <v>0</v>
      </c>
      <c r="D35" s="12">
        <f>SUM([3]Pinnacle!$IF$15:$IK$15)</f>
        <v>49</v>
      </c>
      <c r="E35" s="12">
        <f>SUM('[3]Sky West'!$IF$15:$IK$15)</f>
        <v>508</v>
      </c>
      <c r="F35" s="12">
        <f>SUM('[3]Go Jet'!$IF$15:$IK$15)</f>
        <v>0</v>
      </c>
      <c r="G35" s="12">
        <f>SUM('[3]Sun Country'!$IF$15:$IK$15)</f>
        <v>940</v>
      </c>
      <c r="H35" s="12">
        <f>SUM([3]Icelandair!$IF$15:$IK$15)</f>
        <v>85</v>
      </c>
      <c r="I35" s="12">
        <f>SUM([3]KLM!$IF$15:$IK$15)</f>
        <v>101</v>
      </c>
      <c r="J35" s="12">
        <f>SUM([3]Jazz_AC!$IF$15:$IK$15)</f>
        <v>549</v>
      </c>
      <c r="K35" s="12">
        <f>SUM('[3]Sky Regional'!$IF$15:$IK$15)</f>
        <v>0</v>
      </c>
      <c r="L35" s="12">
        <f>SUM([3]Condor!$IF$15:$IK$15)</f>
        <v>14</v>
      </c>
      <c r="M35" s="12">
        <f>SUM('[3]Aer Lingus'!$IF$15:$IK$15)</f>
        <v>0</v>
      </c>
      <c r="N35" s="12">
        <f>SUM('[3]Air France'!$IF$15:$IK$15)</f>
        <v>0</v>
      </c>
      <c r="O35" s="12">
        <f>SUM([3]Frontier!$IF$15:$IK$15)</f>
        <v>0</v>
      </c>
      <c r="P35" s="12">
        <f>SUM('[3]Charter Misc'!$IF$15:$IK$15)+SUM([3]Ryan!$IF$15:$IK$15)+SUM([3]Omni!$IF$15:$IK$15)</f>
        <v>6</v>
      </c>
      <c r="Q35" s="205">
        <f>SUM(B35:P35)</f>
        <v>5259</v>
      </c>
    </row>
    <row r="36" spans="1:17" x14ac:dyDescent="0.2">
      <c r="A36" s="45" t="s">
        <v>23</v>
      </c>
      <c r="B36" s="12">
        <f>SUM([3]Delta!$IF$16:$IK$16)</f>
        <v>3026</v>
      </c>
      <c r="C36" s="12">
        <f>SUM('[3]Atlantic Southeast'!$IF$16:$IK$16)</f>
        <v>0</v>
      </c>
      <c r="D36" s="12">
        <f>SUM([3]Pinnacle!$IF$16:$IK$16)</f>
        <v>49</v>
      </c>
      <c r="E36" s="12">
        <f>SUM('[3]Sky West'!$IF$16:$IK$16)</f>
        <v>508</v>
      </c>
      <c r="F36" s="12">
        <f>SUM('[3]Go Jet'!$IF$16:$IK$16)</f>
        <v>0</v>
      </c>
      <c r="G36" s="12">
        <f>SUM('[3]Sun Country'!$IF$16:$IK$16)</f>
        <v>941</v>
      </c>
      <c r="H36" s="12">
        <f>SUM([3]Icelandair!$IF$16:$IK$16)</f>
        <v>85</v>
      </c>
      <c r="I36" s="12">
        <f>SUM([3]KLM!$IF$16:$IK$16)</f>
        <v>101</v>
      </c>
      <c r="J36" s="12">
        <f>SUM([3]Jazz_AC!$IF$16:$IK$16)</f>
        <v>481</v>
      </c>
      <c r="K36" s="12">
        <f>SUM('[3]Sky Regional'!$IF$16:$IK$16)</f>
        <v>0</v>
      </c>
      <c r="L36" s="12">
        <f>SUM([3]Condor!$IF$16:$IK$16)</f>
        <v>14</v>
      </c>
      <c r="M36" s="12">
        <f>SUM('[3]Aer Lingus'!$IF$16:$IK$16)</f>
        <v>0</v>
      </c>
      <c r="N36" s="12">
        <f>SUM('[3]Air France'!$IF$16:$IK$16)</f>
        <v>0</v>
      </c>
      <c r="O36" s="12">
        <f>SUM([3]Frontier!$IF$16:$IK$16)</f>
        <v>0</v>
      </c>
      <c r="P36" s="12">
        <f>SUM('[3]Charter Misc'!$IF$16:$IK$16)+SUM([3]Ryan!$IF$16:$IK$16)+SUM([3]Omni!$IF$16:$IK$16)</f>
        <v>2</v>
      </c>
      <c r="Q36" s="205">
        <f>SUM(B36:P36)</f>
        <v>5207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6033</v>
      </c>
      <c r="C38" s="282">
        <f t="shared" si="25"/>
        <v>0</v>
      </c>
      <c r="D38" s="282">
        <f t="shared" si="25"/>
        <v>98</v>
      </c>
      <c r="E38" s="282">
        <f>+SUM(E35:E36)</f>
        <v>1016</v>
      </c>
      <c r="F38" s="282">
        <f>+SUM(F35:F36)</f>
        <v>0</v>
      </c>
      <c r="G38" s="282">
        <f t="shared" si="25"/>
        <v>1881</v>
      </c>
      <c r="H38" s="282">
        <f t="shared" si="25"/>
        <v>170</v>
      </c>
      <c r="I38" s="282">
        <f t="shared" ref="I38" si="26">+SUM(I35:I36)</f>
        <v>202</v>
      </c>
      <c r="J38" s="282">
        <f t="shared" si="25"/>
        <v>1030</v>
      </c>
      <c r="K38" s="282">
        <f t="shared" ref="K38" si="27">+SUM(K35:K36)</f>
        <v>0</v>
      </c>
      <c r="L38" s="282">
        <f>+SUM(L35:L36)</f>
        <v>28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8</v>
      </c>
      <c r="Q38" s="283">
        <f>SUM(B38:P38)</f>
        <v>10466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&amp;"Arial,Bold"June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topLeftCell="A27" zoomScaleNormal="100" zoomScaleSheetLayoutView="85" workbookViewId="0">
      <selection activeCell="D42" sqref="D42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500" t="s">
        <v>130</v>
      </c>
      <c r="B1" s="501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4" t="s">
        <v>134</v>
      </c>
      <c r="K1" s="505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92" t="s">
        <v>210</v>
      </c>
      <c r="T1" s="493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5">
        <v>45078</v>
      </c>
      <c r="B2" s="476"/>
      <c r="C2" s="502" t="s">
        <v>9</v>
      </c>
      <c r="D2" s="503"/>
      <c r="E2" s="503"/>
      <c r="F2" s="503"/>
      <c r="G2" s="503"/>
      <c r="H2" s="503"/>
      <c r="I2" s="332"/>
      <c r="J2" s="475">
        <f>+A2</f>
        <v>45078</v>
      </c>
      <c r="K2" s="476"/>
      <c r="L2" s="497" t="s">
        <v>136</v>
      </c>
      <c r="M2" s="498"/>
      <c r="N2" s="498"/>
      <c r="O2" s="498"/>
      <c r="P2" s="498"/>
      <c r="Q2" s="498"/>
      <c r="R2" s="499"/>
      <c r="S2" s="475">
        <f>+J2</f>
        <v>45078</v>
      </c>
      <c r="T2" s="476"/>
      <c r="U2" s="494" t="s">
        <v>211</v>
      </c>
      <c r="V2" s="495"/>
      <c r="W2" s="495"/>
      <c r="X2" s="495"/>
      <c r="Y2" s="495"/>
      <c r="Z2" s="495"/>
      <c r="AA2" s="496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216</v>
      </c>
      <c r="D4" s="261">
        <f>SUM(D5:D7)</f>
        <v>197</v>
      </c>
      <c r="E4" s="262">
        <f>(C4-D4)/D4</f>
        <v>9.6446700507614211E-2</v>
      </c>
      <c r="F4" s="259">
        <f>SUM(F5:F7)</f>
        <v>1030</v>
      </c>
      <c r="G4" s="261">
        <f>SUM(G5:G7)</f>
        <v>646</v>
      </c>
      <c r="H4" s="260">
        <f>(F4-G4)/G4</f>
        <v>0.59442724458204332</v>
      </c>
      <c r="I4" s="262">
        <f>F4/$F$62</f>
        <v>7.3926805285407706E-3</v>
      </c>
      <c r="J4" s="258" t="s">
        <v>98</v>
      </c>
      <c r="K4" s="39"/>
      <c r="L4" s="259">
        <f>SUM(L5:L7)</f>
        <v>17043</v>
      </c>
      <c r="M4" s="261">
        <f>SUM(M5:M7)</f>
        <v>11991</v>
      </c>
      <c r="N4" s="262">
        <f>(L4-M4)/M4</f>
        <v>0.4213159869902427</v>
      </c>
      <c r="O4" s="259">
        <f>SUM(O5:O7)</f>
        <v>63880</v>
      </c>
      <c r="P4" s="261">
        <f>SUM(P5:P7)</f>
        <v>32197</v>
      </c>
      <c r="Q4" s="260">
        <f>(O4-P4)/P4</f>
        <v>0.98403577973103085</v>
      </c>
      <c r="R4" s="262">
        <f>O4/$O$62</f>
        <v>3.9630309022111575E-3</v>
      </c>
      <c r="S4" s="258" t="s">
        <v>98</v>
      </c>
      <c r="T4" s="39"/>
      <c r="U4" s="259">
        <f>SUM(U5:U7)</f>
        <v>65592.3</v>
      </c>
      <c r="V4" s="261">
        <f>SUM(V5:V7)</f>
        <v>1131.0999999999999</v>
      </c>
      <c r="W4" s="262">
        <f>(U4-V4)/V4</f>
        <v>56.989832906020695</v>
      </c>
      <c r="X4" s="259">
        <f>SUM(X5:X7)</f>
        <v>118886.39999999999</v>
      </c>
      <c r="Y4" s="261">
        <f>SUM(Y5:Y7)</f>
        <v>11279.9</v>
      </c>
      <c r="Z4" s="260">
        <f>(X4-Y4)/Y4</f>
        <v>9.5396679048573123</v>
      </c>
      <c r="AA4" s="262">
        <f>X4/$X$62</f>
        <v>2.8112150299290082E-3</v>
      </c>
    </row>
    <row r="5" spans="1:27" ht="14.1" customHeight="1" x14ac:dyDescent="0.2">
      <c r="A5" s="258"/>
      <c r="B5" s="318" t="s">
        <v>98</v>
      </c>
      <c r="C5" s="263">
        <f>+[3]AirCanada!$IK$19</f>
        <v>0</v>
      </c>
      <c r="D5" s="2">
        <f>+[3]AirCanada!$HW$19</f>
        <v>0</v>
      </c>
      <c r="E5" s="65" t="e">
        <f>(C5-D5)/D5</f>
        <v>#DIV/0!</v>
      </c>
      <c r="F5" s="217">
        <f>SUM([3]AirCanada!$IF$19:$IK$19)</f>
        <v>0</v>
      </c>
      <c r="G5" s="217">
        <f>SUM([3]AirCanada!$HR$19:$HW$19)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+[3]AirCanada!$IK$41</f>
        <v>0</v>
      </c>
      <c r="M5" s="217">
        <f>+[3]AirCanada!$HW$41</f>
        <v>0</v>
      </c>
      <c r="N5" s="324" t="e">
        <f>(L5-M5)/M5</f>
        <v>#DIV/0!</v>
      </c>
      <c r="O5" s="322">
        <f>SUM([3]AirCanada!$IF$41:$IK$41)</f>
        <v>0</v>
      </c>
      <c r="P5" s="217">
        <f>SUM([3]AirCanada!$HR$41:$HW$41)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+[3]AirCanada!$IK$64</f>
        <v>0</v>
      </c>
      <c r="V5" s="217">
        <f>+[3]AirCanada!$HW$64</f>
        <v>0</v>
      </c>
      <c r="W5" s="324" t="e">
        <f>(U5-V5)/V5</f>
        <v>#DIV/0!</v>
      </c>
      <c r="X5" s="322">
        <f>SUM([3]AirCanada!$IF$64:$IK$64)</f>
        <v>0</v>
      </c>
      <c r="Y5" s="217">
        <f>SUM([3]AirCanada!$HR$64:$HW$64)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Georgian'!$IK$19</f>
        <v>0</v>
      </c>
      <c r="D6" s="2">
        <f>'[3]Air Georgian'!$HW$19</f>
        <v>0</v>
      </c>
      <c r="E6" s="65" t="e">
        <f>(C6-D6)/D6</f>
        <v>#DIV/0!</v>
      </c>
      <c r="F6" s="217">
        <f>SUM('[3]Air Georgian'!$IF$19:$IK$19)</f>
        <v>0</v>
      </c>
      <c r="G6" s="217">
        <f>SUM('[3]Air Georgian'!$HR$19:$HW$19)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Georgian'!$IK$41</f>
        <v>0</v>
      </c>
      <c r="M6" s="2">
        <f>'[3]Air Georgian'!$HW$41</f>
        <v>0</v>
      </c>
      <c r="N6" s="65" t="e">
        <f>(L6-M6)/M6</f>
        <v>#DIV/0!</v>
      </c>
      <c r="O6" s="263">
        <f>SUM('[3]Air Georgian'!$IF$41:$IK$41)</f>
        <v>0</v>
      </c>
      <c r="P6" s="2">
        <f>SUM('[3]Air Georgian'!$HR$41:$HW$41)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Georgian'!$IK$64</f>
        <v>0</v>
      </c>
      <c r="V6" s="2">
        <f>'[3]Air Georgian'!$HW$64</f>
        <v>0</v>
      </c>
      <c r="W6" s="65" t="e">
        <f>(U6-V6)/V6</f>
        <v>#DIV/0!</v>
      </c>
      <c r="X6" s="263">
        <f>SUM('[3]Air Georgian'!$IF$64:$IK$64)</f>
        <v>0</v>
      </c>
      <c r="Y6" s="2">
        <f>SUM('[3]Air Georgian'!$HR$64:$HW$64)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[3]Jazz_AC!$IK$19</f>
        <v>216</v>
      </c>
      <c r="D7" s="2">
        <f>[3]Jazz_AC!$HW$19</f>
        <v>197</v>
      </c>
      <c r="E7" s="65">
        <f t="shared" ref="E7" si="0">(C7-D7)/D7</f>
        <v>9.6446700507614211E-2</v>
      </c>
      <c r="F7" s="2">
        <f>SUM([3]Jazz_AC!$IF$19:$IK$19)</f>
        <v>1030</v>
      </c>
      <c r="G7" s="2">
        <f>SUM([3]Jazz_AC!$HR$19:$HW$19)</f>
        <v>646</v>
      </c>
      <c r="H7" s="3">
        <f t="shared" ref="H7" si="1">(F7-G7)/G7</f>
        <v>0.59442724458204332</v>
      </c>
      <c r="I7" s="65">
        <f>F7/$F$62</f>
        <v>7.3926805285407706E-3</v>
      </c>
      <c r="J7" s="258"/>
      <c r="K7" s="318" t="s">
        <v>218</v>
      </c>
      <c r="L7" s="263">
        <f>[3]Jazz_AC!$IK$41</f>
        <v>17043</v>
      </c>
      <c r="M7" s="2">
        <f>[3]Jazz_AC!$HW$41</f>
        <v>11991</v>
      </c>
      <c r="N7" s="65">
        <f t="shared" ref="N7" si="2">(L7-M7)/M7</f>
        <v>0.4213159869902427</v>
      </c>
      <c r="O7" s="263">
        <f>SUM([3]Jazz_AC!$IF$41:$IK$41)</f>
        <v>63880</v>
      </c>
      <c r="P7" s="2">
        <f>SUM([3]Jazz_AC!$HR$41:$HW$41)</f>
        <v>32197</v>
      </c>
      <c r="Q7" s="3">
        <f t="shared" ref="Q7" si="3">(O7-P7)/P7</f>
        <v>0.98403577973103085</v>
      </c>
      <c r="R7" s="65">
        <f>O7/$O$62</f>
        <v>3.9630309022111575E-3</v>
      </c>
      <c r="S7" s="258"/>
      <c r="T7" s="318" t="s">
        <v>218</v>
      </c>
      <c r="U7" s="263">
        <f>[3]Jazz_AC!$IK$64</f>
        <v>65592.3</v>
      </c>
      <c r="V7" s="2">
        <f>[3]Jazz_AC!$HW$64</f>
        <v>1131.0999999999999</v>
      </c>
      <c r="W7" s="65">
        <f t="shared" ref="W7" si="4">(U7-V7)/V7</f>
        <v>56.989832906020695</v>
      </c>
      <c r="X7" s="263">
        <f>SUM([3]Jazz_AC!$IF$64:$IK$64)</f>
        <v>118886.39999999999</v>
      </c>
      <c r="Y7" s="2">
        <f>SUM([3]Jazz_AC!$HR$64:$HW$64)</f>
        <v>11279.9</v>
      </c>
      <c r="Z7" s="3">
        <f t="shared" ref="Z7" si="5">(X7-Y7)/Y7</f>
        <v>9.5396679048573123</v>
      </c>
      <c r="AA7" s="65">
        <f>X7/$X$62</f>
        <v>2.8112150299290082E-3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France'!$IK$19</f>
        <v>0</v>
      </c>
      <c r="D9" s="261">
        <f>'[3]Air France'!$HW$19</f>
        <v>38</v>
      </c>
      <c r="E9" s="262">
        <f>(C9-D9)/D9</f>
        <v>-1</v>
      </c>
      <c r="F9" s="261">
        <f>SUM('[3]Air France'!$IF$19:$IK$19)</f>
        <v>0</v>
      </c>
      <c r="G9" s="261">
        <f>SUM('[3]Air France'!$HR$19:$HW$19)</f>
        <v>70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France'!$IK$41</f>
        <v>0</v>
      </c>
      <c r="M9" s="261">
        <f>'[3]Air France'!$HW$41</f>
        <v>10934</v>
      </c>
      <c r="N9" s="262">
        <f>(L9-M9)/M9</f>
        <v>-1</v>
      </c>
      <c r="O9" s="259">
        <f>SUM('[3]Air France'!$IF$41:$IK$41)</f>
        <v>0</v>
      </c>
      <c r="P9" s="261">
        <f>SUM('[3]Air France'!$HR$41:$HW$41)</f>
        <v>17876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France'!$IK$64</f>
        <v>0</v>
      </c>
      <c r="V9" s="261">
        <f>'[3]Air France'!$HW$64</f>
        <v>472370</v>
      </c>
      <c r="W9" s="262">
        <f>(U9-V9)/V9</f>
        <v>-1</v>
      </c>
      <c r="X9" s="259">
        <f>SUM('[3]Air France'!$IF$64:$IK$64)</f>
        <v>0</v>
      </c>
      <c r="Y9" s="261">
        <f>SUM('[3]Air France'!$HR$64:$HW$64)</f>
        <v>807048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'!$IK$19</f>
        <v>50</v>
      </c>
      <c r="D11" s="2">
        <f>'[3]Allegiant '!$HW$19</f>
        <v>70</v>
      </c>
      <c r="E11" s="65">
        <f t="shared" ref="E11" si="6">(C11-D11)/D11</f>
        <v>-0.2857142857142857</v>
      </c>
      <c r="F11" s="2">
        <f>SUM('[3]Allegiant '!$IF$19:$IK$19)</f>
        <v>522</v>
      </c>
      <c r="G11" s="2">
        <f>SUM('[3]Allegiant '!$HR$19:$HW$19)</f>
        <v>526</v>
      </c>
      <c r="H11" s="3">
        <f t="shared" ref="H11" si="7">(F11-G11)/G11</f>
        <v>-7.6045627376425855E-3</v>
      </c>
      <c r="I11" s="65">
        <f>F11/$F$62</f>
        <v>3.7465817824255169E-3</v>
      </c>
      <c r="J11" s="258" t="s">
        <v>219</v>
      </c>
      <c r="K11" s="39"/>
      <c r="L11" s="263">
        <f>'[3]Allegiant '!$IK$41</f>
        <v>7479</v>
      </c>
      <c r="M11" s="2">
        <f>'[3]Allegiant '!$HW$41</f>
        <v>11285</v>
      </c>
      <c r="N11" s="65">
        <f t="shared" ref="N11" si="8">(L11-M11)/M11</f>
        <v>-0.33726185201595038</v>
      </c>
      <c r="O11" s="263">
        <f>SUM('[3]Allegiant '!$IF$41:$IK$41)</f>
        <v>77191</v>
      </c>
      <c r="P11" s="2">
        <f>SUM('[3]Allegiant '!$HR$41:$HW$41)</f>
        <v>70575</v>
      </c>
      <c r="Q11" s="3">
        <f t="shared" ref="Q11" si="9">(O11-P11)/P11</f>
        <v>9.3744243712362729E-2</v>
      </c>
      <c r="R11" s="65">
        <f>O11/$O$62</f>
        <v>4.7888277766528096E-3</v>
      </c>
      <c r="S11" s="258" t="s">
        <v>219</v>
      </c>
      <c r="T11" s="39"/>
      <c r="U11" s="263">
        <f>'[3]Allegiant '!$IK$64</f>
        <v>0</v>
      </c>
      <c r="V11" s="2">
        <f>'[3]Allegiant '!$HW$64</f>
        <v>0</v>
      </c>
      <c r="W11" s="65" t="e">
        <f t="shared" ref="W11" si="10">(U11-V11)/V11</f>
        <v>#DIV/0!</v>
      </c>
      <c r="X11" s="263">
        <f>SUM('[3]Allegiant '!$IF$64:$IK$64)</f>
        <v>0</v>
      </c>
      <c r="Y11" s="2">
        <f>SUM('[3]Allegiant '!$HR$64:$HW$64)</f>
        <v>0</v>
      </c>
      <c r="Z11" s="3" t="e">
        <f t="shared" ref="Z11" si="11">(X11-Y11)/Y11</f>
        <v>#DIV/0!</v>
      </c>
      <c r="AA11" s="65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213</v>
      </c>
      <c r="D13" s="261">
        <f>SUM(D14:D16)</f>
        <v>163</v>
      </c>
      <c r="E13" s="262">
        <f>(C13-D13)/D13</f>
        <v>0.30674846625766872</v>
      </c>
      <c r="F13" s="261">
        <f>SUM(F14:F16)</f>
        <v>783</v>
      </c>
      <c r="G13" s="261">
        <f>SUM(G14:G16)</f>
        <v>846</v>
      </c>
      <c r="H13" s="260">
        <f>(F13-G13)/G13</f>
        <v>-7.4468085106382975E-2</v>
      </c>
      <c r="I13" s="262">
        <f>F13/$F$62</f>
        <v>5.6198726736382751E-3</v>
      </c>
      <c r="J13" s="258" t="s">
        <v>127</v>
      </c>
      <c r="K13" s="39"/>
      <c r="L13" s="259">
        <f>SUM(L14:L16)</f>
        <v>31541</v>
      </c>
      <c r="M13" s="261">
        <f>SUM(M14:M16)</f>
        <v>25599</v>
      </c>
      <c r="N13" s="262">
        <f>(L13-M13)/M13</f>
        <v>0.23211844212664556</v>
      </c>
      <c r="O13" s="259">
        <f>SUM(O14:O16)</f>
        <v>114721</v>
      </c>
      <c r="P13" s="261">
        <f>SUM(P14:P16)</f>
        <v>108114</v>
      </c>
      <c r="Q13" s="260">
        <f>(O13-P13)/P13</f>
        <v>6.1111419427641193E-2</v>
      </c>
      <c r="R13" s="262">
        <f>O13/$O$62</f>
        <v>7.1171394510420516E-3</v>
      </c>
      <c r="S13" s="258" t="s">
        <v>127</v>
      </c>
      <c r="T13" s="39"/>
      <c r="U13" s="259">
        <f>SUM(U14:U16)</f>
        <v>38766</v>
      </c>
      <c r="V13" s="261">
        <f>SUM(V14:V16)</f>
        <v>29106</v>
      </c>
      <c r="W13" s="262">
        <f>(U13-V13)/V13</f>
        <v>0.3318903318903319</v>
      </c>
      <c r="X13" s="259">
        <f>SUM(X14:X16)</f>
        <v>182570</v>
      </c>
      <c r="Y13" s="261">
        <f>SUM(Y14:Y16)</f>
        <v>138458</v>
      </c>
      <c r="Z13" s="260">
        <f>(X13-Y13)/Y13</f>
        <v>0.31859480853399585</v>
      </c>
      <c r="AA13" s="262">
        <f>X13/$X$62</f>
        <v>4.3170920140078181E-3</v>
      </c>
    </row>
    <row r="14" spans="1:27" ht="14.1" customHeight="1" x14ac:dyDescent="0.2">
      <c r="A14" s="258"/>
      <c r="B14" s="318" t="s">
        <v>127</v>
      </c>
      <c r="C14" s="322">
        <f>[3]Alaska!$IK$19</f>
        <v>213</v>
      </c>
      <c r="D14" s="217">
        <f>[3]Alaska!$HW$19</f>
        <v>163</v>
      </c>
      <c r="E14" s="324">
        <f>(C14-D14)/D14</f>
        <v>0.30674846625766872</v>
      </c>
      <c r="F14" s="217">
        <f>SUM([3]Alaska!$IF$19:$IK$19)</f>
        <v>783</v>
      </c>
      <c r="G14" s="217">
        <f>SUM([3]Alaska!$HR$19:$HW$19)</f>
        <v>754</v>
      </c>
      <c r="H14" s="323">
        <f>(F14-G14)/G14</f>
        <v>3.8461538461538464E-2</v>
      </c>
      <c r="I14" s="324">
        <f>F14/$F$62</f>
        <v>5.6198726736382751E-3</v>
      </c>
      <c r="J14" s="258"/>
      <c r="K14" s="318" t="s">
        <v>127</v>
      </c>
      <c r="L14" s="322">
        <f>[3]Alaska!$IK$41</f>
        <v>31541</v>
      </c>
      <c r="M14" s="217">
        <f>[3]Alaska!$HW$41</f>
        <v>25599</v>
      </c>
      <c r="N14" s="324">
        <f>(L14-M14)/M14</f>
        <v>0.23211844212664556</v>
      </c>
      <c r="O14" s="322">
        <f>SUM([3]Alaska!$IF$41:$IK$41)</f>
        <v>114721</v>
      </c>
      <c r="P14" s="217">
        <f>SUM([3]Alaska!$HR$41:$HW$41)</f>
        <v>102743</v>
      </c>
      <c r="Q14" s="323">
        <f>(O14-P14)/P14</f>
        <v>0.11658215158210292</v>
      </c>
      <c r="R14" s="324">
        <f>O14/$O$62</f>
        <v>7.1171394510420516E-3</v>
      </c>
      <c r="S14" s="258"/>
      <c r="T14" s="318" t="s">
        <v>127</v>
      </c>
      <c r="U14" s="322">
        <f>[3]Alaska!$IK$64</f>
        <v>38766</v>
      </c>
      <c r="V14" s="217">
        <f>[3]Alaska!$HW$64</f>
        <v>29106</v>
      </c>
      <c r="W14" s="324">
        <f>(U14-V14)/V14</f>
        <v>0.3318903318903319</v>
      </c>
      <c r="X14" s="322">
        <f>SUM([3]Alaska!$IF$64:$IK$64)</f>
        <v>182570</v>
      </c>
      <c r="Y14" s="217">
        <f>SUM([3]Alaska!$HR$64:$HW$64)</f>
        <v>130859</v>
      </c>
      <c r="Z14" s="323">
        <f>(X14-Y14)/Y14</f>
        <v>0.39516578913181361</v>
      </c>
      <c r="AA14" s="324">
        <f>X14/$X$62</f>
        <v>4.3170920140078181E-3</v>
      </c>
    </row>
    <row r="15" spans="1:27" ht="14.1" customHeight="1" x14ac:dyDescent="0.2">
      <c r="A15" s="258"/>
      <c r="B15" s="318" t="s">
        <v>97</v>
      </c>
      <c r="C15" s="263">
        <f>'[3]Sky West_AS'!$IK$19</f>
        <v>0</v>
      </c>
      <c r="D15" s="2">
        <f>'[3]Sky West_AS'!$HW$19</f>
        <v>0</v>
      </c>
      <c r="E15" s="65" t="e">
        <f>(C15-D15)/D15</f>
        <v>#DIV/0!</v>
      </c>
      <c r="F15" s="2">
        <f>SUM('[3]Sky West_AS'!$IF$19:$IK$19)</f>
        <v>0</v>
      </c>
      <c r="G15" s="2">
        <f>SUM('[3]Sky West_AS'!$HR$19:$HW$19)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West_AS'!$IK$41</f>
        <v>0</v>
      </c>
      <c r="M15" s="2">
        <f>'[3]Sky West_AS'!$HW$41</f>
        <v>0</v>
      </c>
      <c r="N15" s="65" t="e">
        <f>(L15-M15)/M15</f>
        <v>#DIV/0!</v>
      </c>
      <c r="O15" s="263">
        <f>SUM('[3]Sky West_AS'!$IF$41:$IK$41)</f>
        <v>0</v>
      </c>
      <c r="P15" s="2">
        <f>SUM('[3]Sky West_AS'!$HR$41:$HW$41)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West_AS'!$IK$64</f>
        <v>0</v>
      </c>
      <c r="V15" s="2">
        <f>'[3]Sky West_AS'!$HW$64</f>
        <v>0</v>
      </c>
      <c r="W15" s="65" t="e">
        <f>(U15-V15)/V15</f>
        <v>#DIV/0!</v>
      </c>
      <c r="X15" s="263">
        <f>SUM('[3]Sky West_AS'!$IF$64:$IK$64)</f>
        <v>0</v>
      </c>
      <c r="Y15" s="2">
        <f>SUM('[3]Sky West_AS'!$HR$64:$HW$64)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[3]Horizon_AS!$IK$19</f>
        <v>0</v>
      </c>
      <c r="D16" s="2">
        <f>[3]Horizon_AS!$HW$19</f>
        <v>0</v>
      </c>
      <c r="E16" s="65" t="e">
        <f>(C16-D16)/D16</f>
        <v>#DIV/0!</v>
      </c>
      <c r="F16" s="2">
        <f>SUM([3]Horizon_AS!$IF$19:$IK$19)</f>
        <v>0</v>
      </c>
      <c r="G16" s="2">
        <f>SUM([3]Horizon_AS!$HR$19:$HW$19)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[3]Horizon_AS!$IK$41</f>
        <v>0</v>
      </c>
      <c r="M16" s="2">
        <f>[3]Horizon_AS!$HW$41</f>
        <v>0</v>
      </c>
      <c r="N16" s="65" t="e">
        <f>(L16-M16)/M16</f>
        <v>#DIV/0!</v>
      </c>
      <c r="O16" s="263">
        <f>SUM([3]Horizon_AS!$IF$41:$IK$41)</f>
        <v>0</v>
      </c>
      <c r="P16" s="2">
        <f>SUM([3]Horizon_AS!$HR$41:$HW$41)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[3]Horizon_AS!$IK$64</f>
        <v>0</v>
      </c>
      <c r="V16" s="2">
        <f>[3]Horizon_AS!$HW$64</f>
        <v>0</v>
      </c>
      <c r="W16" s="65" t="e">
        <f>(U16-V16)/V16</f>
        <v>#DIV/0!</v>
      </c>
      <c r="X16" s="263">
        <f>SUM([3]Horizon_AS!$IF$64:$IK$64)</f>
        <v>0</v>
      </c>
      <c r="Y16" s="2">
        <f>SUM([3]Horizon_AS!$HR$64:$HW$64)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1098</v>
      </c>
      <c r="D18" s="261">
        <f>SUM(D19:D24)</f>
        <v>1091</v>
      </c>
      <c r="E18" s="262">
        <f t="shared" ref="E18:E24" si="12">(C18-D18)/D18</f>
        <v>6.416131989000917E-3</v>
      </c>
      <c r="F18" s="259">
        <f>SUM(F19:F24)</f>
        <v>6315</v>
      </c>
      <c r="G18" s="261">
        <f>SUM(G19:G24)</f>
        <v>6273</v>
      </c>
      <c r="H18" s="260">
        <f t="shared" ref="H18:H24" si="13">(F18-G18)/G18</f>
        <v>6.6953610712577718E-3</v>
      </c>
      <c r="I18" s="262">
        <f t="shared" ref="I18:I24" si="14">F18/$F$62</f>
        <v>4.5325026735665019E-2</v>
      </c>
      <c r="J18" s="258" t="s">
        <v>17</v>
      </c>
      <c r="K18" s="265"/>
      <c r="L18" s="259">
        <f>SUM(L19:L24)</f>
        <v>128579</v>
      </c>
      <c r="M18" s="261">
        <f>SUM(M19:M24)</f>
        <v>125837</v>
      </c>
      <c r="N18" s="262">
        <f t="shared" ref="N18:N24" si="15">(L18-M18)/M18</f>
        <v>2.1790093533698356E-2</v>
      </c>
      <c r="O18" s="259">
        <f>SUM(O19:O24)</f>
        <v>713601</v>
      </c>
      <c r="P18" s="261">
        <f>SUM(P19:P24)</f>
        <v>673204</v>
      </c>
      <c r="Q18" s="260">
        <f t="shared" ref="Q18:Q24" si="16">(O18-P18)/P18</f>
        <v>6.0007070665058435E-2</v>
      </c>
      <c r="R18" s="262">
        <f t="shared" ref="R18:R24" si="17">O18/$O$62</f>
        <v>4.4270864352673522E-2</v>
      </c>
      <c r="S18" s="258" t="s">
        <v>17</v>
      </c>
      <c r="T18" s="265"/>
      <c r="U18" s="259">
        <f>SUM(U19:U24)</f>
        <v>57295</v>
      </c>
      <c r="V18" s="261">
        <f>SUM(V19:V24)</f>
        <v>80182</v>
      </c>
      <c r="W18" s="262">
        <f t="shared" ref="W18:W22" si="18">(U18-V18)/V18</f>
        <v>-0.28543812825821258</v>
      </c>
      <c r="X18" s="259">
        <f>SUM(X19:X24)</f>
        <v>328082</v>
      </c>
      <c r="Y18" s="261">
        <f>SUM(Y19:Y24)</f>
        <v>786988</v>
      </c>
      <c r="Z18" s="260">
        <f t="shared" ref="Z18:Z22" si="19">(X18-Y18)/Y18</f>
        <v>-0.5831168963186224</v>
      </c>
      <c r="AA18" s="262">
        <f t="shared" ref="AA18:AA24" si="20">X18/$X$62</f>
        <v>7.7579020766813441E-3</v>
      </c>
    </row>
    <row r="19" spans="1:27" ht="14.1" customHeight="1" x14ac:dyDescent="0.2">
      <c r="A19" s="37"/>
      <c r="B19" s="39" t="s">
        <v>17</v>
      </c>
      <c r="C19" s="263">
        <f>[3]American!$IK$19</f>
        <v>702</v>
      </c>
      <c r="D19" s="2">
        <f>[3]American!$HW$19</f>
        <v>617</v>
      </c>
      <c r="E19" s="65">
        <f t="shared" si="12"/>
        <v>0.13776337115072934</v>
      </c>
      <c r="F19" s="2">
        <f>SUM([3]American!$IF$19:$IK$19)</f>
        <v>3934</v>
      </c>
      <c r="G19" s="2">
        <f>SUM([3]American!$HR$19:$HW$19)</f>
        <v>3421</v>
      </c>
      <c r="H19" s="3">
        <f t="shared" si="13"/>
        <v>0.14995615317158725</v>
      </c>
      <c r="I19" s="65">
        <f t="shared" si="14"/>
        <v>2.8235733203183878E-2</v>
      </c>
      <c r="J19" s="37"/>
      <c r="K19" s="39" t="s">
        <v>17</v>
      </c>
      <c r="L19" s="263">
        <f>[3]American!$IK$41</f>
        <v>105531</v>
      </c>
      <c r="M19" s="2">
        <f>[3]American!$HW$41</f>
        <v>96832</v>
      </c>
      <c r="N19" s="65">
        <f t="shared" si="15"/>
        <v>8.9836004626569724E-2</v>
      </c>
      <c r="O19" s="263">
        <f>SUM([3]American!$IF$41:$IK$41)</f>
        <v>576571</v>
      </c>
      <c r="P19" s="2">
        <f>SUM([3]American!$HR$41:$HW$41)</f>
        <v>510932</v>
      </c>
      <c r="Q19" s="3">
        <f t="shared" si="16"/>
        <v>0.12846915049360777</v>
      </c>
      <c r="R19" s="65">
        <f t="shared" si="17"/>
        <v>3.5769703981195826E-2</v>
      </c>
      <c r="S19" s="37"/>
      <c r="T19" s="39" t="s">
        <v>17</v>
      </c>
      <c r="U19" s="263">
        <f>[3]American!$IK$64</f>
        <v>56646</v>
      </c>
      <c r="V19" s="2">
        <f>[3]American!$HW$64</f>
        <v>70797</v>
      </c>
      <c r="W19" s="65">
        <f t="shared" si="18"/>
        <v>-0.19988135090469936</v>
      </c>
      <c r="X19" s="263">
        <f>SUM([3]American!$IF$64:$IK$64)</f>
        <v>310876</v>
      </c>
      <c r="Y19" s="2">
        <f>SUM([3]American!$HR$64:$HW$64)</f>
        <v>759863</v>
      </c>
      <c r="Z19" s="3">
        <f t="shared" si="19"/>
        <v>-0.59087888211427586</v>
      </c>
      <c r="AA19" s="65">
        <f t="shared" si="20"/>
        <v>7.3510450618759623E-3</v>
      </c>
    </row>
    <row r="20" spans="1:27" ht="14.1" customHeight="1" x14ac:dyDescent="0.2">
      <c r="A20" s="37"/>
      <c r="B20" s="318" t="s">
        <v>163</v>
      </c>
      <c r="C20" s="263">
        <f>'[3]American Eagle'!$IK$19</f>
        <v>64</v>
      </c>
      <c r="D20" s="2">
        <f>'[3]American Eagle'!$HW$19</f>
        <v>131</v>
      </c>
      <c r="E20" s="65">
        <f t="shared" si="12"/>
        <v>-0.51145038167938928</v>
      </c>
      <c r="F20" s="2">
        <f>SUM('[3]American Eagle'!$IF$19:$IK$19)</f>
        <v>507</v>
      </c>
      <c r="G20" s="2">
        <f>SUM('[3]American Eagle'!$HR$19:$HW$19)</f>
        <v>520</v>
      </c>
      <c r="H20" s="3">
        <f t="shared" si="13"/>
        <v>-2.5000000000000001E-2</v>
      </c>
      <c r="I20" s="65">
        <f t="shared" si="14"/>
        <v>3.6389213863788068E-3</v>
      </c>
      <c r="J20" s="37"/>
      <c r="K20" s="318" t="s">
        <v>163</v>
      </c>
      <c r="L20" s="263">
        <f>'[3]American Eagle'!$IK$41</f>
        <v>4565</v>
      </c>
      <c r="M20" s="2">
        <f>'[3]American Eagle'!$HW$41</f>
        <v>6360</v>
      </c>
      <c r="N20" s="65">
        <f t="shared" si="15"/>
        <v>-0.28223270440251574</v>
      </c>
      <c r="O20" s="263">
        <f>SUM('[3]American Eagle'!$IF$41:$IK$41)</f>
        <v>30298</v>
      </c>
      <c r="P20" s="2">
        <f>SUM('[3]American Eagle'!$HR$41:$HW$41)</f>
        <v>26462</v>
      </c>
      <c r="Q20" s="3">
        <f t="shared" si="16"/>
        <v>0.14496258786183963</v>
      </c>
      <c r="R20" s="65">
        <f t="shared" si="17"/>
        <v>1.8796479379335263E-3</v>
      </c>
      <c r="S20" s="37"/>
      <c r="T20" s="318" t="s">
        <v>163</v>
      </c>
      <c r="U20" s="263">
        <f>'[3]American Eagle'!$IK$64</f>
        <v>0</v>
      </c>
      <c r="V20" s="2">
        <f>'[3]American Eagle'!$HW$64</f>
        <v>7463</v>
      </c>
      <c r="W20" s="65">
        <f t="shared" si="18"/>
        <v>-1</v>
      </c>
      <c r="X20" s="263">
        <f>SUM('[3]American Eagle'!$IF$64:$IK$64)</f>
        <v>4059</v>
      </c>
      <c r="Y20" s="2">
        <f>SUM('[3]American Eagle'!$HR$64:$HW$64)</f>
        <v>18693</v>
      </c>
      <c r="Z20" s="3">
        <f t="shared" si="19"/>
        <v>-0.78285989407799716</v>
      </c>
      <c r="AA20" s="65">
        <f t="shared" si="20"/>
        <v>9.59800431881346E-5</v>
      </c>
    </row>
    <row r="21" spans="1:27" ht="14.1" customHeight="1" x14ac:dyDescent="0.2">
      <c r="A21" s="37"/>
      <c r="B21" s="318" t="s">
        <v>52</v>
      </c>
      <c r="C21" s="263">
        <f>[3]Republic!$IK$19</f>
        <v>100</v>
      </c>
      <c r="D21" s="2">
        <f>[3]Republic!$HW$19</f>
        <v>169</v>
      </c>
      <c r="E21" s="65">
        <f t="shared" si="12"/>
        <v>-0.40828402366863903</v>
      </c>
      <c r="F21" s="2">
        <f>SUM([3]Republic!$IF$19:$IK$19)</f>
        <v>1232</v>
      </c>
      <c r="G21" s="2">
        <f>SUM([3]Republic!$HR$19:$HW$19)</f>
        <v>1126</v>
      </c>
      <c r="H21" s="3">
        <f t="shared" si="13"/>
        <v>9.4138543516873896E-2</v>
      </c>
      <c r="I21" s="65">
        <f t="shared" si="14"/>
        <v>8.842507195303136E-3</v>
      </c>
      <c r="J21" s="37"/>
      <c r="K21" s="266" t="s">
        <v>52</v>
      </c>
      <c r="L21" s="263">
        <f>[3]Republic!$IK$41</f>
        <v>6676</v>
      </c>
      <c r="M21" s="2">
        <f>[3]Republic!$HW$41</f>
        <v>11623</v>
      </c>
      <c r="N21" s="65">
        <f t="shared" si="15"/>
        <v>-0.42562161232039919</v>
      </c>
      <c r="O21" s="263">
        <f>SUM([3]Republic!$IF$41:$IK$41)</f>
        <v>74898</v>
      </c>
      <c r="P21" s="2">
        <f>SUM([3]Republic!$HR$41:$HW$41)</f>
        <v>63568</v>
      </c>
      <c r="Q21" s="3">
        <f t="shared" si="16"/>
        <v>0.17823433173923986</v>
      </c>
      <c r="R21" s="65">
        <f t="shared" si="17"/>
        <v>4.6465730825580977E-3</v>
      </c>
      <c r="S21" s="37"/>
      <c r="T21" s="266" t="s">
        <v>52</v>
      </c>
      <c r="U21" s="263">
        <f>[3]Republic!$IK$64</f>
        <v>649</v>
      </c>
      <c r="V21" s="2">
        <f>[3]Republic!$HW$64</f>
        <v>768</v>
      </c>
      <c r="W21" s="65">
        <f t="shared" si="18"/>
        <v>-0.15494791666666666</v>
      </c>
      <c r="X21" s="263">
        <f>SUM([3]Republic!$IF$64:$IK$64)</f>
        <v>13107</v>
      </c>
      <c r="Y21" s="2">
        <f>SUM([3]Republic!$HR$64:$HW$64)</f>
        <v>4306</v>
      </c>
      <c r="Z21" s="3">
        <f t="shared" si="19"/>
        <v>2.0438922433813285</v>
      </c>
      <c r="AA21" s="65">
        <f t="shared" si="20"/>
        <v>3.0993112246042873E-4</v>
      </c>
    </row>
    <row r="22" spans="1:27" ht="14.1" customHeight="1" x14ac:dyDescent="0.2">
      <c r="A22" s="37"/>
      <c r="B22" s="318" t="s">
        <v>177</v>
      </c>
      <c r="C22" s="263">
        <f>[3]PSA!$IK$19</f>
        <v>56</v>
      </c>
      <c r="D22" s="2">
        <f>[3]PSA!$HW$19</f>
        <v>114</v>
      </c>
      <c r="E22" s="65">
        <f t="shared" si="12"/>
        <v>-0.50877192982456143</v>
      </c>
      <c r="F22" s="2">
        <f>SUM([3]PSA!$IF$19:$IK$19)</f>
        <v>440</v>
      </c>
      <c r="G22" s="2">
        <f>SUM([3]PSA!$HR$19:$HW$19)</f>
        <v>756</v>
      </c>
      <c r="H22" s="3">
        <f t="shared" si="13"/>
        <v>-0.41798941798941797</v>
      </c>
      <c r="I22" s="65">
        <f t="shared" si="14"/>
        <v>3.1580382840368341E-3</v>
      </c>
      <c r="J22" s="37"/>
      <c r="K22" s="318" t="s">
        <v>177</v>
      </c>
      <c r="L22" s="263">
        <f>[3]PSA!$IK$41</f>
        <v>3749</v>
      </c>
      <c r="M22" s="2">
        <f>[3]PSA!$HW$41</f>
        <v>7581</v>
      </c>
      <c r="N22" s="65">
        <f t="shared" si="15"/>
        <v>-0.50547421184540298</v>
      </c>
      <c r="O22" s="263">
        <f>SUM([3]PSA!$IF$41:$IK$41)</f>
        <v>22774</v>
      </c>
      <c r="P22" s="2">
        <f>SUM([3]PSA!$HR$41:$HW$41)</f>
        <v>46947</v>
      </c>
      <c r="Q22" s="3">
        <f t="shared" si="16"/>
        <v>-0.51489978060365948</v>
      </c>
      <c r="R22" s="65">
        <f t="shared" si="17"/>
        <v>1.4128689068089685E-3</v>
      </c>
      <c r="S22" s="37"/>
      <c r="T22" s="318" t="s">
        <v>177</v>
      </c>
      <c r="U22" s="263">
        <f>[3]PSA!$IK$64</f>
        <v>0</v>
      </c>
      <c r="V22" s="2">
        <f>[3]PSA!$HW$64</f>
        <v>384</v>
      </c>
      <c r="W22" s="65">
        <f t="shared" si="18"/>
        <v>-1</v>
      </c>
      <c r="X22" s="263">
        <f>SUM([3]PSA!$IF$64:$IK$64)</f>
        <v>40</v>
      </c>
      <c r="Y22" s="2">
        <f>SUM([3]PSA!$HR$64:$HW$64)</f>
        <v>1426</v>
      </c>
      <c r="Z22" s="3">
        <f t="shared" si="19"/>
        <v>-0.97194950911640954</v>
      </c>
      <c r="AA22" s="65">
        <f t="shared" si="20"/>
        <v>9.4584915681827642E-7</v>
      </c>
    </row>
    <row r="23" spans="1:27" ht="14.1" customHeight="1" x14ac:dyDescent="0.2">
      <c r="A23" s="37"/>
      <c r="B23" s="318" t="s">
        <v>97</v>
      </c>
      <c r="C23" s="263">
        <f>'[3]Sky West_AA'!$IK$19</f>
        <v>0</v>
      </c>
      <c r="D23" s="2">
        <f>'[3]Sky West_AA'!$HW$19</f>
        <v>58</v>
      </c>
      <c r="E23" s="65">
        <f>(C23-D23)/D23</f>
        <v>-1</v>
      </c>
      <c r="F23" s="2">
        <f>SUM('[3]Sky West_AA'!$IF$19:$IK$19)</f>
        <v>0</v>
      </c>
      <c r="G23" s="2">
        <f>SUM('[3]Sky West_AA'!$HR$19:$HW$19)</f>
        <v>448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West_AA'!$IK$41</f>
        <v>0</v>
      </c>
      <c r="M23" s="2">
        <f>'[3]Sky West_AA'!$HW$41</f>
        <v>3397</v>
      </c>
      <c r="N23" s="65">
        <f>(L23-M23)/M23</f>
        <v>-1</v>
      </c>
      <c r="O23" s="263">
        <f>SUM('[3]Sky West_AA'!$IF$41:$IK$41)</f>
        <v>0</v>
      </c>
      <c r="P23" s="2">
        <f>SUM('[3]Sky West_AA'!$HR$41:$HW$41)</f>
        <v>25251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West_AA'!$IK$64</f>
        <v>0</v>
      </c>
      <c r="V23" s="2">
        <f>'[3]Sky West_AA'!$HW$64</f>
        <v>770</v>
      </c>
      <c r="W23" s="65">
        <f>(U23-V23)/V23</f>
        <v>-1</v>
      </c>
      <c r="X23" s="263">
        <f>SUM('[3]Sky West_AA'!$IF$64:$IK$64)</f>
        <v>0</v>
      </c>
      <c r="Y23" s="2">
        <f>SUM('[3]Sky West_AA'!$HR$64:$HW$64)</f>
        <v>2700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Wisconsin'!$IK$19</f>
        <v>176</v>
      </c>
      <c r="D24" s="2">
        <f>'[3]Air Wisconsin'!$HW$19</f>
        <v>2</v>
      </c>
      <c r="E24" s="65">
        <f t="shared" si="12"/>
        <v>87</v>
      </c>
      <c r="F24" s="2">
        <f>SUM('[3]Air Wisconsin'!$IF$19:$IK$19)</f>
        <v>202</v>
      </c>
      <c r="G24" s="2">
        <f>SUM('[3]Air Wisconsin'!$HR$19:$HW$19)</f>
        <v>2</v>
      </c>
      <c r="H24" s="349">
        <f t="shared" si="13"/>
        <v>100</v>
      </c>
      <c r="I24" s="65">
        <f t="shared" si="14"/>
        <v>1.4498266667623647E-3</v>
      </c>
      <c r="J24" s="37"/>
      <c r="K24" s="266" t="s">
        <v>50</v>
      </c>
      <c r="L24" s="263">
        <f>'[3]Air Wisconsin'!$IK$41</f>
        <v>8058</v>
      </c>
      <c r="M24" s="2">
        <f>'[3]Air Wisconsin'!$HW$41</f>
        <v>44</v>
      </c>
      <c r="N24" s="65">
        <f t="shared" si="15"/>
        <v>182.13636363636363</v>
      </c>
      <c r="O24" s="263">
        <f>SUM('[3]Air Wisconsin'!$IF$41:$IK$41)</f>
        <v>9060</v>
      </c>
      <c r="P24" s="2">
        <f>SUM('[3]Air Wisconsin'!$HR$41:$HW$41)</f>
        <v>44</v>
      </c>
      <c r="Q24" s="3">
        <f t="shared" si="16"/>
        <v>204.90909090909091</v>
      </c>
      <c r="R24" s="65">
        <f t="shared" si="17"/>
        <v>5.6207044417709909E-4</v>
      </c>
      <c r="S24" s="37"/>
      <c r="T24" s="266" t="s">
        <v>50</v>
      </c>
      <c r="U24" s="263">
        <f>'[3]Air Wisconsin'!$IK$64</f>
        <v>0</v>
      </c>
      <c r="V24" s="2">
        <f>'[3]Air Wisconsin'!$HW$64</f>
        <v>0</v>
      </c>
      <c r="W24" s="65" t="e">
        <f t="shared" ref="W24" si="21">(U24-V24)/V24</f>
        <v>#DIV/0!</v>
      </c>
      <c r="X24" s="263">
        <f>SUM('[3]Air Wisconsin'!$IF$64:$IK$64)</f>
        <v>0</v>
      </c>
      <c r="Y24" s="2">
        <f>SUM('[3]Air Wisconsin'!$HR$64:$HW$64)</f>
        <v>0</v>
      </c>
      <c r="Z24" s="3" t="e">
        <f t="shared" ref="Z24" si="22">(X24-Y24)/Y24</f>
        <v>#DIV/0!</v>
      </c>
      <c r="AA24" s="65">
        <f t="shared" si="20"/>
        <v>0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[3]Condor!$IK$19</f>
        <v>22</v>
      </c>
      <c r="D26" s="261">
        <f>[3]Condor!$HW$19</f>
        <v>26</v>
      </c>
      <c r="E26" s="262">
        <f>(C26-D26)/D26</f>
        <v>-0.15384615384615385</v>
      </c>
      <c r="F26" s="261">
        <f>SUM([3]Condor!$IF$19:$IK$19)</f>
        <v>28</v>
      </c>
      <c r="G26" s="261">
        <f>SUM([3]Condor!$HR$19:$HW$19)</f>
        <v>28</v>
      </c>
      <c r="H26" s="260">
        <f>(F26-G26)/G26</f>
        <v>0</v>
      </c>
      <c r="I26" s="262">
        <f>F26/$F$62</f>
        <v>2.0096607262052582E-4</v>
      </c>
      <c r="J26" s="258" t="s">
        <v>159</v>
      </c>
      <c r="K26" s="39"/>
      <c r="L26" s="259">
        <f>[3]Condor!$IK$41</f>
        <v>5005</v>
      </c>
      <c r="M26" s="261">
        <f>[3]Condor!$HW$41</f>
        <v>5216</v>
      </c>
      <c r="N26" s="262">
        <f>(L26-M26)/M26</f>
        <v>-4.0452453987730064E-2</v>
      </c>
      <c r="O26" s="259">
        <f>SUM([3]Condor!$IF$41:$IK$41)</f>
        <v>6373</v>
      </c>
      <c r="P26" s="261">
        <f>SUM([3]Condor!$HR$41:$HW$41)</f>
        <v>5611</v>
      </c>
      <c r="Q26" s="260">
        <f>(O26-P26)/P26</f>
        <v>0.13580466939939403</v>
      </c>
      <c r="R26" s="262">
        <f>O26/$O$62</f>
        <v>3.9537251001552456E-4</v>
      </c>
      <c r="S26" s="258" t="s">
        <v>159</v>
      </c>
      <c r="T26" s="39"/>
      <c r="U26" s="259">
        <f>[3]Condor!$IK$64</f>
        <v>53548</v>
      </c>
      <c r="V26" s="261">
        <f>[3]Condor!$HW$64</f>
        <v>229195</v>
      </c>
      <c r="W26" s="262">
        <f>(U26-V26)/V26</f>
        <v>-0.76636488579593798</v>
      </c>
      <c r="X26" s="259">
        <f>SUM([3]Condor!$IF$64:$IK$64)</f>
        <v>80859</v>
      </c>
      <c r="Y26" s="261">
        <f>SUM([3]Condor!$HR$64:$HW$64)</f>
        <v>229195</v>
      </c>
      <c r="Z26" s="260">
        <f>(X26-Y26)/Y26</f>
        <v>-0.64720434564453855</v>
      </c>
      <c r="AA26" s="262">
        <f>X26/$X$62</f>
        <v>1.9120104242792253E-3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Air'!$IK$19</f>
        <v>156</v>
      </c>
      <c r="D28" s="261">
        <f>'[3]Denver Air'!$HW$19</f>
        <v>156</v>
      </c>
      <c r="E28" s="262">
        <f>(C28-D28)/D28</f>
        <v>0</v>
      </c>
      <c r="F28" s="261">
        <f>SUM('[3]Denver Air'!$IF$19:$IK$19)</f>
        <v>920</v>
      </c>
      <c r="G28" s="261">
        <f>SUM('[3]Denver Air'!$HR$19:$HW$19)</f>
        <v>940</v>
      </c>
      <c r="H28" s="260">
        <f>(F28-G28)/G28</f>
        <v>-2.1276595744680851E-2</v>
      </c>
      <c r="I28" s="262">
        <f>F28/$F$62</f>
        <v>6.6031709575315621E-3</v>
      </c>
      <c r="J28" s="258" t="s">
        <v>212</v>
      </c>
      <c r="K28" s="39"/>
      <c r="L28" s="259">
        <f>'[3]Denver Air'!$IK$41</f>
        <v>1796</v>
      </c>
      <c r="M28" s="261">
        <f>'[3]Denver Air'!$HW$41</f>
        <v>1923</v>
      </c>
      <c r="N28" s="262">
        <f>(L28-M28)/M28</f>
        <v>-6.6042641705668231E-2</v>
      </c>
      <c r="O28" s="259">
        <f>SUM('[3]Denver Air'!$IF$41:$IK$41)</f>
        <v>9117</v>
      </c>
      <c r="P28" s="261">
        <f>SUM('[3]Denver Air'!$HR$41:$HW$41)</f>
        <v>9817</v>
      </c>
      <c r="Q28" s="260">
        <f>(O28-P28)/P28</f>
        <v>-7.1304879291025774E-2</v>
      </c>
      <c r="R28" s="262">
        <f>O28/$O$62</f>
        <v>5.6560664895834579E-4</v>
      </c>
      <c r="S28" s="258" t="s">
        <v>212</v>
      </c>
      <c r="T28" s="39"/>
      <c r="U28" s="259">
        <f>'[3]Denver Air'!$IK$64</f>
        <v>0</v>
      </c>
      <c r="V28" s="261">
        <f>'[3]Denver Air'!$HW$64</f>
        <v>0</v>
      </c>
      <c r="W28" s="262" t="e">
        <f>(U28-V28)/V28</f>
        <v>#DIV/0!</v>
      </c>
      <c r="X28" s="259">
        <f>SUM('[3]Denver Air'!$IF$64:$IK$64)</f>
        <v>0</v>
      </c>
      <c r="Y28" s="261">
        <f>SUM('[3]Denver Air'!$HR$64:$HW$64)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18241</v>
      </c>
      <c r="D30" s="261">
        <f>SUM(D31:D34)</f>
        <v>17809</v>
      </c>
      <c r="E30" s="262">
        <f t="shared" ref="E30:E34" si="23">(C30-D30)/D30</f>
        <v>2.425739794485934E-2</v>
      </c>
      <c r="F30" s="264">
        <f>SUM(F31:F34)</f>
        <v>101441</v>
      </c>
      <c r="G30" s="264">
        <f>SUM(G31:G34)</f>
        <v>102888</v>
      </c>
      <c r="H30" s="260">
        <f>(F30-G30)/G30</f>
        <v>-1.4063836404634166E-2</v>
      </c>
      <c r="I30" s="262">
        <f>F30/$F$62</f>
        <v>0.72807854902495572</v>
      </c>
      <c r="J30" s="258" t="s">
        <v>18</v>
      </c>
      <c r="K30" s="265"/>
      <c r="L30" s="259">
        <f>SUM(L31:L34)</f>
        <v>2253400</v>
      </c>
      <c r="M30" s="261">
        <f>SUM(M31:M34)</f>
        <v>1974414</v>
      </c>
      <c r="N30" s="262">
        <f t="shared" ref="N30:N34" si="24">(L30-M30)/M30</f>
        <v>0.14130065933487101</v>
      </c>
      <c r="O30" s="259">
        <f>SUM(O31:O34)</f>
        <v>11339645</v>
      </c>
      <c r="P30" s="261">
        <f>SUM(P31:P34)</f>
        <v>10452498</v>
      </c>
      <c r="Q30" s="260">
        <f t="shared" ref="Q30:Q34" si="25">(O30-P30)/P30</f>
        <v>8.4874161181375016E-2</v>
      </c>
      <c r="R30" s="262">
        <f>O30/$O$62</f>
        <v>0.70349661169543276</v>
      </c>
      <c r="S30" s="258" t="s">
        <v>18</v>
      </c>
      <c r="T30" s="265"/>
      <c r="U30" s="259">
        <f>SUM(U31:U34)</f>
        <v>6338566</v>
      </c>
      <c r="V30" s="261">
        <f>SUM(V31:V34)</f>
        <v>7854616</v>
      </c>
      <c r="W30" s="262">
        <f t="shared" ref="W30:W34" si="26">(U30-V30)/V30</f>
        <v>-0.19301389144930828</v>
      </c>
      <c r="X30" s="259">
        <f>SUM(X31:X34)</f>
        <v>37106160</v>
      </c>
      <c r="Y30" s="261">
        <f>SUM(Y31:Y34)</f>
        <v>37169223</v>
      </c>
      <c r="Z30" s="260">
        <f t="shared" ref="Z30:Z32" si="27">(X30-Y30)/Y30</f>
        <v>-1.6966456360952178E-3</v>
      </c>
      <c r="AA30" s="262">
        <f>X30/$X$62</f>
        <v>0.87742075371910133</v>
      </c>
    </row>
    <row r="31" spans="1:27" ht="14.1" customHeight="1" x14ac:dyDescent="0.2">
      <c r="A31" s="37"/>
      <c r="B31" s="39" t="s">
        <v>18</v>
      </c>
      <c r="C31" s="263">
        <f>[3]Delta!$IK$19</f>
        <v>12951</v>
      </c>
      <c r="D31" s="2">
        <f>[3]Delta!$HW$19</f>
        <v>10362</v>
      </c>
      <c r="E31" s="65">
        <f t="shared" si="23"/>
        <v>0.24985524030110018</v>
      </c>
      <c r="F31" s="2">
        <f>SUM([3]Delta!$IF$19:$IK$19)</f>
        <v>68835</v>
      </c>
      <c r="G31" s="2">
        <f>SUM([3]Delta!$HR$19:$HW$19)</f>
        <v>58532</v>
      </c>
      <c r="H31" s="3">
        <f t="shared" ref="H31:H34" si="28">(F31-G31)/G31</f>
        <v>0.17602337183079342</v>
      </c>
      <c r="I31" s="65">
        <f>F31/$F$62</f>
        <v>0.49405355745835339</v>
      </c>
      <c r="J31" s="37"/>
      <c r="K31" s="39" t="s">
        <v>18</v>
      </c>
      <c r="L31" s="263">
        <f>[3]Delta!$IK$41</f>
        <v>1919232</v>
      </c>
      <c r="M31" s="2">
        <f>[3]Delta!$HW$41</f>
        <v>1569466</v>
      </c>
      <c r="N31" s="65">
        <f t="shared" si="24"/>
        <v>0.22285669138420328</v>
      </c>
      <c r="O31" s="263">
        <f>SUM([3]Delta!$IF$41:$IK$41)</f>
        <v>9592284</v>
      </c>
      <c r="P31" s="2">
        <f>SUM([3]Delta!$HR$41:$HW$41)</f>
        <v>8209562</v>
      </c>
      <c r="Q31" s="3">
        <f t="shared" si="25"/>
        <v>0.16842823039767529</v>
      </c>
      <c r="R31" s="65">
        <f>O31/$O$62</f>
        <v>0.59509264112062699</v>
      </c>
      <c r="S31" s="37"/>
      <c r="T31" s="39" t="s">
        <v>18</v>
      </c>
      <c r="U31" s="263">
        <f>[3]Delta!$IK$64</f>
        <v>6338566</v>
      </c>
      <c r="V31" s="2">
        <f>[3]Delta!$HW$64</f>
        <v>7854616</v>
      </c>
      <c r="W31" s="65">
        <f t="shared" si="26"/>
        <v>-0.19301389144930828</v>
      </c>
      <c r="X31" s="263">
        <f>SUM([3]Delta!$IF$64:$IK$64)</f>
        <v>37106160</v>
      </c>
      <c r="Y31" s="2">
        <f>SUM([3]Delta!$HR$64:$HW$64)</f>
        <v>37169223</v>
      </c>
      <c r="Z31" s="3">
        <f t="shared" si="27"/>
        <v>-1.6966456360952178E-3</v>
      </c>
      <c r="AA31" s="65">
        <f>X31/$X$62</f>
        <v>0.87742075371910133</v>
      </c>
    </row>
    <row r="32" spans="1:27" ht="14.1" customHeight="1" x14ac:dyDescent="0.2">
      <c r="A32" s="37"/>
      <c r="B32" s="39" t="s">
        <v>156</v>
      </c>
      <c r="C32" s="263">
        <f>[3]Pinnacle!$IK$19</f>
        <v>1393</v>
      </c>
      <c r="D32" s="2">
        <f>[3]Pinnacle!$HW$19</f>
        <v>1223</v>
      </c>
      <c r="E32" s="65">
        <f t="shared" si="23"/>
        <v>0.13900245298446443</v>
      </c>
      <c r="F32" s="2">
        <f>SUM([3]Pinnacle!$IF$19:$IK$19)</f>
        <v>8187</v>
      </c>
      <c r="G32" s="2">
        <f>SUM([3]Pinnacle!$HR$19:$HW$19)</f>
        <v>9506</v>
      </c>
      <c r="H32" s="3">
        <f t="shared" si="28"/>
        <v>-0.13875447086050915</v>
      </c>
      <c r="I32" s="65">
        <f>F32/$F$62</f>
        <v>5.8761044162294461E-2</v>
      </c>
      <c r="J32" s="37"/>
      <c r="K32" s="39" t="s">
        <v>156</v>
      </c>
      <c r="L32" s="263">
        <f>[3]Pinnacle!$IK$41</f>
        <v>93560</v>
      </c>
      <c r="M32" s="2">
        <f>[3]Pinnacle!$HW$41</f>
        <v>72357</v>
      </c>
      <c r="N32" s="65">
        <f t="shared" si="24"/>
        <v>0.29303315505065164</v>
      </c>
      <c r="O32" s="263">
        <f>SUM([3]Pinnacle!$IF$41:$IK$41)</f>
        <v>494783</v>
      </c>
      <c r="P32" s="2">
        <f>SUM([3]Pinnacle!$HR$41:$HW$41)</f>
        <v>460775</v>
      </c>
      <c r="Q32" s="3">
        <f t="shared" si="25"/>
        <v>7.3806087569855142E-2</v>
      </c>
      <c r="R32" s="65">
        <f>O32/$O$62</f>
        <v>3.0695684390869494E-2</v>
      </c>
      <c r="S32" s="37"/>
      <c r="T32" s="39" t="s">
        <v>156</v>
      </c>
      <c r="U32" s="263">
        <f>[3]Pinnacle!$IK$64</f>
        <v>0</v>
      </c>
      <c r="V32" s="2">
        <f>[3]Pinnacle!$HW$64</f>
        <v>0</v>
      </c>
      <c r="W32" s="65" t="e">
        <f t="shared" si="26"/>
        <v>#DIV/0!</v>
      </c>
      <c r="X32" s="263">
        <f>SUM([3]Pinnacle!$IF$64:$IK$64)</f>
        <v>0</v>
      </c>
      <c r="Y32" s="2">
        <f>SUM([3]Pinnacle!$HR$64:$HW$64)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West'!$IK$19</f>
        <v>3897</v>
      </c>
      <c r="D33" s="2">
        <f>'[3]Sky West'!$HW$19</f>
        <v>6224</v>
      </c>
      <c r="E33" s="65">
        <f t="shared" si="23"/>
        <v>-0.37387532133676094</v>
      </c>
      <c r="F33" s="2">
        <f>SUM('[3]Sky West'!$IF$19:$IK$19)</f>
        <v>24419</v>
      </c>
      <c r="G33" s="2">
        <f>SUM('[3]Sky West'!$HR$19:$HW$19)</f>
        <v>34850</v>
      </c>
      <c r="H33" s="3">
        <f t="shared" si="28"/>
        <v>-0.29931133428981349</v>
      </c>
      <c r="I33" s="65">
        <f>F33/$F$62</f>
        <v>0.17526394740430784</v>
      </c>
      <c r="J33" s="37"/>
      <c r="K33" s="39" t="s">
        <v>97</v>
      </c>
      <c r="L33" s="263">
        <f>'[3]Sky West'!$IK$41</f>
        <v>240608</v>
      </c>
      <c r="M33" s="2">
        <f>'[3]Sky West'!$HW$41</f>
        <v>332591</v>
      </c>
      <c r="N33" s="65">
        <f t="shared" si="24"/>
        <v>-0.2765649100546918</v>
      </c>
      <c r="O33" s="263">
        <f>SUM('[3]Sky West'!$IF$41:$IK$41)</f>
        <v>1252578</v>
      </c>
      <c r="P33" s="2">
        <f>SUM('[3]Sky West'!$HR$41:$HW$41)</f>
        <v>1782161</v>
      </c>
      <c r="Q33" s="3">
        <f t="shared" si="25"/>
        <v>-0.29715777642985119</v>
      </c>
      <c r="R33" s="65">
        <f>O33/$O$62</f>
        <v>7.7708286183936257E-2</v>
      </c>
      <c r="S33" s="37"/>
      <c r="T33" s="39" t="s">
        <v>97</v>
      </c>
      <c r="U33" s="263">
        <f>'[3]Sky West'!$IK$64</f>
        <v>0</v>
      </c>
      <c r="V33" s="2">
        <f>'[3]Sky West'!$HW$64</f>
        <v>0</v>
      </c>
      <c r="W33" s="65" t="e">
        <f t="shared" si="26"/>
        <v>#DIV/0!</v>
      </c>
      <c r="X33" s="263">
        <f>SUM('[3]Sky West'!$IF$64:$IK$64)</f>
        <v>0</v>
      </c>
      <c r="Y33" s="2">
        <f>SUM('[3]Sky West'!$HR$64:$HW$64)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Southeast'!$IK$19</f>
        <v>0</v>
      </c>
      <c r="D34" s="2">
        <f>'[3]Atlantic Southeast'!$HW$19</f>
        <v>0</v>
      </c>
      <c r="E34" s="65" t="e">
        <f t="shared" si="23"/>
        <v>#DIV/0!</v>
      </c>
      <c r="F34" s="2">
        <f>SUM('[3]Atlantic Southeast'!$IF$19:$IK$19)</f>
        <v>0</v>
      </c>
      <c r="G34" s="2">
        <f>SUM('[3]Atlantic Southeast'!$HR$19:$HW$19)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Southeast'!$IK$41</f>
        <v>0</v>
      </c>
      <c r="M34" s="2">
        <f>'[3]Atlantic Southeast'!$HW$41</f>
        <v>0</v>
      </c>
      <c r="N34" s="65" t="e">
        <f t="shared" si="24"/>
        <v>#DIV/0!</v>
      </c>
      <c r="O34" s="263">
        <f>SUM('[3]Atlantic Southeast'!$IF$41:$IK$41)</f>
        <v>0</v>
      </c>
      <c r="P34" s="2">
        <f>SUM('[3]Atlantic Southeast'!$HR$41:$HW$41)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Southeast'!$IK$64</f>
        <v>0</v>
      </c>
      <c r="V34" s="2">
        <f>'[3]Atlantic Southeast'!$HW$64</f>
        <v>0</v>
      </c>
      <c r="W34" s="65" t="e">
        <f t="shared" si="26"/>
        <v>#DIV/0!</v>
      </c>
      <c r="X34" s="263">
        <f>SUM('[3]Atlantic Southeast'!$IF$64:$IK$64)</f>
        <v>0</v>
      </c>
      <c r="Y34" s="2">
        <f>SUM('[3]Atlantic Southeast'!$HR$64:$HW$64)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[3]Frontier!$IK$19</f>
        <v>120</v>
      </c>
      <c r="D36" s="261">
        <f>[3]Frontier!$HW$19</f>
        <v>60</v>
      </c>
      <c r="E36" s="262">
        <f>(C36-D36)/D36</f>
        <v>1</v>
      </c>
      <c r="F36" s="261">
        <f>SUM([3]Frontier!$IF$19:$IK$19)</f>
        <v>690</v>
      </c>
      <c r="G36" s="261">
        <f>SUM([3]Frontier!$HR$19:$HW$19)</f>
        <v>748</v>
      </c>
      <c r="H36" s="260">
        <f>(F36-G36)/G36</f>
        <v>-7.7540106951871662E-2</v>
      </c>
      <c r="I36" s="262">
        <f>F36/$F$62</f>
        <v>4.9523782181486722E-3</v>
      </c>
      <c r="J36" s="258" t="s">
        <v>47</v>
      </c>
      <c r="K36" s="39"/>
      <c r="L36" s="259">
        <f>[3]Frontier!$IK$41</f>
        <v>19800</v>
      </c>
      <c r="M36" s="261">
        <f>[3]Frontier!$HW$41</f>
        <v>10112</v>
      </c>
      <c r="N36" s="262">
        <f>(L36-M36)/M36</f>
        <v>0.95806962025316456</v>
      </c>
      <c r="O36" s="259">
        <f>SUM([3]Frontier!$IF$41:$IK$41)</f>
        <v>114372</v>
      </c>
      <c r="P36" s="261">
        <f>SUM([3]Frontier!$HR$41:$HW$41)</f>
        <v>103811</v>
      </c>
      <c r="Q36" s="260">
        <f>(O36-P36)/P36</f>
        <v>0.10173295700840951</v>
      </c>
      <c r="R36" s="262">
        <f>O36/$O$62</f>
        <v>7.0954879515919625E-3</v>
      </c>
      <c r="S36" s="258" t="s">
        <v>47</v>
      </c>
      <c r="T36" s="39"/>
      <c r="U36" s="259">
        <f>[3]Frontier!$IK$64</f>
        <v>0</v>
      </c>
      <c r="V36" s="261">
        <f>[3]Frontier!$HW$64</f>
        <v>0</v>
      </c>
      <c r="W36" s="262" t="e">
        <f>(U36-V36)/V36</f>
        <v>#DIV/0!</v>
      </c>
      <c r="X36" s="259">
        <f>SUM([3]Frontier!$IF$64:$IK$64)</f>
        <v>0</v>
      </c>
      <c r="Y36" s="261">
        <f>SUM([3]Frontier!$HR$64:$HW$64)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[3]Icelandair!$IK$19</f>
        <v>62</v>
      </c>
      <c r="D38" s="261">
        <f>[3]Icelandair!$HW$19</f>
        <v>54</v>
      </c>
      <c r="E38" s="262">
        <f>(C38-D38)/D38</f>
        <v>0.14814814814814814</v>
      </c>
      <c r="F38" s="261">
        <f>SUM([3]Icelandair!$IF$19:$IK$19)</f>
        <v>170</v>
      </c>
      <c r="G38" s="261">
        <f>SUM([3]Icelandair!$HR$19:$HW$19)</f>
        <v>114</v>
      </c>
      <c r="H38" s="260">
        <f>(F38-G38)/G38</f>
        <v>0.49122807017543857</v>
      </c>
      <c r="I38" s="262">
        <f>F38/$F$62</f>
        <v>1.2201511551960496E-3</v>
      </c>
      <c r="J38" s="258" t="s">
        <v>48</v>
      </c>
      <c r="K38" s="39"/>
      <c r="L38" s="259">
        <f>[3]Icelandair!$IK$41</f>
        <v>12218</v>
      </c>
      <c r="M38" s="261">
        <f>[3]Icelandair!$HW$41</f>
        <v>8659</v>
      </c>
      <c r="N38" s="262">
        <f>(L38-M38)/M38</f>
        <v>0.41101743850329137</v>
      </c>
      <c r="O38" s="259">
        <f>SUM([3]Icelandair!$IF$41:$IK$41)</f>
        <v>26966</v>
      </c>
      <c r="P38" s="261">
        <f>SUM([3]Icelandair!$HR$41:$HW$41)</f>
        <v>15635</v>
      </c>
      <c r="Q38" s="260">
        <f>(O38-P38)/P38</f>
        <v>0.72472017908538533</v>
      </c>
      <c r="R38" s="262">
        <f>O38/$O$62</f>
        <v>1.6729350549315291E-3</v>
      </c>
      <c r="S38" s="258" t="s">
        <v>48</v>
      </c>
      <c r="T38" s="39"/>
      <c r="U38" s="259">
        <f>[3]Icelandair!$IK$64</f>
        <v>720</v>
      </c>
      <c r="V38" s="261">
        <f>[3]Icelandair!$HW$64</f>
        <v>43520</v>
      </c>
      <c r="W38" s="262">
        <f>(U38-V38)/V38</f>
        <v>-0.98345588235294112</v>
      </c>
      <c r="X38" s="259">
        <f>SUM([3]Icelandair!$IF$64:$IK$64)</f>
        <v>1945</v>
      </c>
      <c r="Y38" s="261">
        <f>SUM([3]Icelandair!$HR$64:$HW$64)</f>
        <v>51894</v>
      </c>
      <c r="Z38" s="260">
        <f>(X38-Y38)/Y38</f>
        <v>-0.96251975180174976</v>
      </c>
      <c r="AA38" s="262">
        <f>X38/$X$62</f>
        <v>4.5991915250288692E-5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Blue'!$IK$19</f>
        <v>88</v>
      </c>
      <c r="D40" s="261">
        <f>'[3]Jet Blue'!$HW$19</f>
        <v>172</v>
      </c>
      <c r="E40" s="262">
        <f>(C40-D40)/D40</f>
        <v>-0.48837209302325579</v>
      </c>
      <c r="F40" s="261">
        <f>SUM('[3]Jet Blue'!$IF$19:$IK$19)</f>
        <v>621</v>
      </c>
      <c r="G40" s="261">
        <f>SUM('[3]Jet Blue'!$HR$19:$HW$19)</f>
        <v>780</v>
      </c>
      <c r="H40" s="260">
        <f>(F40-G40)/G40</f>
        <v>-0.20384615384615384</v>
      </c>
      <c r="I40" s="262">
        <f>F40/$F$62</f>
        <v>4.4571403963338044E-3</v>
      </c>
      <c r="J40" s="258" t="s">
        <v>192</v>
      </c>
      <c r="K40" s="39"/>
      <c r="L40" s="259">
        <f>'[3]Jet Blue'!$IK$41</f>
        <v>11078</v>
      </c>
      <c r="M40" s="261">
        <f>'[3]Jet Blue'!$HW$41</f>
        <v>18279</v>
      </c>
      <c r="N40" s="262">
        <f>(L40-M40)/M40</f>
        <v>-0.3939493407735653</v>
      </c>
      <c r="O40" s="259">
        <f>SUM('[3]Jet Blue'!$IF$41:$IK$41)</f>
        <v>56097</v>
      </c>
      <c r="P40" s="261">
        <f>SUM('[3]Jet Blue'!$HR$41:$HW$41)</f>
        <v>66945</v>
      </c>
      <c r="Q40" s="260">
        <f>(O40-P40)/P40</f>
        <v>-0.16204346851893345</v>
      </c>
      <c r="R40" s="262">
        <f>O40/$O$62</f>
        <v>3.4801838528700584E-3</v>
      </c>
      <c r="S40" s="258" t="s">
        <v>192</v>
      </c>
      <c r="T40" s="39"/>
      <c r="U40" s="259">
        <f>'[3]Jet Blue'!$IK$64</f>
        <v>0</v>
      </c>
      <c r="V40" s="261">
        <f>'[3]Jet Blue'!$HW$64</f>
        <v>0</v>
      </c>
      <c r="W40" s="262" t="e">
        <f>(U40-V40)/V40</f>
        <v>#DIV/0!</v>
      </c>
      <c r="X40" s="259">
        <f>SUM('[3]Jet Blue'!$IF$64:$IK$64)</f>
        <v>0</v>
      </c>
      <c r="Y40" s="261">
        <f>SUM('[3]Jet Blue'!$HR$64:$HW$64)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[3]KLM!$IK$19</f>
        <v>34</v>
      </c>
      <c r="D42" s="261">
        <f>[3]KLM!$HW$19</f>
        <v>34</v>
      </c>
      <c r="E42" s="262">
        <f>(C42-D42)/D42</f>
        <v>0</v>
      </c>
      <c r="F42" s="261">
        <f>SUM([3]KLM!$IF$19:$IK$19)</f>
        <v>202</v>
      </c>
      <c r="G42" s="261">
        <f>SUM([3]KLM!$HR$19:$HW$19)</f>
        <v>182</v>
      </c>
      <c r="H42" s="260">
        <f>(F42-G42)/G42</f>
        <v>0.10989010989010989</v>
      </c>
      <c r="I42" s="262">
        <f>F42/$F$62</f>
        <v>1.4498266667623647E-3</v>
      </c>
      <c r="J42" s="258" t="s">
        <v>187</v>
      </c>
      <c r="K42" s="39"/>
      <c r="L42" s="259">
        <f>[3]KLM!$IK$41</f>
        <v>9192</v>
      </c>
      <c r="M42" s="261">
        <f>[3]KLM!$HW$41</f>
        <v>8500</v>
      </c>
      <c r="N42" s="262">
        <f>(L42-M42)/M42</f>
        <v>8.141176470588235E-2</v>
      </c>
      <c r="O42" s="259">
        <f>SUM([3]KLM!$IF$41:$IK$41)</f>
        <v>45118</v>
      </c>
      <c r="P42" s="261">
        <f>SUM([3]KLM!$HR$41:$HW$41)</f>
        <v>35973</v>
      </c>
      <c r="Q42" s="260">
        <f>(O42-P42)/P42</f>
        <v>0.25421844160898449</v>
      </c>
      <c r="R42" s="262">
        <f>O42/$O$62</f>
        <v>2.7990611810576552E-3</v>
      </c>
      <c r="S42" s="258" t="s">
        <v>187</v>
      </c>
      <c r="T42" s="39"/>
      <c r="U42" s="259">
        <f>[3]KLM!$IK$64</f>
        <v>300400</v>
      </c>
      <c r="V42" s="261">
        <f>[3]KLM!$HW$64</f>
        <v>354277</v>
      </c>
      <c r="W42" s="262">
        <f>(U42-V42)/V42</f>
        <v>-0.15207591799637007</v>
      </c>
      <c r="X42" s="259">
        <f>SUM([3]KLM!$IF$64:$IK$64)</f>
        <v>2468336</v>
      </c>
      <c r="Y42" s="261">
        <f>SUM([3]KLM!$HR$64:$HW$64)</f>
        <v>3227231</v>
      </c>
      <c r="Z42" s="260">
        <f>(X42-Y42)/Y42</f>
        <v>-0.23515360381701836</v>
      </c>
      <c r="AA42" s="262">
        <f>X42/$X$62</f>
        <v>5.8366838108604928E-2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[3]Southwest!$IK$19</f>
        <v>1216</v>
      </c>
      <c r="D44" s="261">
        <f>[3]Southwest!$HW$19</f>
        <v>1093</v>
      </c>
      <c r="E44" s="262">
        <f>(C44-D44)/D44</f>
        <v>0.11253430924062215</v>
      </c>
      <c r="F44" s="261">
        <f>SUM([3]Southwest!$IF$19:$IK$19)</f>
        <v>6490</v>
      </c>
      <c r="G44" s="261">
        <f>SUM([3]Southwest!$HR$19:$HW$19)</f>
        <v>4633</v>
      </c>
      <c r="H44" s="260">
        <f>(F44-G44)/G44</f>
        <v>0.40082020289229442</v>
      </c>
      <c r="I44" s="262">
        <f>F44/$F$62</f>
        <v>4.6581064689543303E-2</v>
      </c>
      <c r="J44" s="258" t="s">
        <v>128</v>
      </c>
      <c r="K44" s="39"/>
      <c r="L44" s="259">
        <f>[3]Southwest!$IK$41</f>
        <v>157583</v>
      </c>
      <c r="M44" s="261">
        <f>[3]Southwest!$HW$41</f>
        <v>142909</v>
      </c>
      <c r="N44" s="262">
        <f>(L44-M44)/M44</f>
        <v>0.10268072689613671</v>
      </c>
      <c r="O44" s="259">
        <f>SUM([3]Southwest!$IF$41:$IK$41)</f>
        <v>735088</v>
      </c>
      <c r="P44" s="261">
        <f>SUM([3]Southwest!$HR$41:$HW$41)</f>
        <v>581256</v>
      </c>
      <c r="Q44" s="260">
        <f>(O44-P44)/P44</f>
        <v>0.26465447238394096</v>
      </c>
      <c r="R44" s="262">
        <f>O44/$O$62</f>
        <v>4.560388947784276E-2</v>
      </c>
      <c r="S44" s="258" t="s">
        <v>128</v>
      </c>
      <c r="T44" s="39"/>
      <c r="U44" s="259">
        <f>[3]Southwest!$IK$64</f>
        <v>235648</v>
      </c>
      <c r="V44" s="261">
        <f>[3]Southwest!$HW$64</f>
        <v>238160</v>
      </c>
      <c r="W44" s="262">
        <f>(U44-V44)/V44</f>
        <v>-1.0547531071548539E-2</v>
      </c>
      <c r="X44" s="259">
        <f>SUM([3]Southwest!$IF$64:$IK$64)</f>
        <v>1295535</v>
      </c>
      <c r="Y44" s="261">
        <f>SUM([3]Southwest!$HR$64:$HW$64)</f>
        <v>1245778</v>
      </c>
      <c r="Z44" s="260">
        <f>(X44-Y44)/Y44</f>
        <v>3.99405030430783E-2</v>
      </c>
      <c r="AA44" s="262">
        <f>X44/$X$62</f>
        <v>3.0634517184464142E-2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[3]Spirit!$IK$19</f>
        <v>238</v>
      </c>
      <c r="D46" s="261">
        <f>[3]Spirit!$HW$19</f>
        <v>178</v>
      </c>
      <c r="E46" s="262">
        <f>(C46-D46)/D46</f>
        <v>0.33707865168539325</v>
      </c>
      <c r="F46" s="261">
        <f>SUM([3]Spirit!$IF$19:$IK$19)</f>
        <v>1804</v>
      </c>
      <c r="G46" s="261">
        <f>SUM([3]Spirit!$HR$19:$HW$19)</f>
        <v>1662</v>
      </c>
      <c r="H46" s="260">
        <f>(F46-G46)/G46</f>
        <v>8.5439229843561976E-2</v>
      </c>
      <c r="I46" s="262">
        <f>F46/$F$62</f>
        <v>1.2947956964551021E-2</v>
      </c>
      <c r="J46" s="258" t="s">
        <v>153</v>
      </c>
      <c r="K46" s="39"/>
      <c r="L46" s="259">
        <f>[3]Spirit!$IK$41</f>
        <v>33337</v>
      </c>
      <c r="M46" s="261">
        <f>[3]Spirit!$HW$41</f>
        <v>28408</v>
      </c>
      <c r="N46" s="262">
        <f>(L46-M46)/M46</f>
        <v>0.17350746268656717</v>
      </c>
      <c r="O46" s="259">
        <f>SUM([3]Spirit!$IF$41:$IK$41)</f>
        <v>252221</v>
      </c>
      <c r="P46" s="261">
        <f>SUM([3]Spirit!$HR$41:$HW$41)</f>
        <v>243572</v>
      </c>
      <c r="Q46" s="260">
        <f>(O46-P46)/P46</f>
        <v>3.5509007603501223E-2</v>
      </c>
      <c r="R46" s="262">
        <f>O46/$O$62</f>
        <v>1.5647458002294935E-2</v>
      </c>
      <c r="S46" s="258" t="s">
        <v>153</v>
      </c>
      <c r="T46" s="39"/>
      <c r="U46" s="259">
        <f>[3]Spirit!$IK$64</f>
        <v>0</v>
      </c>
      <c r="V46" s="261">
        <f>[3]Spirit!$HW$64</f>
        <v>0</v>
      </c>
      <c r="W46" s="262" t="e">
        <f>(U46-V46)/V46</f>
        <v>#DIV/0!</v>
      </c>
      <c r="X46" s="259">
        <f>SUM([3]Spirit!$IF$64:$IK$64)</f>
        <v>0</v>
      </c>
      <c r="Y46" s="261">
        <f>SUM([3]Spirit!$HR$64:$HW$64)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Country'!$IK$19</f>
        <v>2285</v>
      </c>
      <c r="D48" s="261">
        <f>'[3]Sun Country'!$HW$19</f>
        <v>1853</v>
      </c>
      <c r="E48" s="262">
        <f>(C48-D48)/D48</f>
        <v>0.23313545601726929</v>
      </c>
      <c r="F48" s="261">
        <f>SUM('[3]Sun Country'!$IF$19:$IK$19)</f>
        <v>12405</v>
      </c>
      <c r="G48" s="261">
        <f>SUM('[3]Sun Country'!$HR$19:$HW$19)</f>
        <v>11572</v>
      </c>
      <c r="H48" s="260">
        <f>(F48-G48)/G48</f>
        <v>7.1984099550639474E-2</v>
      </c>
      <c r="I48" s="262">
        <f>F48/$F$62</f>
        <v>8.9035147530629383E-2</v>
      </c>
      <c r="J48" s="258" t="s">
        <v>49</v>
      </c>
      <c r="K48" s="39"/>
      <c r="L48" s="259">
        <f>'[3]Sun Country'!$IK$41</f>
        <v>347019</v>
      </c>
      <c r="M48" s="261">
        <f>'[3]Sun Country'!$HW$41</f>
        <v>284987</v>
      </c>
      <c r="N48" s="262">
        <f>(L48-M48)/M48</f>
        <v>0.21766606897858498</v>
      </c>
      <c r="O48" s="259">
        <f>SUM('[3]Sun Country'!$IF$41:$IK$41)</f>
        <v>1824788</v>
      </c>
      <c r="P48" s="261">
        <f>SUM('[3]Sun Country'!$HR$41:$HW$41)</f>
        <v>1643562</v>
      </c>
      <c r="Q48" s="260">
        <f>(O48-P48)/P48</f>
        <v>0.1102641701377861</v>
      </c>
      <c r="R48" s="262">
        <f>O48/$O$62</f>
        <v>0.11320743948002653</v>
      </c>
      <c r="S48" s="258" t="s">
        <v>49</v>
      </c>
      <c r="T48" s="39"/>
      <c r="U48" s="259">
        <f>'[3]Sun Country'!$IK$64</f>
        <v>0</v>
      </c>
      <c r="V48" s="261">
        <f>'[3]Sun Country'!$HW$64</f>
        <v>1695937</v>
      </c>
      <c r="W48" s="262">
        <f>(U48-V48)/V48</f>
        <v>-1</v>
      </c>
      <c r="X48" s="259">
        <f>SUM('[3]Sun Country'!$IF$64:$IK$64)</f>
        <v>61776</v>
      </c>
      <c r="Y48" s="261">
        <f>SUM('[3]Sun Country'!$HR$64:$HW$64)</f>
        <v>2836383</v>
      </c>
      <c r="Z48" s="260">
        <f>(X48-Y48)/Y48</f>
        <v>-0.97822014868936957</v>
      </c>
      <c r="AA48" s="262">
        <f>X48/$X$62</f>
        <v>1.4607694377901461E-3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1065</v>
      </c>
      <c r="D50" s="261">
        <f>SUM(D51:D55)</f>
        <v>855</v>
      </c>
      <c r="E50" s="262">
        <f t="shared" ref="E50:E55" si="30">(C50-D50)/D50</f>
        <v>0.24561403508771928</v>
      </c>
      <c r="F50" s="261">
        <f>SUM(F51:F55)</f>
        <v>5856</v>
      </c>
      <c r="G50" s="261">
        <f>SUM(G51:G55)</f>
        <v>5434</v>
      </c>
      <c r="H50" s="260">
        <f t="shared" ref="H50:H55" si="31">(F50-G50)/G50</f>
        <v>7.7659182922340822E-2</v>
      </c>
      <c r="I50" s="262">
        <f t="shared" ref="I50:I55" si="32">F50/$F$62</f>
        <v>4.2030618616635686E-2</v>
      </c>
      <c r="J50" s="258" t="s">
        <v>19</v>
      </c>
      <c r="K50" s="265"/>
      <c r="L50" s="259">
        <f>SUM(L51:L55)</f>
        <v>133848</v>
      </c>
      <c r="M50" s="261">
        <f>SUM(M51:M55)</f>
        <v>103854</v>
      </c>
      <c r="N50" s="262">
        <f t="shared" ref="N50:N55" si="33">(L50-M50)/M50</f>
        <v>0.28880928996475824</v>
      </c>
      <c r="O50" s="259">
        <f>SUM(O51:O55)</f>
        <v>733518</v>
      </c>
      <c r="P50" s="261">
        <f>SUM(P51:P55)</f>
        <v>587204</v>
      </c>
      <c r="Q50" s="260">
        <f t="shared" ref="Q50:Q55" si="34">(O50-P50)/P50</f>
        <v>0.24917064597652605</v>
      </c>
      <c r="R50" s="262">
        <f t="shared" ref="R50:R55" si="35">O50/$O$62</f>
        <v>4.5506488749657549E-2</v>
      </c>
      <c r="S50" s="258" t="s">
        <v>19</v>
      </c>
      <c r="T50" s="265"/>
      <c r="U50" s="259">
        <f>SUM(U51:U55)</f>
        <v>100532</v>
      </c>
      <c r="V50" s="261">
        <f>SUM(V51:V55)</f>
        <v>119791</v>
      </c>
      <c r="W50" s="262">
        <f t="shared" ref="W50:W55" si="36">(U50-V50)/V50</f>
        <v>-0.16077167733803041</v>
      </c>
      <c r="X50" s="259">
        <f>SUM(X51:X55)</f>
        <v>645892</v>
      </c>
      <c r="Y50" s="261">
        <f>SUM(Y51:Y55)</f>
        <v>666507</v>
      </c>
      <c r="Z50" s="260">
        <f t="shared" ref="Z50:Z55" si="37">(X50-Y50)/Y50</f>
        <v>-3.0929907712897237E-2</v>
      </c>
      <c r="AA50" s="262">
        <f t="shared" ref="AA50:AA55" si="38">X50/$X$62</f>
        <v>1.5272910089891754E-2</v>
      </c>
    </row>
    <row r="51" spans="1:27" ht="14.1" customHeight="1" x14ac:dyDescent="0.2">
      <c r="A51" s="37"/>
      <c r="B51" s="318" t="s">
        <v>19</v>
      </c>
      <c r="C51" s="263">
        <f>[3]United!$IK$19</f>
        <v>878</v>
      </c>
      <c r="D51" s="2">
        <f>[3]United!$HW$19+[3]Continental!$HW$19</f>
        <v>688</v>
      </c>
      <c r="E51" s="65">
        <f t="shared" si="30"/>
        <v>0.27616279069767441</v>
      </c>
      <c r="F51" s="2">
        <f>SUM([3]United!$IF$19:$IK$19)</f>
        <v>5045</v>
      </c>
      <c r="G51" s="2">
        <f>SUM([3]United!$HR$19:$HW$19)+SUM([3]Continental!$HR$19:$HW$19)</f>
        <v>3728</v>
      </c>
      <c r="H51" s="3">
        <f t="shared" si="31"/>
        <v>0.35327253218884119</v>
      </c>
      <c r="I51" s="65">
        <f t="shared" si="32"/>
        <v>3.6209779870376886E-2</v>
      </c>
      <c r="J51" s="37"/>
      <c r="K51" s="318" t="s">
        <v>19</v>
      </c>
      <c r="L51" s="263">
        <f>[3]United!$IK$41</f>
        <v>121535</v>
      </c>
      <c r="M51" s="2">
        <f>[3]United!$HW$41+[3]Continental!$HW$41</f>
        <v>92730</v>
      </c>
      <c r="N51" s="65">
        <f t="shared" si="33"/>
        <v>0.31063302059743342</v>
      </c>
      <c r="O51" s="263">
        <f>SUM([3]United!$IF$41:$IK$41)</f>
        <v>681363</v>
      </c>
      <c r="P51" s="2">
        <f>SUM([3]United!$HR$41:$HW$41)+SUM([3]Continental!$HR$41:$HW$41)</f>
        <v>479295</v>
      </c>
      <c r="Q51" s="3">
        <f t="shared" si="34"/>
        <v>0.42159421650549245</v>
      </c>
      <c r="R51" s="65">
        <f t="shared" si="35"/>
        <v>4.2270861374816865E-2</v>
      </c>
      <c r="S51" s="37"/>
      <c r="T51" s="318" t="s">
        <v>19</v>
      </c>
      <c r="U51" s="263">
        <f>[3]United!$IK$64</f>
        <v>100532</v>
      </c>
      <c r="V51" s="2">
        <f>[3]United!$HW$64+[3]Continental!$HW$64</f>
        <v>119791</v>
      </c>
      <c r="W51" s="65">
        <f t="shared" si="36"/>
        <v>-0.16077167733803041</v>
      </c>
      <c r="X51" s="263">
        <f>SUM([3]United!$IF$64:$IK$64)</f>
        <v>645892</v>
      </c>
      <c r="Y51" s="2">
        <f>SUM([3]United!$HR$64:$HW$64)+SUM([3]Continental!$HR$64:$HW$64)</f>
        <v>666507</v>
      </c>
      <c r="Z51" s="3">
        <f t="shared" si="37"/>
        <v>-3.0929907712897237E-2</v>
      </c>
      <c r="AA51" s="65">
        <f t="shared" si="38"/>
        <v>1.5272910089891754E-2</v>
      </c>
    </row>
    <row r="52" spans="1:27" ht="14.1" customHeight="1" x14ac:dyDescent="0.2">
      <c r="A52" s="37"/>
      <c r="B52" s="39" t="s">
        <v>152</v>
      </c>
      <c r="C52" s="263">
        <f>'[3]Go Jet_UA'!$IK$19</f>
        <v>0</v>
      </c>
      <c r="D52" s="2">
        <f>'[3]Go Jet_UA'!$HW$19</f>
        <v>0</v>
      </c>
      <c r="E52" s="65" t="e">
        <f t="shared" si="30"/>
        <v>#DIV/0!</v>
      </c>
      <c r="F52" s="2">
        <f>SUM('[3]Go Jet_UA'!$IF$19:$IK$19)</f>
        <v>2</v>
      </c>
      <c r="G52" s="2">
        <f>SUM('[3]Go Jet_UA'!$HR$19:$HW$19)</f>
        <v>0</v>
      </c>
      <c r="H52" s="3" t="e">
        <f t="shared" si="31"/>
        <v>#DIV/0!</v>
      </c>
      <c r="I52" s="65">
        <f t="shared" si="32"/>
        <v>1.4354719472894702E-5</v>
      </c>
      <c r="J52" s="37"/>
      <c r="K52" s="39" t="s">
        <v>152</v>
      </c>
      <c r="L52" s="263">
        <f>'[3]Go Jet_UA'!$IK$41</f>
        <v>0</v>
      </c>
      <c r="M52" s="2">
        <f>'[3]Go Jet_UA'!$HW$41</f>
        <v>0</v>
      </c>
      <c r="N52" s="65" t="e">
        <f t="shared" si="33"/>
        <v>#DIV/0!</v>
      </c>
      <c r="O52" s="263">
        <f>SUM('[3]Go Jet_UA'!$IF$41:$IK$41)</f>
        <v>96</v>
      </c>
      <c r="P52" s="2">
        <f>SUM('[3]Go Jet_UA'!$HR$41:$HW$41)</f>
        <v>0</v>
      </c>
      <c r="Q52" s="3" t="e">
        <f t="shared" si="34"/>
        <v>#DIV/0!</v>
      </c>
      <c r="R52" s="65">
        <f t="shared" si="35"/>
        <v>5.9557133157838313E-6</v>
      </c>
      <c r="S52" s="37"/>
      <c r="T52" s="39" t="s">
        <v>152</v>
      </c>
      <c r="U52" s="263">
        <f>'[3]Go Jet_UA'!$IK$64</f>
        <v>0</v>
      </c>
      <c r="V52" s="2">
        <f>'[3]Go Jet_UA'!$HW$64</f>
        <v>0</v>
      </c>
      <c r="W52" s="65" t="e">
        <f t="shared" si="36"/>
        <v>#DIV/0!</v>
      </c>
      <c r="X52" s="263">
        <f>SUM('[3]Go Jet_UA'!$IF$64:$IK$64)</f>
        <v>0</v>
      </c>
      <c r="Y52" s="2">
        <f>SUM('[3]Go Jet_UA'!$HR$64:$HW$64)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[3]MESA_UA!$IK$19</f>
        <v>183</v>
      </c>
      <c r="D53" s="2">
        <f>[3]MESA_UA!$HW$19</f>
        <v>108</v>
      </c>
      <c r="E53" s="65">
        <f t="shared" si="30"/>
        <v>0.69444444444444442</v>
      </c>
      <c r="F53" s="2">
        <f>SUM([3]MESA_UA!$IF$19:$IK$19)</f>
        <v>423</v>
      </c>
      <c r="G53" s="2">
        <f>SUM([3]MESA_UA!$HR$19:$HW$19)</f>
        <v>612</v>
      </c>
      <c r="H53" s="3">
        <f>(F53-G53)/G53</f>
        <v>-0.30882352941176472</v>
      </c>
      <c r="I53" s="65">
        <f t="shared" si="32"/>
        <v>3.0360231685172294E-3</v>
      </c>
      <c r="J53" s="37"/>
      <c r="K53" s="39" t="s">
        <v>51</v>
      </c>
      <c r="L53" s="263">
        <f>[3]MESA_UA!$IK$41</f>
        <v>12045</v>
      </c>
      <c r="M53" s="2">
        <f>[3]MESA_UA!$HW$41</f>
        <v>7613</v>
      </c>
      <c r="N53" s="65">
        <f t="shared" si="33"/>
        <v>0.58216209115985817</v>
      </c>
      <c r="O53" s="263">
        <f>SUM([3]MESA_UA!$IF$41:$IK$41)</f>
        <v>27841</v>
      </c>
      <c r="P53" s="2">
        <f>SUM([3]MESA_UA!$HR$41:$HW$41)</f>
        <v>40603</v>
      </c>
      <c r="Q53" s="3">
        <f t="shared" si="34"/>
        <v>-0.31431175036327363</v>
      </c>
      <c r="R53" s="65">
        <f t="shared" si="35"/>
        <v>1.7272189002576839E-3</v>
      </c>
      <c r="S53" s="37"/>
      <c r="T53" s="39" t="s">
        <v>51</v>
      </c>
      <c r="U53" s="263">
        <f>[3]MESA_UA!$IK$64</f>
        <v>0</v>
      </c>
      <c r="V53" s="2">
        <f>[3]MESA_UA!$HW$64</f>
        <v>0</v>
      </c>
      <c r="W53" s="65" t="e">
        <f t="shared" si="36"/>
        <v>#DIV/0!</v>
      </c>
      <c r="X53" s="263">
        <f>SUM([3]MESA_UA!$IF$64:$IK$64)</f>
        <v>0</v>
      </c>
      <c r="Y53" s="2">
        <f>SUM([3]MESA_UA!$HR$64:$HW$64)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[3]Republic_UA!$IK$19</f>
        <v>4</v>
      </c>
      <c r="D54" s="2">
        <f>[3]Republic_UA!$HW$19</f>
        <v>42</v>
      </c>
      <c r="E54" s="65">
        <f t="shared" si="30"/>
        <v>-0.90476190476190477</v>
      </c>
      <c r="F54" s="2">
        <f>SUM([3]Republic_UA!$IF$19:$IK$19)</f>
        <v>332</v>
      </c>
      <c r="G54" s="2">
        <f>SUM([3]Republic_UA!$HR$19:$HW$19)</f>
        <v>791</v>
      </c>
      <c r="H54" s="3">
        <f t="shared" ref="H54" si="39">(F54-G54)/G54</f>
        <v>-0.5802781289506953</v>
      </c>
      <c r="I54" s="65">
        <f t="shared" si="32"/>
        <v>2.3828834325005203E-3</v>
      </c>
      <c r="J54" s="37"/>
      <c r="K54" s="318" t="s">
        <v>52</v>
      </c>
      <c r="L54" s="263">
        <f>[3]Republic_UA!$IK$41</f>
        <v>268</v>
      </c>
      <c r="M54" s="2">
        <f>[3]Republic_UA!$HW$41</f>
        <v>2548</v>
      </c>
      <c r="N54" s="65">
        <f t="shared" si="33"/>
        <v>-0.89481946624803765</v>
      </c>
      <c r="O54" s="263">
        <f>SUM([3]Republic_UA!$IF$41:$IK$41)</f>
        <v>20983</v>
      </c>
      <c r="P54" s="2">
        <f>SUM([3]Republic_UA!$HR$41:$HW$41)</f>
        <v>48025</v>
      </c>
      <c r="Q54" s="3">
        <f t="shared" si="34"/>
        <v>-0.5630817282665278</v>
      </c>
      <c r="R54" s="65">
        <f t="shared" si="35"/>
        <v>1.3017576302613765E-3</v>
      </c>
      <c r="S54" s="37"/>
      <c r="T54" s="318" t="s">
        <v>52</v>
      </c>
      <c r="U54" s="263">
        <f>[3]Republic_UA!$IK$64</f>
        <v>0</v>
      </c>
      <c r="V54" s="2">
        <f>[3]Republic_UA!$HW$64</f>
        <v>0</v>
      </c>
      <c r="W54" s="65" t="e">
        <f t="shared" si="36"/>
        <v>#DIV/0!</v>
      </c>
      <c r="X54" s="263">
        <f>SUM([3]Republic_UA!$IF$64:$IK$64)</f>
        <v>0</v>
      </c>
      <c r="Y54" s="2">
        <f>SUM([3]Republic_UA!$HR$64:$HW$64)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West_UA'!$IK$19</f>
        <v>0</v>
      </c>
      <c r="D55" s="2">
        <f>'[3]Sky West_UA'!$HW$19+'[3]Sky West_CO'!$HW$19</f>
        <v>17</v>
      </c>
      <c r="E55" s="65">
        <f t="shared" si="30"/>
        <v>-1</v>
      </c>
      <c r="F55" s="2">
        <f>SUM('[3]Sky West_UA'!$IF$19:$IK$19)</f>
        <v>54</v>
      </c>
      <c r="G55" s="2">
        <f>SUM('[3]Sky West_UA'!$HR$19:$HW$19)+SUM('[3]Sky West_CO'!$HR$19:$HW$19)</f>
        <v>303</v>
      </c>
      <c r="H55" s="3">
        <f t="shared" si="31"/>
        <v>-0.82178217821782173</v>
      </c>
      <c r="I55" s="65">
        <f t="shared" si="32"/>
        <v>3.875774257681569E-4</v>
      </c>
      <c r="J55" s="37"/>
      <c r="K55" s="39" t="s">
        <v>97</v>
      </c>
      <c r="L55" s="263">
        <f>'[3]Sky West_UA'!$IK$41</f>
        <v>0</v>
      </c>
      <c r="M55" s="2">
        <f>'[3]Sky West_UA'!$HW$41+'[3]Sky West_CO'!$HW$41</f>
        <v>963</v>
      </c>
      <c r="N55" s="65">
        <f t="shared" si="33"/>
        <v>-1</v>
      </c>
      <c r="O55" s="263">
        <f>SUM('[3]Sky West_UA'!$IF$41:$IK$41)</f>
        <v>3235</v>
      </c>
      <c r="P55" s="2">
        <f>SUM('[3]Sky West_UA'!$HR$41:$HW$41)+SUM('[3]Sky West_CO'!$HR$41:$HW$41)</f>
        <v>19281</v>
      </c>
      <c r="Q55" s="3">
        <f t="shared" si="34"/>
        <v>-0.83221824594160054</v>
      </c>
      <c r="R55" s="65">
        <f t="shared" si="35"/>
        <v>2.0069513100584056E-4</v>
      </c>
      <c r="S55" s="37"/>
      <c r="T55" s="39" t="s">
        <v>97</v>
      </c>
      <c r="U55" s="263">
        <f>'[3]Sky West_UA'!$IK$64</f>
        <v>0</v>
      </c>
      <c r="V55" s="2">
        <f>'[3]Sky West_UA'!$HW$64+'[3]Sky West_CO'!$HW$64</f>
        <v>0</v>
      </c>
      <c r="W55" s="65" t="e">
        <f t="shared" si="36"/>
        <v>#DIV/0!</v>
      </c>
      <c r="X55" s="263">
        <f>SUM('[3]Sky West_UA'!$IF$64:$IK$64)</f>
        <v>0</v>
      </c>
      <c r="Y55" s="2">
        <f>SUM('[3]Sky West_UA'!$HR$64:$HW$64)+SUM('[3]Sky West_CO'!$HR$64:$HW$64)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247</v>
      </c>
      <c r="B57" s="266"/>
      <c r="C57" s="259">
        <f>[3]WestJet!$IK$19</f>
        <v>50</v>
      </c>
      <c r="D57" s="261">
        <f>[3]WestJet!$HW$19</f>
        <v>0</v>
      </c>
      <c r="E57" s="262" t="e">
        <f>(C57-D57)/D57</f>
        <v>#DIV/0!</v>
      </c>
      <c r="F57" s="261">
        <f>SUM([3]WestJet!$IF$19:$IK$19)</f>
        <v>50</v>
      </c>
      <c r="G57" s="261">
        <f>SUM([3]WestJet!$HR$19:$HW$19)</f>
        <v>0</v>
      </c>
      <c r="H57" s="260" t="e">
        <f>(F57-G57)/G57</f>
        <v>#DIV/0!</v>
      </c>
      <c r="I57" s="262">
        <f>F57/$F$62</f>
        <v>3.5886798682236755E-4</v>
      </c>
      <c r="J57" s="258" t="s">
        <v>247</v>
      </c>
      <c r="K57" s="39"/>
      <c r="L57" s="259">
        <f>[3]WestJet!$IK$41</f>
        <v>6280</v>
      </c>
      <c r="M57" s="261">
        <f>[3]WestJet!$HW$41</f>
        <v>0</v>
      </c>
      <c r="N57" s="262" t="e">
        <f>(L57-M57)/M57</f>
        <v>#DIV/0!</v>
      </c>
      <c r="O57" s="259">
        <f>SUM([3]WestJet!$IF$41:$IK$41)</f>
        <v>6280</v>
      </c>
      <c r="P57" s="261">
        <f>SUM([3]WestJet!$HR$41:$HW$41)</f>
        <v>0</v>
      </c>
      <c r="Q57" s="260" t="e">
        <f>(O57-P57)/P57</f>
        <v>#DIV/0!</v>
      </c>
      <c r="R57" s="262">
        <f>O57/$O$62</f>
        <v>3.8960291274085898E-4</v>
      </c>
      <c r="S57" s="258" t="s">
        <v>247</v>
      </c>
      <c r="T57" s="39"/>
      <c r="U57" s="259">
        <f>[3]WestJet!$IK$64</f>
        <v>0</v>
      </c>
      <c r="V57" s="261">
        <f>[3]WestJet!$HW$64</f>
        <v>0</v>
      </c>
      <c r="W57" s="262" t="e">
        <f>(U57-V57)/V57</f>
        <v>#DIV/0!</v>
      </c>
      <c r="X57" s="259">
        <f>SUM([3]WestJet!$IF$64:$IK$64)</f>
        <v>0</v>
      </c>
      <c r="Y57" s="261">
        <f>SUM([3]WestJet!$HR$64:$HW$64)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19065</v>
      </c>
      <c r="D60" s="439">
        <f>+D62-D61</f>
        <v>15564</v>
      </c>
      <c r="E60" s="328">
        <f>(C60-D60)/D60</f>
        <v>0.22494217424826524</v>
      </c>
      <c r="F60" s="327">
        <f>+F62-F61</f>
        <v>102499</v>
      </c>
      <c r="G60" s="439">
        <f>+G62-G61</f>
        <v>87690</v>
      </c>
      <c r="H60" s="328">
        <f>(F60-G60)/G60</f>
        <v>0.16887900558786634</v>
      </c>
      <c r="I60" s="353">
        <f>F60/$F$62</f>
        <v>0.73567219562611696</v>
      </c>
      <c r="K60" s="274" t="s">
        <v>131</v>
      </c>
      <c r="L60" s="327">
        <f>+L62-L61</f>
        <v>2788626</v>
      </c>
      <c r="M60" s="439">
        <f>+M62-M61</f>
        <v>2315839</v>
      </c>
      <c r="N60" s="328">
        <f>(L60-M60)/M60</f>
        <v>0.2041536566229345</v>
      </c>
      <c r="O60" s="327">
        <f>+O62-O61</f>
        <v>14118550</v>
      </c>
      <c r="P60" s="439">
        <f>+P62-P61</f>
        <v>12097165</v>
      </c>
      <c r="Q60" s="351">
        <f>(O60-P60)/P60</f>
        <v>0.16709576169292559</v>
      </c>
      <c r="R60" s="398">
        <f>+O60/O62</f>
        <v>0.87589621077666469</v>
      </c>
      <c r="S60" s="3"/>
      <c r="T60" s="274" t="s">
        <v>131</v>
      </c>
      <c r="U60" s="327">
        <f>+U62-U61</f>
        <v>7124826</v>
      </c>
      <c r="V60" s="439">
        <f>+V62-V61</f>
        <v>11107769</v>
      </c>
      <c r="W60" s="328">
        <f>(U60-V60)/V60</f>
        <v>-0.35857272508997984</v>
      </c>
      <c r="X60" s="327">
        <f>+X62-X61</f>
        <v>42153949</v>
      </c>
      <c r="Y60" s="439">
        <f>+Y62-Y61</f>
        <v>47123981</v>
      </c>
      <c r="Z60" s="351">
        <f>(X60-Y60)/Y60</f>
        <v>-0.1054671505788104</v>
      </c>
      <c r="AA60" s="398">
        <f>+X60/X62</f>
        <v>0.99678192795526566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6089</v>
      </c>
      <c r="D61" s="440">
        <f>+D34+D33+D32+D20+D55+D52+D53+D24+D21+D15+D6+D54+D22+D23+D16+D7</f>
        <v>8285</v>
      </c>
      <c r="E61" s="275">
        <f>(C61-D61)/D61</f>
        <v>-0.26505733252866626</v>
      </c>
      <c r="F61" s="329">
        <f>+F34+F33+F32+F20+F55+F52+F53+F24+F21+F15+F6+F54+F22+F23+F16+F7</f>
        <v>36828</v>
      </c>
      <c r="G61" s="440">
        <f>+G34+G33+G32+G20+G55+G52+G53+G24+G21+G15+G6+G54+G22+G23+G16+G7</f>
        <v>49652</v>
      </c>
      <c r="H61" s="275">
        <f>(F61-G61)/G61</f>
        <v>-0.25827761218077822</v>
      </c>
      <c r="I61" s="354">
        <f>F61/$F$62</f>
        <v>0.26432780437388304</v>
      </c>
      <c r="K61" s="169" t="s">
        <v>132</v>
      </c>
      <c r="L61" s="329">
        <f>+L34+L33+L32+L20+L55+L52+L53+L24+L21+L15+L6+L54+L22+L23+L16+L7</f>
        <v>386572</v>
      </c>
      <c r="M61" s="440">
        <f>+M34+M33+M32+M20+M55+M52+M53+M24+M21+M15+M6+M54+M22+M23+M16+M7</f>
        <v>457068</v>
      </c>
      <c r="N61" s="275">
        <f>(L61-M61)/M61</f>
        <v>-0.15423525602317378</v>
      </c>
      <c r="O61" s="329">
        <f>+O34+O33+O32+O20+O55+O52+O53+O24+O21+O15+O6+O54+O22+O23+O16+O7</f>
        <v>2000426</v>
      </c>
      <c r="P61" s="440">
        <f>+P34+P33+P32+P20+P55+P52+P53+P24+P21+P15+P6+P54+P22+P23+P16+P7</f>
        <v>2550685</v>
      </c>
      <c r="Q61" s="350">
        <f>(O61-P61)/P61</f>
        <v>-0.21572989216622201</v>
      </c>
      <c r="R61" s="399">
        <f>+O61/O62</f>
        <v>0.12410378922333527</v>
      </c>
      <c r="S61" s="3"/>
      <c r="T61" s="169" t="s">
        <v>132</v>
      </c>
      <c r="U61" s="329">
        <f>+U34+U33+U32+U20+U55+U52+U53+U24+U21+U15+U6+U54+U22+U23+U16+U7</f>
        <v>66241.3</v>
      </c>
      <c r="V61" s="440">
        <f>+V34+V33+V32+V20+V55+V52+V53+V24+V21+V15+V6+V54+V22+V23+V16+V7</f>
        <v>10516.1</v>
      </c>
      <c r="W61" s="275">
        <f>(U61-V61)/V61</f>
        <v>5.2990367151320354</v>
      </c>
      <c r="X61" s="329">
        <f>+X34+X33+X32+X20+X55+X52+X53+X24+X21+X15+X6+X54+X22+X23+X16+X7</f>
        <v>136092.4</v>
      </c>
      <c r="Y61" s="440">
        <f>+Y34+Y33+Y32+Y20+Y55+Y52+Y53+Y24+Y21+Y15+Y6+Y54+Y22+Y23+Y16+Y7</f>
        <v>46003.9</v>
      </c>
      <c r="Z61" s="350">
        <f>(X61-Y61)/Y61</f>
        <v>1.9582796241188247</v>
      </c>
      <c r="AA61" s="399">
        <f>+X61/X62</f>
        <v>3.21807204473439E-3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25154</v>
      </c>
      <c r="D62" s="441">
        <f>D50+D48+D44+D38+D36+D30+D18+D13+D4+D46+D26+D42+D9+D40+D28+D11+D57</f>
        <v>23849</v>
      </c>
      <c r="E62" s="331">
        <f>(C62-D62)/D62</f>
        <v>5.4719275441318292E-2</v>
      </c>
      <c r="F62" s="330">
        <f>F50+F48+F44+F38+F36+F30+F18+F13+F4+F46+F26+F42+F9+F40+F28+F11+F57</f>
        <v>139327</v>
      </c>
      <c r="G62" s="441">
        <f>G50+G48+G44+G38+G36+G30+G18+G13+G4+G46+G26+G42+G9+G40+G28+G11+G57</f>
        <v>137342</v>
      </c>
      <c r="H62" s="331">
        <f>(F62-G62)/G62</f>
        <v>1.4452971414425303E-2</v>
      </c>
      <c r="I62" s="355">
        <f>+H62/H62</f>
        <v>1</v>
      </c>
      <c r="K62" s="169" t="s">
        <v>133</v>
      </c>
      <c r="L62" s="330">
        <f>L50+L48+L44+L38+L36+L30+L18+L13+L4+L46+L26+L42+L9+L40+L28+L11+L57</f>
        <v>3175198</v>
      </c>
      <c r="M62" s="441">
        <f>M50+M48+M44+M38+M36+M30+M18+M13+M4+M46+M26+M42+M9+M40+M28+M11+M57</f>
        <v>2772907</v>
      </c>
      <c r="N62" s="331">
        <f>(L62-M62)/M62</f>
        <v>0.14507915339389313</v>
      </c>
      <c r="O62" s="330">
        <f>O50+O48+O44+O38+O36+O30+O18+O13+O4+O46+O26+O42+O9+O40+O28+O11+O57</f>
        <v>16118976</v>
      </c>
      <c r="P62" s="441">
        <f>P50+P48+P44+P38+P36+P30+P18+P13+P4+P46+P26+P42+P9+P40+P28+P11+P57</f>
        <v>14647850</v>
      </c>
      <c r="Q62" s="397">
        <f>(O62-P62)/P62</f>
        <v>0.10043289629536076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7191067.2999999998</v>
      </c>
      <c r="V62" s="441">
        <f>V50+V48+V44+V38+V36+V30+V18+V13+V4+V46+V26+V42+V9+V40+V28+V11+V57</f>
        <v>11118285.1</v>
      </c>
      <c r="W62" s="331">
        <f>(U62-V62)/V62</f>
        <v>-0.35322154133284456</v>
      </c>
      <c r="X62" s="330">
        <f>X50+X48+X44+X38+X36+X30+X18+X13+X4+X46+X26+X42+X9+X40+X28+X11+X57</f>
        <v>42290041.399999999</v>
      </c>
      <c r="Y62" s="441">
        <f>Y50+Y48+Y44+Y38+Y36+Y30+Y18+Y13+Y4+Y46+Y26+Y42+Y9+Y40+Y28+Y11+Y57</f>
        <v>47169984.899999999</v>
      </c>
      <c r="Z62" s="397">
        <f>(X62-Y62)/Y62</f>
        <v>-0.10345442150014342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June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P8" sqref="P8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45078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[3]American!$IK$22</f>
        <v>53479</v>
      </c>
      <c r="C4" s="12">
        <f>[3]Delta!$IK$22+[3]Delta!$IK$32</f>
        <v>964516</v>
      </c>
      <c r="D4" s="12">
        <f>[3]United!$IK$22</f>
        <v>62145</v>
      </c>
      <c r="E4" s="12">
        <f>[3]Spirit!$IK$22</f>
        <v>17146</v>
      </c>
      <c r="F4" s="12">
        <f>[3]Condor!$IK$22+[3]Condor!$IK$32</f>
        <v>2259</v>
      </c>
      <c r="G4" s="12">
        <f>'[3]Air France'!$IK$32</f>
        <v>0</v>
      </c>
      <c r="H4" s="12">
        <f>'[3]Jet Blue'!$IK$22</f>
        <v>5379</v>
      </c>
      <c r="I4" s="12">
        <f>[3]KLM!$IK$22+[3]KLM!$IK$32</f>
        <v>4618</v>
      </c>
      <c r="J4" s="12">
        <f>'Other Major Airline Stats'!K5</f>
        <v>292731</v>
      </c>
      <c r="K4" s="205">
        <f>SUM(B4:J4)</f>
        <v>1402273</v>
      </c>
    </row>
    <row r="5" spans="1:20" x14ac:dyDescent="0.2">
      <c r="A5" s="45" t="s">
        <v>31</v>
      </c>
      <c r="B5" s="7">
        <f>[3]American!$IK$23</f>
        <v>52052</v>
      </c>
      <c r="C5" s="7">
        <f>[3]Delta!$IK$23+[3]Delta!$IK$33</f>
        <v>954716</v>
      </c>
      <c r="D5" s="7">
        <f>[3]United!$IK$23</f>
        <v>59390</v>
      </c>
      <c r="E5" s="7">
        <f>[3]Spirit!$IK$23</f>
        <v>16191</v>
      </c>
      <c r="F5" s="7">
        <f>[3]Condor!$IK$23+[3]Condor!$IK$33</f>
        <v>2746</v>
      </c>
      <c r="G5" s="7">
        <f>'[3]Air France'!$IK$33</f>
        <v>0</v>
      </c>
      <c r="H5" s="7">
        <f>'[3]Jet Blue'!$IK$23</f>
        <v>5699</v>
      </c>
      <c r="I5" s="7">
        <f>[3]KLM!$IK$23+[3]KLM!$IK$33</f>
        <v>4574</v>
      </c>
      <c r="J5" s="7">
        <f>'Other Major Airline Stats'!K6</f>
        <v>290985</v>
      </c>
      <c r="K5" s="206">
        <f>SUM(B5:J5)</f>
        <v>1386353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105531</v>
      </c>
      <c r="C6" s="24">
        <f t="shared" si="0"/>
        <v>1919232</v>
      </c>
      <c r="D6" s="24">
        <f t="shared" si="0"/>
        <v>121535</v>
      </c>
      <c r="E6" s="24">
        <f t="shared" si="0"/>
        <v>33337</v>
      </c>
      <c r="F6" s="24">
        <f t="shared" ref="F6:I6" si="1">SUM(F4:F5)</f>
        <v>5005</v>
      </c>
      <c r="G6" s="24">
        <f t="shared" si="1"/>
        <v>0</v>
      </c>
      <c r="H6" s="24">
        <f t="shared" ref="H6" si="2">SUM(H4:H5)</f>
        <v>11078</v>
      </c>
      <c r="I6" s="24">
        <f t="shared" si="1"/>
        <v>9192</v>
      </c>
      <c r="J6" s="24">
        <f>SUM(J4:J5)</f>
        <v>583716</v>
      </c>
      <c r="K6" s="207">
        <f>SUM(B6:J6)</f>
        <v>2788626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[3]American!$IK$27</f>
        <v>1752</v>
      </c>
      <c r="C9" s="12">
        <f>[3]Delta!$IK$27+[3]Delta!$IK$37</f>
        <v>25749</v>
      </c>
      <c r="D9" s="12">
        <f>[3]United!$IK$27</f>
        <v>2040</v>
      </c>
      <c r="E9" s="12">
        <f>[3]Spirit!$IK$27</f>
        <v>165</v>
      </c>
      <c r="F9" s="12">
        <f>[3]Condor!$IK$27+[3]Condor!$IK$37</f>
        <v>7</v>
      </c>
      <c r="G9" s="12">
        <f>'[3]Air France'!$IK$37</f>
        <v>0</v>
      </c>
      <c r="H9" s="12">
        <f>'[3]Jet Blue'!$IK$27</f>
        <v>71</v>
      </c>
      <c r="I9" s="12">
        <f>[3]KLM!$IK$27+[3]KLM!$IK$37</f>
        <v>22</v>
      </c>
      <c r="J9" s="12">
        <f>'Other Major Airline Stats'!K10</f>
        <v>4877</v>
      </c>
      <c r="K9" s="205">
        <f>SUM(B9:J9)</f>
        <v>34683</v>
      </c>
      <c r="N9" s="230"/>
    </row>
    <row r="10" spans="1:20" x14ac:dyDescent="0.2">
      <c r="A10" s="45" t="s">
        <v>33</v>
      </c>
      <c r="B10" s="7">
        <f>[3]American!$IK$28</f>
        <v>2040</v>
      </c>
      <c r="C10" s="7">
        <f>[3]Delta!$IK$28+[3]Delta!$IK$38</f>
        <v>26961</v>
      </c>
      <c r="D10" s="7">
        <f>[3]United!$IK$28</f>
        <v>2005</v>
      </c>
      <c r="E10" s="7">
        <f>[3]Spirit!$IK$28</f>
        <v>196</v>
      </c>
      <c r="F10" s="7">
        <f>[3]Condor!$IK$28+[3]Condor!$IK$38</f>
        <v>8</v>
      </c>
      <c r="G10" s="7">
        <f>'[3]Air France'!$IK$38</f>
        <v>0</v>
      </c>
      <c r="H10" s="7">
        <f>'[3]Jet Blue'!$IK$28</f>
        <v>75</v>
      </c>
      <c r="I10" s="7">
        <f>[3]KLM!$IK$28+[3]KLM!$IK$38</f>
        <v>0</v>
      </c>
      <c r="J10" s="7">
        <f>'Other Major Airline Stats'!K11</f>
        <v>5241</v>
      </c>
      <c r="K10" s="206">
        <f>SUM(B10:J10)</f>
        <v>36526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3792</v>
      </c>
      <c r="C11" s="208">
        <f t="shared" si="3"/>
        <v>52710</v>
      </c>
      <c r="D11" s="208">
        <f t="shared" si="3"/>
        <v>4045</v>
      </c>
      <c r="E11" s="208">
        <f t="shared" si="3"/>
        <v>361</v>
      </c>
      <c r="F11" s="208">
        <f t="shared" ref="F11:I11" si="4">SUM(F9:F10)</f>
        <v>15</v>
      </c>
      <c r="G11" s="208">
        <f t="shared" si="4"/>
        <v>0</v>
      </c>
      <c r="H11" s="208">
        <f t="shared" ref="H11" si="5">SUM(H9:H10)</f>
        <v>146</v>
      </c>
      <c r="I11" s="208">
        <f t="shared" si="4"/>
        <v>22</v>
      </c>
      <c r="J11" s="208">
        <f t="shared" si="3"/>
        <v>10118</v>
      </c>
      <c r="K11" s="209">
        <f>SUM(B11:J11)</f>
        <v>71209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[3]American!$IK$4</f>
        <v>350</v>
      </c>
      <c r="C15" s="12">
        <f>[3]Delta!$IK$4+[3]Delta!$IK$15</f>
        <v>6475</v>
      </c>
      <c r="D15" s="12">
        <f>[3]United!$IK$4</f>
        <v>433</v>
      </c>
      <c r="E15" s="12">
        <f>[3]Spirit!$IK$4</f>
        <v>119</v>
      </c>
      <c r="F15" s="12">
        <f>[3]Condor!$IK$15</f>
        <v>11</v>
      </c>
      <c r="G15" s="12">
        <f>'[3]Air France'!$IK$15</f>
        <v>0</v>
      </c>
      <c r="H15" s="12">
        <f>'[3]Jet Blue'!$IK$4</f>
        <v>44</v>
      </c>
      <c r="I15" s="12">
        <f>[3]KLM!$IK$4+[3]KLM!$IK$15</f>
        <v>17</v>
      </c>
      <c r="J15" s="12">
        <f>'Other Major Airline Stats'!K16</f>
        <v>2022</v>
      </c>
      <c r="K15" s="17">
        <f>SUM(B15:J15)</f>
        <v>9471</v>
      </c>
    </row>
    <row r="16" spans="1:20" x14ac:dyDescent="0.2">
      <c r="A16" s="45" t="s">
        <v>23</v>
      </c>
      <c r="B16" s="7">
        <f>[3]American!$IK$5</f>
        <v>352</v>
      </c>
      <c r="C16" s="7">
        <f>[3]Delta!$IK$5+[3]Delta!$IK$16</f>
        <v>6451</v>
      </c>
      <c r="D16" s="7">
        <f>[3]United!$IK$5</f>
        <v>439</v>
      </c>
      <c r="E16" s="7">
        <f>[3]Spirit!$IK$5</f>
        <v>119</v>
      </c>
      <c r="F16" s="7">
        <f>[3]Condor!$IK$5+[3]Condor!$IK$16</f>
        <v>11</v>
      </c>
      <c r="G16" s="7">
        <f>'[3]Air France'!$IK$16</f>
        <v>0</v>
      </c>
      <c r="H16" s="7">
        <f>'[3]Jet Blue'!$IK$5</f>
        <v>44</v>
      </c>
      <c r="I16" s="7">
        <f>[3]KLM!$IK$5+[3]KLM!$IK$16</f>
        <v>17</v>
      </c>
      <c r="J16" s="7">
        <f>'Other Major Airline Stats'!K17</f>
        <v>2030</v>
      </c>
      <c r="K16" s="23">
        <f>SUM(B16:J16)</f>
        <v>9463</v>
      </c>
    </row>
    <row r="17" spans="1:11" x14ac:dyDescent="0.2">
      <c r="A17" s="45" t="s">
        <v>24</v>
      </c>
      <c r="B17" s="212">
        <f t="shared" ref="B17:J17" si="6">SUM(B15:B16)</f>
        <v>702</v>
      </c>
      <c r="C17" s="210">
        <f t="shared" si="6"/>
        <v>12926</v>
      </c>
      <c r="D17" s="210">
        <f t="shared" si="6"/>
        <v>872</v>
      </c>
      <c r="E17" s="210">
        <f t="shared" si="6"/>
        <v>238</v>
      </c>
      <c r="F17" s="210">
        <f t="shared" ref="F17:I17" si="7">SUM(F15:F16)</f>
        <v>22</v>
      </c>
      <c r="G17" s="210">
        <f t="shared" si="7"/>
        <v>0</v>
      </c>
      <c r="H17" s="210">
        <f t="shared" ref="H17" si="8">SUM(H15:H16)</f>
        <v>88</v>
      </c>
      <c r="I17" s="210">
        <f t="shared" si="7"/>
        <v>34</v>
      </c>
      <c r="J17" s="210">
        <f t="shared" si="6"/>
        <v>4052</v>
      </c>
      <c r="K17" s="211">
        <f>SUM(B17:J17)</f>
        <v>18934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[3]American!$IK$8</f>
        <v>0</v>
      </c>
      <c r="C19" s="12">
        <f>[3]Delta!$IK$8</f>
        <v>4</v>
      </c>
      <c r="D19" s="12">
        <f>[3]United!$IK$8</f>
        <v>4</v>
      </c>
      <c r="E19" s="12">
        <f>[3]Spirit!$IK$8</f>
        <v>0</v>
      </c>
      <c r="F19" s="12">
        <f>[3]Condor!$IK$8</f>
        <v>0</v>
      </c>
      <c r="G19" s="12">
        <f>'[3]Air France'!$IK$8</f>
        <v>0</v>
      </c>
      <c r="H19" s="12">
        <f>'[3]Jet Blue'!$IK$8</f>
        <v>0</v>
      </c>
      <c r="I19" s="12">
        <f>[3]KLM!$IK$8</f>
        <v>0</v>
      </c>
      <c r="J19" s="12">
        <f>'Other Major Airline Stats'!K20</f>
        <v>56</v>
      </c>
      <c r="K19" s="17">
        <f>SUM(B19:J19)</f>
        <v>64</v>
      </c>
    </row>
    <row r="20" spans="1:11" x14ac:dyDescent="0.2">
      <c r="A20" s="45" t="s">
        <v>26</v>
      </c>
      <c r="B20" s="7">
        <f>[3]American!$IK$9</f>
        <v>0</v>
      </c>
      <c r="C20" s="7">
        <f>[3]Delta!$IK$9</f>
        <v>21</v>
      </c>
      <c r="D20" s="7">
        <f>[3]United!$IK$9</f>
        <v>2</v>
      </c>
      <c r="E20" s="7">
        <f>[3]Spirit!$IK$9</f>
        <v>0</v>
      </c>
      <c r="F20" s="7">
        <f>[3]Condor!$IK$9</f>
        <v>0</v>
      </c>
      <c r="G20" s="7">
        <f>'[3]Air France'!$IK$9</f>
        <v>0</v>
      </c>
      <c r="H20" s="7">
        <f>'[3]Jet Blue'!$IK$9</f>
        <v>0</v>
      </c>
      <c r="I20" s="7">
        <f>[3]KLM!$IK$9</f>
        <v>0</v>
      </c>
      <c r="J20" s="7">
        <f>'Other Major Airline Stats'!K21</f>
        <v>44</v>
      </c>
      <c r="K20" s="23">
        <f>SUM(B20:J20)</f>
        <v>67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25</v>
      </c>
      <c r="D21" s="210">
        <f t="shared" si="9"/>
        <v>6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100</v>
      </c>
      <c r="K21" s="145">
        <f>SUM(B21:J21)</f>
        <v>131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702</v>
      </c>
      <c r="C23" s="18">
        <f t="shared" si="12"/>
        <v>12951</v>
      </c>
      <c r="D23" s="18">
        <f t="shared" si="12"/>
        <v>878</v>
      </c>
      <c r="E23" s="18">
        <f>E17+E21</f>
        <v>238</v>
      </c>
      <c r="F23" s="18">
        <f t="shared" ref="F23:I23" si="13">F17+F21</f>
        <v>22</v>
      </c>
      <c r="G23" s="18">
        <f t="shared" si="13"/>
        <v>0</v>
      </c>
      <c r="H23" s="18">
        <f t="shared" ref="H23" si="14">H17+H21</f>
        <v>88</v>
      </c>
      <c r="I23" s="18">
        <f t="shared" si="13"/>
        <v>34</v>
      </c>
      <c r="J23" s="18">
        <f t="shared" si="12"/>
        <v>4152</v>
      </c>
      <c r="K23" s="19">
        <f>SUM(B23:J23)</f>
        <v>19065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[3]American!$IK$47</f>
        <v>39733</v>
      </c>
      <c r="C28" s="12">
        <f>[3]Delta!$IK$47</f>
        <v>3093436</v>
      </c>
      <c r="D28" s="12">
        <f>[3]United!$IK$47</f>
        <v>38493</v>
      </c>
      <c r="E28" s="12">
        <f>[3]Spirit!$IK$47</f>
        <v>0</v>
      </c>
      <c r="F28" s="12">
        <f>[3]Condor!$IK$47</f>
        <v>47170</v>
      </c>
      <c r="G28" s="12">
        <f>'[3]Air France'!$IK$47</f>
        <v>0</v>
      </c>
      <c r="H28" s="12">
        <f>'[3]Jet Blue'!$IK$47</f>
        <v>0</v>
      </c>
      <c r="I28" s="12">
        <f>[3]KLM!$IK$47</f>
        <v>219000</v>
      </c>
      <c r="J28" s="12">
        <f>'Other Major Airline Stats'!K28</f>
        <v>213394</v>
      </c>
      <c r="K28" s="17">
        <f>SUM(B28:J28)</f>
        <v>3651226</v>
      </c>
    </row>
    <row r="29" spans="1:11" x14ac:dyDescent="0.2">
      <c r="A29" s="45" t="s">
        <v>38</v>
      </c>
      <c r="B29" s="7">
        <f>[3]American!$IK$48</f>
        <v>12762</v>
      </c>
      <c r="C29" s="7">
        <f>[3]Delta!$IK$48</f>
        <v>451007</v>
      </c>
      <c r="D29" s="7">
        <f>[3]United!$IK$48</f>
        <v>34585</v>
      </c>
      <c r="E29" s="7">
        <f>[3]Spirit!$IK$48</f>
        <v>0</v>
      </c>
      <c r="F29" s="7">
        <f>[3]Condor!$IK$48</f>
        <v>0</v>
      </c>
      <c r="G29" s="7">
        <f>'[3]Air France'!$IK$48</f>
        <v>0</v>
      </c>
      <c r="H29" s="7">
        <f>'[3]Jet Blue'!$IK$48</f>
        <v>0</v>
      </c>
      <c r="I29" s="7">
        <f>[3]KLM!$IK$48</f>
        <v>0</v>
      </c>
      <c r="J29" s="7">
        <f>'Other Major Airline Stats'!K29</f>
        <v>0</v>
      </c>
      <c r="K29" s="23">
        <f>SUM(B29:J29)</f>
        <v>498354</v>
      </c>
    </row>
    <row r="30" spans="1:11" x14ac:dyDescent="0.2">
      <c r="A30" s="49" t="s">
        <v>39</v>
      </c>
      <c r="B30" s="212">
        <f t="shared" ref="B30:J30" si="15">SUM(B28:B29)</f>
        <v>52495</v>
      </c>
      <c r="C30" s="212">
        <f t="shared" si="15"/>
        <v>3544443</v>
      </c>
      <c r="D30" s="212">
        <f t="shared" si="15"/>
        <v>73078</v>
      </c>
      <c r="E30" s="212">
        <f t="shared" si="15"/>
        <v>0</v>
      </c>
      <c r="F30" s="212">
        <f t="shared" ref="F30:I30" si="16">SUM(F28:F29)</f>
        <v>47170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219000</v>
      </c>
      <c r="J30" s="212">
        <f t="shared" si="15"/>
        <v>213394</v>
      </c>
      <c r="K30" s="17">
        <f>SUM(B30:J30)</f>
        <v>4149580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[3]American!$IK$52</f>
        <v>3975</v>
      </c>
      <c r="C33" s="12">
        <f>[3]Delta!$IK$52</f>
        <v>2228626</v>
      </c>
      <c r="D33" s="12">
        <f>[3]United!$IK$52</f>
        <v>27182</v>
      </c>
      <c r="E33" s="12">
        <f>[3]Spirit!$IK$52</f>
        <v>0</v>
      </c>
      <c r="F33" s="12">
        <f>[3]Condor!$IK$52</f>
        <v>6378</v>
      </c>
      <c r="G33" s="12">
        <f>'[3]Air France'!$IK$52</f>
        <v>0</v>
      </c>
      <c r="H33" s="12">
        <f>'[3]Jet Blue'!$IK$52</f>
        <v>0</v>
      </c>
      <c r="I33" s="12">
        <f>[3]KLM!$IK$52</f>
        <v>81400</v>
      </c>
      <c r="J33" s="12">
        <f>'Other Major Airline Stats'!K33</f>
        <v>61662</v>
      </c>
      <c r="K33" s="17">
        <f t="shared" si="18"/>
        <v>2409223</v>
      </c>
    </row>
    <row r="34" spans="1:11" x14ac:dyDescent="0.2">
      <c r="A34" s="45" t="s">
        <v>38</v>
      </c>
      <c r="B34" s="7">
        <f>[3]American!$IK$53</f>
        <v>176</v>
      </c>
      <c r="C34" s="7">
        <f>[3]Delta!$IK$53</f>
        <v>565497</v>
      </c>
      <c r="D34" s="7">
        <f>[3]United!$IK$53</f>
        <v>272</v>
      </c>
      <c r="E34" s="7">
        <f>[3]Spirit!$IK$53</f>
        <v>0</v>
      </c>
      <c r="F34" s="7">
        <f>[3]Condor!$IK$53</f>
        <v>0</v>
      </c>
      <c r="G34" s="7">
        <f>'[3]Air France'!$IK$53</f>
        <v>0</v>
      </c>
      <c r="H34" s="7">
        <f>'[3]Jet Blue'!$IK$53</f>
        <v>0</v>
      </c>
      <c r="I34" s="7">
        <f>[3]KLM!$IK$53</f>
        <v>0</v>
      </c>
      <c r="J34" s="7">
        <f>'Other Major Airline Stats'!K34</f>
        <v>78</v>
      </c>
      <c r="K34" s="23">
        <f t="shared" si="18"/>
        <v>566023</v>
      </c>
    </row>
    <row r="35" spans="1:11" x14ac:dyDescent="0.2">
      <c r="A35" s="49" t="s">
        <v>41</v>
      </c>
      <c r="B35" s="212">
        <f t="shared" ref="B35:J35" si="19">SUM(B33:B34)</f>
        <v>4151</v>
      </c>
      <c r="C35" s="212">
        <f t="shared" si="19"/>
        <v>2794123</v>
      </c>
      <c r="D35" s="212">
        <f t="shared" si="19"/>
        <v>27454</v>
      </c>
      <c r="E35" s="212">
        <f t="shared" si="19"/>
        <v>0</v>
      </c>
      <c r="F35" s="212">
        <f t="shared" ref="F35:I35" si="20">SUM(F33:F34)</f>
        <v>6378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81400</v>
      </c>
      <c r="J35" s="212">
        <f t="shared" si="19"/>
        <v>61740</v>
      </c>
      <c r="K35" s="17">
        <f t="shared" si="18"/>
        <v>2975246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[3]American!$IK$57</f>
        <v>0</v>
      </c>
      <c r="C38" s="12">
        <f>[3]Delta!$IK$57</f>
        <v>0</v>
      </c>
      <c r="D38" s="12">
        <f>[3]United!$IK$57</f>
        <v>0</v>
      </c>
      <c r="E38" s="12">
        <f>[3]Spirit!$IK$57</f>
        <v>0</v>
      </c>
      <c r="F38" s="12">
        <f>[3]Condor!$IK$57</f>
        <v>0</v>
      </c>
      <c r="G38" s="12">
        <f>'[3]Air France'!$IK$57</f>
        <v>0</v>
      </c>
      <c r="H38" s="12">
        <f>'[3]Jet Blue'!$IK$57</f>
        <v>0</v>
      </c>
      <c r="I38" s="12">
        <f>[3]KLM!$IK$57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[3]American!$IK$58</f>
        <v>0</v>
      </c>
      <c r="C39" s="7">
        <f>[3]Delta!$IK$58</f>
        <v>0</v>
      </c>
      <c r="D39" s="7">
        <f>[3]United!$IK$58</f>
        <v>0</v>
      </c>
      <c r="E39" s="7">
        <f>[3]Spirit!$IK$58</f>
        <v>0</v>
      </c>
      <c r="F39" s="7">
        <f>[3]Condor!$IK$58</f>
        <v>0</v>
      </c>
      <c r="G39" s="7">
        <f>'[3]Air France'!$IK$58</f>
        <v>0</v>
      </c>
      <c r="H39" s="7">
        <f>'[3]Jet Blue'!$IK$58</f>
        <v>0</v>
      </c>
      <c r="I39" s="7">
        <f>[3]KLM!$IK$58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43708</v>
      </c>
      <c r="C43" s="12">
        <f t="shared" si="25"/>
        <v>5322062</v>
      </c>
      <c r="D43" s="12">
        <f t="shared" si="25"/>
        <v>65675</v>
      </c>
      <c r="E43" s="12">
        <f>E28+E33+E38</f>
        <v>0</v>
      </c>
      <c r="F43" s="12">
        <f t="shared" ref="F43:I43" si="26">F28+F33+F38</f>
        <v>53548</v>
      </c>
      <c r="G43" s="12">
        <f t="shared" si="26"/>
        <v>0</v>
      </c>
      <c r="H43" s="12">
        <f t="shared" ref="H43" si="27">H28+H33+H38</f>
        <v>0</v>
      </c>
      <c r="I43" s="12">
        <f t="shared" si="26"/>
        <v>300400</v>
      </c>
      <c r="J43" s="12">
        <f t="shared" si="25"/>
        <v>275056</v>
      </c>
      <c r="K43" s="17">
        <f>SUM(B43:J43)</f>
        <v>6060449</v>
      </c>
    </row>
    <row r="44" spans="1:11" x14ac:dyDescent="0.2">
      <c r="A44" s="45" t="s">
        <v>38</v>
      </c>
      <c r="B44" s="7">
        <f t="shared" si="25"/>
        <v>12938</v>
      </c>
      <c r="C44" s="7">
        <f t="shared" si="25"/>
        <v>1016504</v>
      </c>
      <c r="D44" s="7">
        <f t="shared" si="25"/>
        <v>34857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78</v>
      </c>
      <c r="K44" s="17">
        <f>SUM(B44:J44)</f>
        <v>1064377</v>
      </c>
    </row>
    <row r="45" spans="1:11" ht="15.75" thickBot="1" x14ac:dyDescent="0.3">
      <c r="A45" s="46" t="s">
        <v>46</v>
      </c>
      <c r="B45" s="213">
        <f t="shared" ref="B45:J45" si="30">SUM(B43:B44)</f>
        <v>56646</v>
      </c>
      <c r="C45" s="213">
        <f t="shared" si="30"/>
        <v>6338566</v>
      </c>
      <c r="D45" s="213">
        <f t="shared" si="30"/>
        <v>100532</v>
      </c>
      <c r="E45" s="213">
        <f t="shared" si="30"/>
        <v>0</v>
      </c>
      <c r="F45" s="213">
        <f t="shared" ref="F45:I45" si="31">SUM(F43:F44)</f>
        <v>53548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300400</v>
      </c>
      <c r="J45" s="213">
        <f t="shared" si="30"/>
        <v>275134</v>
      </c>
      <c r="K45" s="214">
        <f>SUM(B45:J45)</f>
        <v>7124826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[3]Delta!$IK$70+[3]Delta!$IK$73</f>
        <v>530446</v>
      </c>
      <c r="D47" s="227"/>
      <c r="E47" s="227"/>
      <c r="F47" s="227"/>
      <c r="G47" s="227"/>
      <c r="H47" s="227"/>
      <c r="I47" s="227"/>
      <c r="J47" s="227"/>
      <c r="K47" s="228">
        <f>SUM(B47:J47)</f>
        <v>530446</v>
      </c>
    </row>
    <row r="48" spans="1:11" hidden="1" x14ac:dyDescent="0.2">
      <c r="A48" s="277" t="s">
        <v>121</v>
      </c>
      <c r="C48" s="239">
        <f>[3]Delta!$IK$71+[3]Delta!$IK$74</f>
        <v>424270</v>
      </c>
      <c r="D48" s="227"/>
      <c r="E48" s="227"/>
      <c r="F48" s="227"/>
      <c r="G48" s="227"/>
      <c r="H48" s="227"/>
      <c r="I48" s="227"/>
      <c r="J48" s="227"/>
      <c r="K48" s="228">
        <f>SUM(B48:J48)</f>
        <v>424270</v>
      </c>
    </row>
    <row r="49" spans="1:11" hidden="1" x14ac:dyDescent="0.2">
      <c r="A49" s="278" t="s">
        <v>122</v>
      </c>
      <c r="C49" s="240">
        <f>SUM(C47:C48)</f>
        <v>954716</v>
      </c>
      <c r="K49" s="228">
        <f>SUM(B49:J49)</f>
        <v>954716</v>
      </c>
    </row>
    <row r="50" spans="1:11" x14ac:dyDescent="0.2">
      <c r="A50" s="276" t="s">
        <v>120</v>
      </c>
      <c r="B50" s="287"/>
      <c r="C50" s="242">
        <f>[3]Delta!$IK$70+[3]Delta!$IK$73</f>
        <v>530446</v>
      </c>
      <c r="D50" s="287"/>
      <c r="E50" s="242">
        <f>[3]Spirit!$IK$70+[3]Spirit!$IK$73</f>
        <v>0</v>
      </c>
      <c r="F50" s="287"/>
      <c r="G50" s="287"/>
      <c r="H50" s="287"/>
      <c r="I50" s="287"/>
      <c r="J50" s="241">
        <f>'Other Major Airline Stats'!K48</f>
        <v>250994</v>
      </c>
      <c r="K50" s="231">
        <f>SUM(B50:J50)</f>
        <v>781440</v>
      </c>
    </row>
    <row r="51" spans="1:11" x14ac:dyDescent="0.2">
      <c r="A51" s="289" t="s">
        <v>121</v>
      </c>
      <c r="B51" s="287"/>
      <c r="C51" s="242">
        <f>[3]Delta!$IK$71+[3]Delta!$IK$74</f>
        <v>424270</v>
      </c>
      <c r="D51" s="287"/>
      <c r="E51" s="242">
        <f>[3]Spirit!$IK$71+[3]Spirit!$IK$74</f>
        <v>0</v>
      </c>
      <c r="F51" s="287"/>
      <c r="G51" s="287"/>
      <c r="H51" s="287"/>
      <c r="I51" s="287"/>
      <c r="J51" s="241">
        <f>+'Other Major Airline Stats'!K49</f>
        <v>378</v>
      </c>
      <c r="K51" s="231">
        <f>SUM(B51:J51)</f>
        <v>424648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K21" sqref="K2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45078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247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[3]Frontier!$IK$22+[3]Frontier!$IK$32</f>
        <v>9929</v>
      </c>
      <c r="C5" s="95">
        <f>'[3]Allegiant '!$IK$22</f>
        <v>3810</v>
      </c>
      <c r="D5" s="95">
        <f>'[3]Aer Lingus'!$IK$22+'[3]Aer Lingus'!$IK$32</f>
        <v>0</v>
      </c>
      <c r="E5" s="95">
        <f>'[3]Denver Air'!$IK$22+'[3]Denver Air'!$IK$32</f>
        <v>911</v>
      </c>
      <c r="F5" s="95">
        <f>[3]WestJet!$IK$22+[3]WestJet!$IK$32</f>
        <v>2931</v>
      </c>
      <c r="G5" s="95">
        <f>[3]Icelandair!$IK$32</f>
        <v>6076</v>
      </c>
      <c r="H5" s="95">
        <f>[3]Southwest!$IK$22</f>
        <v>80722</v>
      </c>
      <c r="I5" s="95">
        <f>'[3]Sun Country'!$IK$22+'[3]Sun Country'!$IK$32</f>
        <v>172508</v>
      </c>
      <c r="J5" s="95">
        <f>[3]Alaska!$IK$22</f>
        <v>15844</v>
      </c>
      <c r="K5" s="118">
        <f>SUM(B5:J5)</f>
        <v>292731</v>
      </c>
      <c r="N5" s="95"/>
    </row>
    <row r="6" spans="1:14" x14ac:dyDescent="0.2">
      <c r="A6" s="45" t="s">
        <v>31</v>
      </c>
      <c r="B6" s="95">
        <f>[3]Frontier!$IK$23+[3]Frontier!$IK$33</f>
        <v>9871</v>
      </c>
      <c r="C6" s="95">
        <f>'[3]Allegiant '!$IK$23</f>
        <v>3669</v>
      </c>
      <c r="D6" s="95">
        <f>'[3]Aer Lingus'!$IK$23+'[3]Aer Lingus'!$IK$33</f>
        <v>0</v>
      </c>
      <c r="E6" s="95">
        <f>'[3]Denver Air'!$IK$23+'[3]Denver Air'!$IK$33</f>
        <v>885</v>
      </c>
      <c r="F6" s="95">
        <f>[3]WestJet!$IK$23+[3]WestJet!$IK$33</f>
        <v>3349</v>
      </c>
      <c r="G6" s="95">
        <f>[3]Icelandair!$IK$33</f>
        <v>6142</v>
      </c>
      <c r="H6" s="95">
        <f>[3]Southwest!$IK$23</f>
        <v>76861</v>
      </c>
      <c r="I6" s="95">
        <f>'[3]Sun Country'!$IK$23+'[3]Sun Country'!$IK$33</f>
        <v>174511</v>
      </c>
      <c r="J6" s="95">
        <f>[3]Alaska!$IK$23</f>
        <v>15697</v>
      </c>
      <c r="K6" s="118">
        <f>SUM(B6:J6)</f>
        <v>290985</v>
      </c>
    </row>
    <row r="7" spans="1:14" ht="15" x14ac:dyDescent="0.25">
      <c r="A7" s="43" t="s">
        <v>7</v>
      </c>
      <c r="B7" s="126">
        <f>SUM(B5:B6)</f>
        <v>19800</v>
      </c>
      <c r="C7" s="126">
        <f t="shared" ref="C7:F7" si="0">SUM(C5:C6)</f>
        <v>7479</v>
      </c>
      <c r="D7" s="126">
        <f>SUM(D5:D6)</f>
        <v>0</v>
      </c>
      <c r="E7" s="126">
        <f>SUM(E5:E6)</f>
        <v>1796</v>
      </c>
      <c r="F7" s="126">
        <f t="shared" si="0"/>
        <v>6280</v>
      </c>
      <c r="G7" s="126">
        <f t="shared" ref="G7:J7" si="1">SUM(G5:G6)</f>
        <v>12218</v>
      </c>
      <c r="H7" s="126">
        <f t="shared" si="1"/>
        <v>157583</v>
      </c>
      <c r="I7" s="126">
        <f>SUM(I5:I6)</f>
        <v>347019</v>
      </c>
      <c r="J7" s="126">
        <f t="shared" si="1"/>
        <v>31541</v>
      </c>
      <c r="K7" s="127">
        <f>SUM(B7:J7)</f>
        <v>583716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[3]Frontier!$IK$27+[3]Frontier!$IK$37</f>
        <v>71</v>
      </c>
      <c r="C10" s="125">
        <f>'[3]Allegiant '!$IK$27</f>
        <v>0</v>
      </c>
      <c r="D10" s="359">
        <f>'[3]Aer Lingus'!$IK$27+'[3]Aer Lingus'!$IK$37</f>
        <v>0</v>
      </c>
      <c r="E10" s="125">
        <f>'[3]Denver Air'!$IK$27+'[3]Denver Air'!$IK$37</f>
        <v>29</v>
      </c>
      <c r="F10" s="125">
        <f>[3]WestJet!$IK$27+[3]WestJet!$IK$37</f>
        <v>2</v>
      </c>
      <c r="G10" s="125">
        <f>[3]Icelandair!$IK$37</f>
        <v>23</v>
      </c>
      <c r="H10" s="125">
        <f>[3]Southwest!$IK$27</f>
        <v>1522</v>
      </c>
      <c r="I10" s="125">
        <f>'[3]Sun Country'!$IK$27+'[3]Sun Country'!$IK$37</f>
        <v>2876</v>
      </c>
      <c r="J10" s="125">
        <f>[3]Alaska!$IK$27</f>
        <v>354</v>
      </c>
      <c r="K10" s="118">
        <f>SUM(B10:J10)</f>
        <v>4877</v>
      </c>
    </row>
    <row r="11" spans="1:14" x14ac:dyDescent="0.2">
      <c r="A11" s="45" t="s">
        <v>33</v>
      </c>
      <c r="B11" s="128">
        <f>[3]Frontier!$IK$28+[3]Frontier!$IK$38</f>
        <v>0</v>
      </c>
      <c r="C11" s="128">
        <f>'[3]Allegiant '!$IK$28</f>
        <v>0</v>
      </c>
      <c r="D11" s="128">
        <f>'[3]Aer Lingus'!$IK$28+'[3]Aer Lingus'!$IK$38</f>
        <v>0</v>
      </c>
      <c r="E11" s="128">
        <f>'[3]Denver Air'!$IK$28+'[3]Denver Air'!$IK$38</f>
        <v>35</v>
      </c>
      <c r="F11" s="128">
        <f>[3]WestJet!$IK$28+[3]WestJet!$IK$38</f>
        <v>1</v>
      </c>
      <c r="G11" s="128">
        <f>[3]Icelandair!$IK$38</f>
        <v>20</v>
      </c>
      <c r="H11" s="128">
        <f>[3]Southwest!$IK$28</f>
        <v>1634</v>
      </c>
      <c r="I11" s="128">
        <f>'[3]Sun Country'!$IK$28+'[3]Sun Country'!$IK$38</f>
        <v>3125</v>
      </c>
      <c r="J11" s="128">
        <f>[3]Alaska!$IK$28</f>
        <v>426</v>
      </c>
      <c r="K11" s="118">
        <f>SUM(B11:J11)</f>
        <v>5241</v>
      </c>
    </row>
    <row r="12" spans="1:14" ht="15.75" thickBot="1" x14ac:dyDescent="0.3">
      <c r="A12" s="46" t="s">
        <v>34</v>
      </c>
      <c r="B12" s="121">
        <f>SUM(B10:B11)</f>
        <v>71</v>
      </c>
      <c r="C12" s="121">
        <f t="shared" ref="C12:F12" si="2">SUM(C10:C11)</f>
        <v>0</v>
      </c>
      <c r="D12" s="121">
        <f>SUM(D10:D11)</f>
        <v>0</v>
      </c>
      <c r="E12" s="121">
        <f>SUM(E10:E11)</f>
        <v>64</v>
      </c>
      <c r="F12" s="121">
        <f t="shared" si="2"/>
        <v>3</v>
      </c>
      <c r="G12" s="121">
        <f t="shared" ref="G12:J12" si="3">SUM(G10:G11)</f>
        <v>43</v>
      </c>
      <c r="H12" s="121">
        <f t="shared" si="3"/>
        <v>3156</v>
      </c>
      <c r="I12" s="121">
        <f>SUM(I10:I11)</f>
        <v>6001</v>
      </c>
      <c r="J12" s="121">
        <f t="shared" si="3"/>
        <v>780</v>
      </c>
      <c r="K12" s="129">
        <f>SUM(B12:J12)</f>
        <v>10118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[3]Frontier!$IK$4+[3]Frontier!$IK$15</f>
        <v>60</v>
      </c>
      <c r="C16" s="85">
        <f>'[3]Allegiant '!$IK$4</f>
        <v>25</v>
      </c>
      <c r="D16" s="95">
        <f>'[3]Aer Lingus'!$IK$4+'[3]Aer Lingus'!$IK$15</f>
        <v>0</v>
      </c>
      <c r="E16" s="95">
        <f>'[3]Denver Air'!$IK$4+'[3]Denver Air'!$IK$15</f>
        <v>78</v>
      </c>
      <c r="F16" s="85">
        <f>[3]WestJet!$IK$4+[3]WestJet!$IK$15</f>
        <v>25</v>
      </c>
      <c r="G16" s="95">
        <f>[3]Icelandair!$IK$15</f>
        <v>31</v>
      </c>
      <c r="H16" s="85">
        <f>[3]Southwest!$IK$4</f>
        <v>608</v>
      </c>
      <c r="I16" s="95">
        <f>'[3]Sun Country'!$IK$4+'[3]Sun Country'!$IK$15</f>
        <v>1089</v>
      </c>
      <c r="J16" s="95">
        <f>[3]Alaska!$IK$4</f>
        <v>106</v>
      </c>
      <c r="K16" s="118">
        <f>SUM(B16:J16)</f>
        <v>2022</v>
      </c>
    </row>
    <row r="17" spans="1:258" x14ac:dyDescent="0.2">
      <c r="A17" s="45" t="s">
        <v>23</v>
      </c>
      <c r="B17" s="95">
        <f>[3]Frontier!$IK$5+[3]Frontier!$IK$16</f>
        <v>60</v>
      </c>
      <c r="C17" s="85">
        <f>'[3]Allegiant '!$IK$5</f>
        <v>25</v>
      </c>
      <c r="D17" s="95">
        <f>'[3]Aer Lingus'!$IK$5+'[3]Aer Lingus'!$IK$16</f>
        <v>0</v>
      </c>
      <c r="E17" s="95">
        <f>'[3]Denver Air'!$IK$5+'[3]Denver Air'!$IK$16</f>
        <v>78</v>
      </c>
      <c r="F17" s="85">
        <f>[3]WestJet!$IK$5+[3]WestJet!$IK$16</f>
        <v>25</v>
      </c>
      <c r="G17" s="95">
        <f>[3]Icelandair!$IK$16</f>
        <v>31</v>
      </c>
      <c r="H17" s="85">
        <f>[3]Southwest!$IK$5</f>
        <v>608</v>
      </c>
      <c r="I17" s="95">
        <f>'[3]Sun Country'!$IK$5+'[3]Sun Country'!$IK$16</f>
        <v>1096</v>
      </c>
      <c r="J17" s="95">
        <f>[3]Alaska!$IK$5</f>
        <v>107</v>
      </c>
      <c r="K17" s="118">
        <f>SUM(B17:J17)</f>
        <v>2030</v>
      </c>
    </row>
    <row r="18" spans="1:258" x14ac:dyDescent="0.2">
      <c r="A18" s="49" t="s">
        <v>24</v>
      </c>
      <c r="B18" s="119">
        <f t="shared" ref="B18" si="4">SUM(B16:B17)</f>
        <v>120</v>
      </c>
      <c r="C18" s="119">
        <f t="shared" ref="C18:F18" si="5">SUM(C16:C17)</f>
        <v>50</v>
      </c>
      <c r="D18" s="119">
        <f t="shared" si="5"/>
        <v>0</v>
      </c>
      <c r="E18" s="119">
        <f t="shared" si="5"/>
        <v>156</v>
      </c>
      <c r="F18" s="119">
        <f t="shared" si="5"/>
        <v>50</v>
      </c>
      <c r="G18" s="119">
        <f t="shared" ref="G18:J18" si="6">SUM(G16:G17)</f>
        <v>62</v>
      </c>
      <c r="H18" s="119">
        <f t="shared" si="6"/>
        <v>1216</v>
      </c>
      <c r="I18" s="119">
        <f t="shared" si="6"/>
        <v>2185</v>
      </c>
      <c r="J18" s="119">
        <f t="shared" si="6"/>
        <v>213</v>
      </c>
      <c r="K18" s="120">
        <f>SUM(B18:J18)</f>
        <v>4052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[3]Frontier!$IK$8</f>
        <v>0</v>
      </c>
      <c r="C20" s="95">
        <f>'[3]Allegiant '!$IK$8</f>
        <v>0</v>
      </c>
      <c r="D20" s="95">
        <f>'[3]Aer Lingus'!$IK$8</f>
        <v>0</v>
      </c>
      <c r="E20" s="95">
        <f>'[3]Denver Air'!$IK$8</f>
        <v>0</v>
      </c>
      <c r="F20" s="95">
        <f>[3]WestJet!$IK$8</f>
        <v>0</v>
      </c>
      <c r="G20" s="95">
        <f>[3]Icelandair!$IK$8</f>
        <v>0</v>
      </c>
      <c r="H20" s="95">
        <f>[3]Southwest!$IK$8</f>
        <v>0</v>
      </c>
      <c r="I20" s="95">
        <f>'[3]Sun Country'!$IK$8</f>
        <v>56</v>
      </c>
      <c r="J20" s="95">
        <f>[3]Alaska!$IK$8</f>
        <v>0</v>
      </c>
      <c r="K20" s="118">
        <f>SUM(B20:J20)</f>
        <v>56</v>
      </c>
    </row>
    <row r="21" spans="1:258" x14ac:dyDescent="0.2">
      <c r="A21" s="45" t="s">
        <v>26</v>
      </c>
      <c r="B21" s="95">
        <f>[3]Frontier!$IK$9</f>
        <v>0</v>
      </c>
      <c r="C21" s="95">
        <f>'[3]Allegiant '!$IK$9</f>
        <v>0</v>
      </c>
      <c r="D21" s="95">
        <f>'[3]Aer Lingus'!$IK$9</f>
        <v>0</v>
      </c>
      <c r="E21" s="95">
        <f>'[3]Denver Air'!$IK$9</f>
        <v>0</v>
      </c>
      <c r="F21" s="95">
        <f>[3]WestJet!$IK$9</f>
        <v>0</v>
      </c>
      <c r="G21" s="95">
        <f>[3]Icelandair!$IK$9</f>
        <v>0</v>
      </c>
      <c r="H21" s="95">
        <f>[3]Southwest!$IK$9</f>
        <v>0</v>
      </c>
      <c r="I21" s="95">
        <f>'[3]Sun Country'!$IK$9</f>
        <v>44</v>
      </c>
      <c r="J21" s="95">
        <f>[3]Alaska!$IK$9</f>
        <v>0</v>
      </c>
      <c r="K21" s="118">
        <f>SUM(B21:J21)</f>
        <v>44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100</v>
      </c>
      <c r="J22" s="119">
        <f t="shared" si="9"/>
        <v>0</v>
      </c>
      <c r="K22" s="120">
        <f>SUM(B22:J22)</f>
        <v>100</v>
      </c>
    </row>
    <row r="23" spans="1:258" ht="15.75" thickBot="1" x14ac:dyDescent="0.3">
      <c r="A23" s="46" t="s">
        <v>28</v>
      </c>
      <c r="B23" s="121">
        <f t="shared" ref="B23" si="10">B22+B18</f>
        <v>120</v>
      </c>
      <c r="C23" s="121">
        <f t="shared" ref="C23:F23" si="11">C22+C18</f>
        <v>50</v>
      </c>
      <c r="D23" s="121">
        <f t="shared" si="11"/>
        <v>0</v>
      </c>
      <c r="E23" s="121">
        <f t="shared" si="11"/>
        <v>156</v>
      </c>
      <c r="F23" s="121">
        <f t="shared" si="11"/>
        <v>50</v>
      </c>
      <c r="G23" s="121">
        <f t="shared" ref="G23:J23" si="12">G22+G18</f>
        <v>62</v>
      </c>
      <c r="H23" s="121">
        <f t="shared" si="12"/>
        <v>1216</v>
      </c>
      <c r="I23" s="121">
        <f>I22+I18</f>
        <v>2285</v>
      </c>
      <c r="J23" s="121">
        <f t="shared" si="12"/>
        <v>213</v>
      </c>
      <c r="K23" s="122">
        <f>SUM(B23:J23)</f>
        <v>4152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[3]Frontier!$IK$47</f>
        <v>0</v>
      </c>
      <c r="C28" s="95">
        <f>'[3]Allegiant '!$IK$47</f>
        <v>0</v>
      </c>
      <c r="D28" s="95">
        <f>'[3]Aer Lingus'!$IK$47</f>
        <v>0</v>
      </c>
      <c r="E28" s="95">
        <f>'[3]Denver Air'!$IK$47</f>
        <v>0</v>
      </c>
      <c r="F28" s="95">
        <f>[3]WestJet!$IK$47</f>
        <v>0</v>
      </c>
      <c r="G28" s="95">
        <f>[3]Icelandair!$IK$47</f>
        <v>720</v>
      </c>
      <c r="H28" s="95">
        <f>[3]Southwest!$IK$47</f>
        <v>187740</v>
      </c>
      <c r="I28" s="95">
        <f>'[3]Sun Country'!$IK$47</f>
        <v>0</v>
      </c>
      <c r="J28" s="95">
        <f>[3]Alaska!$IK$47</f>
        <v>24934</v>
      </c>
      <c r="K28" s="118">
        <f>SUM(B28:J28)</f>
        <v>213394</v>
      </c>
    </row>
    <row r="29" spans="1:258" x14ac:dyDescent="0.2">
      <c r="A29" s="45" t="s">
        <v>38</v>
      </c>
      <c r="B29" s="95">
        <f>[3]Frontier!$IK$48</f>
        <v>0</v>
      </c>
      <c r="C29" s="95">
        <f>'[3]Allegiant '!$IK$48</f>
        <v>0</v>
      </c>
      <c r="D29" s="95">
        <f>'[3]Aer Lingus'!$IK$48</f>
        <v>0</v>
      </c>
      <c r="E29" s="95">
        <f>'[3]Denver Air'!$IK$48</f>
        <v>0</v>
      </c>
      <c r="F29" s="95">
        <f>[3]WestJet!$IK$48</f>
        <v>0</v>
      </c>
      <c r="G29" s="95">
        <f>[3]Icelandair!$IK$48</f>
        <v>0</v>
      </c>
      <c r="H29" s="95">
        <f>[3]Southwest!$IK$48</f>
        <v>0</v>
      </c>
      <c r="I29" s="95">
        <f>'[3]Sun Country'!$IK$48</f>
        <v>0</v>
      </c>
      <c r="J29" s="95">
        <f>[3]Alaska!$IK$48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720</v>
      </c>
      <c r="H30" s="133">
        <f t="shared" si="15"/>
        <v>187740</v>
      </c>
      <c r="I30" s="133">
        <f t="shared" si="15"/>
        <v>0</v>
      </c>
      <c r="J30" s="133">
        <f t="shared" si="15"/>
        <v>24934</v>
      </c>
      <c r="K30" s="135">
        <f>SUM(B30:J30)</f>
        <v>213394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[3]Frontier!$IK$52</f>
        <v>0</v>
      </c>
      <c r="C33" s="95">
        <f>'[3]Allegiant '!$IK$52</f>
        <v>0</v>
      </c>
      <c r="D33" s="95">
        <f>'[3]Aer Lingus'!$IK$52</f>
        <v>0</v>
      </c>
      <c r="E33" s="95">
        <f>'[3]Denver Air'!$IK$52</f>
        <v>0</v>
      </c>
      <c r="F33" s="95">
        <f>[3]WestJet!$IK$52</f>
        <v>0</v>
      </c>
      <c r="G33" s="95">
        <f>[3]Icelandair!$IK$52</f>
        <v>0</v>
      </c>
      <c r="H33" s="95">
        <f>[3]Southwest!$IK$52</f>
        <v>47908</v>
      </c>
      <c r="I33" s="95">
        <f>'[3]Sun Country'!$IK$52</f>
        <v>0</v>
      </c>
      <c r="J33" s="95">
        <f>[3]Alaska!$IK$52</f>
        <v>13754</v>
      </c>
      <c r="K33" s="118">
        <f>SUM(B33:J33)</f>
        <v>61662</v>
      </c>
    </row>
    <row r="34" spans="1:11" x14ac:dyDescent="0.2">
      <c r="A34" s="45" t="s">
        <v>38</v>
      </c>
      <c r="B34" s="95">
        <f>[3]Frontier!$IK$53</f>
        <v>0</v>
      </c>
      <c r="C34" s="95">
        <f>'[3]Allegiant '!$IK$53</f>
        <v>0</v>
      </c>
      <c r="D34" s="95">
        <f>'[3]Aer Lingus'!$IK$53</f>
        <v>0</v>
      </c>
      <c r="E34" s="95">
        <f>'[3]Denver Air'!$IK$53</f>
        <v>0</v>
      </c>
      <c r="F34" s="95">
        <f>[3]WestJet!$IK$53</f>
        <v>0</v>
      </c>
      <c r="G34" s="95">
        <f>[3]Icelandair!$IK$53</f>
        <v>0</v>
      </c>
      <c r="H34" s="95">
        <f>[3]Southwest!$IK$53</f>
        <v>0</v>
      </c>
      <c r="I34" s="95">
        <f>'[3]Sun Country'!$IK$53</f>
        <v>0</v>
      </c>
      <c r="J34" s="95">
        <f>[3]Alaska!$IK$53</f>
        <v>78</v>
      </c>
      <c r="K34" s="134">
        <f>SUM(B34:J34)</f>
        <v>78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47908</v>
      </c>
      <c r="I35" s="119">
        <f t="shared" si="18"/>
        <v>0</v>
      </c>
      <c r="J35" s="119">
        <f t="shared" si="18"/>
        <v>13832</v>
      </c>
      <c r="K35" s="135">
        <f>SUM(B35:J35)</f>
        <v>61740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[3]Frontier!$IK$57</f>
        <v>0</v>
      </c>
      <c r="C38" s="125">
        <f>'[3]Allegiant '!$IK$57</f>
        <v>0</v>
      </c>
      <c r="D38" s="359">
        <f>'[3]Aer Lingus'!$IK$57</f>
        <v>0</v>
      </c>
      <c r="E38" s="125">
        <f>'[3]Denver Air'!$IK$57</f>
        <v>0</v>
      </c>
      <c r="F38" s="125">
        <f>[3]WestJet!$IK$57</f>
        <v>0</v>
      </c>
      <c r="G38" s="125">
        <f>[3]Icelandair!$IK$57</f>
        <v>0</v>
      </c>
      <c r="H38" s="125">
        <f>[3]Southwest!$IK$57</f>
        <v>0</v>
      </c>
      <c r="I38" s="125">
        <f>'[3]Sun Country'!$IK$57</f>
        <v>0</v>
      </c>
      <c r="J38" s="125">
        <f>[3]Alaska!$IK$57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[3]Frontier!$IK$58</f>
        <v>0</v>
      </c>
      <c r="C39" s="128">
        <f>'[3]Allegiant '!$IK$58</f>
        <v>0</v>
      </c>
      <c r="D39" s="128">
        <f>'[3]Aer Lingus'!$IK$58</f>
        <v>0</v>
      </c>
      <c r="E39" s="128">
        <f>'[3]Denver Air'!$IK$58</f>
        <v>0</v>
      </c>
      <c r="F39" s="128">
        <f>[3]WestJet!$IK$58</f>
        <v>0</v>
      </c>
      <c r="G39" s="128">
        <f>[3]Icelandair!$IK$58</f>
        <v>0</v>
      </c>
      <c r="H39" s="128">
        <f>[3]Southwest!$IK$58</f>
        <v>0</v>
      </c>
      <c r="I39" s="128">
        <f>'[3]Sun Country'!$IK$58</f>
        <v>0</v>
      </c>
      <c r="J39" s="128">
        <f>[3]Alaska!$IK$58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720</v>
      </c>
      <c r="H43" s="125">
        <f t="shared" si="24"/>
        <v>235648</v>
      </c>
      <c r="I43" s="125">
        <f t="shared" si="24"/>
        <v>0</v>
      </c>
      <c r="J43" s="125">
        <f t="shared" si="24"/>
        <v>38688</v>
      </c>
      <c r="K43" s="118">
        <f>SUM(B43:J43)</f>
        <v>275056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78</v>
      </c>
      <c r="K44" s="118">
        <f>SUM(B44:J44)</f>
        <v>78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720</v>
      </c>
      <c r="H45" s="137">
        <f t="shared" si="30"/>
        <v>235648</v>
      </c>
      <c r="I45" s="137">
        <f t="shared" si="30"/>
        <v>0</v>
      </c>
      <c r="J45" s="137">
        <f t="shared" si="30"/>
        <v>38766</v>
      </c>
      <c r="K45" s="138">
        <f>SUM(B45:J45)</f>
        <v>275134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[3]Southwest!$IK$70+[3]Southwest!$IK$73</f>
        <v>76483</v>
      </c>
      <c r="I48" s="242">
        <f>'[3]Sun Country'!$IK$70+'[3]Sun Country'!$IK$73</f>
        <v>174511</v>
      </c>
      <c r="J48" s="287"/>
      <c r="K48" s="231">
        <f>SUM(B48:J48)</f>
        <v>250994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[3]Southwest!$IK$71+[3]Southwest!$IK$74</f>
        <v>378</v>
      </c>
      <c r="I49" s="242">
        <f>'[3]Sun Country'!$IK$71+'[3]Sun Country'!$IK$74</f>
        <v>0</v>
      </c>
      <c r="J49" s="287"/>
      <c r="K49" s="231">
        <f>SUM(B49:J49)</f>
        <v>378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June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B18" activeCellId="1" sqref="B15:K15 B18:L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45078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[3]Pinnacle!$IK$22+[3]Pinnacle!$IK$32</f>
        <v>46547</v>
      </c>
      <c r="C5" s="87">
        <f>[3]MESA_UA!$IK$22</f>
        <v>6209</v>
      </c>
      <c r="D5" s="95">
        <f>'[3]Sky West'!$IK$22+'[3]Sky West'!$IK$32</f>
        <v>118104</v>
      </c>
      <c r="E5" s="95">
        <f>'[3]Sky West_UA'!$IK$22</f>
        <v>0</v>
      </c>
      <c r="F5" s="95">
        <f>'[3]Sky West_AS'!$IK$22</f>
        <v>0</v>
      </c>
      <c r="G5" s="95">
        <f>'[3]Sky West_AA'!$IK$22</f>
        <v>0</v>
      </c>
      <c r="H5" s="95">
        <f>[3]Republic!$IK$22</f>
        <v>3202</v>
      </c>
      <c r="I5" s="95">
        <f>[3]Republic_UA!$IK$22</f>
        <v>129</v>
      </c>
      <c r="J5" s="95">
        <f>'[3]Sky Regional'!$IK$32</f>
        <v>0</v>
      </c>
      <c r="K5" s="95">
        <f>'[3]American Eagle'!$IK$22</f>
        <v>2287</v>
      </c>
      <c r="L5" s="95">
        <f>'Other Regional'!L5</f>
        <v>13905</v>
      </c>
      <c r="M5" s="88">
        <f>SUM(B5:L5)</f>
        <v>190383</v>
      </c>
    </row>
    <row r="6" spans="1:16" s="6" customFormat="1" x14ac:dyDescent="0.2">
      <c r="A6" s="45" t="s">
        <v>31</v>
      </c>
      <c r="B6" s="87">
        <f>[3]Pinnacle!$IK$23+[3]Pinnacle!$IK$33</f>
        <v>47013</v>
      </c>
      <c r="C6" s="87">
        <f>[3]MESA_UA!$IK$23</f>
        <v>5836</v>
      </c>
      <c r="D6" s="95">
        <f>'[3]Sky West'!$IK$23+'[3]Sky West'!$IK$33</f>
        <v>122504</v>
      </c>
      <c r="E6" s="95">
        <f>'[3]Sky West_UA'!$IK$23</f>
        <v>0</v>
      </c>
      <c r="F6" s="95">
        <f>'[3]Sky West_AS'!$IK$23</f>
        <v>0</v>
      </c>
      <c r="G6" s="95">
        <f>'[3]Sky West_AA'!$IK$23</f>
        <v>0</v>
      </c>
      <c r="H6" s="95">
        <f>[3]Republic!$IK$23</f>
        <v>3474</v>
      </c>
      <c r="I6" s="95">
        <f>[3]Republic_UA!$IK$23</f>
        <v>139</v>
      </c>
      <c r="J6" s="95">
        <f>'[3]Sky Regional'!$IK$33</f>
        <v>0</v>
      </c>
      <c r="K6" s="95">
        <f>'[3]American Eagle'!$IK$23</f>
        <v>2278</v>
      </c>
      <c r="L6" s="95">
        <f>'Other Regional'!L6</f>
        <v>14945</v>
      </c>
      <c r="M6" s="92">
        <f>SUM(B6:L6)</f>
        <v>196189</v>
      </c>
    </row>
    <row r="7" spans="1:16" ht="15" thickBot="1" x14ac:dyDescent="0.25">
      <c r="A7" s="54" t="s">
        <v>7</v>
      </c>
      <c r="B7" s="105">
        <f>SUM(B5:B6)</f>
        <v>93560</v>
      </c>
      <c r="C7" s="105">
        <f t="shared" ref="C7:L7" si="0">SUM(C5:C6)</f>
        <v>12045</v>
      </c>
      <c r="D7" s="105">
        <f t="shared" si="0"/>
        <v>240608</v>
      </c>
      <c r="E7" s="105">
        <f t="shared" si="0"/>
        <v>0</v>
      </c>
      <c r="F7" s="105">
        <f t="shared" ref="F7:G7" si="1">SUM(F5:F6)</f>
        <v>0</v>
      </c>
      <c r="G7" s="105">
        <f t="shared" si="1"/>
        <v>0</v>
      </c>
      <c r="H7" s="105">
        <f t="shared" si="0"/>
        <v>6676</v>
      </c>
      <c r="I7" s="105">
        <f t="shared" si="0"/>
        <v>268</v>
      </c>
      <c r="J7" s="105">
        <f t="shared" si="0"/>
        <v>0</v>
      </c>
      <c r="K7" s="105">
        <f t="shared" si="0"/>
        <v>4565</v>
      </c>
      <c r="L7" s="105">
        <f t="shared" si="0"/>
        <v>28850</v>
      </c>
      <c r="M7" s="106">
        <f>SUM(B7:L7)</f>
        <v>386572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[3]Pinnacle!$IK$27+[3]Pinnacle!$IK$37</f>
        <v>1334</v>
      </c>
      <c r="C10" s="87">
        <f>[3]MESA_UA!$IK$27</f>
        <v>236</v>
      </c>
      <c r="D10" s="95">
        <f>'[3]Sky West'!$IK$27+'[3]Sky West'!$IK$37</f>
        <v>3413</v>
      </c>
      <c r="E10" s="95">
        <f>'[3]Sky West_UA'!$IK$27</f>
        <v>0</v>
      </c>
      <c r="F10" s="95">
        <f>'[3]Sky West_AS'!$IK$27</f>
        <v>0</v>
      </c>
      <c r="G10" s="95">
        <f>'[3]Sky West_AA'!$IK$27</f>
        <v>0</v>
      </c>
      <c r="H10" s="95">
        <f>[3]Republic!$IK$27</f>
        <v>85</v>
      </c>
      <c r="I10" s="95">
        <f>[3]Republic_UA!$IK$27</f>
        <v>5</v>
      </c>
      <c r="J10" s="95">
        <f>'[3]Sky Regional'!$IK$37</f>
        <v>0</v>
      </c>
      <c r="K10" s="95">
        <f>'[3]American Eagle'!$IK$27</f>
        <v>56</v>
      </c>
      <c r="L10" s="95">
        <f>'Other Regional'!L10</f>
        <v>197</v>
      </c>
      <c r="M10" s="88">
        <f>SUM(B10:L10)</f>
        <v>5326</v>
      </c>
    </row>
    <row r="11" spans="1:16" x14ac:dyDescent="0.2">
      <c r="A11" s="45" t="s">
        <v>33</v>
      </c>
      <c r="B11" s="87">
        <f>[3]Pinnacle!$IK$28+[3]Pinnacle!$IK$38</f>
        <v>1330</v>
      </c>
      <c r="C11" s="87">
        <f>[3]MESA_UA!$IK$28</f>
        <v>240</v>
      </c>
      <c r="D11" s="95">
        <f>'[3]Sky West'!$IK$28+'[3]Sky West'!$IK$38</f>
        <v>3239</v>
      </c>
      <c r="E11" s="95">
        <f>'[3]Sky West_UA'!$IK$28</f>
        <v>0</v>
      </c>
      <c r="F11" s="95">
        <f>'[3]Sky West_AS'!$IK$28</f>
        <v>0</v>
      </c>
      <c r="G11" s="95">
        <f>'[3]Sky West_AA'!$IK$28</f>
        <v>0</v>
      </c>
      <c r="H11" s="95">
        <f>[3]Republic!$IK$28</f>
        <v>75</v>
      </c>
      <c r="I11" s="95">
        <f>[3]Republic_UA!$IK$28</f>
        <v>4</v>
      </c>
      <c r="J11" s="95">
        <f>'[3]Sky Regional'!$IK$38</f>
        <v>0</v>
      </c>
      <c r="K11" s="95">
        <f>'[3]American Eagle'!$IK$28</f>
        <v>54</v>
      </c>
      <c r="L11" s="95">
        <f>'Other Regional'!L11</f>
        <v>214</v>
      </c>
      <c r="M11" s="92">
        <f>SUM(B11:L11)</f>
        <v>5156</v>
      </c>
    </row>
    <row r="12" spans="1:16" ht="15" thickBot="1" x14ac:dyDescent="0.25">
      <c r="A12" s="55" t="s">
        <v>34</v>
      </c>
      <c r="B12" s="108">
        <f t="shared" ref="B12:L12" si="2">SUM(B10:B11)</f>
        <v>2664</v>
      </c>
      <c r="C12" s="108">
        <f t="shared" si="2"/>
        <v>476</v>
      </c>
      <c r="D12" s="108">
        <f t="shared" si="2"/>
        <v>6652</v>
      </c>
      <c r="E12" s="108">
        <f t="shared" si="2"/>
        <v>0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160</v>
      </c>
      <c r="I12" s="108">
        <f t="shared" si="2"/>
        <v>9</v>
      </c>
      <c r="J12" s="108">
        <f t="shared" si="2"/>
        <v>0</v>
      </c>
      <c r="K12" s="108">
        <f t="shared" si="2"/>
        <v>110</v>
      </c>
      <c r="L12" s="108">
        <f t="shared" si="2"/>
        <v>411</v>
      </c>
      <c r="M12" s="109">
        <f>SUM(B12:L12)</f>
        <v>10482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249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[3]Pinnacle!$IK$4+[3]Pinnacle!$IK$15</f>
        <v>695</v>
      </c>
      <c r="C15" s="86">
        <f>[3]MESA_UA!$IK$4</f>
        <v>92</v>
      </c>
      <c r="D15" s="85">
        <f>'[3]Sky West'!$IK$4+'[3]Sky West'!$IK$15</f>
        <v>1947</v>
      </c>
      <c r="E15" s="85">
        <f>'[3]Sky West_UA'!$IK$4</f>
        <v>0</v>
      </c>
      <c r="F15" s="85">
        <f>'[3]Sky West_AS'!$IK$4</f>
        <v>0</v>
      </c>
      <c r="G15" s="85">
        <f>'[3]Sky West_AA'!$IK$4</f>
        <v>0</v>
      </c>
      <c r="H15" s="87">
        <f>[3]Republic!$IK$4</f>
        <v>50</v>
      </c>
      <c r="I15" s="333">
        <f>[3]Republic_UA!$IK$4</f>
        <v>2</v>
      </c>
      <c r="J15" s="333">
        <f>'[3]Sky Regional'!$IK$15</f>
        <v>0</v>
      </c>
      <c r="K15" s="87">
        <f>'[3]American Eagle'!$IK$4</f>
        <v>32</v>
      </c>
      <c r="L15" s="86">
        <f>'Other Regional'!L15</f>
        <v>224</v>
      </c>
      <c r="M15" s="88">
        <f t="shared" ref="M15:M20" si="5">SUM(B15:L15)</f>
        <v>3042</v>
      </c>
    </row>
    <row r="16" spans="1:16" x14ac:dyDescent="0.2">
      <c r="A16" s="45" t="s">
        <v>54</v>
      </c>
      <c r="B16" s="7">
        <f>[3]Pinnacle!$IK$5+[3]Pinnacle!$IK$16</f>
        <v>696</v>
      </c>
      <c r="C16" s="90">
        <f>[3]MESA_UA!$IK$5</f>
        <v>89</v>
      </c>
      <c r="D16" s="89">
        <f>'[3]Sky West'!$IK$5+'[3]Sky West'!$IK$16</f>
        <v>1947</v>
      </c>
      <c r="E16" s="89">
        <f>'[3]Sky West_UA'!$IK$5</f>
        <v>0</v>
      </c>
      <c r="F16" s="89">
        <f>'[3]Sky West_AS'!$IK$5</f>
        <v>0</v>
      </c>
      <c r="G16" s="89">
        <f>'[3]Sky West_AA'!$IK$5</f>
        <v>0</v>
      </c>
      <c r="H16" s="91">
        <f>[3]Republic!$IK$5</f>
        <v>50</v>
      </c>
      <c r="I16" s="218">
        <f>[3]Republic_UA!$IK$5</f>
        <v>2</v>
      </c>
      <c r="J16" s="218">
        <f>'[3]Sky Regional'!$IK$16</f>
        <v>0</v>
      </c>
      <c r="K16" s="91">
        <f>'[3]American Eagle'!$IK$5</f>
        <v>32</v>
      </c>
      <c r="L16" s="90">
        <f>'Other Regional'!L16</f>
        <v>224</v>
      </c>
      <c r="M16" s="92">
        <f t="shared" si="5"/>
        <v>3040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1391</v>
      </c>
      <c r="C17" s="93">
        <f t="shared" si="6"/>
        <v>181</v>
      </c>
      <c r="D17" s="93">
        <f t="shared" si="6"/>
        <v>3894</v>
      </c>
      <c r="E17" s="93">
        <f t="shared" si="6"/>
        <v>0</v>
      </c>
      <c r="F17" s="93">
        <f t="shared" ref="F17:G17" si="7">SUM(F15:F16)</f>
        <v>0</v>
      </c>
      <c r="G17" s="93">
        <f t="shared" si="7"/>
        <v>0</v>
      </c>
      <c r="H17" s="93">
        <f>SUM(H15:H16)</f>
        <v>100</v>
      </c>
      <c r="I17" s="93">
        <f t="shared" ref="I17:J17" si="8">SUM(I15:I16)</f>
        <v>4</v>
      </c>
      <c r="J17" s="93">
        <f t="shared" si="8"/>
        <v>0</v>
      </c>
      <c r="K17" s="93">
        <f>SUM(K15:K16)</f>
        <v>64</v>
      </c>
      <c r="L17" s="93">
        <f>SUM(L15:L16)</f>
        <v>448</v>
      </c>
      <c r="M17" s="94">
        <f t="shared" si="5"/>
        <v>6082</v>
      </c>
    </row>
    <row r="18" spans="1:13" x14ac:dyDescent="0.2">
      <c r="A18" s="45" t="s">
        <v>56</v>
      </c>
      <c r="B18" s="95">
        <f>[3]Pinnacle!$IK$8</f>
        <v>1</v>
      </c>
      <c r="C18" s="87">
        <f>[3]MESA_UA!$IK$8</f>
        <v>0</v>
      </c>
      <c r="D18" s="95">
        <f>'[3]Sky West'!$IK$8</f>
        <v>0</v>
      </c>
      <c r="E18" s="95">
        <f>'[3]Sky West_UA'!$IK$8</f>
        <v>0</v>
      </c>
      <c r="F18" s="95">
        <f>'[3]Sky West_AS'!$IK$8</f>
        <v>0</v>
      </c>
      <c r="G18" s="95">
        <f>'[3]Sky West_AA'!$IK$8</f>
        <v>0</v>
      </c>
      <c r="H18" s="95">
        <f>[3]Republic!$IK$8</f>
        <v>0</v>
      </c>
      <c r="I18" s="95">
        <f>[3]Republic_UA!$IK$8</f>
        <v>0</v>
      </c>
      <c r="J18" s="95">
        <f>'[3]Sky Regional'!$IK$8</f>
        <v>0</v>
      </c>
      <c r="K18" s="95">
        <f>'[3]American Eagle'!$IK$8</f>
        <v>0</v>
      </c>
      <c r="L18" s="95">
        <f>'Other Regional'!L18</f>
        <v>0</v>
      </c>
      <c r="M18" s="88">
        <f t="shared" si="5"/>
        <v>1</v>
      </c>
    </row>
    <row r="19" spans="1:13" x14ac:dyDescent="0.2">
      <c r="A19" s="45" t="s">
        <v>57</v>
      </c>
      <c r="B19" s="96">
        <f>[3]Pinnacle!$IK$9</f>
        <v>1</v>
      </c>
      <c r="C19" s="91">
        <f>[3]MESA_UA!$IK$9</f>
        <v>2</v>
      </c>
      <c r="D19" s="96">
        <f>'[3]Sky West'!$IK$9</f>
        <v>3</v>
      </c>
      <c r="E19" s="96">
        <f>'[3]Sky West_UA'!$IK$9</f>
        <v>0</v>
      </c>
      <c r="F19" s="96">
        <f>'[3]Sky West_AS'!$IK$9</f>
        <v>0</v>
      </c>
      <c r="G19" s="96">
        <f>'[3]Sky West_AA'!$IK$9</f>
        <v>0</v>
      </c>
      <c r="H19" s="96">
        <f>[3]Republic!$IK$9</f>
        <v>0</v>
      </c>
      <c r="I19" s="96">
        <f>[3]Republic_UA!$IK$9</f>
        <v>0</v>
      </c>
      <c r="J19" s="96">
        <f>'[3]Sky Regional'!$IK$9</f>
        <v>0</v>
      </c>
      <c r="K19" s="96">
        <f>'[3]American Eagle'!$IK$9</f>
        <v>0</v>
      </c>
      <c r="L19" s="96">
        <f>'Other Regional'!L19</f>
        <v>0</v>
      </c>
      <c r="M19" s="92">
        <f t="shared" si="5"/>
        <v>6</v>
      </c>
    </row>
    <row r="20" spans="1:13" x14ac:dyDescent="0.2">
      <c r="A20" s="49" t="s">
        <v>58</v>
      </c>
      <c r="B20" s="93">
        <f t="shared" ref="B20:L20" si="9">SUM(B18:B19)</f>
        <v>2</v>
      </c>
      <c r="C20" s="93">
        <f t="shared" si="9"/>
        <v>2</v>
      </c>
      <c r="D20" s="93">
        <f t="shared" si="9"/>
        <v>3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7</v>
      </c>
    </row>
    <row r="21" spans="1:13" ht="15.75" thickBot="1" x14ac:dyDescent="0.3">
      <c r="A21" s="53" t="s">
        <v>28</v>
      </c>
      <c r="B21" s="97">
        <f>SUM(B20,B17)</f>
        <v>1393</v>
      </c>
      <c r="C21" s="97">
        <f t="shared" ref="C21:K21" si="11">SUM(C20,C17)</f>
        <v>183</v>
      </c>
      <c r="D21" s="97">
        <f t="shared" si="11"/>
        <v>3897</v>
      </c>
      <c r="E21" s="97">
        <f t="shared" si="11"/>
        <v>0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100</v>
      </c>
      <c r="I21" s="97">
        <f t="shared" si="11"/>
        <v>4</v>
      </c>
      <c r="J21" s="97">
        <f t="shared" si="11"/>
        <v>0</v>
      </c>
      <c r="K21" s="97">
        <f t="shared" si="11"/>
        <v>64</v>
      </c>
      <c r="L21" s="97">
        <f>SUM(L20,L17)</f>
        <v>448</v>
      </c>
      <c r="M21" s="98">
        <f>SUM(B21:L21)</f>
        <v>6089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[3]Pinnacle!$IK$47</f>
        <v>0</v>
      </c>
      <c r="C25" s="87">
        <f>[3]MESA_UA!$IK$47</f>
        <v>0</v>
      </c>
      <c r="D25" s="95">
        <f>'[3]Sky West'!$IK$47</f>
        <v>0</v>
      </c>
      <c r="E25" s="95">
        <f>'[3]Sky West_UA'!$IK$47</f>
        <v>0</v>
      </c>
      <c r="F25" s="95">
        <f>'[3]Sky West_AS'!$IK$47</f>
        <v>0</v>
      </c>
      <c r="G25" s="95">
        <f>'[3]Sky West_AA'!$IK$47</f>
        <v>0</v>
      </c>
      <c r="H25" s="95">
        <f>[3]Republic!$IK$47</f>
        <v>649</v>
      </c>
      <c r="I25" s="95">
        <f>[3]Republic_UA!$IK$47</f>
        <v>0</v>
      </c>
      <c r="J25" s="95">
        <f>'[3]Sky Regional'!$IK$47</f>
        <v>0</v>
      </c>
      <c r="K25" s="95">
        <f>'[3]American Eagle'!$IK$47</f>
        <v>0</v>
      </c>
      <c r="L25" s="95">
        <f>'Other Regional'!L25</f>
        <v>33027.800000000003</v>
      </c>
      <c r="M25" s="88">
        <f>SUM(B25:L25)</f>
        <v>33676.800000000003</v>
      </c>
    </row>
    <row r="26" spans="1:13" x14ac:dyDescent="0.2">
      <c r="A26" s="45" t="s">
        <v>38</v>
      </c>
      <c r="B26" s="95">
        <f>[3]Pinnacle!$IK$48</f>
        <v>0</v>
      </c>
      <c r="C26" s="87">
        <f>[3]MESA_UA!$IK$48</f>
        <v>0</v>
      </c>
      <c r="D26" s="95">
        <f>'[3]Sky West'!$IK$48</f>
        <v>0</v>
      </c>
      <c r="E26" s="95">
        <f>'[3]Sky West_UA'!$IK$48</f>
        <v>0</v>
      </c>
      <c r="F26" s="95">
        <f>'[3]Sky West_AS'!$IK$48</f>
        <v>0</v>
      </c>
      <c r="G26" s="95">
        <f>'[3]Sky West_AA'!$IK$48</f>
        <v>0</v>
      </c>
      <c r="H26" s="95">
        <f>[3]Republic!$IK$48</f>
        <v>0</v>
      </c>
      <c r="I26" s="95">
        <f>[3]Republic_UA!$IK$48</f>
        <v>0</v>
      </c>
      <c r="J26" s="95">
        <f>'[3]Sky Regional'!$IK$48</f>
        <v>0</v>
      </c>
      <c r="K26" s="95">
        <f>'[3]American Eagle'!$IK$48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649</v>
      </c>
      <c r="I27" s="105">
        <f t="shared" si="13"/>
        <v>0</v>
      </c>
      <c r="J27" s="105">
        <f t="shared" si="13"/>
        <v>0</v>
      </c>
      <c r="K27" s="105">
        <f t="shared" si="13"/>
        <v>0</v>
      </c>
      <c r="L27" s="105">
        <f t="shared" si="13"/>
        <v>33027.800000000003</v>
      </c>
      <c r="M27" s="106">
        <f>SUM(B27:L27)</f>
        <v>33676.800000000003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[3]Pinnacle!$IK$52</f>
        <v>0</v>
      </c>
      <c r="C30" s="87">
        <f>[3]MESA_UA!$IK$52</f>
        <v>0</v>
      </c>
      <c r="D30" s="95">
        <f>'[3]Sky West'!$IK$52</f>
        <v>0</v>
      </c>
      <c r="E30" s="95">
        <f>'[3]Sky West_UA'!$IK$52</f>
        <v>0</v>
      </c>
      <c r="F30" s="95">
        <f>'[3]Sky West_AS'!$IK$52</f>
        <v>0</v>
      </c>
      <c r="G30" s="95">
        <f>'[3]Sky West_AA'!$IK$52</f>
        <v>0</v>
      </c>
      <c r="H30" s="95">
        <f>[3]Republic!$IK$52</f>
        <v>0</v>
      </c>
      <c r="I30" s="95">
        <f>[3]Republic_UA!$IK$52</f>
        <v>0</v>
      </c>
      <c r="J30" s="95">
        <f>'[3]Sky Regional'!$IK$52</f>
        <v>0</v>
      </c>
      <c r="K30" s="95">
        <f>'[3]American Eagle'!$IK$52</f>
        <v>0</v>
      </c>
      <c r="L30" s="95">
        <f>'Other Regional'!L30</f>
        <v>32564.5</v>
      </c>
      <c r="M30" s="88">
        <f t="shared" ref="M30:M37" si="15">SUM(B30:L30)</f>
        <v>32564.5</v>
      </c>
    </row>
    <row r="31" spans="1:13" x14ac:dyDescent="0.2">
      <c r="A31" s="45" t="s">
        <v>60</v>
      </c>
      <c r="B31" s="95">
        <f>[3]Pinnacle!$IK$53</f>
        <v>0</v>
      </c>
      <c r="C31" s="87">
        <f>[3]MESA_UA!$IK$53</f>
        <v>0</v>
      </c>
      <c r="D31" s="95">
        <f>'[3]Sky West'!$IK$53</f>
        <v>0</v>
      </c>
      <c r="E31" s="95">
        <f>'[3]Sky West_UA'!$IK$53</f>
        <v>0</v>
      </c>
      <c r="F31" s="95">
        <f>'[3]Sky West_AS'!$IK$53</f>
        <v>0</v>
      </c>
      <c r="G31" s="95">
        <f>'[3]Sky West_AA'!$IK$53</f>
        <v>0</v>
      </c>
      <c r="H31" s="95">
        <f>[3]Republic!$IK$53</f>
        <v>0</v>
      </c>
      <c r="I31" s="95">
        <f>[3]Republic_UA!$IK$53</f>
        <v>0</v>
      </c>
      <c r="J31" s="95">
        <f>'[3]Sky Regional'!$IK$53</f>
        <v>0</v>
      </c>
      <c r="K31" s="95">
        <f>'[3]American Eagle'!$IK$53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32564.5</v>
      </c>
      <c r="M32" s="106">
        <f t="shared" si="15"/>
        <v>32564.5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[3]Pinnacle!$IK$57</f>
        <v>0</v>
      </c>
      <c r="C35" s="87">
        <f>[3]MESA_UA!$IK$57</f>
        <v>0</v>
      </c>
      <c r="D35" s="95">
        <f>'[3]Sky West'!$IK$57</f>
        <v>0</v>
      </c>
      <c r="E35" s="95">
        <f>'[3]Sky West_UA'!$IK$57</f>
        <v>0</v>
      </c>
      <c r="F35" s="95">
        <f>'[3]Sky West_AS'!$IK$57</f>
        <v>0</v>
      </c>
      <c r="G35" s="95">
        <f>'[3]Sky West_AA'!$IK$57</f>
        <v>0</v>
      </c>
      <c r="H35" s="95">
        <f>[3]Republic!$IK$57</f>
        <v>0</v>
      </c>
      <c r="I35" s="95">
        <f>[3]Republic!$IK$57</f>
        <v>0</v>
      </c>
      <c r="J35" s="95">
        <f>[3]Republic!$IK$57</f>
        <v>0</v>
      </c>
      <c r="K35" s="95">
        <f>'[3]American Eagle'!$IK$57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[3]Pinnacle!$IK$58</f>
        <v>0</v>
      </c>
      <c r="C36" s="87">
        <f>[3]MESA_UA!$IK$58</f>
        <v>0</v>
      </c>
      <c r="D36" s="95">
        <f>'[3]Sky West'!$IK$58</f>
        <v>0</v>
      </c>
      <c r="E36" s="95">
        <f>'[3]Sky West_UA'!$IK$58</f>
        <v>0</v>
      </c>
      <c r="F36" s="95">
        <f>'[3]Sky West_AS'!$IK$58</f>
        <v>0</v>
      </c>
      <c r="G36" s="95">
        <f>'[3]Sky West_AA'!$IK$58</f>
        <v>0</v>
      </c>
      <c r="H36" s="95">
        <f>[3]Republic!$IK$58</f>
        <v>0</v>
      </c>
      <c r="I36" s="95">
        <f>[3]Republic!$IK$58</f>
        <v>0</v>
      </c>
      <c r="J36" s="95">
        <f>[3]Republic!$IK$58</f>
        <v>0</v>
      </c>
      <c r="K36" s="95">
        <f>'[3]American Eagle'!$IK$58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649</v>
      </c>
      <c r="I40" s="95">
        <f t="shared" si="20"/>
        <v>0</v>
      </c>
      <c r="J40" s="95">
        <f t="shared" si="20"/>
        <v>0</v>
      </c>
      <c r="K40" s="95">
        <f>SUM(K35,K30,K25)</f>
        <v>0</v>
      </c>
      <c r="L40" s="95">
        <f>L35+L30+L25</f>
        <v>65592.3</v>
      </c>
      <c r="M40" s="88">
        <f>SUM(B40:L40)</f>
        <v>66241.3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649</v>
      </c>
      <c r="I42" s="108">
        <f t="shared" si="20"/>
        <v>0</v>
      </c>
      <c r="J42" s="108">
        <f t="shared" si="20"/>
        <v>0</v>
      </c>
      <c r="K42" s="108">
        <f>SUM(K37,K32,K27)</f>
        <v>0</v>
      </c>
      <c r="L42" s="108">
        <f>SUM(L37,L32,L27)</f>
        <v>65592.3</v>
      </c>
      <c r="M42" s="109">
        <f>SUM(B42:L42)</f>
        <v>66241.3</v>
      </c>
    </row>
    <row r="44" spans="1:13" x14ac:dyDescent="0.2">
      <c r="A44" s="276" t="s">
        <v>120</v>
      </c>
      <c r="B44" s="241">
        <f>[3]Pinnacle!$IK$70+[3]Pinnacle!$IK$73</f>
        <v>15576</v>
      </c>
      <c r="D44" s="242">
        <f>'[3]Sky West'!$IK$70+'[3]Sky West'!$IK$73</f>
        <v>43405</v>
      </c>
      <c r="E44" s="2"/>
      <c r="F44" s="2"/>
      <c r="G44" s="2"/>
      <c r="L44" s="242">
        <f>+'Other Regional'!L46</f>
        <v>0</v>
      </c>
      <c r="M44" s="231">
        <f>SUM(B44:L44)</f>
        <v>58981</v>
      </c>
    </row>
    <row r="45" spans="1:13" x14ac:dyDescent="0.2">
      <c r="A45" s="289" t="s">
        <v>121</v>
      </c>
      <c r="B45" s="241">
        <f>[3]Pinnacle!$IK$71+[3]Pinnacle!$IK$74</f>
        <v>31437</v>
      </c>
      <c r="D45" s="242">
        <f>'[3]Sky West'!$IK$71+'[3]Sky West'!$IK$74</f>
        <v>79099</v>
      </c>
      <c r="E45" s="2"/>
      <c r="F45" s="2"/>
      <c r="G45" s="2"/>
      <c r="L45" s="242">
        <f>+'Other Regional'!L47</f>
        <v>0</v>
      </c>
      <c r="M45" s="231">
        <f>SUM(B45:L45)</f>
        <v>110536</v>
      </c>
    </row>
    <row r="46" spans="1:13" x14ac:dyDescent="0.2">
      <c r="A46" s="232" t="s">
        <v>122</v>
      </c>
      <c r="B46" s="233">
        <f>SUM(B44:B45)</f>
        <v>47013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June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F15" sqref="F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45078</v>
      </c>
      <c r="B2" s="405" t="s">
        <v>169</v>
      </c>
      <c r="C2" s="405" t="s">
        <v>168</v>
      </c>
      <c r="D2" s="405" t="s">
        <v>190</v>
      </c>
      <c r="E2" s="405" t="s">
        <v>251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America'!$IK$22</f>
        <v>0</v>
      </c>
      <c r="C5" s="87">
        <f>'[3]Shuttle America_Delta'!$IK$22</f>
        <v>0</v>
      </c>
      <c r="D5" s="333">
        <f>[3]Horizon_AS!$IK$22+[3]Horizon_AS!$IK$32</f>
        <v>0</v>
      </c>
      <c r="E5" s="333">
        <f>'[3]Air Wisconsin'!$IK$22</f>
        <v>4057</v>
      </c>
      <c r="F5" s="333">
        <f>[3]Jazz_AC!$IK$22+[3]Jazz_AC!$IK$32</f>
        <v>7907</v>
      </c>
      <c r="G5" s="333">
        <f>[3]PSA!$IK$22</f>
        <v>1941</v>
      </c>
      <c r="H5" s="87">
        <f>'[3]Atlantic Southeast'!$IK$22+'[3]Atlantic Southeast'!$IK$32</f>
        <v>0</v>
      </c>
      <c r="I5" s="87">
        <f>'[3]Continental Express'!$IK$22</f>
        <v>0</v>
      </c>
      <c r="J5" s="95">
        <f>'[3]Go Jet_UA'!$IK$22</f>
        <v>0</v>
      </c>
      <c r="K5" s="12">
        <f>'[3]Go Jet'!$IK$22+'[3]Go Jet'!$IK$32</f>
        <v>0</v>
      </c>
      <c r="L5" s="88">
        <f>SUM(B5:K5)</f>
        <v>13905</v>
      </c>
    </row>
    <row r="6" spans="1:12" s="6" customFormat="1" x14ac:dyDescent="0.2">
      <c r="A6" s="45" t="s">
        <v>31</v>
      </c>
      <c r="B6" s="87">
        <f>'[3]Shuttle America'!$IK$23</f>
        <v>0</v>
      </c>
      <c r="C6" s="87">
        <f>'[3]Shuttle America_Delta'!$IK$23</f>
        <v>0</v>
      </c>
      <c r="D6" s="333">
        <f>[3]Horizon_AS!$IK$23+[3]Horizon_AS!$IK$33</f>
        <v>0</v>
      </c>
      <c r="E6" s="333">
        <f>'[3]Air Wisconsin'!$IK$23</f>
        <v>4001</v>
      </c>
      <c r="F6" s="333">
        <f>[3]Jazz_AC!$IK$23+[3]Jazz_AC!$IK$33</f>
        <v>9136</v>
      </c>
      <c r="G6" s="333">
        <f>[3]PSA!$IK$23</f>
        <v>1808</v>
      </c>
      <c r="H6" s="87">
        <f>'[3]Atlantic Southeast'!$IK$23+'[3]Atlantic Southeast'!$IK$33</f>
        <v>0</v>
      </c>
      <c r="I6" s="87">
        <f>'[3]Continental Express'!$IK$23</f>
        <v>0</v>
      </c>
      <c r="J6" s="95">
        <f>'[3]Go Jet_UA'!$IK$23</f>
        <v>0</v>
      </c>
      <c r="K6" s="7">
        <f>'[3]Go Jet'!$IK$23+'[3]Go Jet'!$IK$33</f>
        <v>0</v>
      </c>
      <c r="L6" s="92">
        <f>SUM(B6:K6)</f>
        <v>14945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8058</v>
      </c>
      <c r="F7" s="105">
        <f t="shared" si="1"/>
        <v>17043</v>
      </c>
      <c r="G7" s="105">
        <f t="shared" si="0"/>
        <v>3749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28850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America'!$IK$27</f>
        <v>0</v>
      </c>
      <c r="C10" s="87">
        <f>'[3]Shuttle America_Delta'!$IK$27</f>
        <v>0</v>
      </c>
      <c r="D10" s="333">
        <f>[3]Horizon_AS!$IK$27+[3]Horizon_AS!$IK$37</f>
        <v>0</v>
      </c>
      <c r="E10" s="333">
        <f>'[3]Air Wisconsin'!$IK$27</f>
        <v>83</v>
      </c>
      <c r="F10" s="333">
        <f>[3]Jazz_AC!$IK$27+[3]Jazz_AC!$IK$37</f>
        <v>80</v>
      </c>
      <c r="G10" s="333">
        <f>[3]PSA!$IK$27</f>
        <v>34</v>
      </c>
      <c r="H10" s="12">
        <f>'[3]Atlantic Southeast'!$IK$27+'[3]Atlantic Southeast'!$IK$37</f>
        <v>0</v>
      </c>
      <c r="I10" s="87">
        <f>'[3]Continental Express'!$IK$27</f>
        <v>0</v>
      </c>
      <c r="J10" s="95">
        <f>'[3]Go Jet_UA'!$IK$27</f>
        <v>0</v>
      </c>
      <c r="K10" s="12">
        <f>'[3]Go Jet'!$IK$27+'[3]Go Jet'!$IK$37</f>
        <v>0</v>
      </c>
      <c r="L10" s="88">
        <f>SUM(B10:K10)</f>
        <v>197</v>
      </c>
    </row>
    <row r="11" spans="1:12" x14ac:dyDescent="0.2">
      <c r="A11" s="45" t="s">
        <v>33</v>
      </c>
      <c r="B11" s="87">
        <f>'[3]Shuttle America'!$IK$28</f>
        <v>0</v>
      </c>
      <c r="C11" s="87">
        <f>'[3]Shuttle America_Delta'!$IK$28</f>
        <v>0</v>
      </c>
      <c r="D11" s="333">
        <f>[3]Horizon_AS!$IK$28+[3]Horizon_AS!$IK$38</f>
        <v>0</v>
      </c>
      <c r="E11" s="333">
        <f>'[3]Air Wisconsin'!$IK$28</f>
        <v>74</v>
      </c>
      <c r="F11" s="333">
        <f>[3]Jazz_AC!$IK$28+[3]Jazz_AC!$IK$38</f>
        <v>96</v>
      </c>
      <c r="G11" s="333">
        <f>[3]PSA!$IK$28</f>
        <v>44</v>
      </c>
      <c r="H11" s="7">
        <f>'[3]Atlantic Southeast'!$IK$28+'[3]Atlantic Southeast'!$IK$38</f>
        <v>0</v>
      </c>
      <c r="I11" s="87">
        <f>'[3]Continental Express'!$IK$28</f>
        <v>0</v>
      </c>
      <c r="J11" s="95">
        <f>'[3]Go Jet_UA'!$IK$28</f>
        <v>0</v>
      </c>
      <c r="K11" s="7">
        <f>'[3]Go Jet'!$IK$28+'[3]Go Jet'!$IK$38</f>
        <v>0</v>
      </c>
      <c r="L11" s="92">
        <f>SUM(B11:K11)</f>
        <v>214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157</v>
      </c>
      <c r="F12" s="108">
        <f t="shared" si="3"/>
        <v>176</v>
      </c>
      <c r="G12" s="108">
        <f t="shared" si="2"/>
        <v>78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411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America'!$IK$4</f>
        <v>0</v>
      </c>
      <c r="C15" s="85">
        <f>'[3]Shuttle America_Delta'!$IK$4</f>
        <v>0</v>
      </c>
      <c r="D15" s="334">
        <f>[3]Horizon_AS!$IK$4</f>
        <v>0</v>
      </c>
      <c r="E15" s="334">
        <f>'[3]Air Wisconsin'!$IK$4</f>
        <v>88</v>
      </c>
      <c r="F15" s="334">
        <f>[3]Jazz_AC!$IK$4+[3]Jazz_AC!$IK$15</f>
        <v>108</v>
      </c>
      <c r="G15" s="334">
        <f>[3]PSA!$IK$4</f>
        <v>28</v>
      </c>
      <c r="H15" s="86">
        <f>'[3]Atlantic Southeast'!$IK$4+'[3]Atlantic Southeast'!$IK$15</f>
        <v>0</v>
      </c>
      <c r="I15" s="86">
        <f>'[3]Continental Express'!$IK$4</f>
        <v>0</v>
      </c>
      <c r="J15" s="85">
        <f>'[3]Go Jet_UA'!$IK$4</f>
        <v>0</v>
      </c>
      <c r="K15" s="12">
        <f>'[3]Go Jet'!$IK$4+'[3]Go Jet'!$IK$15</f>
        <v>0</v>
      </c>
      <c r="L15" s="88">
        <f t="shared" ref="L15:L20" si="6">SUM(B15:K15)</f>
        <v>224</v>
      </c>
    </row>
    <row r="16" spans="1:12" x14ac:dyDescent="0.2">
      <c r="A16" s="45" t="s">
        <v>54</v>
      </c>
      <c r="B16" s="89">
        <f>'[3]Shuttle America'!$IK$5</f>
        <v>0</v>
      </c>
      <c r="C16" s="89">
        <f>'[3]Shuttle America_Delta'!$IK$5</f>
        <v>0</v>
      </c>
      <c r="D16" s="335">
        <f>[3]Horizon_AS!$IK$5</f>
        <v>0</v>
      </c>
      <c r="E16" s="335">
        <f>'[3]Air Wisconsin'!$IK$5</f>
        <v>88</v>
      </c>
      <c r="F16" s="335">
        <f>[3]Jazz_AC!$IK$5+[3]Jazz_AC!$IK$16</f>
        <v>108</v>
      </c>
      <c r="G16" s="335">
        <f>[3]PSA!$IK$5</f>
        <v>28</v>
      </c>
      <c r="H16" s="90">
        <f>'[3]Atlantic Southeast'!$IK$5+'[3]Atlantic Southeast'!$IK$16</f>
        <v>0</v>
      </c>
      <c r="I16" s="90">
        <f>'[3]Continental Express'!$IK$5</f>
        <v>0</v>
      </c>
      <c r="J16" s="89">
        <f>'[3]Go Jet_UA'!$IK$5</f>
        <v>0</v>
      </c>
      <c r="K16" s="7">
        <f>'[3]Go Jet'!$IK$5+'[3]Go Jet'!$IK$16</f>
        <v>0</v>
      </c>
      <c r="L16" s="92">
        <f t="shared" si="6"/>
        <v>224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176</v>
      </c>
      <c r="F17" s="93">
        <f t="shared" si="8"/>
        <v>216</v>
      </c>
      <c r="G17" s="93">
        <f t="shared" si="7"/>
        <v>56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448</v>
      </c>
    </row>
    <row r="18" spans="1:15" x14ac:dyDescent="0.2">
      <c r="A18" s="45" t="s">
        <v>56</v>
      </c>
      <c r="B18" s="95">
        <f>'[3]Shuttle America'!$IK$8</f>
        <v>0</v>
      </c>
      <c r="C18" s="95">
        <f>'[3]Shuttle America_Delta'!$IK$8</f>
        <v>0</v>
      </c>
      <c r="D18" s="95">
        <f>[3]Horizon_AS!$IK$8</f>
        <v>0</v>
      </c>
      <c r="E18" s="95">
        <f>'[3]Air Wisconsin'!$IK$8</f>
        <v>0</v>
      </c>
      <c r="F18" s="95">
        <f>[3]Jazz_AC!$IK$8</f>
        <v>0</v>
      </c>
      <c r="G18" s="95">
        <f>[3]PSA!$IK$8</f>
        <v>0</v>
      </c>
      <c r="H18" s="87">
        <f>'[3]Atlantic Southeast'!$IK$8</f>
        <v>0</v>
      </c>
      <c r="I18" s="87">
        <f>'[3]Continental Express'!$IK$8</f>
        <v>0</v>
      </c>
      <c r="J18" s="95">
        <f>'[3]Go Jet_UA'!$IK$8</f>
        <v>0</v>
      </c>
      <c r="K18" s="12">
        <f>'[3]Go Jet'!$IK$8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America'!$IK$9</f>
        <v>0</v>
      </c>
      <c r="C19" s="96">
        <f>'[3]Shuttle America_Delta'!$IK$9</f>
        <v>0</v>
      </c>
      <c r="D19" s="96">
        <f>[3]Horizon_AS!$IK$9</f>
        <v>0</v>
      </c>
      <c r="E19" s="96">
        <f>'[3]Air Wisconsin'!$IK$9</f>
        <v>0</v>
      </c>
      <c r="F19" s="96">
        <f>[3]Jazz_AC!$IK$9</f>
        <v>0</v>
      </c>
      <c r="G19" s="96">
        <f>[3]PSA!$IK$9</f>
        <v>0</v>
      </c>
      <c r="H19" s="91">
        <f>'[3]Atlantic Southeast'!$IK$9</f>
        <v>0</v>
      </c>
      <c r="I19" s="91">
        <f>'[3]Continental Express'!$IK$9</f>
        <v>0</v>
      </c>
      <c r="J19" s="96">
        <f>'[3]Go Jet_UA'!$IK$9</f>
        <v>0</v>
      </c>
      <c r="K19" s="7">
        <f>'[3]Go Jet'!$IK$9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176</v>
      </c>
      <c r="F21" s="97">
        <f t="shared" si="14"/>
        <v>216</v>
      </c>
      <c r="G21" s="97">
        <f t="shared" si="13"/>
        <v>56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448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America'!$IK$47</f>
        <v>0</v>
      </c>
      <c r="C25" s="95">
        <f>'[3]Shuttle America_Delta'!$IK$47</f>
        <v>0</v>
      </c>
      <c r="D25" s="95">
        <f>[3]Horizon_AS!$IK$47</f>
        <v>0</v>
      </c>
      <c r="E25" s="95">
        <f>'[3]Air Wisconsin'!$IK$47</f>
        <v>0</v>
      </c>
      <c r="F25" s="95">
        <f>[3]Jazz_AC!$IK$47</f>
        <v>33027.800000000003</v>
      </c>
      <c r="G25" s="95">
        <f>[3]PSA!$IK$47</f>
        <v>0</v>
      </c>
      <c r="H25" s="87">
        <f>'[3]Atlantic Southeast'!$IK$47</f>
        <v>0</v>
      </c>
      <c r="I25" s="87">
        <f>'[3]Continental Express'!$IK$47</f>
        <v>0</v>
      </c>
      <c r="J25" s="95">
        <f>'[3]Go Jet_UA'!$IK$47</f>
        <v>0</v>
      </c>
      <c r="K25" s="95">
        <f>'[3]Go Jet'!$IK$47</f>
        <v>0</v>
      </c>
      <c r="L25" s="88">
        <f>SUM(B25:K25)</f>
        <v>33027.800000000003</v>
      </c>
    </row>
    <row r="26" spans="1:15" x14ac:dyDescent="0.2">
      <c r="A26" s="45" t="s">
        <v>38</v>
      </c>
      <c r="B26" s="95">
        <f>'[3]Shuttle America'!$IK$48</f>
        <v>0</v>
      </c>
      <c r="C26" s="95">
        <f>'[3]Shuttle America_Delta'!$IK$48</f>
        <v>0</v>
      </c>
      <c r="D26" s="95">
        <f>[3]Horizon_AS!$IK$48</f>
        <v>0</v>
      </c>
      <c r="E26" s="95">
        <f>'[3]Air Wisconsin'!$IK$48</f>
        <v>0</v>
      </c>
      <c r="F26" s="95">
        <f>[3]Jazz_AC!$IK$48</f>
        <v>0</v>
      </c>
      <c r="G26" s="95">
        <f>[3]PSA!$IK$48</f>
        <v>0</v>
      </c>
      <c r="H26" s="87">
        <f>'[3]Atlantic Southeast'!$IK$48</f>
        <v>0</v>
      </c>
      <c r="I26" s="87">
        <f>'[3]Continental Express'!$IK$48</f>
        <v>0</v>
      </c>
      <c r="J26" s="95">
        <f>'[3]Go Jet_UA'!$IK$48</f>
        <v>0</v>
      </c>
      <c r="K26" s="95">
        <f>'[3]Go Jet'!$IK$48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33027.800000000003</v>
      </c>
      <c r="G27" s="105">
        <f t="shared" si="17"/>
        <v>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33027.800000000003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America'!$IK$52</f>
        <v>0</v>
      </c>
      <c r="C30" s="95">
        <f>'[3]Shuttle America_Delta'!$IK$52</f>
        <v>0</v>
      </c>
      <c r="D30" s="95">
        <f>[3]Horizon_AS!$IK$52</f>
        <v>0</v>
      </c>
      <c r="E30" s="95">
        <f>'[3]Air Wisconsin'!$IK$52</f>
        <v>0</v>
      </c>
      <c r="F30" s="95">
        <f>[3]Jazz_AC!$IK$52</f>
        <v>32564.5</v>
      </c>
      <c r="G30" s="95">
        <f>[3]PSA!$IK$52</f>
        <v>0</v>
      </c>
      <c r="H30" s="87">
        <f>'[3]Atlantic Southeast'!$IK$52</f>
        <v>0</v>
      </c>
      <c r="I30" s="87">
        <f>'[3]Continental Express'!$IK$52</f>
        <v>0</v>
      </c>
      <c r="J30" s="95">
        <f>'[3]Go Jet_UA'!$IK$52</f>
        <v>0</v>
      </c>
      <c r="K30" s="95">
        <f>'[3]Go Jet'!$IK$52</f>
        <v>0</v>
      </c>
      <c r="L30" s="88">
        <f>SUM(B30:K30)</f>
        <v>32564.5</v>
      </c>
    </row>
    <row r="31" spans="1:15" x14ac:dyDescent="0.2">
      <c r="A31" s="45" t="s">
        <v>60</v>
      </c>
      <c r="B31" s="95">
        <f>'[3]Shuttle America'!$IK$53</f>
        <v>0</v>
      </c>
      <c r="C31" s="95">
        <f>'[3]Shuttle America_Delta'!$IK$53</f>
        <v>0</v>
      </c>
      <c r="D31" s="95">
        <f>[3]Horizon_AS!$IK$53</f>
        <v>0</v>
      </c>
      <c r="E31" s="95">
        <f>'[3]Air Wisconsin'!$IK$53</f>
        <v>0</v>
      </c>
      <c r="F31" s="95">
        <f>[3]Jazz_AC!$IK$53</f>
        <v>0</v>
      </c>
      <c r="G31" s="95">
        <f>[3]PSA!$IK$53</f>
        <v>0</v>
      </c>
      <c r="H31" s="87">
        <f>'[3]Atlantic Southeast'!$IK$53</f>
        <v>0</v>
      </c>
      <c r="I31" s="87">
        <f>'[3]Continental Express'!$IK$53</f>
        <v>0</v>
      </c>
      <c r="J31" s="95">
        <f>'[3]Go Jet_UA'!$IK$53</f>
        <v>0</v>
      </c>
      <c r="K31" s="95">
        <f>'[3]Go Jet'!$IK$53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32564.5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32564.5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America'!$IK$57</f>
        <v>0</v>
      </c>
      <c r="C35" s="95">
        <f>'[3]Shuttle America_Delta'!$IK$57</f>
        <v>0</v>
      </c>
      <c r="D35" s="95">
        <f>[3]Horizon_AS!$IK$57</f>
        <v>0</v>
      </c>
      <c r="E35" s="95">
        <f>'[3]Air Wisconsin'!$IK$57</f>
        <v>0</v>
      </c>
      <c r="F35" s="95">
        <f>[3]Jazz_AC!$IK$57</f>
        <v>0</v>
      </c>
      <c r="G35" s="95">
        <f>[3]PSA!$IK$57</f>
        <v>0</v>
      </c>
      <c r="H35" s="87">
        <f>'[3]Atlantic Southeast'!$IK$57</f>
        <v>0</v>
      </c>
      <c r="I35" s="87">
        <f>'[3]Continental Express'!$IK$57</f>
        <v>0</v>
      </c>
      <c r="J35" s="95">
        <f>'[3]Go Jet_UA'!$AJ$57</f>
        <v>0</v>
      </c>
      <c r="K35" s="95">
        <f>'[3]Go Jet'!$IK$57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0</v>
      </c>
      <c r="F40" s="95">
        <f t="shared" si="28"/>
        <v>65592.3</v>
      </c>
      <c r="G40" s="95">
        <f t="shared" si="27"/>
        <v>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65592.3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0</v>
      </c>
      <c r="F42" s="108">
        <f t="shared" si="34"/>
        <v>65592.3</v>
      </c>
      <c r="G42" s="108">
        <f t="shared" si="33"/>
        <v>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65592.3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America_Delta'!$IK$70+'[3]Shuttle America_Delta'!$IK$73</f>
        <v>0</v>
      </c>
      <c r="D46" s="2"/>
      <c r="E46" s="2"/>
      <c r="H46" s="242">
        <f>'[3]Atlantic Southeast'!$IK$70+'[3]Atlantic Southeast'!$IK$73</f>
        <v>0</v>
      </c>
      <c r="K46" s="242">
        <f>'[3]Go Jet'!$IK$70+'[3]Go Jet'!$IK$73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America_Delta'!$IK$71+'[3]Shuttle America_Delta'!$IK$74</f>
        <v>0</v>
      </c>
      <c r="D47" s="2"/>
      <c r="E47" s="2"/>
      <c r="H47" s="242">
        <f>'[3]Atlantic Southeast'!$IK$71+'[3]Atlantic Southeast'!$IK$74</f>
        <v>0</v>
      </c>
      <c r="K47" s="242">
        <f>'[3]Go Jet'!$IK$71+'[3]Go Jet'!$IK$74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June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zoomScale="115" zoomScaleNormal="115" workbookViewId="0">
      <selection activeCell="E13" sqref="E1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8" ht="26.25" thickBot="1" x14ac:dyDescent="0.25">
      <c r="A2" s="396">
        <v>45078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248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Misc'!$IK$22</f>
        <v>0</v>
      </c>
      <c r="C5" s="151">
        <f>[3]Ryan!$IK$22</f>
        <v>0</v>
      </c>
      <c r="D5" s="151">
        <f>'[3]Charter Misc'!$IK$32</f>
        <v>0</v>
      </c>
      <c r="E5" s="151">
        <f>[3]Omni!$IK$32+[3]Omni!$IK$22</f>
        <v>444</v>
      </c>
      <c r="F5" s="151">
        <f>'[3]Red Way'!$IK$32+'[3]Red Way'!$IK$22</f>
        <v>130</v>
      </c>
      <c r="G5" s="151">
        <f>[3]Xtra!$IK$32+[3]Xtra!$IK$22</f>
        <v>0</v>
      </c>
      <c r="H5" s="249">
        <f>SUM(B5:G5)</f>
        <v>574</v>
      </c>
    </row>
    <row r="6" spans="1:18" x14ac:dyDescent="0.2">
      <c r="A6" s="45" t="s">
        <v>31</v>
      </c>
      <c r="B6" s="314">
        <f>'[3]Charter Misc'!$IK$23</f>
        <v>0</v>
      </c>
      <c r="C6" s="154">
        <f>[3]Ryan!$IK$23</f>
        <v>0</v>
      </c>
      <c r="D6" s="154">
        <f>'[3]Charter Misc'!$IK$33</f>
        <v>0</v>
      </c>
      <c r="E6" s="154">
        <f>[3]Omni!$IK$33+[3]Omni!$IK$23</f>
        <v>0</v>
      </c>
      <c r="F6" s="154">
        <f>'[3]Red Way'!$IK$33+'[3]Red Way'!$IK$23</f>
        <v>117</v>
      </c>
      <c r="G6" s="154">
        <f>[3]Xtra!$IK$33+[3]Xtra!$IK$23</f>
        <v>0</v>
      </c>
      <c r="H6" s="248">
        <f>SUM(B6:G6)</f>
        <v>117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0</v>
      </c>
      <c r="E7" s="219">
        <f t="shared" si="0"/>
        <v>444</v>
      </c>
      <c r="F7" s="219">
        <f t="shared" si="0"/>
        <v>247</v>
      </c>
      <c r="G7" s="219">
        <f t="shared" si="0"/>
        <v>0</v>
      </c>
      <c r="H7" s="220">
        <f>SUM(B7:G7)</f>
        <v>691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Misc'!$IK$4</f>
        <v>0</v>
      </c>
      <c r="C10" s="151">
        <f>[3]Ryan!$IK$4</f>
        <v>0</v>
      </c>
      <c r="D10" s="151">
        <f>'[3]Charter Misc'!$IK$15</f>
        <v>0</v>
      </c>
      <c r="E10" s="151">
        <f>[3]Omni!$IK$15+[3]Omni!$IK$4+[3]Omni!$IK$8</f>
        <v>1</v>
      </c>
      <c r="F10" s="151">
        <f>'[3]Red Way'!$IK$15+'[3]Red Way'!$IK$4</f>
        <v>4</v>
      </c>
      <c r="G10" s="151">
        <f>[3]Xtra!$IK$15+[3]Xtra!$IK$4</f>
        <v>0</v>
      </c>
      <c r="H10" s="248">
        <f>SUM(B10:G10)</f>
        <v>5</v>
      </c>
    </row>
    <row r="11" spans="1:18" x14ac:dyDescent="0.2">
      <c r="A11" s="149" t="s">
        <v>80</v>
      </c>
      <c r="B11" s="313">
        <f>'[3]Charter Misc'!$IK$5</f>
        <v>0</v>
      </c>
      <c r="C11" s="151">
        <f>[3]Ryan!$IK$5</f>
        <v>0</v>
      </c>
      <c r="D11" s="151">
        <f>'[3]Charter Misc'!$IK$16</f>
        <v>0</v>
      </c>
      <c r="E11" s="151">
        <f>[3]Omni!$IK$16+[3]Omni!$IK$5+[3]Omni!$IK$9</f>
        <v>1</v>
      </c>
      <c r="F11" s="151">
        <f>'[3]Red Way'!$IK$16+'[3]Red Way'!$IK$5</f>
        <v>4</v>
      </c>
      <c r="G11" s="151">
        <f>[3]Xtra!$IK$16+[3]Xtra!$IK$5</f>
        <v>0</v>
      </c>
      <c r="H11" s="248">
        <f>SUM(B11:G11)</f>
        <v>5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0</v>
      </c>
      <c r="E12" s="221">
        <f t="shared" si="1"/>
        <v>2</v>
      </c>
      <c r="F12" s="221">
        <f t="shared" si="1"/>
        <v>8</v>
      </c>
      <c r="G12" s="221">
        <f t="shared" si="1"/>
        <v>0</v>
      </c>
      <c r="H12" s="222">
        <f>SUM(B12:G12)</f>
        <v>10</v>
      </c>
      <c r="R12" s="95"/>
    </row>
    <row r="17" spans="1:16" x14ac:dyDescent="0.2">
      <c r="B17" s="450" t="s">
        <v>148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2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53" t="s">
        <v>117</v>
      </c>
      <c r="C19" s="454"/>
      <c r="D19" s="454"/>
      <c r="E19" s="455"/>
      <c r="G19" s="453" t="s">
        <v>118</v>
      </c>
      <c r="H19" s="456"/>
      <c r="I19" s="456"/>
      <c r="J19" s="457"/>
      <c r="L19" s="458" t="s">
        <v>119</v>
      </c>
      <c r="M19" s="459"/>
      <c r="N19" s="459"/>
      <c r="O19" s="460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6" si="6"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23">
        <f t="shared" si="6"/>
        <v>3034560</v>
      </c>
      <c r="O23" s="423">
        <f>[9]Charter!N23</f>
        <v>2828968</v>
      </c>
      <c r="P23" s="420">
        <f t="shared" si="11"/>
        <v>7.2673851383260615E-2</v>
      </c>
    </row>
    <row r="24" spans="1:16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2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6" ht="14.1" customHeight="1" x14ac:dyDescent="0.2">
      <c r="A25" s="174" t="s">
        <v>75</v>
      </c>
      <c r="B25" s="433">
        <f>+[2]Charter!B25</f>
        <v>102957</v>
      </c>
      <c r="C25" s="433">
        <f>+[2]Charter!C25</f>
        <v>111285</v>
      </c>
      <c r="D25" s="423">
        <f t="shared" ref="D25" si="20">SUM(B25:C25)</f>
        <v>214242</v>
      </c>
      <c r="E25" s="423">
        <f>[12]Charter!D25</f>
        <v>131276</v>
      </c>
      <c r="F25" s="427">
        <f t="shared" si="3"/>
        <v>0.63199670922331574</v>
      </c>
      <c r="G25" s="423">
        <f t="shared" ref="G25" si="21">L25-B25</f>
        <v>1530282</v>
      </c>
      <c r="H25" s="423">
        <f t="shared" ref="H25" si="22">M25-C25</f>
        <v>1513056</v>
      </c>
      <c r="I25" s="423">
        <f t="shared" ref="I25" si="23">SUM(G25:H25)</f>
        <v>3043338</v>
      </c>
      <c r="J25" s="423">
        <f>[12]Charter!I25</f>
        <v>2565837</v>
      </c>
      <c r="K25" s="432">
        <f t="shared" si="5"/>
        <v>0.18609950671067571</v>
      </c>
      <c r="L25" s="423">
        <f>+'Monthly Summary'!$B$11</f>
        <v>1633239</v>
      </c>
      <c r="M25" s="423">
        <f>+'Monthly Summary'!$C$11</f>
        <v>1624341</v>
      </c>
      <c r="N25" s="423">
        <f t="shared" si="6"/>
        <v>3257580</v>
      </c>
      <c r="O25" s="423">
        <f>[12]Charter!N25</f>
        <v>2697113</v>
      </c>
      <c r="P25" s="421">
        <f t="shared" si="11"/>
        <v>0.2078025651872947</v>
      </c>
    </row>
    <row r="26" spans="1:16" ht="14.1" customHeight="1" x14ac:dyDescent="0.2">
      <c r="A26" s="181" t="s">
        <v>106</v>
      </c>
      <c r="B26" s="423">
        <f>+'Intl Detail'!$Q$4+'Intl Detail'!$Q$9</f>
        <v>121820</v>
      </c>
      <c r="C26" s="423">
        <f>+'Intl Detail'!$Q$5+'Intl Detail'!$Q$10</f>
        <v>128458</v>
      </c>
      <c r="D26" s="423">
        <f t="shared" ref="D26" si="24">SUM(B26:C26)</f>
        <v>250278</v>
      </c>
      <c r="E26" s="423">
        <f>[1]Charter!D26</f>
        <v>180003</v>
      </c>
      <c r="F26" s="426">
        <f t="shared" si="3"/>
        <v>0.39041015983066951</v>
      </c>
      <c r="G26" s="423">
        <f t="shared" ref="G26" si="25">L26-B26</f>
        <v>1511419</v>
      </c>
      <c r="H26" s="423">
        <f t="shared" ref="H26" si="26">M26-C26</f>
        <v>1495883</v>
      </c>
      <c r="I26" s="423">
        <f t="shared" ref="I26" si="27">SUM(G26:H26)</f>
        <v>3007302</v>
      </c>
      <c r="J26" s="423">
        <f>[1]Charter!I26</f>
        <v>2666878</v>
      </c>
      <c r="K26" s="431">
        <f t="shared" si="5"/>
        <v>0.12764888382595679</v>
      </c>
      <c r="L26" s="423">
        <f>+'Monthly Summary'!$B$11</f>
        <v>1633239</v>
      </c>
      <c r="M26" s="423">
        <f>+'Monthly Summary'!$C$11</f>
        <v>1624341</v>
      </c>
      <c r="N26" s="423">
        <f t="shared" si="6"/>
        <v>3257580</v>
      </c>
      <c r="O26" s="423">
        <f>[1]Charter!N26</f>
        <v>2846881</v>
      </c>
      <c r="P26" s="420">
        <f t="shared" si="11"/>
        <v>0.1442627914549291</v>
      </c>
    </row>
    <row r="27" spans="1:16" ht="14.1" customHeight="1" x14ac:dyDescent="0.2">
      <c r="A27" s="174" t="s">
        <v>107</v>
      </c>
      <c r="B27" s="423"/>
      <c r="C27" s="423"/>
      <c r="D27" s="423"/>
      <c r="E27" s="423"/>
      <c r="F27" s="427" t="e">
        <f t="shared" si="3"/>
        <v>#DIV/0!</v>
      </c>
      <c r="G27" s="423"/>
      <c r="H27" s="423"/>
      <c r="I27" s="423"/>
      <c r="J27" s="423"/>
      <c r="K27" s="432" t="e">
        <f t="shared" si="5"/>
        <v>#DIV/0!</v>
      </c>
      <c r="L27" s="423"/>
      <c r="M27" s="423"/>
      <c r="N27" s="423"/>
      <c r="O27" s="423"/>
      <c r="P27" s="421" t="e">
        <f t="shared" si="11"/>
        <v>#DIV/0!</v>
      </c>
    </row>
    <row r="28" spans="1:16" ht="14.1" customHeight="1" x14ac:dyDescent="0.2">
      <c r="A28" s="181" t="s">
        <v>108</v>
      </c>
      <c r="B28" s="423"/>
      <c r="C28" s="423"/>
      <c r="D28" s="423"/>
      <c r="E28" s="423"/>
      <c r="F28" s="426" t="e">
        <f t="shared" si="3"/>
        <v>#DIV/0!</v>
      </c>
      <c r="G28" s="423"/>
      <c r="H28" s="423"/>
      <c r="I28" s="423"/>
      <c r="J28" s="423"/>
      <c r="K28" s="431" t="e">
        <f t="shared" si="5"/>
        <v>#DIV/0!</v>
      </c>
      <c r="L28" s="423"/>
      <c r="M28" s="423"/>
      <c r="N28" s="423"/>
      <c r="O28" s="423"/>
      <c r="P28" s="420" t="e">
        <f t="shared" si="11"/>
        <v>#DIV/0!</v>
      </c>
    </row>
    <row r="29" spans="1:16" ht="14.1" customHeight="1" x14ac:dyDescent="0.2">
      <c r="A29" s="174" t="s">
        <v>109</v>
      </c>
      <c r="B29" s="423"/>
      <c r="C29" s="423"/>
      <c r="D29" s="423"/>
      <c r="E29" s="423"/>
      <c r="F29" s="427" t="e">
        <f t="shared" si="3"/>
        <v>#DIV/0!</v>
      </c>
      <c r="G29" s="423"/>
      <c r="H29" s="423"/>
      <c r="I29" s="423"/>
      <c r="J29" s="423"/>
      <c r="K29" s="432" t="e">
        <f t="shared" si="5"/>
        <v>#DIV/0!</v>
      </c>
      <c r="L29" s="423"/>
      <c r="M29" s="423"/>
      <c r="N29" s="423"/>
      <c r="O29" s="423"/>
      <c r="P29" s="421" t="e">
        <f t="shared" si="11"/>
        <v>#DIV/0!</v>
      </c>
    </row>
    <row r="30" spans="1:16" ht="14.1" customHeight="1" x14ac:dyDescent="0.2">
      <c r="A30" s="181" t="s">
        <v>110</v>
      </c>
      <c r="B30" s="423"/>
      <c r="C30" s="423"/>
      <c r="D30" s="423"/>
      <c r="E30" s="423"/>
      <c r="F30" s="426" t="e">
        <f t="shared" si="3"/>
        <v>#DIV/0!</v>
      </c>
      <c r="G30" s="423"/>
      <c r="H30" s="423"/>
      <c r="I30" s="423"/>
      <c r="J30" s="423"/>
      <c r="K30" s="431" t="e">
        <f t="shared" si="5"/>
        <v>#DIV/0!</v>
      </c>
      <c r="L30" s="423"/>
      <c r="M30" s="423"/>
      <c r="N30" s="423"/>
      <c r="O30" s="423"/>
      <c r="P30" s="420" t="e">
        <f t="shared" si="11"/>
        <v>#DIV/0!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3"/>
        <v>#DIV/0!</v>
      </c>
      <c r="G31" s="423"/>
      <c r="H31" s="423"/>
      <c r="I31" s="423"/>
      <c r="J31" s="423"/>
      <c r="K31" s="432" t="e">
        <f t="shared" si="5"/>
        <v>#DIV/0!</v>
      </c>
      <c r="L31" s="423"/>
      <c r="M31" s="423"/>
      <c r="N31" s="423"/>
      <c r="O31" s="423"/>
      <c r="P31" s="421" t="e">
        <f t="shared" si="11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3"/>
        <v>#DIV/0!</v>
      </c>
      <c r="G32" s="423"/>
      <c r="H32" s="423"/>
      <c r="I32" s="423"/>
      <c r="J32" s="423"/>
      <c r="K32" s="428" t="e">
        <f t="shared" si="5"/>
        <v>#DIV/0!</v>
      </c>
      <c r="L32" s="423"/>
      <c r="M32" s="423"/>
      <c r="N32" s="423"/>
      <c r="O32" s="423"/>
      <c r="P32" s="422" t="e">
        <f t="shared" si="11"/>
        <v>#DIV/0!</v>
      </c>
    </row>
    <row r="33" spans="1:16" ht="13.5" thickBot="1" x14ac:dyDescent="0.25">
      <c r="A33" s="179" t="s">
        <v>76</v>
      </c>
      <c r="B33" s="185">
        <f>SUM(B21:B32)</f>
        <v>782238</v>
      </c>
      <c r="C33" s="186">
        <f>SUM(C21:C32)</f>
        <v>780378</v>
      </c>
      <c r="D33" s="186">
        <f>SUM(D21:D32)</f>
        <v>1562616</v>
      </c>
      <c r="E33" s="187">
        <f>SUM(E21:E32)</f>
        <v>1037975</v>
      </c>
      <c r="F33" s="177">
        <f>(D33-E33)/E33</f>
        <v>0.50544666297357832</v>
      </c>
      <c r="G33" s="188">
        <f>SUM(G21:G32)</f>
        <v>7731409</v>
      </c>
      <c r="H33" s="186">
        <f>SUM(H21:H32)</f>
        <v>7692363</v>
      </c>
      <c r="I33" s="186">
        <f>SUM(I21:I32)</f>
        <v>15423772</v>
      </c>
      <c r="J33" s="189">
        <f>SUM(J21:J32)</f>
        <v>14026180</v>
      </c>
      <c r="K33" s="178">
        <f>(I33-J33)/J33</f>
        <v>9.9641670076956096E-2</v>
      </c>
      <c r="L33" s="188">
        <f>SUM(L21:L32)</f>
        <v>8513647</v>
      </c>
      <c r="M33" s="186">
        <f>SUM(M21:M32)</f>
        <v>8472741</v>
      </c>
      <c r="N33" s="186">
        <f>SUM(N21:N32)</f>
        <v>16986388</v>
      </c>
      <c r="O33" s="187">
        <f>SUM(O21:O32)</f>
        <v>15064155</v>
      </c>
      <c r="P33" s="176">
        <f>(N33-O33)/O33</f>
        <v>0.12760310817301071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June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A38" sqref="A3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61" t="s">
        <v>197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3"/>
    </row>
    <row r="2" spans="1:23" s="27" customFormat="1" ht="43.5" customHeight="1" thickBot="1" x14ac:dyDescent="0.25">
      <c r="A2" s="396">
        <v>45078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Air'!$IK$4</f>
        <v>8</v>
      </c>
      <c r="C4" s="132">
        <f>[3]DHL!$IK$8+[3]DHL!$IK$4</f>
        <v>0</v>
      </c>
      <c r="D4" s="132">
        <f>[3]Airborne!$IK$4+[3]Airborne!$IK$15</f>
        <v>0</v>
      </c>
      <c r="E4" s="95">
        <f>[3]DHL_Bemidji!$IK$4</f>
        <v>40</v>
      </c>
      <c r="F4" s="95">
        <f>[3]Bemidji!$IK$4</f>
        <v>174</v>
      </c>
      <c r="G4" s="132">
        <f>[3]DHL_Encore!$IK$4+[3]DHL_Encore!$IK$15</f>
        <v>0</v>
      </c>
      <c r="H4" s="132">
        <f>[3]DHL_Mesa!$IK$4+[3]DHL_Mesa!$IK$15</f>
        <v>0</v>
      </c>
      <c r="I4" s="132">
        <f>[3]Encore!$IK$4+[3]Encore!$IK$15</f>
        <v>0</v>
      </c>
      <c r="J4" s="132">
        <f>[3]FedEx!$IK$4+[3]FedEx!$IK$15</f>
        <v>89</v>
      </c>
      <c r="K4" s="132">
        <f>[3]IFL!$IK$4+[3]IFL!$IK$15</f>
        <v>17</v>
      </c>
      <c r="L4" s="132">
        <f>[3]DHL_Kalitta!$IK$4+[3]DHL_Kalitta!$IK$15</f>
        <v>0</v>
      </c>
      <c r="M4" s="95">
        <f>'[3]Mountain Cargo'!$IK$4</f>
        <v>23</v>
      </c>
      <c r="N4" s="132">
        <f>[3]DHL_Amerijet!$IK$4+[3]DHL_Amerijet!$IK$15</f>
        <v>0</v>
      </c>
      <c r="O4" s="132">
        <f>[3]DHL_Swift!$IK$4+[3]DHL_Swift!$IK$15</f>
        <v>40</v>
      </c>
      <c r="P4" s="132">
        <f>+'[3]Sun Country Cargo'!$IK$4+'[3]Sun Country Cargo'!$IK$8+'[3]Sun Country Cargo'!$IK$15</f>
        <v>64</v>
      </c>
      <c r="Q4" s="132">
        <f>[3]UPS!$IK$4+[3]UPS!$IK$15</f>
        <v>126</v>
      </c>
      <c r="R4" s="95">
        <f>'[3]Misc Cargo'!$IK$4</f>
        <v>0</v>
      </c>
      <c r="S4" s="368">
        <f>SUM(B4:R4)</f>
        <v>581</v>
      </c>
      <c r="U4" s="340"/>
      <c r="V4" s="340"/>
      <c r="W4" s="217"/>
    </row>
    <row r="5" spans="1:23" x14ac:dyDescent="0.2">
      <c r="A5" s="37" t="s">
        <v>54</v>
      </c>
      <c r="B5" s="369">
        <f>'[3]Atlas Air'!$IK$5</f>
        <v>8</v>
      </c>
      <c r="C5" s="156">
        <f>[3]DHL!$IK$9+[3]DHL!$IK$5</f>
        <v>0</v>
      </c>
      <c r="D5" s="156">
        <f>[3]Airborne!$IK$5</f>
        <v>0</v>
      </c>
      <c r="E5" s="96">
        <f>[3]DHL_Bemidji!$IK$5</f>
        <v>40</v>
      </c>
      <c r="F5" s="96">
        <f>[3]Bemidji!$IK$5</f>
        <v>174</v>
      </c>
      <c r="G5" s="156">
        <f>[3]DHL_Encore!$IK$5</f>
        <v>0</v>
      </c>
      <c r="H5" s="156">
        <f>[3]DHL_Mesa!$IK$5</f>
        <v>0</v>
      </c>
      <c r="I5" s="156">
        <f>[3]Encore!$IK$5</f>
        <v>0</v>
      </c>
      <c r="J5" s="156">
        <f>[3]FedEx!$IK$5</f>
        <v>89</v>
      </c>
      <c r="K5" s="156">
        <f>[3]IFL!$IK$5</f>
        <v>17</v>
      </c>
      <c r="L5" s="156">
        <f>[3]DHL_Kalitta!$IK$5</f>
        <v>0</v>
      </c>
      <c r="M5" s="96">
        <f>'[3]Mountain Cargo'!$IK$5</f>
        <v>23</v>
      </c>
      <c r="N5" s="156">
        <f>[3]DHL_Amerijet!$IK$5</f>
        <v>0</v>
      </c>
      <c r="O5" s="156">
        <f>[3]DHL_Swift!$IK$5</f>
        <v>40</v>
      </c>
      <c r="P5" s="156">
        <f>+'[3]Sun Country Cargo'!$IK$5+'[3]Sun Country Cargo'!$IK$9+'[3]Sun Country Cargo'!$IK$16</f>
        <v>64</v>
      </c>
      <c r="Q5" s="156">
        <f>[3]UPS!$IK$5+[3]UPS!$IK$16</f>
        <v>126</v>
      </c>
      <c r="R5" s="96">
        <f>'[3]Misc Cargo'!$IK$5</f>
        <v>0</v>
      </c>
      <c r="S5" s="368">
        <f>SUM(B5:R5)</f>
        <v>581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16</v>
      </c>
      <c r="C6" s="371">
        <f t="shared" si="0"/>
        <v>0</v>
      </c>
      <c r="D6" s="371">
        <f t="shared" ref="D6:E6" si="1">SUM(D4:D5)</f>
        <v>0</v>
      </c>
      <c r="E6" s="93">
        <f t="shared" si="1"/>
        <v>80</v>
      </c>
      <c r="F6" s="93">
        <f t="shared" si="0"/>
        <v>348</v>
      </c>
      <c r="G6" s="371">
        <f t="shared" si="0"/>
        <v>0</v>
      </c>
      <c r="H6" s="371">
        <f t="shared" ref="H6" si="2">SUM(H4:H5)</f>
        <v>0</v>
      </c>
      <c r="I6" s="371">
        <f t="shared" si="0"/>
        <v>0</v>
      </c>
      <c r="J6" s="371">
        <f t="shared" si="0"/>
        <v>178</v>
      </c>
      <c r="K6" s="371">
        <f t="shared" si="0"/>
        <v>34</v>
      </c>
      <c r="L6" s="371">
        <f t="shared" si="0"/>
        <v>0</v>
      </c>
      <c r="M6" s="93">
        <f t="shared" si="0"/>
        <v>46</v>
      </c>
      <c r="N6" s="371">
        <f t="shared" si="0"/>
        <v>0</v>
      </c>
      <c r="O6" s="371">
        <f t="shared" si="0"/>
        <v>80</v>
      </c>
      <c r="P6" s="371">
        <f t="shared" si="0"/>
        <v>128</v>
      </c>
      <c r="Q6" s="371">
        <f t="shared" si="0"/>
        <v>252</v>
      </c>
      <c r="R6" s="93">
        <f t="shared" si="0"/>
        <v>0</v>
      </c>
      <c r="S6" s="368">
        <f t="shared" ref="S6:S10" si="3">SUM(B6:R6)</f>
        <v>1162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Cargo'!$IK$8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Cargo'!$IK$9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16</v>
      </c>
      <c r="C12" s="161">
        <f t="shared" si="7"/>
        <v>0</v>
      </c>
      <c r="D12" s="161">
        <f t="shared" ref="D12:E12" si="8">D6+D10</f>
        <v>0</v>
      </c>
      <c r="E12" s="162">
        <f t="shared" si="8"/>
        <v>80</v>
      </c>
      <c r="F12" s="162">
        <f t="shared" si="7"/>
        <v>348</v>
      </c>
      <c r="G12" s="161">
        <f t="shared" si="7"/>
        <v>0</v>
      </c>
      <c r="H12" s="161">
        <f t="shared" ref="H12" si="9">H6+H10</f>
        <v>0</v>
      </c>
      <c r="I12" s="161">
        <f t="shared" si="7"/>
        <v>0</v>
      </c>
      <c r="J12" s="161">
        <f t="shared" si="7"/>
        <v>178</v>
      </c>
      <c r="K12" s="161">
        <f t="shared" si="7"/>
        <v>34</v>
      </c>
      <c r="L12" s="161">
        <f t="shared" si="7"/>
        <v>0</v>
      </c>
      <c r="M12" s="162">
        <f t="shared" si="7"/>
        <v>46</v>
      </c>
      <c r="N12" s="161">
        <f t="shared" si="7"/>
        <v>0</v>
      </c>
      <c r="O12" s="161">
        <f t="shared" si="7"/>
        <v>80</v>
      </c>
      <c r="P12" s="161">
        <f t="shared" si="7"/>
        <v>128</v>
      </c>
      <c r="Q12" s="161">
        <f t="shared" si="7"/>
        <v>252</v>
      </c>
      <c r="R12" s="162">
        <f t="shared" si="7"/>
        <v>0</v>
      </c>
      <c r="S12" s="374">
        <f>SUM(B12:R12)</f>
        <v>1162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Air'!$IK$47</f>
        <v>635975</v>
      </c>
      <c r="C16" s="132">
        <f>[3]DHL!$IK$47</f>
        <v>0</v>
      </c>
      <c r="D16" s="132">
        <f>[3]Airborne!$IK$47</f>
        <v>0</v>
      </c>
      <c r="E16" s="132">
        <f>[3]DHL_Bemidji!$IK$47</f>
        <v>44717</v>
      </c>
      <c r="F16" s="464" t="s">
        <v>86</v>
      </c>
      <c r="G16" s="132">
        <f>[3]DHL_Encore!$IK$47</f>
        <v>0</v>
      </c>
      <c r="H16" s="132">
        <f>[3]DHL_Mesa!$IK$47</f>
        <v>0</v>
      </c>
      <c r="I16" s="132">
        <f>[3]Encore!$IK$47</f>
        <v>0</v>
      </c>
      <c r="J16" s="132">
        <f>[3]FedEx!$IK$47</f>
        <v>6070688</v>
      </c>
      <c r="K16" s="132">
        <f>[3]IFL!$IK$47</f>
        <v>55038</v>
      </c>
      <c r="L16" s="132">
        <f>[3]DHL_Kalitta!$IK$47</f>
        <v>0</v>
      </c>
      <c r="M16" s="95">
        <f>'[3]Mountain Cargo'!$IK$47</f>
        <v>0</v>
      </c>
      <c r="N16" s="132">
        <f>[3]DHL_Amerijet!$IK$47</f>
        <v>0</v>
      </c>
      <c r="O16" s="132">
        <f>[3]DHL_Swift!$IK$47</f>
        <v>908207</v>
      </c>
      <c r="P16" s="132">
        <f>+'[3]Sun Country Cargo'!$IK$47</f>
        <v>1733877</v>
      </c>
      <c r="Q16" s="132">
        <f>[3]UPS!$IK$47</f>
        <v>6099965</v>
      </c>
      <c r="R16" s="95">
        <f>'[3]Misc Cargo'!$IK$47</f>
        <v>0</v>
      </c>
      <c r="S16" s="368">
        <f>SUM(B16:E16)+SUM(G16:R16)</f>
        <v>15548467</v>
      </c>
      <c r="U16" s="340"/>
      <c r="V16" s="340"/>
      <c r="W16" s="217"/>
    </row>
    <row r="17" spans="1:23" x14ac:dyDescent="0.2">
      <c r="A17" s="37" t="s">
        <v>38</v>
      </c>
      <c r="B17" s="183">
        <f>'[3]Atlas Air'!$IK$48</f>
        <v>0</v>
      </c>
      <c r="C17" s="132">
        <f>[3]DHL!$IK$48</f>
        <v>0</v>
      </c>
      <c r="D17" s="132">
        <f>[3]Airborne!$IK$48</f>
        <v>0</v>
      </c>
      <c r="E17" s="132">
        <f>[3]DHL_Bemidji!$IK$48</f>
        <v>0</v>
      </c>
      <c r="F17" s="465"/>
      <c r="G17" s="132">
        <f>[3]DHL_Encore!$IK$48</f>
        <v>0</v>
      </c>
      <c r="H17" s="132">
        <f>[3]DHL_Mesa!$IK$48</f>
        <v>0</v>
      </c>
      <c r="I17" s="132">
        <f>[3]Encore!$IK$48</f>
        <v>0</v>
      </c>
      <c r="J17" s="132">
        <f>[3]FedEx!$IK$48</f>
        <v>0</v>
      </c>
      <c r="K17" s="132">
        <f>[3]IFL!$IK$48</f>
        <v>0</v>
      </c>
      <c r="L17" s="132">
        <f>[3]DHL_Kalitta!$IK$48</f>
        <v>0</v>
      </c>
      <c r="M17" s="95">
        <f>'[3]Mountain Cargo'!$IK$48</f>
        <v>58109</v>
      </c>
      <c r="N17" s="132">
        <f>[3]DHL_Amerijet!$IK$48</f>
        <v>0</v>
      </c>
      <c r="O17" s="132">
        <f>[3]DHL_Swift!$IK$48</f>
        <v>0</v>
      </c>
      <c r="P17" s="132">
        <f>+'[3]Sun Country Cargo'!$IK$48</f>
        <v>0</v>
      </c>
      <c r="Q17" s="132">
        <f>[3]UPS!$IK$48</f>
        <v>294559</v>
      </c>
      <c r="R17" s="95">
        <f>'[3]Misc Cargo'!$IK$48</f>
        <v>0</v>
      </c>
      <c r="S17" s="368">
        <f>SUM(B17:E17)+SUM(G17:R17)</f>
        <v>352668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635975</v>
      </c>
      <c r="C18" s="223">
        <f>SUM(C16:C17)</f>
        <v>0</v>
      </c>
      <c r="D18" s="223">
        <f>SUM(D16:D17)</f>
        <v>0</v>
      </c>
      <c r="E18" s="223">
        <f>SUM(E16:E17)</f>
        <v>44717</v>
      </c>
      <c r="F18" s="465"/>
      <c r="G18" s="223">
        <f>SUM(G16:G17)</f>
        <v>0</v>
      </c>
      <c r="H18" s="223">
        <f>SUM(H16:H17)</f>
        <v>0</v>
      </c>
      <c r="I18" s="223">
        <f>SUM(I16:I17)</f>
        <v>0</v>
      </c>
      <c r="J18" s="223">
        <f>SUM(J16:J17)</f>
        <v>6070688</v>
      </c>
      <c r="K18" s="223">
        <f>SUM(K16:K17)</f>
        <v>55038</v>
      </c>
      <c r="L18" s="223">
        <f t="shared" ref="L18:R18" si="10">SUM(L16:L17)</f>
        <v>0</v>
      </c>
      <c r="M18" s="224">
        <f t="shared" si="10"/>
        <v>58109</v>
      </c>
      <c r="N18" s="223">
        <f t="shared" si="10"/>
        <v>0</v>
      </c>
      <c r="O18" s="223">
        <f t="shared" si="10"/>
        <v>908207</v>
      </c>
      <c r="P18" s="223">
        <f t="shared" si="10"/>
        <v>1733877</v>
      </c>
      <c r="Q18" s="223">
        <f t="shared" si="10"/>
        <v>6394524</v>
      </c>
      <c r="R18" s="224">
        <f t="shared" si="10"/>
        <v>0</v>
      </c>
      <c r="S18" s="380">
        <f>SUM(B18:D18)+SUM(G18:R18)</f>
        <v>15856418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5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5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Air'!$IK$52</f>
        <v>305722</v>
      </c>
      <c r="C21" s="132">
        <f>[3]DHL!$IK$52</f>
        <v>0</v>
      </c>
      <c r="D21" s="132">
        <f>[3]Airborne!$IK$52</f>
        <v>0</v>
      </c>
      <c r="E21" s="132">
        <f>[3]DHL_Bemidji!$IK$52</f>
        <v>52096</v>
      </c>
      <c r="F21" s="465"/>
      <c r="G21" s="132">
        <f>[3]DHL_Encore!$IK$52</f>
        <v>0</v>
      </c>
      <c r="H21" s="132">
        <f>[3]DHL_Mesa!$IK$52</f>
        <v>0</v>
      </c>
      <c r="I21" s="132">
        <f>[3]Encore!$IK$52</f>
        <v>0</v>
      </c>
      <c r="J21" s="132">
        <f>[3]FedEx!$IK$52</f>
        <v>6830473</v>
      </c>
      <c r="K21" s="132">
        <f>[3]IFL!$IK$52</f>
        <v>0</v>
      </c>
      <c r="L21" s="132">
        <f>[3]DHL_Kalitta!$IK$52</f>
        <v>0</v>
      </c>
      <c r="M21" s="95">
        <f>'[3]Mountain Cargo'!$IK$52</f>
        <v>0</v>
      </c>
      <c r="N21" s="132">
        <f>[3]DHL_Amerijet!$IK$52</f>
        <v>0</v>
      </c>
      <c r="O21" s="132">
        <f>[3]DHL_Swift!$IK$52</f>
        <v>458513</v>
      </c>
      <c r="P21" s="132">
        <f>+'[3]Sun Country Cargo'!$IK$52</f>
        <v>1495973</v>
      </c>
      <c r="Q21" s="132">
        <f>[3]UPS!$IK$52</f>
        <v>4845442</v>
      </c>
      <c r="R21" s="95">
        <f>'[3]Misc Cargo'!$IK$52</f>
        <v>0</v>
      </c>
      <c r="S21" s="368">
        <f>SUM(B21:E21)+SUM(G21:R21)</f>
        <v>13988219</v>
      </c>
      <c r="U21" s="340"/>
      <c r="V21" s="340"/>
      <c r="W21" s="217"/>
    </row>
    <row r="22" spans="1:23" x14ac:dyDescent="0.2">
      <c r="A22" s="37" t="s">
        <v>60</v>
      </c>
      <c r="B22" s="183">
        <f>'[3]Atlas Air'!$IK$53</f>
        <v>0</v>
      </c>
      <c r="C22" s="132">
        <f>[3]DHL!$IK$53</f>
        <v>0</v>
      </c>
      <c r="D22" s="132">
        <f>[3]Airborne!$IK$53</f>
        <v>0</v>
      </c>
      <c r="E22" s="132">
        <f>[3]DHL_Bemidji!$IK$53</f>
        <v>0</v>
      </c>
      <c r="F22" s="465"/>
      <c r="G22" s="132">
        <f>[3]DHL_Encore!$IK$53</f>
        <v>0</v>
      </c>
      <c r="H22" s="132">
        <f>[3]DHL_Mesa!$IK$53</f>
        <v>0</v>
      </c>
      <c r="I22" s="132">
        <f>[3]Encore!$IK$53</f>
        <v>0</v>
      </c>
      <c r="J22" s="132">
        <f>[3]FedEx!$IK$53</f>
        <v>0</v>
      </c>
      <c r="K22" s="132">
        <f>[3]IFL!$IK$53</f>
        <v>0</v>
      </c>
      <c r="L22" s="132">
        <f>[3]DHL_Kalitta!$IK$53</f>
        <v>0</v>
      </c>
      <c r="M22" s="95">
        <f>'[3]Mountain Cargo'!$IK$53</f>
        <v>127103</v>
      </c>
      <c r="N22" s="132">
        <f>[3]DHL_Amerijet!$IK$53</f>
        <v>0</v>
      </c>
      <c r="O22" s="132">
        <f>[3]DHL_Swift!$IK$53</f>
        <v>0</v>
      </c>
      <c r="P22" s="132">
        <f>+'[3]Sun Country Cargo'!$IK$53</f>
        <v>0</v>
      </c>
      <c r="Q22" s="132">
        <f>[3]UPS!$IK$53</f>
        <v>121155</v>
      </c>
      <c r="R22" s="95">
        <f>'[3]Misc Cargo'!$IK$53</f>
        <v>0</v>
      </c>
      <c r="S22" s="368">
        <f>SUM(B22:E22)+SUM(G22:R22)</f>
        <v>248258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305722</v>
      </c>
      <c r="C23" s="223">
        <f>SUM(C21:C22)</f>
        <v>0</v>
      </c>
      <c r="D23" s="223">
        <f t="shared" ref="D23:E23" si="11">SUM(D21:D22)</f>
        <v>0</v>
      </c>
      <c r="E23" s="223">
        <f t="shared" si="11"/>
        <v>52096</v>
      </c>
      <c r="F23" s="465"/>
      <c r="G23" s="223">
        <f t="shared" ref="G23:R23" si="12">SUM(G21:G22)</f>
        <v>0</v>
      </c>
      <c r="H23" s="223">
        <f t="shared" ref="H23" si="13">SUM(H21:H22)</f>
        <v>0</v>
      </c>
      <c r="I23" s="223">
        <f t="shared" si="12"/>
        <v>0</v>
      </c>
      <c r="J23" s="223">
        <f t="shared" si="12"/>
        <v>6830473</v>
      </c>
      <c r="K23" s="223">
        <f t="shared" si="12"/>
        <v>0</v>
      </c>
      <c r="L23" s="223">
        <f t="shared" si="12"/>
        <v>0</v>
      </c>
      <c r="M23" s="224">
        <f t="shared" si="12"/>
        <v>127103</v>
      </c>
      <c r="N23" s="223">
        <f t="shared" si="12"/>
        <v>0</v>
      </c>
      <c r="O23" s="223">
        <f t="shared" si="12"/>
        <v>458513</v>
      </c>
      <c r="P23" s="223">
        <f t="shared" si="12"/>
        <v>1495973</v>
      </c>
      <c r="Q23" s="223">
        <f t="shared" si="12"/>
        <v>4966597</v>
      </c>
      <c r="R23" s="224">
        <f t="shared" si="12"/>
        <v>0</v>
      </c>
      <c r="S23" s="380">
        <f>SUM(B23:D23)+SUM(G23:R23)</f>
        <v>14184381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5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5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Air'!$IK$57</f>
        <v>0</v>
      </c>
      <c r="C26" s="132">
        <f>[3]DHL!$IK$57</f>
        <v>0</v>
      </c>
      <c r="D26" s="132">
        <f>[3]Airborne!$IK$57</f>
        <v>0</v>
      </c>
      <c r="E26" s="132">
        <f>[3]DHL_Bemidji!$IK$57</f>
        <v>0</v>
      </c>
      <c r="F26" s="465"/>
      <c r="G26" s="132">
        <f>[3]DHL_Encore!$IK$57</f>
        <v>0</v>
      </c>
      <c r="H26" s="132">
        <f>[3]DHL_Mesa!$IK$57</f>
        <v>0</v>
      </c>
      <c r="I26" s="132">
        <f>[3]Encore!$IK$57</f>
        <v>0</v>
      </c>
      <c r="J26" s="132">
        <f>[3]FedEx!$IK$57</f>
        <v>0</v>
      </c>
      <c r="K26" s="132">
        <f>[3]IFL!$IK$57</f>
        <v>0</v>
      </c>
      <c r="L26" s="132">
        <f>[3]DHL_Kalitta!$IK$57</f>
        <v>0</v>
      </c>
      <c r="M26" s="95">
        <f>'[3]Mountain Cargo'!$IK$57</f>
        <v>0</v>
      </c>
      <c r="N26" s="132">
        <f>[3]DHL_Amerijet!$IK$57</f>
        <v>0</v>
      </c>
      <c r="O26" s="132">
        <f>[3]DHL_Swift!$IK$57</f>
        <v>0</v>
      </c>
      <c r="P26" s="132">
        <f>+'[3]Sun Country Cargo'!$IK$57</f>
        <v>0</v>
      </c>
      <c r="Q26" s="132">
        <f>[3]UPS!$IK$57</f>
        <v>0</v>
      </c>
      <c r="R26" s="95">
        <f>'[3]Misc Cargo'!$IK$57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Air'!$IK$58</f>
        <v>0</v>
      </c>
      <c r="C27" s="132">
        <f>[3]DHL!$IK$58</f>
        <v>0</v>
      </c>
      <c r="D27" s="132">
        <f>[3]Airborne!$IK$58</f>
        <v>0</v>
      </c>
      <c r="E27" s="132">
        <f>[3]DHL_Bemidji!$IK$58</f>
        <v>0</v>
      </c>
      <c r="F27" s="465"/>
      <c r="G27" s="132">
        <f>[3]DHL_Encore!$IK$58</f>
        <v>0</v>
      </c>
      <c r="H27" s="132">
        <f>[3]DHL_Mesa!$IK$58</f>
        <v>0</v>
      </c>
      <c r="I27" s="132">
        <f>[3]Encore!$IK$58</f>
        <v>0</v>
      </c>
      <c r="J27" s="132">
        <f>[3]FedEx!$IK$58</f>
        <v>0</v>
      </c>
      <c r="K27" s="132">
        <f>[3]IFL!$IK$58</f>
        <v>0</v>
      </c>
      <c r="L27" s="132">
        <f>[3]DHL_Kalitta!$IK$58</f>
        <v>0</v>
      </c>
      <c r="M27" s="95">
        <f>'[3]Mountain Cargo'!$IK$58</f>
        <v>0</v>
      </c>
      <c r="N27" s="132">
        <f>[3]DHL_Amerijet!$IK$58</f>
        <v>0</v>
      </c>
      <c r="O27" s="132">
        <f>[3]DHL_Swift!$IK$58</f>
        <v>0</v>
      </c>
      <c r="P27" s="132">
        <f>+'[3]Sun Country Cargo'!$IK$58</f>
        <v>0</v>
      </c>
      <c r="Q27" s="132">
        <f>[3]UPS!$IK$58</f>
        <v>0</v>
      </c>
      <c r="R27" s="95">
        <f>'[3]Misc Cargo'!$IK$58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5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5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5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941697</v>
      </c>
      <c r="C31" s="132">
        <f t="shared" ref="C31:R33" si="17">C26+C21+C16</f>
        <v>0</v>
      </c>
      <c r="D31" s="132">
        <f t="shared" si="17"/>
        <v>0</v>
      </c>
      <c r="E31" s="132">
        <f t="shared" si="17"/>
        <v>96813</v>
      </c>
      <c r="F31" s="465"/>
      <c r="G31" s="132">
        <f t="shared" ref="G31:P33" si="18">G26+G21+G16</f>
        <v>0</v>
      </c>
      <c r="H31" s="132">
        <f t="shared" ref="H31" si="19">H26+H21+H16</f>
        <v>0</v>
      </c>
      <c r="I31" s="132">
        <f t="shared" si="18"/>
        <v>0</v>
      </c>
      <c r="J31" s="132">
        <f t="shared" si="18"/>
        <v>12901161</v>
      </c>
      <c r="K31" s="132">
        <f t="shared" si="18"/>
        <v>55038</v>
      </c>
      <c r="L31" s="132">
        <f t="shared" si="18"/>
        <v>0</v>
      </c>
      <c r="M31" s="95">
        <f>M26+M21+M16</f>
        <v>0</v>
      </c>
      <c r="N31" s="132">
        <f t="shared" si="18"/>
        <v>0</v>
      </c>
      <c r="O31" s="132">
        <f t="shared" si="18"/>
        <v>1366720</v>
      </c>
      <c r="P31" s="132">
        <f t="shared" si="18"/>
        <v>3229850</v>
      </c>
      <c r="Q31" s="132">
        <f t="shared" si="17"/>
        <v>10945407</v>
      </c>
      <c r="R31" s="95">
        <f>R26+R21+R16</f>
        <v>0</v>
      </c>
      <c r="S31" s="368">
        <f>SUM(B31:E31)+SUM(G31:R31)</f>
        <v>29536686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6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185212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415714</v>
      </c>
      <c r="R32" s="95">
        <f>R27+R22+R17</f>
        <v>0</v>
      </c>
      <c r="S32" s="368">
        <f>SUM(B32:E32)+SUM(G32:R32)</f>
        <v>600926</v>
      </c>
    </row>
    <row r="33" spans="1:19" ht="18" customHeight="1" thickBot="1" x14ac:dyDescent="0.25">
      <c r="A33" s="160" t="s">
        <v>46</v>
      </c>
      <c r="B33" s="373">
        <f>B28+B23+B18</f>
        <v>941697</v>
      </c>
      <c r="C33" s="161">
        <f t="shared" ref="C33:I33" si="21">C28+C23+C18</f>
        <v>0</v>
      </c>
      <c r="D33" s="161">
        <f t="shared" si="21"/>
        <v>0</v>
      </c>
      <c r="E33" s="161">
        <f t="shared" si="21"/>
        <v>96813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0</v>
      </c>
      <c r="I33" s="161">
        <f t="shared" si="21"/>
        <v>0</v>
      </c>
      <c r="J33" s="161">
        <f t="shared" si="18"/>
        <v>12901161</v>
      </c>
      <c r="K33" s="161">
        <f t="shared" si="18"/>
        <v>55038</v>
      </c>
      <c r="L33" s="161">
        <f t="shared" si="18"/>
        <v>0</v>
      </c>
      <c r="M33" s="162">
        <f>M28+M23+M18</f>
        <v>185212</v>
      </c>
      <c r="N33" s="161">
        <f t="shared" si="18"/>
        <v>0</v>
      </c>
      <c r="O33" s="161">
        <f t="shared" si="18"/>
        <v>1366720</v>
      </c>
      <c r="P33" s="161">
        <f t="shared" si="17"/>
        <v>3229850</v>
      </c>
      <c r="Q33" s="161">
        <f t="shared" si="17"/>
        <v>11361121</v>
      </c>
      <c r="R33" s="162">
        <f t="shared" si="17"/>
        <v>0</v>
      </c>
      <c r="S33" s="374">
        <f>SUM(B33:E33)+SUM(G33:R33)</f>
        <v>30137612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June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45078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3651226</v>
      </c>
      <c r="C5" s="95">
        <f>'Regional Major'!M25</f>
        <v>33676.800000000003</v>
      </c>
      <c r="D5" s="95">
        <f>Cargo!S16</f>
        <v>15548467</v>
      </c>
      <c r="E5" s="95">
        <f>SUM(B5:D5)</f>
        <v>19233369.800000001</v>
      </c>
      <c r="F5" s="95">
        <f>E5*0.00045359237</f>
        <v>8724.1097906684263</v>
      </c>
      <c r="G5" s="95">
        <f>'[1]Cargo Summary'!F5</f>
        <v>10309.573382196319</v>
      </c>
      <c r="H5" s="77">
        <f>(F5-G5)/G5</f>
        <v>-0.1537855673316067</v>
      </c>
      <c r="I5" s="95">
        <f>+'[2]Cargo Summary'!I5+F5</f>
        <v>51456.468638096674</v>
      </c>
      <c r="J5" s="95">
        <f>+'[1]Cargo Summary'!I5</f>
        <v>55986.429231363698</v>
      </c>
      <c r="K5" s="65">
        <f>(I5-J5)/J5</f>
        <v>-8.0911761215329156E-2</v>
      </c>
      <c r="M5" s="13"/>
      <c r="O5" s="400"/>
    </row>
    <row r="6" spans="1:18" x14ac:dyDescent="0.2">
      <c r="A6" s="45" t="s">
        <v>16</v>
      </c>
      <c r="B6" s="139">
        <f>'Major Airline Stats'!K29</f>
        <v>498354</v>
      </c>
      <c r="C6" s="95">
        <f>'Regional Major'!M26</f>
        <v>0</v>
      </c>
      <c r="D6" s="95">
        <f>Cargo!S17</f>
        <v>352668</v>
      </c>
      <c r="E6" s="95">
        <f>SUM(B6:D6)</f>
        <v>851022</v>
      </c>
      <c r="F6" s="95">
        <f>E6*0.00045359237</f>
        <v>386.01708590213997</v>
      </c>
      <c r="G6" s="95">
        <f>'[1]Cargo Summary'!F6</f>
        <v>1391.6050618346799</v>
      </c>
      <c r="H6" s="3">
        <f>(F6-G6)/G6</f>
        <v>-0.72261017404376315</v>
      </c>
      <c r="I6" s="95">
        <f>+'[2]Cargo Summary'!I6+F6</f>
        <v>3483.2528360614601</v>
      </c>
      <c r="J6" s="95">
        <f>+'[1]Cargo Summary'!I6</f>
        <v>9368.4550794819588</v>
      </c>
      <c r="K6" s="65">
        <f>(I6-J6)/J6</f>
        <v>-0.62819346343558802</v>
      </c>
      <c r="M6" s="13"/>
    </row>
    <row r="7" spans="1:18" ht="18" customHeight="1" thickBot="1" x14ac:dyDescent="0.25">
      <c r="A7" s="54" t="s">
        <v>71</v>
      </c>
      <c r="B7" s="141">
        <f>SUM(B5:B6)</f>
        <v>4149580</v>
      </c>
      <c r="C7" s="105">
        <f t="shared" ref="C7:J7" si="0">SUM(C5:C6)</f>
        <v>33676.800000000003</v>
      </c>
      <c r="D7" s="105">
        <f t="shared" si="0"/>
        <v>15901135</v>
      </c>
      <c r="E7" s="105">
        <f t="shared" si="0"/>
        <v>20084391.800000001</v>
      </c>
      <c r="F7" s="105">
        <f t="shared" si="0"/>
        <v>9110.1268765705663</v>
      </c>
      <c r="G7" s="105">
        <f t="shared" si="0"/>
        <v>11701.178444030998</v>
      </c>
      <c r="H7" s="28">
        <f>(F7-G7)/G7</f>
        <v>-0.22143509560630439</v>
      </c>
      <c r="I7" s="105">
        <f t="shared" si="0"/>
        <v>54939.721474158134</v>
      </c>
      <c r="J7" s="105">
        <f t="shared" si="0"/>
        <v>65354.884310845657</v>
      </c>
      <c r="K7" s="238">
        <f>(I7-J7)/J7</f>
        <v>-0.15936318985969231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2409223</v>
      </c>
      <c r="C10" s="95">
        <f>'Regional Major'!M30</f>
        <v>32564.5</v>
      </c>
      <c r="D10" s="95">
        <f>Cargo!S21</f>
        <v>13988219</v>
      </c>
      <c r="E10" s="95">
        <f>SUM(B10:D10)</f>
        <v>16430006.5</v>
      </c>
      <c r="F10" s="95">
        <f>E10*0.00045359237</f>
        <v>7452.5255874504046</v>
      </c>
      <c r="G10" s="95">
        <f>'[1]Cargo Summary'!F10</f>
        <v>8352.9027678022067</v>
      </c>
      <c r="H10" s="3">
        <f>(F10-G10)/G10</f>
        <v>-0.10779212991948987</v>
      </c>
      <c r="I10" s="95">
        <f>+'[2]Cargo Summary'!I10+F10</f>
        <v>43119.328749462809</v>
      </c>
      <c r="J10" s="95">
        <f>+'[1]Cargo Summary'!I10</f>
        <v>43234.580628619762</v>
      </c>
      <c r="K10" s="65">
        <f>(I10-J10)/J10</f>
        <v>-2.6657337131809743E-3</v>
      </c>
      <c r="M10" s="13"/>
      <c r="O10" s="400"/>
    </row>
    <row r="11" spans="1:18" x14ac:dyDescent="0.2">
      <c r="A11" s="45" t="s">
        <v>16</v>
      </c>
      <c r="B11" s="139">
        <f>'Major Airline Stats'!K34</f>
        <v>566023</v>
      </c>
      <c r="C11" s="95">
        <f>'Regional Major'!M31</f>
        <v>0</v>
      </c>
      <c r="D11" s="95">
        <f>Cargo!S22</f>
        <v>248258</v>
      </c>
      <c r="E11" s="95">
        <f>SUM(B11:D11)</f>
        <v>814281</v>
      </c>
      <c r="F11" s="95">
        <f>E11*0.00045359237</f>
        <v>369.35164863596998</v>
      </c>
      <c r="G11" s="95">
        <f>'[1]Cargo Summary'!F11</f>
        <v>1060.15831319013</v>
      </c>
      <c r="H11" s="25">
        <f>(F11-G11)/G11</f>
        <v>-0.65160708165882208</v>
      </c>
      <c r="I11" s="95">
        <f>+'[2]Cargo Summary'!I11+F11</f>
        <v>3248.6063279138698</v>
      </c>
      <c r="J11" s="95">
        <f>+'[1]Cargo Summary'!I11</f>
        <v>7587.8628089063805</v>
      </c>
      <c r="K11" s="65">
        <f>(I11-J11)/J11</f>
        <v>-0.57186807277264373</v>
      </c>
      <c r="M11" s="13"/>
    </row>
    <row r="12" spans="1:18" ht="18" customHeight="1" thickBot="1" x14ac:dyDescent="0.25">
      <c r="A12" s="54" t="s">
        <v>72</v>
      </c>
      <c r="B12" s="141">
        <f>SUM(B10:B11)</f>
        <v>2975246</v>
      </c>
      <c r="C12" s="105">
        <f t="shared" ref="C12:J12" si="1">SUM(C10:C11)</f>
        <v>32564.5</v>
      </c>
      <c r="D12" s="105">
        <f t="shared" si="1"/>
        <v>14236477</v>
      </c>
      <c r="E12" s="105">
        <f t="shared" si="1"/>
        <v>17244287.5</v>
      </c>
      <c r="F12" s="105">
        <f t="shared" si="1"/>
        <v>7821.877236086375</v>
      </c>
      <c r="G12" s="105">
        <f t="shared" si="1"/>
        <v>9413.0610809923364</v>
      </c>
      <c r="H12" s="28">
        <f>(F12-G12)/G12</f>
        <v>-0.16903999997609884</v>
      </c>
      <c r="I12" s="105">
        <f>SUM(I10:I11)</f>
        <v>46367.935077376678</v>
      </c>
      <c r="J12" s="105">
        <f t="shared" si="1"/>
        <v>50822.443437526141</v>
      </c>
      <c r="K12" s="238">
        <f>(I12-J12)/J12</f>
        <v>-8.7648449363226688E-2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6060449</v>
      </c>
      <c r="C20" s="95">
        <f t="shared" si="3"/>
        <v>66241.3</v>
      </c>
      <c r="D20" s="95">
        <f t="shared" si="3"/>
        <v>29536686</v>
      </c>
      <c r="E20" s="95">
        <f>SUM(B20:D20)</f>
        <v>35663376.299999997</v>
      </c>
      <c r="F20" s="95">
        <f>E20*0.00045359237</f>
        <v>16176.63537811883</v>
      </c>
      <c r="G20" s="95">
        <f>'[1]Cargo Summary'!F20</f>
        <v>18662.476149998529</v>
      </c>
      <c r="H20" s="3">
        <f>(F20-G20)/G20</f>
        <v>-0.13319994366770535</v>
      </c>
      <c r="I20" s="95">
        <f>+'[2]Cargo Summary'!I20+F20</f>
        <v>94575.797387559491</v>
      </c>
      <c r="J20" s="95">
        <f>+'[1]Cargo Summary'!I20</f>
        <v>99221.009859983489</v>
      </c>
      <c r="K20" s="65">
        <f>(I20-J20)/J20</f>
        <v>-4.6816823160529472E-2</v>
      </c>
      <c r="M20" s="13"/>
    </row>
    <row r="21" spans="1:13" x14ac:dyDescent="0.2">
      <c r="A21" s="45" t="s">
        <v>16</v>
      </c>
      <c r="B21" s="139">
        <f t="shared" si="3"/>
        <v>1064377</v>
      </c>
      <c r="C21" s="96">
        <f t="shared" si="3"/>
        <v>0</v>
      </c>
      <c r="D21" s="96">
        <f t="shared" si="3"/>
        <v>600926</v>
      </c>
      <c r="E21" s="95">
        <f>SUM(B21:D21)</f>
        <v>1665303</v>
      </c>
      <c r="F21" s="95">
        <f>E21*0.00045359237</f>
        <v>755.36873453810995</v>
      </c>
      <c r="G21" s="95">
        <f>'[1]Cargo Summary'!F21</f>
        <v>2451.7633750248101</v>
      </c>
      <c r="H21" s="3">
        <f>(F21-G21)/G21</f>
        <v>-0.69190797846449348</v>
      </c>
      <c r="I21" s="95">
        <f>+'[2]Cargo Summary'!I21+F21</f>
        <v>6731.8591639753304</v>
      </c>
      <c r="J21" s="95">
        <f>+'[1]Cargo Summary'!I21</f>
        <v>16956.317888388341</v>
      </c>
      <c r="K21" s="65">
        <f>(I21-J21)/J21</f>
        <v>-0.60298814823557323</v>
      </c>
      <c r="M21" s="13"/>
    </row>
    <row r="22" spans="1:13" ht="18" customHeight="1" thickBot="1" x14ac:dyDescent="0.25">
      <c r="A22" s="67" t="s">
        <v>62</v>
      </c>
      <c r="B22" s="142">
        <f>SUM(B20:B21)</f>
        <v>7124826</v>
      </c>
      <c r="C22" s="143">
        <f t="shared" ref="C22:J22" si="4">SUM(C20:C21)</f>
        <v>66241.3</v>
      </c>
      <c r="D22" s="143">
        <f t="shared" si="4"/>
        <v>30137612</v>
      </c>
      <c r="E22" s="143">
        <f t="shared" si="4"/>
        <v>37328679.299999997</v>
      </c>
      <c r="F22" s="143">
        <f t="shared" si="4"/>
        <v>16932.004112656941</v>
      </c>
      <c r="G22" s="143">
        <f t="shared" si="4"/>
        <v>21114.239525023339</v>
      </c>
      <c r="H22" s="244">
        <f>(F22-G22)/G22</f>
        <v>-0.19807653538314088</v>
      </c>
      <c r="I22" s="143">
        <f>SUM(I20:I21)</f>
        <v>101307.65655153482</v>
      </c>
      <c r="J22" s="143">
        <f t="shared" si="4"/>
        <v>116177.32774837183</v>
      </c>
      <c r="K22" s="245">
        <f>(I22-J22)/J22</f>
        <v>-0.12799116217445791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S34" sqref="S34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3" t="s">
        <v>182</v>
      </c>
      <c r="B2" s="474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3" t="s">
        <v>178</v>
      </c>
      <c r="K2" s="474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5">
        <v>45078</v>
      </c>
      <c r="B3" s="476"/>
      <c r="C3" s="477" t="s">
        <v>9</v>
      </c>
      <c r="D3" s="478"/>
      <c r="E3" s="478"/>
      <c r="F3" s="478"/>
      <c r="G3" s="478"/>
      <c r="H3" s="479"/>
      <c r="I3" s="365"/>
      <c r="J3" s="475">
        <f>+A3</f>
        <v>45078</v>
      </c>
      <c r="K3" s="476"/>
      <c r="L3" s="470" t="s">
        <v>179</v>
      </c>
      <c r="M3" s="471"/>
      <c r="N3" s="471"/>
      <c r="O3" s="471"/>
      <c r="P3" s="471"/>
      <c r="Q3" s="471"/>
      <c r="R3" s="472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146</v>
      </c>
      <c r="D5" s="382">
        <f>SUM(D6:D7)</f>
        <v>130</v>
      </c>
      <c r="E5" s="383">
        <f>(C5-D5)/D5</f>
        <v>0.12307692307692308</v>
      </c>
      <c r="F5" s="382">
        <f>SUM(F6:F7)</f>
        <v>1040</v>
      </c>
      <c r="G5" s="382">
        <f>SUM(G6:G7)</f>
        <v>933</v>
      </c>
      <c r="H5" s="384">
        <f>(F5-G5)/G5</f>
        <v>0.11468381564844587</v>
      </c>
      <c r="I5" s="383">
        <f>+F5/$F$34</f>
        <v>0.1481903676261043</v>
      </c>
      <c r="J5" s="258" t="s">
        <v>202</v>
      </c>
      <c r="K5" s="39"/>
      <c r="L5" s="382">
        <f>SUM(L6:L7)</f>
        <v>4171547</v>
      </c>
      <c r="M5" s="382">
        <f>SUM(M6:M7)</f>
        <v>5403085</v>
      </c>
      <c r="N5" s="383">
        <f>(L5-M5)/M5</f>
        <v>-0.22793237567056598</v>
      </c>
      <c r="O5" s="382">
        <f>SUM(O6:O7)</f>
        <v>32239486</v>
      </c>
      <c r="P5" s="382">
        <f>SUM(P6:P7)</f>
        <v>32864679</v>
      </c>
      <c r="Q5" s="384">
        <f>(O5-P5)/P5</f>
        <v>-1.9023249854349712E-2</v>
      </c>
      <c r="R5" s="383">
        <f>O5/$O$34</f>
        <v>0.17806449097183724</v>
      </c>
      <c r="T5" s="391"/>
    </row>
    <row r="6" spans="1:20" ht="14.1" customHeight="1" x14ac:dyDescent="0.2">
      <c r="A6" s="37"/>
      <c r="B6" s="318" t="s">
        <v>203</v>
      </c>
      <c r="C6" s="322">
        <f>+'[3]Atlas Air'!$IK$19</f>
        <v>18</v>
      </c>
      <c r="D6" s="217">
        <f>+'[3]Atlas Air'!$HW$19</f>
        <v>64</v>
      </c>
      <c r="E6" s="324">
        <f>(C6-D6)/D6</f>
        <v>-0.71875</v>
      </c>
      <c r="F6" s="322">
        <f>+SUM('[3]Atlas Air'!$IF$19:$IK$19)</f>
        <v>320</v>
      </c>
      <c r="G6" s="217">
        <f>+SUM('[3]Atlas Air'!$HR$19:$HW$19)</f>
        <v>362</v>
      </c>
      <c r="H6" s="323">
        <f>(F6-G6)/G6</f>
        <v>-0.11602209944751381</v>
      </c>
      <c r="I6" s="324">
        <f>+F6/$F$34</f>
        <v>4.5597036192647475E-2</v>
      </c>
      <c r="J6" s="37"/>
      <c r="K6" s="318" t="s">
        <v>203</v>
      </c>
      <c r="L6" s="322">
        <f>+'[3]Atlas Air'!$IK$64</f>
        <v>941697</v>
      </c>
      <c r="M6" s="217">
        <f>+'[3]Atlas Air'!$HW$64</f>
        <v>3887409</v>
      </c>
      <c r="N6" s="324">
        <f>(L6-M6)/M6</f>
        <v>-0.75775715907433461</v>
      </c>
      <c r="O6" s="217">
        <f>+SUM('[3]Atlas Air'!$IF$64:$IK$64)</f>
        <v>15411073</v>
      </c>
      <c r="P6" s="217">
        <f>+SUM('[3]Atlas Air'!$HR$64:$HW$64)</f>
        <v>18662277</v>
      </c>
      <c r="Q6" s="323">
        <f>(O6-P6)/P6</f>
        <v>-0.17421261081914066</v>
      </c>
      <c r="R6" s="324">
        <f>O6/$O$34</f>
        <v>8.5118133368342938E-2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Cargo'!$IK$19</f>
        <v>128</v>
      </c>
      <c r="D7" s="217">
        <f>+'[3]Sun Country Cargo'!$HW$19</f>
        <v>66</v>
      </c>
      <c r="E7" s="324">
        <f>(C7-D7)/D7</f>
        <v>0.93939393939393945</v>
      </c>
      <c r="F7" s="322">
        <f>+SUM('[3]Sun Country Cargo'!$IF$19:$IK$19)</f>
        <v>720</v>
      </c>
      <c r="G7" s="217">
        <f>+SUM('[3]Sun Country Cargo'!$HR$19:$HW$19)</f>
        <v>571</v>
      </c>
      <c r="H7" s="323">
        <f>(F7-G7)/G7</f>
        <v>0.26094570928196148</v>
      </c>
      <c r="I7" s="324">
        <f>+F7/$F$34</f>
        <v>0.10259333143345682</v>
      </c>
      <c r="J7" s="37"/>
      <c r="K7" s="318" t="s">
        <v>49</v>
      </c>
      <c r="L7" s="322">
        <f>+'[3]Sun Country Cargo'!$IK$64</f>
        <v>3229850</v>
      </c>
      <c r="M7" s="217">
        <f>+'[3]Sun Country Cargo'!$HW$64</f>
        <v>1515676</v>
      </c>
      <c r="N7" s="324">
        <f>(L7-M7)/M7</f>
        <v>1.1309633457282426</v>
      </c>
      <c r="O7" s="217">
        <f>+SUM('[3]Sun Country Cargo'!$IF$64:$IK$64)</f>
        <v>16828413</v>
      </c>
      <c r="P7" s="217">
        <f>+SUM('[3]Sun Country Cargo'!$HR$64:$HW$64)</f>
        <v>14202402</v>
      </c>
      <c r="Q7" s="323">
        <f>(O7-P7)/P7</f>
        <v>0.18489907552257709</v>
      </c>
      <c r="R7" s="324">
        <f>O7/$O$34</f>
        <v>9.2946357603494317E-2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160</v>
      </c>
      <c r="D9" s="382">
        <f>SUM(D10:D18)</f>
        <v>102</v>
      </c>
      <c r="E9" s="383">
        <f>(C9-D9)/D9</f>
        <v>0.56862745098039214</v>
      </c>
      <c r="F9" s="382">
        <f>SUM(F10:F18)</f>
        <v>846</v>
      </c>
      <c r="G9" s="382">
        <f>SUM(G10:G18)</f>
        <v>836</v>
      </c>
      <c r="H9" s="384">
        <f>(F9-G9)/G9</f>
        <v>1.1961722488038277E-2</v>
      </c>
      <c r="I9" s="383">
        <f t="shared" ref="I9:I18" si="0">+F9/$F$34</f>
        <v>0.12054716443431177</v>
      </c>
      <c r="J9" s="258" t="s">
        <v>204</v>
      </c>
      <c r="K9" s="39"/>
      <c r="L9" s="382">
        <f>SUM(L10:L18)</f>
        <v>1463533</v>
      </c>
      <c r="M9" s="382">
        <f>SUM(M10:M18)</f>
        <v>296797</v>
      </c>
      <c r="N9" s="383">
        <f t="shared" ref="N9:N18" si="1">(L9-M9)/M9</f>
        <v>3.9310909476847811</v>
      </c>
      <c r="O9" s="382">
        <f>SUM(O10:O18)</f>
        <v>8620280</v>
      </c>
      <c r="P9" s="382">
        <f>SUM(P10:P18)</f>
        <v>9802123</v>
      </c>
      <c r="Q9" s="384">
        <f t="shared" ref="Q9:Q18" si="2">(O9-P9)/P9</f>
        <v>-0.12057010506805516</v>
      </c>
      <c r="R9" s="383">
        <f t="shared" ref="R9:R18" si="3">O9/$O$34</f>
        <v>4.7611359878216089E-2</v>
      </c>
      <c r="T9" s="391"/>
    </row>
    <row r="10" spans="1:20" ht="14.1" customHeight="1" x14ac:dyDescent="0.2">
      <c r="A10" s="258"/>
      <c r="B10" s="318" t="s">
        <v>205</v>
      </c>
      <c r="C10" s="322">
        <f>+[3]Airborne!$IK$19</f>
        <v>0</v>
      </c>
      <c r="D10" s="217">
        <f>+[3]Airborne!$HW$19</f>
        <v>2</v>
      </c>
      <c r="E10" s="324">
        <f>(C10-D10)/D10</f>
        <v>-1</v>
      </c>
      <c r="F10" s="322">
        <f>+SUM([3]Airborne!$IF$19:$IK$19)</f>
        <v>22</v>
      </c>
      <c r="G10" s="217">
        <f>+SUM([3]Airborne!$HR$19:$HW$19)</f>
        <v>12</v>
      </c>
      <c r="H10" s="323">
        <f>(F10-G10)/G10</f>
        <v>0.83333333333333337</v>
      </c>
      <c r="I10" s="324">
        <f t="shared" si="0"/>
        <v>3.134796238244514E-3</v>
      </c>
      <c r="J10" s="258"/>
      <c r="K10" s="318" t="s">
        <v>205</v>
      </c>
      <c r="L10" s="322">
        <f>+[3]Airborne!$IK$64</f>
        <v>0</v>
      </c>
      <c r="M10" s="217">
        <f>+[3]Airborne!$HW$64</f>
        <v>51484</v>
      </c>
      <c r="N10" s="324">
        <f t="shared" si="1"/>
        <v>-1</v>
      </c>
      <c r="O10" s="322">
        <f>+SUM([3]Airborne!$IF$64:$IK$64)</f>
        <v>554446</v>
      </c>
      <c r="P10" s="217">
        <f>+SUM([3]Airborne!$HR$64:$HW$64)</f>
        <v>352522</v>
      </c>
      <c r="Q10" s="323">
        <f t="shared" si="2"/>
        <v>0.57279829343984201</v>
      </c>
      <c r="R10" s="324">
        <f t="shared" si="3"/>
        <v>3.0623051732701716E-3</v>
      </c>
      <c r="T10" s="391"/>
    </row>
    <row r="11" spans="1:20" ht="14.1" customHeight="1" x14ac:dyDescent="0.2">
      <c r="A11" s="258"/>
      <c r="B11" s="39" t="s">
        <v>203</v>
      </c>
      <c r="C11" s="322">
        <f>+[3]DHL_Atlas!$IK$19</f>
        <v>0</v>
      </c>
      <c r="D11" s="217">
        <f>+[3]DHL_Atlas!$HW$19</f>
        <v>0</v>
      </c>
      <c r="E11" s="324" t="e">
        <f t="shared" ref="E11:E18" si="4">(C11-D11)/D11</f>
        <v>#DIV/0!</v>
      </c>
      <c r="F11" s="322">
        <f>+SUM([3]DHL_Atlas!$IF$19:$IK$19)</f>
        <v>0</v>
      </c>
      <c r="G11" s="217">
        <f>+SUM([3]DHL_Atlas!$HR$19:$HW$19)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+[3]DHL_Atlas!$IK$64</f>
        <v>0</v>
      </c>
      <c r="M11" s="217">
        <f>+[3]DHL_Atlas!$HW$64</f>
        <v>0</v>
      </c>
      <c r="N11" s="324" t="e">
        <f t="shared" si="1"/>
        <v>#DIV/0!</v>
      </c>
      <c r="O11" s="322">
        <f>+SUM([3]DHL_Atlas!$IF$64:$IK$64)</f>
        <v>0</v>
      </c>
      <c r="P11" s="217">
        <f>+SUM([3]DHL_Atlas!$HR$64:$HW$64)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+[3]DHL!$IK$19</f>
        <v>0</v>
      </c>
      <c r="D12" s="217">
        <f>+[3]DHL!$HW$19</f>
        <v>0</v>
      </c>
      <c r="E12" s="324" t="e">
        <f t="shared" si="4"/>
        <v>#DIV/0!</v>
      </c>
      <c r="F12" s="322">
        <f>+SUM([3]DHL!$IF$19:$IK$19)</f>
        <v>6</v>
      </c>
      <c r="G12" s="217">
        <f>+SUM([3]DHL!$HR$19:$HW$19)</f>
        <v>0</v>
      </c>
      <c r="H12" s="323" t="e">
        <f t="shared" si="5"/>
        <v>#DIV/0!</v>
      </c>
      <c r="I12" s="324">
        <f t="shared" si="0"/>
        <v>8.549444286121402E-4</v>
      </c>
      <c r="J12" s="258"/>
      <c r="K12" s="39" t="s">
        <v>206</v>
      </c>
      <c r="L12" s="322">
        <f>+[3]DHL!$IK$64</f>
        <v>0</v>
      </c>
      <c r="M12" s="217">
        <f>+[3]DHL!$HW$64</f>
        <v>0</v>
      </c>
      <c r="N12" s="324" t="e">
        <f t="shared" si="1"/>
        <v>#DIV/0!</v>
      </c>
      <c r="O12" s="322">
        <f>+SUM([3]DHL!$IF$64:$IK$64)</f>
        <v>131916</v>
      </c>
      <c r="P12" s="217">
        <f>+SUM([3]DHL!$HR$64:$HW$64)</f>
        <v>0</v>
      </c>
      <c r="Q12" s="323" t="e">
        <f t="shared" si="2"/>
        <v>#DIV/0!</v>
      </c>
      <c r="R12" s="324">
        <f t="shared" si="3"/>
        <v>7.2859584023891952E-4</v>
      </c>
      <c r="T12" s="391"/>
    </row>
    <row r="13" spans="1:20" ht="14.1" customHeight="1" x14ac:dyDescent="0.2">
      <c r="A13" s="258"/>
      <c r="B13" s="318" t="s">
        <v>83</v>
      </c>
      <c r="C13" s="322">
        <f>+[3]DHL_Bemidji!$IK$19</f>
        <v>80</v>
      </c>
      <c r="D13" s="217">
        <f>+[3]DHL_Bemidji!$HW$19</f>
        <v>88</v>
      </c>
      <c r="E13" s="324">
        <f>(C13-D13)/D13</f>
        <v>-9.0909090909090912E-2</v>
      </c>
      <c r="F13" s="322">
        <f>+SUM([3]DHL_Bemidji!$IF$19:$IK$19)</f>
        <v>426</v>
      </c>
      <c r="G13" s="217">
        <f>+SUM([3]DHL_Bemidji!$HR$19:$HW$19)</f>
        <v>474</v>
      </c>
      <c r="H13" s="323">
        <f t="shared" si="5"/>
        <v>-0.10126582278481013</v>
      </c>
      <c r="I13" s="324">
        <f t="shared" si="0"/>
        <v>6.0701054431461954E-2</v>
      </c>
      <c r="J13" s="258"/>
      <c r="K13" s="318" t="s">
        <v>83</v>
      </c>
      <c r="L13" s="322">
        <f>+[3]DHL_Bemidji!$IK$64</f>
        <v>96813</v>
      </c>
      <c r="M13" s="217">
        <f>+[3]DHL_Bemidji!$HW$64</f>
        <v>106736</v>
      </c>
      <c r="N13" s="324">
        <f t="shared" ref="N13" si="6">(L13-M13)/M13</f>
        <v>-9.296769599760156E-2</v>
      </c>
      <c r="O13" s="322">
        <f>+SUM([3]DHL_Bemidji!$IF$64:$IK$64)</f>
        <v>539204</v>
      </c>
      <c r="P13" s="217">
        <f>+SUM([3]DHL_Bemidji!$HR$64:$HW$64)</f>
        <v>653709</v>
      </c>
      <c r="Q13" s="323">
        <f t="shared" ref="Q13" si="7">(O13-P13)/P13</f>
        <v>-0.17516203693080559</v>
      </c>
      <c r="R13" s="324">
        <f t="shared" si="3"/>
        <v>2.9781208605490338E-3</v>
      </c>
      <c r="T13" s="391"/>
    </row>
    <row r="14" spans="1:20" ht="14.1" customHeight="1" x14ac:dyDescent="0.2">
      <c r="A14" s="258"/>
      <c r="B14" s="39" t="s">
        <v>194</v>
      </c>
      <c r="C14" s="322">
        <f>+[3]Encore!$IK$19+[3]DHL_Encore!$IK$12</f>
        <v>0</v>
      </c>
      <c r="D14" s="217">
        <f>+[3]Encore!$HW$19+[3]DHL_Encore!$HW$19</f>
        <v>0</v>
      </c>
      <c r="E14" s="324" t="e">
        <f t="shared" si="4"/>
        <v>#DIV/0!</v>
      </c>
      <c r="F14" s="322">
        <f>+SUM([3]Encore!$IF$19:$IK$19)+SUM([3]DHL_Encore!$IF$19:$IK$19)</f>
        <v>0</v>
      </c>
      <c r="G14" s="217">
        <f>+SUM([3]Encore!$HR$19:$HW$19)+SUM([3]DHL_Encore!$HR$19:$HW$19)</f>
        <v>0</v>
      </c>
      <c r="H14" s="323" t="e">
        <f t="shared" si="5"/>
        <v>#DIV/0!</v>
      </c>
      <c r="I14" s="324">
        <f t="shared" si="0"/>
        <v>0</v>
      </c>
      <c r="J14" s="258"/>
      <c r="K14" s="39" t="s">
        <v>194</v>
      </c>
      <c r="L14" s="322">
        <f>+[3]Encore!$IK$64+[3]DHL_Encore!$IK$64</f>
        <v>0</v>
      </c>
      <c r="M14" s="217">
        <f>+[3]Encore!$HW$64+[3]DHL_Encore!$HW$64</f>
        <v>0</v>
      </c>
      <c r="N14" s="324" t="e">
        <f t="shared" si="1"/>
        <v>#DIV/0!</v>
      </c>
      <c r="O14" s="322">
        <f>+SUM([3]Encore!$IF$64:$IK$64)+SUM([3]DHL_Encore!$IF$64:$IK$64)</f>
        <v>0</v>
      </c>
      <c r="P14" s="217">
        <f>+SUM([3]Encore!$HR$64:$HW$64)+SUM([3]DHL_Encore!$HR$64:$HW$64)</f>
        <v>0</v>
      </c>
      <c r="Q14" s="323" t="e">
        <f t="shared" si="2"/>
        <v>#DIV/0!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+[3]DHL_Kalitta!$IK$19</f>
        <v>0</v>
      </c>
      <c r="D15" s="217">
        <f>+[3]DHL_Kalitta!$HW$19</f>
        <v>0</v>
      </c>
      <c r="E15" s="324" t="e">
        <f t="shared" si="4"/>
        <v>#DIV/0!</v>
      </c>
      <c r="F15" s="322">
        <f>+SUM([3]DHL_Kalitta!$IF$19:$IK$19)</f>
        <v>0</v>
      </c>
      <c r="G15" s="217">
        <f>+SUM([3]DHL_Kalitta!$HR$19:$HW$19)</f>
        <v>2</v>
      </c>
      <c r="H15" s="323">
        <f t="shared" si="5"/>
        <v>-1</v>
      </c>
      <c r="I15" s="324">
        <f t="shared" si="0"/>
        <v>0</v>
      </c>
      <c r="J15" s="258"/>
      <c r="K15" s="39" t="s">
        <v>207</v>
      </c>
      <c r="L15" s="322">
        <f>+[3]DHL_Kalitta!$IK$64</f>
        <v>0</v>
      </c>
      <c r="M15" s="217">
        <f>+[3]DHL_Kalitta!$HW$64</f>
        <v>0</v>
      </c>
      <c r="N15" s="324" t="e">
        <f t="shared" si="1"/>
        <v>#DIV/0!</v>
      </c>
      <c r="O15" s="322">
        <f>+SUM([3]DHL_Kalitta!$IF$64:$IK$64)</f>
        <v>0</v>
      </c>
      <c r="P15" s="217">
        <f>+SUM([3]DHL_Kalitta!$HR$64:$HW$64)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+[3]DHL_Mesa!$IK$19</f>
        <v>0</v>
      </c>
      <c r="D16" s="217">
        <f>+[3]DHL_Mesa!$HW$19</f>
        <v>0</v>
      </c>
      <c r="E16" s="324" t="e">
        <f t="shared" ref="E16" si="8">(C16-D16)/D16</f>
        <v>#DIV/0!</v>
      </c>
      <c r="F16" s="322">
        <f>+SUM([3]DHL_Mesa!$IF$19:$IK$19)</f>
        <v>136</v>
      </c>
      <c r="G16" s="217">
        <f>+SUM([3]DHL_Mesa!$HR$19:$HW$19)</f>
        <v>78</v>
      </c>
      <c r="H16" s="323">
        <f t="shared" ref="H16" si="9">(F16-G16)/G16</f>
        <v>0.74358974358974361</v>
      </c>
      <c r="I16" s="324">
        <f t="shared" ref="I16" si="10">+F16/$F$34</f>
        <v>1.9378740381875179E-2</v>
      </c>
      <c r="J16" s="258"/>
      <c r="K16" s="39" t="s">
        <v>51</v>
      </c>
      <c r="L16" s="322">
        <f>+[3]DHL_Mesa!$IK$64</f>
        <v>0</v>
      </c>
      <c r="M16" s="217">
        <f>+[3]DHL_Mesa!$HW$64</f>
        <v>0</v>
      </c>
      <c r="N16" s="324" t="e">
        <f t="shared" ref="N16" si="11">(L16-M16)/M16</f>
        <v>#DIV/0!</v>
      </c>
      <c r="O16" s="322">
        <f>+SUM([3]DHL_Mesa!$IF$64:$IK$64)</f>
        <v>2287846</v>
      </c>
      <c r="P16" s="217">
        <f>+SUM([3]DHL_Mesa!$HR$64:$HW$64)</f>
        <v>1540094</v>
      </c>
      <c r="Q16" s="323">
        <f t="shared" ref="Q16" si="12">(O16-P16)/P16</f>
        <v>0.48552361089647772</v>
      </c>
      <c r="R16" s="324">
        <f t="shared" ref="R16" si="13">O16/$O$34</f>
        <v>1.2636185744771301E-2</v>
      </c>
      <c r="T16" s="391"/>
    </row>
    <row r="17" spans="1:20" x14ac:dyDescent="0.2">
      <c r="A17" s="258"/>
      <c r="B17" s="39" t="s">
        <v>239</v>
      </c>
      <c r="C17" s="322">
        <f>+[3]DHL_Amerijet!$IK$19</f>
        <v>0</v>
      </c>
      <c r="D17" s="217">
        <f>+[3]DHL_Amerijet!$HW$19</f>
        <v>0</v>
      </c>
      <c r="E17" s="324" t="e">
        <f t="shared" si="4"/>
        <v>#DIV/0!</v>
      </c>
      <c r="F17" s="322">
        <f>+SUM([3]DHL_Amerijet!$IF$19:$IK$19)</f>
        <v>78</v>
      </c>
      <c r="G17" s="217">
        <f>+SUM([3]DHL_Amerijet!$HR$19:$HW$19)</f>
        <v>0</v>
      </c>
      <c r="H17" s="323" t="e">
        <f t="shared" si="5"/>
        <v>#DIV/0!</v>
      </c>
      <c r="I17" s="324">
        <f t="shared" si="0"/>
        <v>1.1114277571957822E-2</v>
      </c>
      <c r="J17" s="258"/>
      <c r="K17" s="39" t="s">
        <v>239</v>
      </c>
      <c r="L17" s="322">
        <f>+[3]DHL_Amerijet!$IK$64</f>
        <v>0</v>
      </c>
      <c r="M17" s="217">
        <f>+[3]DHL_Amerijet!$HW$64</f>
        <v>0</v>
      </c>
      <c r="N17" s="324" t="e">
        <f t="shared" si="1"/>
        <v>#DIV/0!</v>
      </c>
      <c r="O17" s="322">
        <f>+SUM([3]DHL_Amerijet!$IF$64:$IK$64)</f>
        <v>2222014</v>
      </c>
      <c r="P17" s="217">
        <f>+SUM([3]DHL_Amerijet!$HR$64:$HW$64)</f>
        <v>0</v>
      </c>
      <c r="Q17" s="323" t="e">
        <f t="shared" si="2"/>
        <v>#DIV/0!</v>
      </c>
      <c r="R17" s="324">
        <f t="shared" si="3"/>
        <v>1.2272583745357973E-2</v>
      </c>
      <c r="T17" s="391"/>
    </row>
    <row r="18" spans="1:20" ht="14.1" customHeight="1" x14ac:dyDescent="0.2">
      <c r="A18" s="258"/>
      <c r="B18" s="39" t="s">
        <v>208</v>
      </c>
      <c r="C18" s="322">
        <f>+[3]DHL_Swift!$IK$19</f>
        <v>80</v>
      </c>
      <c r="D18" s="217">
        <f>+[3]DHL_Swift!$HW$19</f>
        <v>12</v>
      </c>
      <c r="E18" s="324">
        <f t="shared" si="4"/>
        <v>5.666666666666667</v>
      </c>
      <c r="F18" s="322">
        <f>+SUM([3]DHL_Swift!$IF$19:$IK$19)</f>
        <v>178</v>
      </c>
      <c r="G18" s="217">
        <f>+SUM([3]DHL_Swift!$HR$19:$HW$19)</f>
        <v>270</v>
      </c>
      <c r="H18" s="323">
        <f t="shared" si="5"/>
        <v>-0.34074074074074073</v>
      </c>
      <c r="I18" s="324">
        <f t="shared" si="0"/>
        <v>2.536335138216016E-2</v>
      </c>
      <c r="J18" s="258"/>
      <c r="K18" s="39" t="s">
        <v>208</v>
      </c>
      <c r="L18" s="322">
        <f>+[3]DHL_Swift!$IK$64</f>
        <v>1366720</v>
      </c>
      <c r="M18" s="217">
        <f>+[3]DHL_Swift!$HW$64</f>
        <v>138577</v>
      </c>
      <c r="N18" s="324">
        <f t="shared" si="1"/>
        <v>8.8625313002879267</v>
      </c>
      <c r="O18" s="322">
        <f>+SUM([3]DHL_Swift!$IF$64:$IK$64)</f>
        <v>2884854</v>
      </c>
      <c r="P18" s="217">
        <f>+SUM([3]DHL_Swift!$HR$64:$HW$64)</f>
        <v>7212637</v>
      </c>
      <c r="Q18" s="323">
        <f t="shared" si="2"/>
        <v>-0.60002784002577703</v>
      </c>
      <c r="R18" s="324">
        <f t="shared" si="3"/>
        <v>1.5933568514028683E-2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258</v>
      </c>
      <c r="D20" s="382">
        <f>SUM(D21:D24)</f>
        <v>340</v>
      </c>
      <c r="E20" s="383">
        <f>(C20-D20)/D20</f>
        <v>-0.2411764705882353</v>
      </c>
      <c r="F20" s="386">
        <f>SUM(F21:F24)</f>
        <v>1566</v>
      </c>
      <c r="G20" s="382">
        <f>SUM(G21:G24)</f>
        <v>1986</v>
      </c>
      <c r="H20" s="384">
        <f t="shared" ref="H20:H21" si="14">(F20-G20)/G20</f>
        <v>-0.21148036253776434</v>
      </c>
      <c r="I20" s="383">
        <f>+F20/$F$34</f>
        <v>0.2231404958677686</v>
      </c>
      <c r="J20" s="258" t="s">
        <v>180</v>
      </c>
      <c r="K20" s="39"/>
      <c r="L20" s="386">
        <f>SUM(L21:L24)</f>
        <v>13141411</v>
      </c>
      <c r="M20" s="382">
        <f>SUM(M21:M24)</f>
        <v>15871300</v>
      </c>
      <c r="N20" s="383">
        <f>(L20-M20)/M20</f>
        <v>-0.17200160037300033</v>
      </c>
      <c r="O20" s="386">
        <f>SUM(O21:O24)</f>
        <v>75892720</v>
      </c>
      <c r="P20" s="382">
        <f>SUM(P21:P24)</f>
        <v>89918264</v>
      </c>
      <c r="Q20" s="384">
        <f t="shared" ref="Q20:Q22" si="15">(O20-P20)/P20</f>
        <v>-0.15598103628868992</v>
      </c>
      <c r="R20" s="383">
        <f>O20/$O$34</f>
        <v>0.41916916898948614</v>
      </c>
      <c r="T20" s="391"/>
    </row>
    <row r="21" spans="1:20" ht="14.1" customHeight="1" x14ac:dyDescent="0.2">
      <c r="A21" s="37"/>
      <c r="B21" s="318" t="s">
        <v>180</v>
      </c>
      <c r="C21" s="322">
        <f>+[3]FedEx!$IK$19</f>
        <v>178</v>
      </c>
      <c r="D21" s="217">
        <f>+[3]FedEx!$HW$19</f>
        <v>262</v>
      </c>
      <c r="E21" s="324">
        <f>(C21-D21)/D21</f>
        <v>-0.32061068702290074</v>
      </c>
      <c r="F21" s="322">
        <f>+SUM([3]FedEx!$IF$19:$IK$19)</f>
        <v>1144</v>
      </c>
      <c r="G21" s="217">
        <f>+SUM([3]FedEx!$HR$19:$HW$19)</f>
        <v>1560</v>
      </c>
      <c r="H21" s="323">
        <f t="shared" si="14"/>
        <v>-0.26666666666666666</v>
      </c>
      <c r="I21" s="324">
        <f>+F21/$F$34</f>
        <v>0.16300940438871472</v>
      </c>
      <c r="J21" s="258"/>
      <c r="K21" s="318" t="s">
        <v>180</v>
      </c>
      <c r="L21" s="322">
        <f>+[3]FedEx!$IK$64</f>
        <v>12901161</v>
      </c>
      <c r="M21" s="217">
        <f>+[3]FedEx!$HW$64</f>
        <v>15748743</v>
      </c>
      <c r="N21" s="324">
        <f>(L21-M21)/M21</f>
        <v>-0.18081328776525213</v>
      </c>
      <c r="O21" s="322">
        <f>+SUM([3]FedEx!$IF$64:$IK$64)</f>
        <v>74652349</v>
      </c>
      <c r="P21" s="217">
        <f>+SUM([3]FedEx!$HR$64:$HW$64)</f>
        <v>88747375</v>
      </c>
      <c r="Q21" s="323">
        <f t="shared" si="15"/>
        <v>-0.15882189191511298</v>
      </c>
      <c r="R21" s="324">
        <f>O21/$O$34</f>
        <v>0.4123183764324575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Cargo'!$IK$19</f>
        <v>46</v>
      </c>
      <c r="D22" s="217">
        <f>+'[3]Mountain Cargo'!$HW$19</f>
        <v>46</v>
      </c>
      <c r="E22" s="324">
        <f>(C22-D22)/D22</f>
        <v>0</v>
      </c>
      <c r="F22" s="322">
        <f>+SUM('[3]Mountain Cargo'!$IF$19:$IK$19)</f>
        <v>248</v>
      </c>
      <c r="G22" s="217">
        <f>+SUM('[3]Mountain Cargo'!$HR$19:$HW$19)</f>
        <v>248</v>
      </c>
      <c r="H22" s="323">
        <f>(F22-G22)/G22</f>
        <v>0</v>
      </c>
      <c r="I22" s="324">
        <f>+F22/$F$34</f>
        <v>3.5337703049301797E-2</v>
      </c>
      <c r="J22" s="363"/>
      <c r="K22" s="318" t="s">
        <v>209</v>
      </c>
      <c r="L22" s="322">
        <f>+'[3]Mountain Cargo'!$IK$64</f>
        <v>185212</v>
      </c>
      <c r="M22" s="217">
        <f>+'[3]Mountain Cargo'!$HW$64</f>
        <v>53727</v>
      </c>
      <c r="N22" s="324">
        <f>(L22-M22)/M22</f>
        <v>2.4472797662255479</v>
      </c>
      <c r="O22" s="322">
        <f>+SUM('[3]Mountain Cargo'!$IF$64:$IK$64)</f>
        <v>905193</v>
      </c>
      <c r="P22" s="217">
        <f>+SUM('[3]Mountain Cargo'!$HR$64:$HW$64)</f>
        <v>833852</v>
      </c>
      <c r="Q22" s="323">
        <f t="shared" si="15"/>
        <v>8.5555949976734477E-2</v>
      </c>
      <c r="R22" s="324">
        <f>O22/$O$34</f>
        <v>4.9995440614738797E-3</v>
      </c>
      <c r="T22" s="391"/>
    </row>
    <row r="23" spans="1:20" ht="14.1" customHeight="1" x14ac:dyDescent="0.2">
      <c r="A23" s="37"/>
      <c r="B23" s="318" t="s">
        <v>174</v>
      </c>
      <c r="C23" s="322">
        <f>+[3]IFL!$IK$19</f>
        <v>34</v>
      </c>
      <c r="D23" s="217">
        <f>+[3]IFL!$HW$19</f>
        <v>32</v>
      </c>
      <c r="E23" s="324">
        <f>(C23-D23)/D23</f>
        <v>6.25E-2</v>
      </c>
      <c r="F23" s="322">
        <f>+SUM([3]IFL!$IF$19:$IK$19)</f>
        <v>174</v>
      </c>
      <c r="G23" s="217">
        <f>+SUM([3]IFL!$HR$19:$HW$19)</f>
        <v>178</v>
      </c>
      <c r="H23" s="323">
        <f>(F23-G23)/G23</f>
        <v>-2.247191011235955E-2</v>
      </c>
      <c r="I23" s="324">
        <f>+F23/$F$34</f>
        <v>2.4793388429752067E-2</v>
      </c>
      <c r="J23" s="363"/>
      <c r="K23" s="318" t="s">
        <v>174</v>
      </c>
      <c r="L23" s="322">
        <f>+[3]IFL!$IK$64</f>
        <v>55038</v>
      </c>
      <c r="M23" s="217">
        <f>+[3]IFL!$HW$64</f>
        <v>68830</v>
      </c>
      <c r="N23" s="324">
        <f>(L23-M23)/M23</f>
        <v>-0.20037774226354788</v>
      </c>
      <c r="O23" s="322">
        <f>+SUM([3]IFL!$IF$64:$IK$64)</f>
        <v>335178</v>
      </c>
      <c r="P23" s="217">
        <f>+SUM([3]IFL!$HR$64:$HW$64)</f>
        <v>337037</v>
      </c>
      <c r="Q23" s="323">
        <f>(O23-P23)/P23</f>
        <v>-5.5157148918368011E-3</v>
      </c>
      <c r="R23" s="324">
        <f>O23/$O$34</f>
        <v>1.8512484955547513E-3</v>
      </c>
      <c r="T23" s="391"/>
    </row>
    <row r="24" spans="1:20" ht="14.1" customHeight="1" x14ac:dyDescent="0.2">
      <c r="A24" s="258"/>
      <c r="B24" s="318" t="s">
        <v>84</v>
      </c>
      <c r="C24" s="322">
        <f>+'[3]CSA Air'!$IK$19</f>
        <v>0</v>
      </c>
      <c r="D24" s="217">
        <f>+'[3]CSA Air'!$HW$19</f>
        <v>0</v>
      </c>
      <c r="E24" s="324" t="e">
        <f>(C24-D24)/D24</f>
        <v>#DIV/0!</v>
      </c>
      <c r="F24" s="322">
        <f>+SUM('[3]CSA Air'!$IF$19:$IK$19)</f>
        <v>0</v>
      </c>
      <c r="G24" s="217">
        <f>+SUM('[3]CSA Air'!$HR$19:$HW$19)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Air'!$IK$64</f>
        <v>0</v>
      </c>
      <c r="M24" s="217">
        <f>+'[3]CSA Air'!$HW$64</f>
        <v>0</v>
      </c>
      <c r="N24" s="324" t="e">
        <f>(L24-M24)/M24</f>
        <v>#DIV/0!</v>
      </c>
      <c r="O24" s="322">
        <f>+SUM('[3]CSA Air'!$IF$64:$IK$64)</f>
        <v>0</v>
      </c>
      <c r="P24" s="217">
        <f>+SUM('[3]CSA Air'!$HR$64:$HW$64)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600</v>
      </c>
      <c r="D26" s="382">
        <f>SUM(D27:D28)</f>
        <v>696</v>
      </c>
      <c r="E26" s="383">
        <f>(C26-D26)/D26</f>
        <v>-0.13793103448275862</v>
      </c>
      <c r="F26" s="382">
        <f>SUM(F27:F28)</f>
        <v>3566</v>
      </c>
      <c r="G26" s="382">
        <f>SUM(G27:G28)</f>
        <v>4063</v>
      </c>
      <c r="H26" s="384">
        <f>(F26-G26)/G26</f>
        <v>-0.12232340634998769</v>
      </c>
      <c r="I26" s="383">
        <f>+F26/$F$34</f>
        <v>0.50812197207181531</v>
      </c>
      <c r="J26" s="258" t="s">
        <v>82</v>
      </c>
      <c r="K26" s="39"/>
      <c r="L26" s="382">
        <f>SUM(L27:L28)</f>
        <v>11361121</v>
      </c>
      <c r="M26" s="382">
        <f>SUM(M27:M28)</f>
        <v>13859463</v>
      </c>
      <c r="N26" s="383">
        <f>(L26-M26)/M26</f>
        <v>-0.18026253975352435</v>
      </c>
      <c r="O26" s="382">
        <f>SUM(O27:O28)</f>
        <v>64302624</v>
      </c>
      <c r="P26" s="382">
        <f>SUM(P27:P28)</f>
        <v>76372114</v>
      </c>
      <c r="Q26" s="384">
        <f>(O26-P26)/P26</f>
        <v>-0.15803530068579744</v>
      </c>
      <c r="R26" s="383">
        <f>O26/$O$34</f>
        <v>0.35515498016046054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+[3]UPS!$IK$19</f>
        <v>252</v>
      </c>
      <c r="D27" s="217">
        <f>+[3]UPS!$HW$19</f>
        <v>300</v>
      </c>
      <c r="E27" s="324">
        <f>(C27-D27)/D27</f>
        <v>-0.16</v>
      </c>
      <c r="F27" s="322">
        <f>+SUM([3]UPS!$IF$19:$IK$19)</f>
        <v>1480</v>
      </c>
      <c r="G27" s="217">
        <f>+SUM([3]UPS!$HR$19:$HW$19)</f>
        <v>1719</v>
      </c>
      <c r="H27" s="323">
        <f>(F27-G27)/G27</f>
        <v>-0.13903432228039558</v>
      </c>
      <c r="I27" s="324">
        <f>+F27/$F$34</f>
        <v>0.21088629239099457</v>
      </c>
      <c r="J27" s="258"/>
      <c r="K27" s="318" t="s">
        <v>82</v>
      </c>
      <c r="L27" s="322">
        <f>+[3]UPS!$IK$64</f>
        <v>11361121</v>
      </c>
      <c r="M27" s="217">
        <f>+[3]UPS!$HW$64</f>
        <v>13859463</v>
      </c>
      <c r="N27" s="324">
        <f>(L27-M27)/M27</f>
        <v>-0.18026253975352435</v>
      </c>
      <c r="O27" s="322">
        <f>+SUM([3]UPS!$IF$64:$IK$64)</f>
        <v>64302624</v>
      </c>
      <c r="P27" s="217">
        <f>+SUM([3]UPS!$HR$64:$HW$64)</f>
        <v>76372114</v>
      </c>
      <c r="Q27" s="323">
        <f>(O27-P27)/P27</f>
        <v>-0.15803530068579744</v>
      </c>
      <c r="R27" s="324">
        <f>O27/$O$34</f>
        <v>0.35515498016046054</v>
      </c>
      <c r="S27" s="340"/>
      <c r="T27" s="393"/>
    </row>
    <row r="28" spans="1:20" x14ac:dyDescent="0.2">
      <c r="A28" s="258"/>
      <c r="B28" s="318" t="s">
        <v>83</v>
      </c>
      <c r="C28" s="322">
        <f>+[3]Bemidji!$IK$19</f>
        <v>348</v>
      </c>
      <c r="D28" s="217">
        <f>+[3]Bemidji!$HW$19</f>
        <v>396</v>
      </c>
      <c r="E28" s="324">
        <f>(C28-D28)/D28</f>
        <v>-0.12121212121212122</v>
      </c>
      <c r="F28" s="322">
        <f>+SUM([3]Bemidji!$IF$19:$IK$19)</f>
        <v>2086</v>
      </c>
      <c r="G28" s="217">
        <f>+SUM([3]Bemidji!$HR$19:$HW$19)</f>
        <v>2344</v>
      </c>
      <c r="H28" s="323">
        <f t="shared" ref="H28" si="18">(F28-G28)/G28</f>
        <v>-0.11006825938566553</v>
      </c>
      <c r="I28" s="324">
        <f>+F28/$F$34</f>
        <v>0.29723567968082076</v>
      </c>
      <c r="J28" s="258"/>
      <c r="K28" s="318" t="s">
        <v>83</v>
      </c>
      <c r="L28" s="467" t="s">
        <v>183</v>
      </c>
      <c r="M28" s="468"/>
      <c r="N28" s="468"/>
      <c r="O28" s="468"/>
      <c r="P28" s="468"/>
      <c r="Q28" s="468"/>
      <c r="R28" s="469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Cargo'!$IK$19</f>
        <v>0</v>
      </c>
      <c r="D30" s="382">
        <f>+'[3]Misc Cargo'!$HW$19</f>
        <v>0</v>
      </c>
      <c r="E30" s="383" t="e">
        <f>(C30-D30)/D30</f>
        <v>#DIV/0!</v>
      </c>
      <c r="F30" s="386">
        <f>+SUM('[3]Misc Cargo'!$IF$19:$IK$19)</f>
        <v>0</v>
      </c>
      <c r="G30" s="382">
        <f>+SUM('[3]Misc Cargo'!$HR$19:$HW$19)</f>
        <v>2</v>
      </c>
      <c r="H30" s="384">
        <f>(F30-G30)/G30</f>
        <v>-1</v>
      </c>
      <c r="I30" s="383">
        <f>+F30/$F$34</f>
        <v>0</v>
      </c>
      <c r="J30" s="258" t="s">
        <v>126</v>
      </c>
      <c r="K30" s="39"/>
      <c r="L30" s="386">
        <f>+'[3]Misc Cargo'!$IK$64</f>
        <v>0</v>
      </c>
      <c r="M30" s="382">
        <f>+'[3]Misc Cargo'!$HW$64</f>
        <v>0</v>
      </c>
      <c r="N30" s="383" t="e">
        <f>(L30-M30)/M30</f>
        <v>#DIV/0!</v>
      </c>
      <c r="O30" s="386">
        <f>+SUM('[3]Misc Cargo'!$IF$64:$IK$64)</f>
        <v>0</v>
      </c>
      <c r="P30" s="382">
        <f>+SUM('[3]Misc Cargo'!$HR$64:$HW$64)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1164</v>
      </c>
      <c r="D34" s="344">
        <f>+D30+D26+D20+D9+D5</f>
        <v>1268</v>
      </c>
      <c r="E34" s="345">
        <f>(C34-D34)/D34</f>
        <v>-8.2018927444794956E-2</v>
      </c>
      <c r="F34" s="344">
        <f>+F30+F26+F20+F9+F5</f>
        <v>7018</v>
      </c>
      <c r="G34" s="344">
        <f>+G30+G26+G20+G9+G5</f>
        <v>7820</v>
      </c>
      <c r="H34" s="346">
        <f>(F34-G34)/G34</f>
        <v>-0.10255754475703324</v>
      </c>
      <c r="I34" s="352"/>
      <c r="K34" s="343" t="s">
        <v>181</v>
      </c>
      <c r="L34" s="344">
        <f>+L30+L26+L20+L9+L5</f>
        <v>30137612</v>
      </c>
      <c r="M34" s="344">
        <f>+M30+M26+M20+M9+M5</f>
        <v>35430645</v>
      </c>
      <c r="N34" s="347">
        <f>(L34-M34)/M34</f>
        <v>-0.14939138138749661</v>
      </c>
      <c r="O34" s="344">
        <f>+O30+O26+O20+O9+O5</f>
        <v>181055110</v>
      </c>
      <c r="P34" s="344">
        <f>+P30+P26+P20+P9+P5</f>
        <v>208957180</v>
      </c>
      <c r="Q34" s="346">
        <f t="shared" ref="Q34" si="19">(O34-P34)/P34</f>
        <v>-0.13353008496764743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June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2024-01-17T16:28:03Z</dcterms:modified>
</cp:coreProperties>
</file>