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A8D9DA42-8285-4874-831F-528E7C65C63F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Activity'!$A$1:$R$62</definedName>
    <definedName name="_xlnm.Print_Area" localSheetId="2">'Other Major Airline Stats'!$A$2:$I$50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O9" i="17"/>
  <c r="M9" i="17"/>
  <c r="L9" i="17"/>
  <c r="N9" i="17" s="1"/>
  <c r="G9" i="17"/>
  <c r="F9" i="17"/>
  <c r="H9" i="17" s="1"/>
  <c r="D9" i="17"/>
  <c r="C9" i="17"/>
  <c r="P7" i="17"/>
  <c r="O7" i="17"/>
  <c r="M7" i="17"/>
  <c r="L7" i="17"/>
  <c r="N7" i="17" s="1"/>
  <c r="G7" i="17"/>
  <c r="F7" i="17"/>
  <c r="H7" i="17" s="1"/>
  <c r="D7" i="17"/>
  <c r="C7" i="17"/>
  <c r="E9" i="17"/>
  <c r="H27" i="8"/>
  <c r="H26" i="8"/>
  <c r="H22" i="8"/>
  <c r="H21" i="8"/>
  <c r="H17" i="8"/>
  <c r="H16" i="8"/>
  <c r="H5" i="8"/>
  <c r="H4" i="8"/>
  <c r="C27" i="8"/>
  <c r="C32" i="8" s="1"/>
  <c r="C26" i="8"/>
  <c r="C22" i="8"/>
  <c r="C21" i="8"/>
  <c r="C23" i="8" s="1"/>
  <c r="C17" i="8"/>
  <c r="C16" i="8"/>
  <c r="C5" i="8"/>
  <c r="C4" i="8"/>
  <c r="C6" i="8"/>
  <c r="C12" i="8" s="1"/>
  <c r="C10" i="8"/>
  <c r="C31" i="8"/>
  <c r="B27" i="8"/>
  <c r="B26" i="8"/>
  <c r="B22" i="8"/>
  <c r="B21" i="8"/>
  <c r="B17" i="8"/>
  <c r="B16" i="8"/>
  <c r="B5" i="8"/>
  <c r="B4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I10" i="8"/>
  <c r="E7" i="17" l="1"/>
  <c r="C18" i="8"/>
  <c r="C33" i="8" s="1"/>
  <c r="Q7" i="17"/>
  <c r="Q9" i="17"/>
  <c r="C28" i="8"/>
  <c r="Q13" i="17"/>
  <c r="I23" i="8"/>
  <c r="E13" i="17"/>
  <c r="I18" i="8"/>
  <c r="N13" i="17"/>
  <c r="H13" i="17"/>
  <c r="I6" i="8"/>
  <c r="I12" i="8" s="1"/>
  <c r="I32" i="8"/>
  <c r="I31" i="8"/>
  <c r="I28" i="8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I33" i="8" l="1"/>
  <c r="P29" i="17"/>
  <c r="P27" i="17"/>
  <c r="P25" i="17"/>
  <c r="P21" i="17"/>
  <c r="P19" i="17"/>
  <c r="P17" i="17"/>
  <c r="P15" i="17"/>
  <c r="P11" i="17"/>
  <c r="P5" i="17"/>
  <c r="G29" i="17"/>
  <c r="G27" i="17"/>
  <c r="G25" i="17"/>
  <c r="G23" i="17"/>
  <c r="G21" i="17"/>
  <c r="G19" i="17"/>
  <c r="G17" i="17"/>
  <c r="G15" i="17"/>
  <c r="G11" i="17"/>
  <c r="G5" i="17"/>
  <c r="M29" i="17"/>
  <c r="D29" i="17"/>
  <c r="M27" i="17"/>
  <c r="D27" i="17"/>
  <c r="M25" i="17"/>
  <c r="D25" i="17"/>
  <c r="D23" i="17"/>
  <c r="M21" i="17"/>
  <c r="D21" i="17"/>
  <c r="M19" i="17"/>
  <c r="D19" i="17"/>
  <c r="M17" i="17"/>
  <c r="D17" i="17"/>
  <c r="M15" i="17"/>
  <c r="D15" i="17"/>
  <c r="M11" i="17"/>
  <c r="D11" i="17"/>
  <c r="M5" i="17"/>
  <c r="D5" i="17"/>
  <c r="O29" i="17" l="1"/>
  <c r="L29" i="17"/>
  <c r="F29" i="17"/>
  <c r="C29" i="17"/>
  <c r="O27" i="17"/>
  <c r="L27" i="17"/>
  <c r="F27" i="17"/>
  <c r="C27" i="17"/>
  <c r="O25" i="17"/>
  <c r="L25" i="17"/>
  <c r="F25" i="17"/>
  <c r="C25" i="17"/>
  <c r="F23" i="17"/>
  <c r="C23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O15" i="17"/>
  <c r="L15" i="17"/>
  <c r="F15" i="17"/>
  <c r="C15" i="17"/>
  <c r="O11" i="17"/>
  <c r="L11" i="17"/>
  <c r="F11" i="17"/>
  <c r="C11" i="17"/>
  <c r="O5" i="17"/>
  <c r="L5" i="17"/>
  <c r="F5" i="17"/>
  <c r="C5" i="17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D5" i="8"/>
  <c r="O4" i="8"/>
  <c r="N4" i="8"/>
  <c r="M4" i="8"/>
  <c r="L4" i="8"/>
  <c r="K4" i="8"/>
  <c r="J4" i="8"/>
  <c r="F4" i="8"/>
  <c r="E4" i="8"/>
  <c r="D4" i="8"/>
  <c r="O23" i="7"/>
  <c r="J23" i="7"/>
  <c r="E23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2" i="7" l="1"/>
  <c r="E22" i="7"/>
  <c r="J22" i="7"/>
  <c r="Q62" i="9" l="1"/>
  <c r="E62" i="9"/>
  <c r="N62" i="9"/>
  <c r="E44" i="9" l="1"/>
  <c r="F66" i="9"/>
  <c r="G66" i="9"/>
  <c r="N44" i="9"/>
  <c r="L66" i="9"/>
  <c r="M66" i="9"/>
  <c r="P66" i="9"/>
  <c r="D66" i="9"/>
  <c r="O66" i="9"/>
  <c r="C66" i="9"/>
  <c r="Q44" i="9"/>
  <c r="H44" i="9"/>
  <c r="H62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F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P67" i="9" l="1"/>
  <c r="P65" i="9" s="1"/>
  <c r="L67" i="9"/>
  <c r="L65" i="9" s="1"/>
  <c r="D67" i="9"/>
  <c r="D65" i="9" s="1"/>
  <c r="O67" i="9"/>
  <c r="R44" i="9" s="1"/>
  <c r="F67" i="9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R65" i="9" s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Q65" i="9" l="1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R9" i="17" s="1"/>
  <c r="H5" i="17"/>
  <c r="N5" i="17"/>
  <c r="N17" i="17"/>
  <c r="N21" i="17"/>
  <c r="N25" i="17"/>
  <c r="N29" i="17"/>
  <c r="R13" i="17" l="1"/>
  <c r="R7" i="17"/>
  <c r="I7" i="17"/>
  <c r="I9" i="17"/>
  <c r="I11" i="17"/>
  <c r="I13" i="17"/>
  <c r="R11" i="17"/>
  <c r="R5" i="17"/>
  <c r="Q32" i="17"/>
  <c r="H32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P29" i="7" s="1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31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H18" i="8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H28" i="8"/>
  <c r="H32" i="8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3" i="7" s="1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C23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J17" i="2"/>
  <c r="K17" i="2" s="1"/>
  <c r="I12" i="3"/>
  <c r="I44" i="3"/>
  <c r="E45" i="2"/>
  <c r="O33" i="8"/>
  <c r="E21" i="4"/>
  <c r="D17" i="5"/>
  <c r="E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I35" i="3"/>
  <c r="I40" i="3"/>
  <c r="J44" i="2"/>
  <c r="K44" i="2" s="1"/>
  <c r="J32" i="15"/>
  <c r="M25" i="4"/>
  <c r="C5" i="5" s="1"/>
  <c r="I30" i="3"/>
  <c r="O6" i="16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J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D23" i="7" l="1"/>
  <c r="F23" i="7" s="1"/>
  <c r="B8" i="1"/>
  <c r="F18" i="1"/>
  <c r="J21" i="15"/>
  <c r="D6" i="1"/>
  <c r="C8" i="1"/>
  <c r="C33" i="1" s="1"/>
  <c r="P12" i="8"/>
  <c r="B10" i="1"/>
  <c r="F19" i="1"/>
  <c r="J45" i="2"/>
  <c r="K45" i="2" s="1"/>
  <c r="I45" i="3"/>
  <c r="F7" i="1"/>
  <c r="J23" i="2"/>
  <c r="K23" i="2" s="1"/>
  <c r="B27" i="1"/>
  <c r="B21" i="5"/>
  <c r="B28" i="1"/>
  <c r="L42" i="4"/>
  <c r="M42" i="4" s="1"/>
  <c r="J42" i="15"/>
  <c r="I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B32" i="1"/>
  <c r="B11" i="1"/>
  <c r="L23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G23" i="7" l="1"/>
  <c r="M23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3" i="7" l="1"/>
  <c r="I23" i="7" s="1"/>
  <c r="K23" i="7" s="1"/>
  <c r="N23" i="7"/>
  <c r="P23" i="7" s="1"/>
  <c r="F22" i="5"/>
  <c r="H22" i="5" s="1"/>
  <c r="H20" i="5"/>
  <c r="B22" i="7" l="1"/>
  <c r="C22" i="7" l="1"/>
  <c r="D22" i="7" s="1"/>
  <c r="F22" i="7" s="1"/>
  <c r="L22" i="7" l="1"/>
  <c r="G22" i="7" s="1"/>
  <c r="M22" i="7"/>
  <c r="H22" i="7" s="1"/>
  <c r="N22" i="7" l="1"/>
  <c r="P22" i="7" s="1"/>
  <c r="I22" i="7"/>
  <c r="K22" i="7" s="1"/>
  <c r="C21" i="7" l="1"/>
  <c r="C33" i="7" s="1"/>
  <c r="B21" i="7"/>
  <c r="D21" i="7" l="1"/>
  <c r="B33" i="7"/>
  <c r="L21" i="7" l="1"/>
  <c r="M21" i="7"/>
  <c r="F21" i="7"/>
  <c r="D33" i="7"/>
  <c r="F33" i="7" s="1"/>
  <c r="H21" i="7" l="1"/>
  <c r="H33" i="7" s="1"/>
  <c r="M33" i="7"/>
  <c r="L33" i="7"/>
  <c r="G21" i="7"/>
  <c r="N21" i="7"/>
  <c r="P21" i="7" l="1"/>
  <c r="N33" i="7"/>
  <c r="P33" i="7" s="1"/>
  <c r="I21" i="7"/>
  <c r="G33" i="7"/>
  <c r="I33" i="7" l="1"/>
  <c r="K33" i="7" s="1"/>
  <c r="K21" i="7"/>
  <c r="G20" i="1" l="1"/>
  <c r="G7" i="1"/>
  <c r="G21" i="1"/>
  <c r="G19" i="1"/>
  <c r="I19" i="1" l="1"/>
  <c r="I21" i="1"/>
  <c r="I7" i="1"/>
  <c r="I20" i="1"/>
  <c r="G18" i="1"/>
  <c r="D33" i="1"/>
  <c r="I16" i="5"/>
  <c r="G5" i="1"/>
  <c r="I18" i="1" l="1"/>
  <c r="I5" i="1"/>
  <c r="G16" i="1"/>
  <c r="I6" i="5"/>
  <c r="G17" i="1"/>
  <c r="I17" i="1" l="1"/>
  <c r="I16" i="1"/>
  <c r="G22" i="1"/>
  <c r="I22" i="1" s="1"/>
  <c r="K6" i="5"/>
  <c r="G6" i="1"/>
  <c r="G10" i="1"/>
  <c r="D32" i="1"/>
  <c r="G28" i="1"/>
  <c r="I11" i="5"/>
  <c r="G27" i="1"/>
  <c r="I5" i="5"/>
  <c r="I15" i="5"/>
  <c r="I10" i="5"/>
  <c r="K11" i="5" l="1"/>
  <c r="I28" i="1"/>
  <c r="I10" i="1"/>
  <c r="I27" i="1"/>
  <c r="G29" i="1"/>
  <c r="I29" i="1" s="1"/>
  <c r="I6" i="1"/>
  <c r="G8" i="1"/>
  <c r="D34" i="1"/>
  <c r="E33" i="1" s="1"/>
  <c r="K10" i="5"/>
  <c r="I12" i="5"/>
  <c r="K12" i="5" s="1"/>
  <c r="I21" i="5"/>
  <c r="K21" i="5" s="1"/>
  <c r="I20" i="5"/>
  <c r="K5" i="5"/>
  <c r="I7" i="5"/>
  <c r="K7" i="5" s="1"/>
  <c r="K15" i="5"/>
  <c r="I17" i="5"/>
  <c r="K17" i="5" s="1"/>
  <c r="E32" i="1" l="1"/>
  <c r="K20" i="5"/>
  <c r="I22" i="5"/>
  <c r="K22" i="5" s="1"/>
  <c r="I8" i="1"/>
  <c r="G11" i="1"/>
  <c r="I11" i="1" s="1"/>
</calcChain>
</file>

<file path=xl/sharedStrings.xml><?xml version="1.0" encoding="utf-8"?>
<sst xmlns="http://schemas.openxmlformats.org/spreadsheetml/2006/main" count="602" uniqueCount="234">
  <si>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</si>
  <si>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</si>
  <si>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</si>
  <si>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</si>
  <si>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</si>
  <si>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</si>
  <si>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</si>
  <si>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</si>
  <si>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</si>
  <si>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</si>
  <si>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</si>
  <si>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</si>
  <si>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</si>
  <si>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</si>
  <si>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</si>
  <si>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</si>
  <si>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</si>
  <si>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</si>
  <si>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</si>
  <si>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</si>
  <si>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</si>
  <si>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</si>
  <si>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</si>
  <si>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</si>
  <si>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</si>
  <si>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</si>
  <si>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</si>
  <si>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</si>
  <si>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</si>
  <si>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</si>
  <si>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</si>
  <si>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</si>
  <si>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</si>
  <si>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</si>
  <si>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</si>
  <si>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</si>
  <si>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</si>
  <si>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</si>
  <si>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</si>
  <si>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</si>
  <si>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</si>
  <si>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</si>
  <si>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</si>
  <si>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</si>
  <si>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</si>
  <si>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</si>
  <si>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</si>
  <si>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</si>
  <si>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</si>
  <si>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</si>
  <si>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</si>
  <si>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</si>
  <si>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</si>
  <si>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</si>
  <si>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</si>
  <si>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</si>
  <si>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</si>
  <si>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</si>
  <si>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</si>
  <si>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</si>
  <si>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</si>
  <si>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</si>
  <si>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</si>
  <si>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</si>
  <si>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</si>
  <si>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</si>
  <si>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</si>
  <si>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</si>
  <si>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</si>
  <si>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</si>
  <si>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</si>
  <si>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</si>
  <si>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</si>
  <si>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</si>
  <si>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</si>
  <si>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</si>
  <si>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</si>
  <si>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</si>
  <si>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</si>
  <si>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</si>
  <si>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</si>
  <si>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</si>
  <si>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</si>
  <si>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</si>
  <si>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</si>
  <si>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</si>
  <si>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</si>
  <si>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</si>
  <si>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</si>
  <si>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</si>
  <si>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</si>
  <si>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</si>
  <si>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</si>
  <si>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</si>
  <si>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</si>
  <si>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</si>
  <si>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</si>
  <si>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</si>
  <si>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</si>
  <si>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</si>
  <si>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</si>
  <si>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</si>
  <si>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</si>
  <si>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</si>
  <si>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</si>
  <si>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</si>
  <si>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</si>
  <si>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</si>
  <si>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</si>
  <si>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</si>
  <si>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</si>
  <si>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</si>
  <si>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</si>
  <si>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</si>
  <si>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</si>
  <si>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</si>
  <si>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</si>
  <si>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</si>
  <si>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</si>
  <si>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</si>
  <si>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</si>
  <si>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</si>
  <si>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</si>
  <si>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</si>
  <si>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</si>
  <si>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</si>
  <si>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</si>
  <si>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</si>
  <si>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</si>
  <si>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</si>
  <si>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</si>
  <si>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</si>
  <si>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</si>
  <si>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</si>
  <si>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</si>
  <si>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</si>
  <si>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</si>
  <si>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</si>
  <si>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</si>
  <si>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</si>
  <si>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</si>
  <si>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</si>
  <si>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</si>
  <si>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</si>
  <si>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</si>
  <si>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</si>
  <si>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</si>
  <si>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</si>
  <si>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</si>
  <si>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</si>
  <si>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</si>
  <si>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</si>
  <si>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</si>
  <si>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</si>
  <si>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</si>
  <si>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</si>
  <si>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</si>
  <si>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</si>
  <si>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</si>
  <si>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</si>
  <si>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</si>
  <si>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</si>
  <si>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</si>
  <si>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</si>
  <si>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</si>
  <si>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</si>
  <si>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</si>
  <si>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</si>
  <si>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</si>
  <si>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</si>
  <si>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</si>
  <si>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</si>
  <si>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</si>
  <si>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</si>
  <si>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</si>
  <si>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</si>
  <si>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</si>
  <si>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</si>
  <si>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</si>
  <si>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</si>
  <si>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</si>
  <si>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</si>
  <si>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</si>
  <si>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</si>
  <si>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</si>
  <si>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</si>
  <si>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</si>
  <si>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</si>
  <si>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</si>
  <si>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</si>
  <si>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</si>
  <si>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</si>
  <si>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</si>
  <si>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</si>
  <si>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</si>
  <si>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</si>
  <si>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</si>
  <si>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</si>
  <si>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</si>
  <si>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</si>
  <si>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</si>
  <si>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</si>
  <si>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</si>
  <si>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</si>
  <si>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</si>
  <si>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</si>
  <si>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</si>
  <si>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</si>
  <si>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</si>
  <si>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</si>
  <si>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</si>
  <si>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</si>
  <si>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</si>
  <si>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</si>
  <si>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</si>
  <si>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</si>
  <si>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</si>
  <si>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</si>
  <si>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</si>
  <si>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</si>
  <si>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</si>
  <si>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</si>
  <si>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</si>
  <si>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</si>
  <si>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</si>
  <si>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</si>
  <si>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March 2018</t>
  </si>
  <si>
    <t>Encore Air Cargo</t>
  </si>
  <si>
    <t>Encore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</si>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</sst>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10" fontId="13" fillId="0" borderId="24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2586223</v>
          </cell>
          <cell r="G5">
            <v>6697023</v>
          </cell>
        </row>
        <row r="6">
          <cell r="D6">
            <v>720749</v>
          </cell>
          <cell r="G6">
            <v>1826949</v>
          </cell>
        </row>
        <row r="7">
          <cell r="D7">
            <v>204</v>
          </cell>
          <cell r="G7">
            <v>2145</v>
          </cell>
        </row>
        <row r="10">
          <cell r="D10">
            <v>103691</v>
          </cell>
          <cell r="G10">
            <v>280933</v>
          </cell>
        </row>
        <row r="16">
          <cell r="D16">
            <v>18822</v>
          </cell>
          <cell r="G16">
            <v>51566</v>
          </cell>
        </row>
        <row r="17">
          <cell r="D17">
            <v>13777</v>
          </cell>
          <cell r="G17">
            <v>35906</v>
          </cell>
        </row>
        <row r="18">
          <cell r="D18">
            <v>2</v>
          </cell>
          <cell r="G18">
            <v>14</v>
          </cell>
        </row>
        <row r="19">
          <cell r="D19">
            <v>1268</v>
          </cell>
          <cell r="G19">
            <v>3648</v>
          </cell>
        </row>
        <row r="20">
          <cell r="D20">
            <v>1550</v>
          </cell>
          <cell r="G20">
            <v>5056</v>
          </cell>
        </row>
        <row r="21">
          <cell r="D21">
            <v>102</v>
          </cell>
          <cell r="G21">
            <v>306</v>
          </cell>
        </row>
        <row r="27">
          <cell r="D27">
            <v>17654.743997573758</v>
          </cell>
          <cell r="G27">
            <v>49298.69943403636</v>
          </cell>
        </row>
        <row r="28">
          <cell r="D28">
            <v>2227.93050897802</v>
          </cell>
          <cell r="G28">
            <v>6087.2799122173492</v>
          </cell>
        </row>
        <row r="32">
          <cell r="B32">
            <v>1109897</v>
          </cell>
          <cell r="D32">
            <v>2860681</v>
          </cell>
        </row>
        <row r="33">
          <cell r="B33">
            <v>554808</v>
          </cell>
          <cell r="D33">
            <v>1437633</v>
          </cell>
        </row>
      </sheetData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>
        <row r="5">
          <cell r="F5">
            <v>9640.4993713513104</v>
          </cell>
          <cell r="I5">
            <v>27133.856564456179</v>
          </cell>
        </row>
        <row r="6">
          <cell r="F6">
            <v>895.74287246674999</v>
          </cell>
          <cell r="I6">
            <v>2472.9692719146797</v>
          </cell>
        </row>
        <row r="10">
          <cell r="F10">
            <v>8014.2446262224494</v>
          </cell>
          <cell r="I10">
            <v>22164.842869580178</v>
          </cell>
        </row>
        <row r="11">
          <cell r="F11">
            <v>1332.1876365112701</v>
          </cell>
          <cell r="I11">
            <v>3614.3106403026704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17654.743997573758</v>
          </cell>
        </row>
        <row r="21">
          <cell r="F21">
            <v>2227.93050897802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4133106</v>
          </cell>
        </row>
        <row r="6">
          <cell r="G6">
            <v>1044705</v>
          </cell>
        </row>
        <row r="7">
          <cell r="G7">
            <v>479</v>
          </cell>
        </row>
        <row r="10">
          <cell r="G10">
            <v>183562</v>
          </cell>
        </row>
        <row r="16">
          <cell r="G16">
            <v>32971</v>
          </cell>
        </row>
        <row r="17">
          <cell r="G17">
            <v>20935</v>
          </cell>
        </row>
        <row r="18">
          <cell r="G18">
            <v>17</v>
          </cell>
        </row>
        <row r="19">
          <cell r="G19">
            <v>2241</v>
          </cell>
        </row>
        <row r="20">
          <cell r="G20">
            <v>2695</v>
          </cell>
        </row>
        <row r="21">
          <cell r="G21">
            <v>142</v>
          </cell>
        </row>
        <row r="27">
          <cell r="G27">
            <v>32940.098808884191</v>
          </cell>
        </row>
        <row r="28">
          <cell r="G28">
            <v>4212.0011415890094</v>
          </cell>
        </row>
        <row r="32">
          <cell r="D32">
            <v>1767708</v>
          </cell>
        </row>
        <row r="33">
          <cell r="D33">
            <v>849547</v>
          </cell>
        </row>
      </sheetData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>
        <row r="5">
          <cell r="I5">
            <v>18427.150568713812</v>
          </cell>
        </row>
        <row r="6">
          <cell r="I6">
            <v>1724.3155188220499</v>
          </cell>
        </row>
        <row r="10">
          <cell r="I10">
            <v>14512.948240170379</v>
          </cell>
        </row>
        <row r="11">
          <cell r="I11">
            <v>2487.6856227669596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D4">
            <v>101</v>
          </cell>
        </row>
        <row r="5">
          <cell r="GD5">
            <v>101</v>
          </cell>
        </row>
        <row r="8">
          <cell r="GD8"/>
        </row>
        <row r="9">
          <cell r="GD9"/>
        </row>
        <row r="19">
          <cell r="FN19">
            <v>248</v>
          </cell>
          <cell r="FO19">
            <v>210</v>
          </cell>
          <cell r="FP19">
            <v>186</v>
          </cell>
          <cell r="GB19">
            <v>200</v>
          </cell>
          <cell r="GC19">
            <v>162</v>
          </cell>
          <cell r="GD19">
            <v>202</v>
          </cell>
        </row>
        <row r="22">
          <cell r="GD22">
            <v>446</v>
          </cell>
        </row>
        <row r="23">
          <cell r="GD23">
            <v>386</v>
          </cell>
        </row>
        <row r="27">
          <cell r="GD27"/>
        </row>
        <row r="28">
          <cell r="GD28"/>
        </row>
        <row r="41">
          <cell r="FN41">
            <v>960</v>
          </cell>
          <cell r="FO41">
            <v>755</v>
          </cell>
          <cell r="FP41">
            <v>740</v>
          </cell>
          <cell r="GB41">
            <v>730</v>
          </cell>
          <cell r="GC41">
            <v>753</v>
          </cell>
          <cell r="GD41">
            <v>832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3"/>
      <sheetData sheetId="4">
        <row r="4">
          <cell r="GD4"/>
        </row>
        <row r="5">
          <cell r="GD5"/>
        </row>
        <row r="8">
          <cell r="GD8"/>
        </row>
        <row r="9">
          <cell r="GD9"/>
        </row>
        <row r="15">
          <cell r="GB15"/>
          <cell r="GC15"/>
          <cell r="GD15"/>
        </row>
        <row r="16">
          <cell r="GB16"/>
          <cell r="GC16"/>
          <cell r="GD16"/>
        </row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5"/>
      <sheetData sheetId="6">
        <row r="4">
          <cell r="GD4">
            <v>84</v>
          </cell>
        </row>
        <row r="5">
          <cell r="GD5">
            <v>84</v>
          </cell>
        </row>
        <row r="8">
          <cell r="GD8"/>
        </row>
        <row r="9">
          <cell r="GD9"/>
        </row>
        <row r="19">
          <cell r="FN19">
            <v>120</v>
          </cell>
          <cell r="FO19">
            <v>114</v>
          </cell>
          <cell r="FP19">
            <v>120</v>
          </cell>
          <cell r="GB19">
            <v>127</v>
          </cell>
          <cell r="GC19">
            <v>114</v>
          </cell>
          <cell r="GD19">
            <v>168</v>
          </cell>
        </row>
        <row r="22">
          <cell r="GD22">
            <v>11810</v>
          </cell>
        </row>
        <row r="23">
          <cell r="GD23">
            <v>11889</v>
          </cell>
        </row>
        <row r="27">
          <cell r="GD27">
            <v>337</v>
          </cell>
        </row>
        <row r="28">
          <cell r="GD28">
            <v>441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GB41">
            <v>16984</v>
          </cell>
          <cell r="GC41">
            <v>15222</v>
          </cell>
          <cell r="GD41">
            <v>23699</v>
          </cell>
        </row>
        <row r="47">
          <cell r="GD47">
            <v>6769</v>
          </cell>
        </row>
        <row r="48">
          <cell r="GD48">
            <v>827</v>
          </cell>
        </row>
        <row r="52">
          <cell r="GD52">
            <v>8588</v>
          </cell>
        </row>
        <row r="53">
          <cell r="GD53">
            <v>10074</v>
          </cell>
        </row>
        <row r="57">
          <cell r="GD57"/>
        </row>
        <row r="58">
          <cell r="GD58"/>
        </row>
      </sheetData>
      <sheetData sheetId="7"/>
      <sheetData sheetId="8">
        <row r="4">
          <cell r="GD4">
            <v>597</v>
          </cell>
        </row>
        <row r="5">
          <cell r="GD5">
            <v>597</v>
          </cell>
        </row>
        <row r="8">
          <cell r="GD8"/>
        </row>
        <row r="9">
          <cell r="GD9"/>
        </row>
        <row r="19">
          <cell r="FN19">
            <v>1140</v>
          </cell>
          <cell r="FO19">
            <v>1079</v>
          </cell>
          <cell r="FP19">
            <v>1151</v>
          </cell>
          <cell r="GB19">
            <v>1300</v>
          </cell>
          <cell r="GC19">
            <v>1146</v>
          </cell>
          <cell r="GD19">
            <v>1194</v>
          </cell>
        </row>
        <row r="22">
          <cell r="GD22">
            <v>78633</v>
          </cell>
        </row>
        <row r="23">
          <cell r="GD23">
            <v>79697</v>
          </cell>
        </row>
        <row r="27">
          <cell r="GD27">
            <v>2648</v>
          </cell>
        </row>
        <row r="28">
          <cell r="GD28">
            <v>2852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GB41">
            <v>145184</v>
          </cell>
          <cell r="GC41">
            <v>135794</v>
          </cell>
          <cell r="GD41">
            <v>158330</v>
          </cell>
        </row>
        <row r="47">
          <cell r="GD47">
            <v>42049</v>
          </cell>
        </row>
        <row r="48">
          <cell r="GD48">
            <v>53357</v>
          </cell>
        </row>
        <row r="52">
          <cell r="GD52">
            <v>10052</v>
          </cell>
        </row>
        <row r="53">
          <cell r="GD53">
            <v>74886</v>
          </cell>
        </row>
        <row r="57">
          <cell r="GD57"/>
        </row>
        <row r="58">
          <cell r="GD58"/>
        </row>
      </sheetData>
      <sheetData sheetId="9"/>
      <sheetData sheetId="10">
        <row r="4">
          <cell r="GD4">
            <v>671</v>
          </cell>
        </row>
        <row r="5">
          <cell r="GD5">
            <v>672</v>
          </cell>
        </row>
        <row r="8">
          <cell r="GD8">
            <v>79</v>
          </cell>
        </row>
        <row r="9">
          <cell r="GD9">
            <v>76</v>
          </cell>
        </row>
        <row r="15">
          <cell r="GB15">
            <v>160</v>
          </cell>
          <cell r="GC15">
            <v>217</v>
          </cell>
          <cell r="GD15">
            <v>300</v>
          </cell>
        </row>
        <row r="16">
          <cell r="GB16">
            <v>161</v>
          </cell>
          <cell r="GC16">
            <v>219</v>
          </cell>
          <cell r="GD16">
            <v>303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GB19">
            <v>1519</v>
          </cell>
          <cell r="GC19">
            <v>1670</v>
          </cell>
          <cell r="GD19">
            <v>2101</v>
          </cell>
        </row>
        <row r="22">
          <cell r="GD22">
            <v>108124</v>
          </cell>
        </row>
        <row r="23">
          <cell r="GD23">
            <v>111521</v>
          </cell>
        </row>
        <row r="27">
          <cell r="GD27">
            <v>1376</v>
          </cell>
        </row>
        <row r="28">
          <cell r="GD28">
            <v>1445</v>
          </cell>
        </row>
        <row r="32">
          <cell r="GB32">
            <v>20211</v>
          </cell>
          <cell r="GC32">
            <v>29015</v>
          </cell>
          <cell r="GD32">
            <v>44793</v>
          </cell>
        </row>
        <row r="33">
          <cell r="GB33">
            <v>19540</v>
          </cell>
          <cell r="GC33">
            <v>31523</v>
          </cell>
          <cell r="GD33">
            <v>45489</v>
          </cell>
        </row>
        <row r="37">
          <cell r="GB37">
            <v>206</v>
          </cell>
          <cell r="GC37">
            <v>177</v>
          </cell>
          <cell r="GD37">
            <v>249</v>
          </cell>
        </row>
        <row r="38">
          <cell r="GB38">
            <v>253</v>
          </cell>
          <cell r="GC38">
            <v>233</v>
          </cell>
          <cell r="GD38">
            <v>314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GB41">
            <v>195917</v>
          </cell>
          <cell r="GC41">
            <v>233565</v>
          </cell>
          <cell r="GD41">
            <v>309927</v>
          </cell>
        </row>
        <row r="47">
          <cell r="GD47">
            <v>40700</v>
          </cell>
        </row>
        <row r="48">
          <cell r="GD48">
            <v>161076</v>
          </cell>
        </row>
        <row r="52">
          <cell r="GD52">
            <v>34754</v>
          </cell>
        </row>
        <row r="53">
          <cell r="GD53">
            <v>330364</v>
          </cell>
        </row>
        <row r="57">
          <cell r="GD57"/>
        </row>
        <row r="58">
          <cell r="GD58"/>
        </row>
        <row r="70">
          <cell r="GD70">
            <v>110268</v>
          </cell>
        </row>
        <row r="71">
          <cell r="GD71">
            <v>1253</v>
          </cell>
        </row>
        <row r="73">
          <cell r="GD73">
            <v>45444</v>
          </cell>
        </row>
        <row r="74">
          <cell r="GD74">
            <v>45</v>
          </cell>
        </row>
      </sheetData>
      <sheetData sheetId="11">
        <row r="4">
          <cell r="GD4">
            <v>74</v>
          </cell>
        </row>
        <row r="5">
          <cell r="GD5">
            <v>74</v>
          </cell>
        </row>
        <row r="8">
          <cell r="GD8"/>
        </row>
        <row r="9">
          <cell r="GD9"/>
        </row>
        <row r="19">
          <cell r="FN19">
            <v>158</v>
          </cell>
          <cell r="FO19">
            <v>138</v>
          </cell>
          <cell r="FP19">
            <v>148</v>
          </cell>
          <cell r="GB19">
            <v>144</v>
          </cell>
          <cell r="GC19">
            <v>120</v>
          </cell>
          <cell r="GD19">
            <v>148</v>
          </cell>
        </row>
        <row r="22">
          <cell r="GD22">
            <v>329</v>
          </cell>
        </row>
        <row r="23">
          <cell r="GD23">
            <v>338</v>
          </cell>
        </row>
        <row r="27">
          <cell r="GD27"/>
        </row>
        <row r="28">
          <cell r="GD28"/>
        </row>
        <row r="41">
          <cell r="FN41">
            <v>802</v>
          </cell>
          <cell r="FO41">
            <v>682</v>
          </cell>
          <cell r="FP41">
            <v>838</v>
          </cell>
          <cell r="GB41">
            <v>603</v>
          </cell>
          <cell r="GC41">
            <v>465</v>
          </cell>
          <cell r="GD41">
            <v>667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12">
        <row r="4">
          <cell r="GD4"/>
        </row>
        <row r="5">
          <cell r="GD5"/>
        </row>
        <row r="8">
          <cell r="GD8"/>
        </row>
        <row r="9">
          <cell r="GD9"/>
        </row>
        <row r="15">
          <cell r="GB15"/>
          <cell r="GC15"/>
          <cell r="GD15"/>
        </row>
        <row r="16">
          <cell r="GB16"/>
          <cell r="GC16"/>
          <cell r="GD16"/>
        </row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13">
        <row r="4">
          <cell r="GD4">
            <v>5620</v>
          </cell>
        </row>
        <row r="5">
          <cell r="GD5">
            <v>5626</v>
          </cell>
        </row>
        <row r="8">
          <cell r="GD8">
            <v>3</v>
          </cell>
        </row>
        <row r="9">
          <cell r="GD9">
            <v>6</v>
          </cell>
        </row>
        <row r="15">
          <cell r="GB15">
            <v>574</v>
          </cell>
          <cell r="GC15">
            <v>585</v>
          </cell>
          <cell r="GD15">
            <v>646</v>
          </cell>
        </row>
        <row r="16">
          <cell r="GB16">
            <v>581</v>
          </cell>
          <cell r="GC16">
            <v>586</v>
          </cell>
          <cell r="GD16">
            <v>645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GB19">
            <v>11008</v>
          </cell>
          <cell r="GC19">
            <v>10141</v>
          </cell>
          <cell r="GD19">
            <v>12546</v>
          </cell>
        </row>
        <row r="22">
          <cell r="GD22">
            <v>787780</v>
          </cell>
        </row>
        <row r="23">
          <cell r="GD23">
            <v>791062</v>
          </cell>
        </row>
        <row r="27">
          <cell r="GD27">
            <v>28638</v>
          </cell>
        </row>
        <row r="28">
          <cell r="GD28">
            <v>29317</v>
          </cell>
        </row>
        <row r="32">
          <cell r="GB32">
            <v>87230</v>
          </cell>
          <cell r="GC32">
            <v>84747</v>
          </cell>
          <cell r="GD32">
            <v>103915</v>
          </cell>
        </row>
        <row r="33">
          <cell r="GB33">
            <v>82653</v>
          </cell>
          <cell r="GC33">
            <v>84302</v>
          </cell>
          <cell r="GD33">
            <v>103568</v>
          </cell>
        </row>
        <row r="37">
          <cell r="GB37">
            <v>2573</v>
          </cell>
          <cell r="GC37">
            <v>2264</v>
          </cell>
          <cell r="GD37">
            <v>2193</v>
          </cell>
        </row>
        <row r="38">
          <cell r="GB38">
            <v>2135</v>
          </cell>
          <cell r="GC38">
            <v>2288</v>
          </cell>
          <cell r="GD38">
            <v>2520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GB41">
            <v>1398155</v>
          </cell>
          <cell r="GC41">
            <v>1323629</v>
          </cell>
          <cell r="GD41">
            <v>1786325</v>
          </cell>
        </row>
        <row r="47">
          <cell r="GD47">
            <v>4212775</v>
          </cell>
        </row>
        <row r="48">
          <cell r="GD48">
            <v>1500253</v>
          </cell>
        </row>
        <row r="52">
          <cell r="GD52">
            <v>2456898</v>
          </cell>
        </row>
        <row r="53">
          <cell r="GD53">
            <v>1836420</v>
          </cell>
        </row>
        <row r="57">
          <cell r="GD57"/>
        </row>
        <row r="58">
          <cell r="GD58"/>
        </row>
        <row r="70">
          <cell r="GD70">
            <v>470682</v>
          </cell>
        </row>
        <row r="71">
          <cell r="GD71">
            <v>320380</v>
          </cell>
        </row>
        <row r="73">
          <cell r="GD73">
            <v>61623</v>
          </cell>
        </row>
        <row r="74">
          <cell r="GD74">
            <v>41945</v>
          </cell>
        </row>
      </sheetData>
      <sheetData sheetId="14"/>
      <sheetData sheetId="15">
        <row r="4">
          <cell r="GD4">
            <v>108</v>
          </cell>
        </row>
        <row r="5">
          <cell r="GD5">
            <v>108</v>
          </cell>
        </row>
        <row r="8">
          <cell r="GD8"/>
        </row>
        <row r="9">
          <cell r="GD9"/>
        </row>
        <row r="19">
          <cell r="FN19">
            <v>248</v>
          </cell>
          <cell r="FO19">
            <v>222</v>
          </cell>
          <cell r="FP19">
            <v>222</v>
          </cell>
          <cell r="GB19">
            <v>212</v>
          </cell>
          <cell r="GC19">
            <v>187</v>
          </cell>
          <cell r="GD19">
            <v>216</v>
          </cell>
        </row>
        <row r="22">
          <cell r="GD22">
            <v>19253</v>
          </cell>
        </row>
        <row r="23">
          <cell r="GD23">
            <v>19932</v>
          </cell>
        </row>
        <row r="27">
          <cell r="GD27">
            <v>174</v>
          </cell>
        </row>
        <row r="28">
          <cell r="GD28">
            <v>157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GB41">
            <v>34670</v>
          </cell>
          <cell r="GC41">
            <v>32595</v>
          </cell>
          <cell r="GD41">
            <v>39185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16"/>
      <sheetData sheetId="17">
        <row r="8">
          <cell r="GD8"/>
        </row>
        <row r="9">
          <cell r="GD9"/>
        </row>
        <row r="15">
          <cell r="GB15">
            <v>4</v>
          </cell>
          <cell r="GC15"/>
          <cell r="GD15">
            <v>15</v>
          </cell>
        </row>
        <row r="16">
          <cell r="GB16">
            <v>4</v>
          </cell>
          <cell r="GC16"/>
          <cell r="GD16">
            <v>15</v>
          </cell>
        </row>
        <row r="19">
          <cell r="FN19">
            <v>10</v>
          </cell>
          <cell r="FO19">
            <v>0</v>
          </cell>
          <cell r="FP19">
            <v>34</v>
          </cell>
          <cell r="GB19">
            <v>8</v>
          </cell>
          <cell r="GC19">
            <v>0</v>
          </cell>
          <cell r="GD19">
            <v>30</v>
          </cell>
        </row>
        <row r="32">
          <cell r="GB32">
            <v>585</v>
          </cell>
          <cell r="GC32"/>
          <cell r="GD32">
            <v>1635</v>
          </cell>
        </row>
        <row r="33">
          <cell r="GB33">
            <v>515</v>
          </cell>
          <cell r="GC33"/>
          <cell r="GD33">
            <v>2134</v>
          </cell>
        </row>
        <row r="37">
          <cell r="GB37">
            <v>10</v>
          </cell>
          <cell r="GC37"/>
          <cell r="GD37">
            <v>29</v>
          </cell>
        </row>
        <row r="38">
          <cell r="GB38">
            <v>5</v>
          </cell>
          <cell r="GC38"/>
          <cell r="GD38">
            <v>22</v>
          </cell>
        </row>
        <row r="41">
          <cell r="FN41">
            <v>1523</v>
          </cell>
          <cell r="FO41">
            <v>0</v>
          </cell>
          <cell r="FP41">
            <v>4450</v>
          </cell>
          <cell r="GB41">
            <v>1100</v>
          </cell>
          <cell r="GC41">
            <v>0</v>
          </cell>
          <cell r="GD41">
            <v>3769</v>
          </cell>
        </row>
        <row r="47">
          <cell r="GD47">
            <v>8763</v>
          </cell>
        </row>
        <row r="48">
          <cell r="GD48"/>
        </row>
        <row r="52">
          <cell r="GD52">
            <v>214</v>
          </cell>
        </row>
        <row r="53">
          <cell r="GD53"/>
        </row>
        <row r="57">
          <cell r="GD57"/>
        </row>
        <row r="58">
          <cell r="GD58"/>
        </row>
      </sheetData>
      <sheetData sheetId="18">
        <row r="4">
          <cell r="GD4">
            <v>88</v>
          </cell>
        </row>
        <row r="5">
          <cell r="GD5">
            <v>88</v>
          </cell>
        </row>
        <row r="8">
          <cell r="GD8"/>
        </row>
        <row r="9">
          <cell r="GD9"/>
        </row>
        <row r="19">
          <cell r="FN19">
            <v>0</v>
          </cell>
          <cell r="FO19">
            <v>0</v>
          </cell>
          <cell r="FP19">
            <v>0</v>
          </cell>
          <cell r="GB19">
            <v>172</v>
          </cell>
          <cell r="GC19">
            <v>140</v>
          </cell>
          <cell r="GD19">
            <v>176</v>
          </cell>
        </row>
        <row r="22">
          <cell r="GD22">
            <v>9542</v>
          </cell>
        </row>
        <row r="23">
          <cell r="GD23">
            <v>10099</v>
          </cell>
        </row>
        <row r="27">
          <cell r="GD27">
            <v>240</v>
          </cell>
        </row>
        <row r="28">
          <cell r="GD28">
            <v>299</v>
          </cell>
        </row>
        <row r="41">
          <cell r="FN41">
            <v>0</v>
          </cell>
          <cell r="FO41">
            <v>0</v>
          </cell>
          <cell r="FP41">
            <v>0</v>
          </cell>
          <cell r="GB41">
            <v>14226</v>
          </cell>
          <cell r="GC41">
            <v>13082</v>
          </cell>
          <cell r="GD41">
            <v>19641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19">
        <row r="4">
          <cell r="GD4">
            <v>278</v>
          </cell>
        </row>
        <row r="5">
          <cell r="GD5">
            <v>278</v>
          </cell>
        </row>
        <row r="8">
          <cell r="GD8"/>
        </row>
        <row r="9">
          <cell r="GD9"/>
        </row>
        <row r="19">
          <cell r="FN19">
            <v>458</v>
          </cell>
          <cell r="FO19">
            <v>564</v>
          </cell>
          <cell r="FP19">
            <v>544</v>
          </cell>
          <cell r="GB19">
            <v>408</v>
          </cell>
          <cell r="GC19">
            <v>432</v>
          </cell>
          <cell r="GD19">
            <v>556</v>
          </cell>
        </row>
        <row r="22">
          <cell r="GD22">
            <v>38141</v>
          </cell>
        </row>
        <row r="23">
          <cell r="GD23">
            <v>36963</v>
          </cell>
        </row>
        <row r="27">
          <cell r="GD27">
            <v>1015</v>
          </cell>
        </row>
        <row r="28">
          <cell r="GD28">
            <v>1116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GB41">
            <v>51340</v>
          </cell>
          <cell r="GC41">
            <v>55742</v>
          </cell>
          <cell r="GD41">
            <v>75104</v>
          </cell>
        </row>
        <row r="47">
          <cell r="GD47">
            <v>37585</v>
          </cell>
        </row>
        <row r="48">
          <cell r="GD48">
            <v>58185</v>
          </cell>
        </row>
        <row r="52">
          <cell r="GD52">
            <v>13054</v>
          </cell>
        </row>
        <row r="53">
          <cell r="GD53">
            <v>58874</v>
          </cell>
        </row>
        <row r="57">
          <cell r="GD57"/>
        </row>
        <row r="58">
          <cell r="GD58"/>
        </row>
      </sheetData>
      <sheetData sheetId="20">
        <row r="4">
          <cell r="GD4"/>
        </row>
        <row r="5">
          <cell r="GD5"/>
        </row>
        <row r="8">
          <cell r="GD8"/>
        </row>
        <row r="9">
          <cell r="GD9"/>
        </row>
        <row r="15">
          <cell r="GB15">
            <v>17</v>
          </cell>
          <cell r="GC15">
            <v>14</v>
          </cell>
          <cell r="GD15">
            <v>18</v>
          </cell>
        </row>
        <row r="16">
          <cell r="GB16">
            <v>17</v>
          </cell>
          <cell r="GC16">
            <v>14</v>
          </cell>
          <cell r="GD16">
            <v>18</v>
          </cell>
        </row>
        <row r="19">
          <cell r="FN19">
            <v>28</v>
          </cell>
          <cell r="FO19">
            <v>24</v>
          </cell>
          <cell r="FP19">
            <v>26</v>
          </cell>
          <cell r="GB19">
            <v>34</v>
          </cell>
          <cell r="GC19">
            <v>28</v>
          </cell>
          <cell r="GD19">
            <v>36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32">
          <cell r="GB32">
            <v>4395</v>
          </cell>
          <cell r="GC32">
            <v>2287</v>
          </cell>
          <cell r="GD32">
            <v>4533</v>
          </cell>
        </row>
        <row r="33">
          <cell r="GB33">
            <v>2970</v>
          </cell>
          <cell r="GC33">
            <v>3199</v>
          </cell>
          <cell r="GD33">
            <v>4202</v>
          </cell>
        </row>
        <row r="37">
          <cell r="GB37">
            <v>8</v>
          </cell>
          <cell r="GC37">
            <v>9</v>
          </cell>
          <cell r="GD37">
            <v>30</v>
          </cell>
        </row>
        <row r="38">
          <cell r="GB38">
            <v>15</v>
          </cell>
          <cell r="GC38">
            <v>3</v>
          </cell>
          <cell r="GD38">
            <v>28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GB41">
            <v>7365</v>
          </cell>
          <cell r="GC41">
            <v>5486</v>
          </cell>
          <cell r="GD41">
            <v>8735</v>
          </cell>
        </row>
        <row r="47">
          <cell r="GD47">
            <v>597181</v>
          </cell>
        </row>
        <row r="48">
          <cell r="GD48"/>
        </row>
        <row r="52">
          <cell r="GD52">
            <v>180562</v>
          </cell>
        </row>
        <row r="53">
          <cell r="GD53"/>
        </row>
        <row r="57">
          <cell r="GD57"/>
        </row>
        <row r="58">
          <cell r="GD58"/>
        </row>
      </sheetData>
      <sheetData sheetId="21"/>
      <sheetData sheetId="22"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</sheetData>
      <sheetData sheetId="23">
        <row r="4">
          <cell r="GD4">
            <v>746</v>
          </cell>
        </row>
        <row r="5">
          <cell r="GD5">
            <v>746</v>
          </cell>
        </row>
        <row r="8">
          <cell r="GD8"/>
        </row>
        <row r="9">
          <cell r="GD9"/>
        </row>
        <row r="19">
          <cell r="FN19">
            <v>1254</v>
          </cell>
          <cell r="FO19">
            <v>1167</v>
          </cell>
          <cell r="FP19">
            <v>1403</v>
          </cell>
          <cell r="GB19">
            <v>1244</v>
          </cell>
          <cell r="GC19">
            <v>1155</v>
          </cell>
          <cell r="GD19">
            <v>1492</v>
          </cell>
        </row>
        <row r="22">
          <cell r="GD22">
            <v>91507</v>
          </cell>
        </row>
        <row r="23">
          <cell r="GD23">
            <v>92858</v>
          </cell>
        </row>
        <row r="27">
          <cell r="GD27">
            <v>1662</v>
          </cell>
        </row>
        <row r="28">
          <cell r="GD28">
            <v>1891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GB41">
            <v>131632</v>
          </cell>
          <cell r="GC41">
            <v>131757</v>
          </cell>
          <cell r="GD41">
            <v>184365</v>
          </cell>
        </row>
        <row r="47">
          <cell r="GD47">
            <v>252371</v>
          </cell>
        </row>
        <row r="48">
          <cell r="GD48"/>
        </row>
        <row r="52">
          <cell r="GD52">
            <v>67570</v>
          </cell>
        </row>
        <row r="53">
          <cell r="GD53"/>
        </row>
        <row r="57">
          <cell r="GD57"/>
        </row>
        <row r="58">
          <cell r="GD58"/>
        </row>
        <row r="70">
          <cell r="GD70">
            <v>91548</v>
          </cell>
        </row>
        <row r="71">
          <cell r="GD71">
            <v>1310</v>
          </cell>
        </row>
        <row r="73">
          <cell r="GD73"/>
        </row>
        <row r="74">
          <cell r="GD74"/>
        </row>
      </sheetData>
      <sheetData sheetId="24">
        <row r="4">
          <cell r="GD4">
            <v>396</v>
          </cell>
        </row>
        <row r="5">
          <cell r="GD5">
            <v>395</v>
          </cell>
        </row>
        <row r="8">
          <cell r="GD8"/>
        </row>
        <row r="9">
          <cell r="GD9"/>
        </row>
        <row r="19">
          <cell r="FN19">
            <v>752</v>
          </cell>
          <cell r="FO19">
            <v>686</v>
          </cell>
          <cell r="FP19">
            <v>776</v>
          </cell>
          <cell r="GB19">
            <v>678</v>
          </cell>
          <cell r="GC19">
            <v>622</v>
          </cell>
          <cell r="GD19">
            <v>791</v>
          </cell>
        </row>
        <row r="22">
          <cell r="GD22">
            <v>61421</v>
          </cell>
        </row>
        <row r="23">
          <cell r="GD23">
            <v>65602</v>
          </cell>
        </row>
        <row r="27">
          <cell r="GD27">
            <v>239</v>
          </cell>
        </row>
        <row r="28">
          <cell r="GD28">
            <v>290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GB41">
            <v>95231</v>
          </cell>
          <cell r="GC41">
            <v>91879</v>
          </cell>
          <cell r="GD41">
            <v>127023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70">
          <cell r="GD70"/>
        </row>
        <row r="71">
          <cell r="GD71"/>
        </row>
        <row r="73">
          <cell r="GD73"/>
        </row>
        <row r="74">
          <cell r="GD74"/>
        </row>
      </sheetData>
      <sheetData sheetId="25"/>
      <sheetData sheetId="26"/>
      <sheetData sheetId="27">
        <row r="15">
          <cell r="GB15"/>
          <cell r="GC15"/>
          <cell r="GD15"/>
        </row>
        <row r="16">
          <cell r="GB16"/>
          <cell r="GC16"/>
          <cell r="GD16"/>
        </row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</sheetData>
      <sheetData sheetId="28"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</sheetData>
      <sheetData sheetId="29">
        <row r="4">
          <cell r="GD4">
            <v>62</v>
          </cell>
        </row>
        <row r="5">
          <cell r="GD5">
            <v>62</v>
          </cell>
        </row>
        <row r="8">
          <cell r="GD8"/>
        </row>
        <row r="9">
          <cell r="GD9"/>
        </row>
        <row r="19">
          <cell r="FN19">
            <v>12</v>
          </cell>
          <cell r="FO19">
            <v>38</v>
          </cell>
          <cell r="FP19">
            <v>64</v>
          </cell>
          <cell r="GB19">
            <v>2</v>
          </cell>
          <cell r="GC19">
            <v>56</v>
          </cell>
          <cell r="GD19">
            <v>124</v>
          </cell>
        </row>
        <row r="22">
          <cell r="GD22">
            <v>4267</v>
          </cell>
        </row>
        <row r="23">
          <cell r="GD23">
            <v>4413</v>
          </cell>
        </row>
        <row r="27">
          <cell r="GD27">
            <v>174</v>
          </cell>
        </row>
        <row r="28">
          <cell r="GD28">
            <v>135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GB41">
            <v>46</v>
          </cell>
          <cell r="GC41">
            <v>3916</v>
          </cell>
          <cell r="GD41">
            <v>8680</v>
          </cell>
        </row>
        <row r="47">
          <cell r="GD47">
            <v>129</v>
          </cell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30">
        <row r="4">
          <cell r="GD4"/>
        </row>
        <row r="5">
          <cell r="GD5"/>
        </row>
        <row r="8">
          <cell r="GD8"/>
        </row>
        <row r="9">
          <cell r="GD9"/>
        </row>
        <row r="15">
          <cell r="GB15"/>
          <cell r="GC15"/>
          <cell r="GD15"/>
        </row>
        <row r="16">
          <cell r="GB16"/>
          <cell r="GC16"/>
          <cell r="GD16"/>
        </row>
        <row r="19">
          <cell r="FN19">
            <v>212</v>
          </cell>
          <cell r="FO19">
            <v>226</v>
          </cell>
          <cell r="FP19">
            <v>298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  <row r="41">
          <cell r="FN41">
            <v>10387</v>
          </cell>
          <cell r="FO41">
            <v>11697</v>
          </cell>
          <cell r="FP41">
            <v>15186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G58"/>
        </row>
        <row r="70">
          <cell r="GD70"/>
        </row>
        <row r="71">
          <cell r="GD71"/>
        </row>
        <row r="73">
          <cell r="GD73"/>
        </row>
        <row r="74">
          <cell r="GD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</sheetData>
      <sheetData sheetId="35"/>
      <sheetData sheetId="36">
        <row r="4">
          <cell r="GD4">
            <v>2</v>
          </cell>
        </row>
        <row r="5">
          <cell r="GD5">
            <v>2</v>
          </cell>
        </row>
        <row r="8">
          <cell r="GD8"/>
        </row>
        <row r="9">
          <cell r="GD9"/>
        </row>
        <row r="19">
          <cell r="FN19">
            <v>12</v>
          </cell>
          <cell r="FO19">
            <v>14</v>
          </cell>
          <cell r="FP19">
            <v>22</v>
          </cell>
          <cell r="GB19">
            <v>28</v>
          </cell>
          <cell r="GC19">
            <v>22</v>
          </cell>
          <cell r="GD19">
            <v>4</v>
          </cell>
        </row>
        <row r="22">
          <cell r="GD22">
            <v>68</v>
          </cell>
        </row>
        <row r="23">
          <cell r="GD23">
            <v>50</v>
          </cell>
        </row>
        <row r="27">
          <cell r="GD27"/>
        </row>
        <row r="28">
          <cell r="GD28"/>
        </row>
        <row r="41">
          <cell r="FN41">
            <v>487</v>
          </cell>
          <cell r="FO41">
            <v>453</v>
          </cell>
          <cell r="FP41">
            <v>557</v>
          </cell>
          <cell r="GB41">
            <v>672</v>
          </cell>
          <cell r="GC41">
            <v>636</v>
          </cell>
          <cell r="GD41">
            <v>118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G58"/>
        </row>
      </sheetData>
      <sheetData sheetId="37"/>
      <sheetData sheetId="38">
        <row r="4">
          <cell r="GD4">
            <v>134</v>
          </cell>
        </row>
        <row r="5">
          <cell r="GD5">
            <v>135</v>
          </cell>
        </row>
        <row r="8">
          <cell r="GD8"/>
        </row>
        <row r="9">
          <cell r="GD9"/>
        </row>
        <row r="15">
          <cell r="GB15">
            <v>22</v>
          </cell>
          <cell r="GC15">
            <v>20</v>
          </cell>
          <cell r="GD15">
            <v>51</v>
          </cell>
        </row>
        <row r="16">
          <cell r="GB16">
            <v>23</v>
          </cell>
          <cell r="GC16">
            <v>21</v>
          </cell>
          <cell r="GD16">
            <v>50</v>
          </cell>
        </row>
        <row r="19">
          <cell r="FN19">
            <v>602</v>
          </cell>
          <cell r="FO19">
            <v>578</v>
          </cell>
          <cell r="FP19">
            <v>630</v>
          </cell>
          <cell r="GB19">
            <v>289</v>
          </cell>
          <cell r="GC19">
            <v>186</v>
          </cell>
          <cell r="GD19">
            <v>370</v>
          </cell>
        </row>
        <row r="22">
          <cell r="GD22">
            <v>7463</v>
          </cell>
        </row>
        <row r="23">
          <cell r="GD23">
            <v>8082</v>
          </cell>
        </row>
        <row r="27">
          <cell r="GD27">
            <v>230</v>
          </cell>
        </row>
        <row r="28">
          <cell r="GD28">
            <v>305</v>
          </cell>
        </row>
        <row r="32">
          <cell r="GB32">
            <v>1113</v>
          </cell>
          <cell r="GC32">
            <v>1097</v>
          </cell>
          <cell r="GD32">
            <v>2693</v>
          </cell>
        </row>
        <row r="33">
          <cell r="GB33">
            <v>1359</v>
          </cell>
          <cell r="GC33">
            <v>1277</v>
          </cell>
          <cell r="GD33">
            <v>2988</v>
          </cell>
        </row>
        <row r="37">
          <cell r="GB37">
            <v>19</v>
          </cell>
          <cell r="GC37">
            <v>24</v>
          </cell>
          <cell r="GD37">
            <v>62</v>
          </cell>
        </row>
        <row r="38">
          <cell r="GB38">
            <v>5</v>
          </cell>
          <cell r="GC38">
            <v>16</v>
          </cell>
          <cell r="GD38">
            <v>48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GB41">
            <v>15935</v>
          </cell>
          <cell r="GC41">
            <v>10529</v>
          </cell>
          <cell r="GD41">
            <v>21226</v>
          </cell>
        </row>
        <row r="47">
          <cell r="GD47">
            <v>23</v>
          </cell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K58"/>
        </row>
        <row r="70">
          <cell r="GD70">
            <v>3839</v>
          </cell>
        </row>
        <row r="71">
          <cell r="GD71">
            <v>4243</v>
          </cell>
        </row>
        <row r="73">
          <cell r="GD73">
            <v>1419</v>
          </cell>
        </row>
        <row r="74">
          <cell r="GD74">
            <v>1569</v>
          </cell>
        </row>
      </sheetData>
      <sheetData sheetId="39">
        <row r="4">
          <cell r="GD4">
            <v>6</v>
          </cell>
        </row>
        <row r="5">
          <cell r="GD5">
            <v>6</v>
          </cell>
        </row>
        <row r="8">
          <cell r="GD8"/>
        </row>
        <row r="9">
          <cell r="GD9"/>
        </row>
        <row r="19">
          <cell r="FN19">
            <v>42</v>
          </cell>
          <cell r="FO19">
            <v>38</v>
          </cell>
          <cell r="FP19">
            <v>58</v>
          </cell>
          <cell r="GB19">
            <v>16</v>
          </cell>
          <cell r="GC19">
            <v>4</v>
          </cell>
          <cell r="GD19">
            <v>12</v>
          </cell>
        </row>
        <row r="22">
          <cell r="GD22">
            <v>331</v>
          </cell>
        </row>
        <row r="23">
          <cell r="GD23">
            <v>410</v>
          </cell>
        </row>
        <row r="27">
          <cell r="GD27">
            <v>7</v>
          </cell>
        </row>
        <row r="28">
          <cell r="GD28">
            <v>8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GB41">
            <v>997</v>
          </cell>
          <cell r="GC41">
            <v>266</v>
          </cell>
          <cell r="GD41">
            <v>741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AJ57"/>
        </row>
        <row r="58">
          <cell r="AJ58"/>
        </row>
      </sheetData>
      <sheetData sheetId="40">
        <row r="4">
          <cell r="GD4"/>
        </row>
        <row r="5">
          <cell r="GD5"/>
        </row>
        <row r="8">
          <cell r="GD8"/>
        </row>
        <row r="9">
          <cell r="GD9"/>
        </row>
        <row r="19">
          <cell r="FN19">
            <v>65</v>
          </cell>
          <cell r="FO19">
            <v>78</v>
          </cell>
          <cell r="FP19">
            <v>123</v>
          </cell>
          <cell r="GB19">
            <v>12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41">
          <cell r="FN41">
            <v>3640</v>
          </cell>
          <cell r="FO41">
            <v>5251</v>
          </cell>
          <cell r="FP41">
            <v>7748</v>
          </cell>
          <cell r="GB41">
            <v>819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F58"/>
        </row>
      </sheetData>
      <sheetData sheetId="41">
        <row r="4">
          <cell r="GD4">
            <v>98</v>
          </cell>
        </row>
        <row r="5">
          <cell r="GD5">
            <v>98</v>
          </cell>
        </row>
        <row r="8">
          <cell r="GD8"/>
        </row>
        <row r="9">
          <cell r="GD9"/>
        </row>
        <row r="19">
          <cell r="FN19">
            <v>216</v>
          </cell>
          <cell r="FO19">
            <v>262</v>
          </cell>
          <cell r="FP19">
            <v>244</v>
          </cell>
          <cell r="GB19">
            <v>282</v>
          </cell>
          <cell r="GC19">
            <v>192</v>
          </cell>
          <cell r="GD19">
            <v>196</v>
          </cell>
        </row>
        <row r="22">
          <cell r="GD22">
            <v>6438</v>
          </cell>
        </row>
        <row r="23">
          <cell r="GD23">
            <v>6359</v>
          </cell>
        </row>
        <row r="27">
          <cell r="GD27">
            <v>122</v>
          </cell>
        </row>
        <row r="28">
          <cell r="GD28">
            <v>150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GB41">
            <v>17818</v>
          </cell>
          <cell r="GC41">
            <v>12401</v>
          </cell>
          <cell r="GD41">
            <v>12797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42"/>
      <sheetData sheetId="43"/>
      <sheetData sheetId="44">
        <row r="4">
          <cell r="GD4">
            <v>1075</v>
          </cell>
        </row>
        <row r="5">
          <cell r="GD5">
            <v>1076</v>
          </cell>
        </row>
        <row r="8">
          <cell r="GD8">
            <v>1</v>
          </cell>
        </row>
        <row r="9">
          <cell r="GD9"/>
        </row>
        <row r="15">
          <cell r="GB15">
            <v>81</v>
          </cell>
          <cell r="GC15">
            <v>57</v>
          </cell>
          <cell r="GD15">
            <v>88</v>
          </cell>
        </row>
        <row r="16">
          <cell r="GB16">
            <v>80</v>
          </cell>
          <cell r="GC16">
            <v>57</v>
          </cell>
          <cell r="GD16">
            <v>89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GB19">
            <v>2100</v>
          </cell>
          <cell r="GC19">
            <v>1634</v>
          </cell>
          <cell r="GD19">
            <v>2329</v>
          </cell>
        </row>
        <row r="22">
          <cell r="GD22">
            <v>64130</v>
          </cell>
        </row>
        <row r="23">
          <cell r="GD23">
            <v>64284</v>
          </cell>
        </row>
        <row r="27">
          <cell r="GD27">
            <v>2242</v>
          </cell>
        </row>
        <row r="28">
          <cell r="GD28">
            <v>2407</v>
          </cell>
        </row>
        <row r="32">
          <cell r="GB32">
            <v>4708</v>
          </cell>
          <cell r="GC32">
            <v>3190</v>
          </cell>
          <cell r="GD32">
            <v>5346</v>
          </cell>
        </row>
        <row r="33">
          <cell r="GB33">
            <v>4966</v>
          </cell>
          <cell r="GC33">
            <v>3571</v>
          </cell>
          <cell r="GD33">
            <v>5789</v>
          </cell>
        </row>
        <row r="37">
          <cell r="GB37">
            <v>89</v>
          </cell>
          <cell r="GC37">
            <v>62</v>
          </cell>
          <cell r="GD37">
            <v>69</v>
          </cell>
        </row>
        <row r="38">
          <cell r="GB38">
            <v>68</v>
          </cell>
          <cell r="GC38">
            <v>52</v>
          </cell>
          <cell r="GD38">
            <v>52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GB41">
            <v>114963</v>
          </cell>
          <cell r="GC41">
            <v>109948</v>
          </cell>
          <cell r="GD41">
            <v>139549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70">
          <cell r="GD70">
            <v>28542</v>
          </cell>
        </row>
        <row r="71">
          <cell r="GD71">
            <v>35742</v>
          </cell>
        </row>
        <row r="73">
          <cell r="GD73">
            <v>2570</v>
          </cell>
        </row>
        <row r="74">
          <cell r="GD74">
            <v>3219</v>
          </cell>
        </row>
      </sheetData>
      <sheetData sheetId="45">
        <row r="4">
          <cell r="GD4"/>
        </row>
        <row r="5">
          <cell r="GD5"/>
        </row>
        <row r="8">
          <cell r="GD8"/>
        </row>
        <row r="9">
          <cell r="GD9"/>
        </row>
        <row r="19">
          <cell r="FN19">
            <v>50</v>
          </cell>
          <cell r="FO19">
            <v>60</v>
          </cell>
          <cell r="FP19">
            <v>64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41">
          <cell r="FN41">
            <v>1731</v>
          </cell>
          <cell r="FO41">
            <v>2492</v>
          </cell>
          <cell r="FP41">
            <v>3130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G58"/>
        </row>
      </sheetData>
      <sheetData sheetId="46">
        <row r="4">
          <cell r="GD4">
            <v>170</v>
          </cell>
        </row>
        <row r="5">
          <cell r="GD5">
            <v>170</v>
          </cell>
        </row>
        <row r="8">
          <cell r="GD8"/>
        </row>
        <row r="9">
          <cell r="GD9"/>
        </row>
        <row r="19">
          <cell r="FN19">
            <v>377</v>
          </cell>
          <cell r="FO19">
            <v>379</v>
          </cell>
          <cell r="FP19">
            <v>399</v>
          </cell>
          <cell r="GB19">
            <v>293</v>
          </cell>
          <cell r="GC19">
            <v>289</v>
          </cell>
          <cell r="GD19">
            <v>340</v>
          </cell>
        </row>
        <row r="22">
          <cell r="GD22">
            <v>9403</v>
          </cell>
        </row>
        <row r="23">
          <cell r="GD23">
            <v>9909</v>
          </cell>
        </row>
        <row r="27">
          <cell r="GD27">
            <v>379</v>
          </cell>
        </row>
        <row r="28">
          <cell r="GD28">
            <v>440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GB41">
            <v>12747</v>
          </cell>
          <cell r="GC41">
            <v>14121</v>
          </cell>
          <cell r="GD41">
            <v>19312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47">
        <row r="4">
          <cell r="GD4">
            <v>276</v>
          </cell>
        </row>
        <row r="5">
          <cell r="GD5">
            <v>276</v>
          </cell>
        </row>
        <row r="8">
          <cell r="GD8"/>
        </row>
        <row r="9">
          <cell r="GD9"/>
        </row>
        <row r="19">
          <cell r="FN19">
            <v>388</v>
          </cell>
          <cell r="FO19">
            <v>350</v>
          </cell>
          <cell r="FP19">
            <v>428</v>
          </cell>
          <cell r="GB19">
            <v>438</v>
          </cell>
          <cell r="GC19">
            <v>422</v>
          </cell>
          <cell r="GD19">
            <v>552</v>
          </cell>
        </row>
        <row r="22">
          <cell r="GD22">
            <v>17515</v>
          </cell>
        </row>
        <row r="23">
          <cell r="GD23">
            <v>17550</v>
          </cell>
        </row>
        <row r="27">
          <cell r="GD27">
            <v>634</v>
          </cell>
        </row>
        <row r="28">
          <cell r="GD28">
            <v>659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GB41">
            <v>25465</v>
          </cell>
          <cell r="GC41">
            <v>24337</v>
          </cell>
          <cell r="GD41">
            <v>35065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</sheetData>
      <sheetData sheetId="48">
        <row r="8">
          <cell r="GD8"/>
        </row>
        <row r="9">
          <cell r="GD9"/>
        </row>
        <row r="15">
          <cell r="GB15">
            <v>78</v>
          </cell>
          <cell r="GC15">
            <v>65</v>
          </cell>
          <cell r="GD15">
            <v>85</v>
          </cell>
        </row>
        <row r="16">
          <cell r="GB16">
            <v>78</v>
          </cell>
          <cell r="GC16">
            <v>65</v>
          </cell>
          <cell r="GD16">
            <v>85</v>
          </cell>
        </row>
        <row r="19">
          <cell r="FN19">
            <v>162</v>
          </cell>
          <cell r="FO19">
            <v>148</v>
          </cell>
          <cell r="FP19">
            <v>172</v>
          </cell>
          <cell r="GB19">
            <v>156</v>
          </cell>
          <cell r="GC19">
            <v>130</v>
          </cell>
          <cell r="GD19">
            <v>170</v>
          </cell>
        </row>
        <row r="32">
          <cell r="GB32">
            <v>3712</v>
          </cell>
          <cell r="GC32">
            <v>3611</v>
          </cell>
          <cell r="GD32">
            <v>4585</v>
          </cell>
        </row>
        <row r="33">
          <cell r="GB33">
            <v>3782</v>
          </cell>
          <cell r="GC33">
            <v>3248</v>
          </cell>
          <cell r="GD33">
            <v>5053</v>
          </cell>
        </row>
        <row r="37">
          <cell r="GB37">
            <v>24</v>
          </cell>
          <cell r="GC37">
            <v>23</v>
          </cell>
          <cell r="GD37">
            <v>38</v>
          </cell>
        </row>
        <row r="38">
          <cell r="GB38">
            <v>43</v>
          </cell>
          <cell r="GC38">
            <v>31</v>
          </cell>
          <cell r="GD38">
            <v>48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GB41">
            <v>7494</v>
          </cell>
          <cell r="GC41">
            <v>6859</v>
          </cell>
          <cell r="GD41">
            <v>9638</v>
          </cell>
        </row>
        <row r="47">
          <cell r="GD47">
            <v>1724</v>
          </cell>
        </row>
        <row r="48">
          <cell r="GD48"/>
        </row>
        <row r="52">
          <cell r="GD52">
            <v>2485</v>
          </cell>
        </row>
        <row r="53">
          <cell r="GD53"/>
        </row>
      </sheetData>
      <sheetData sheetId="49">
        <row r="4">
          <cell r="GD4">
            <v>4154</v>
          </cell>
        </row>
        <row r="5">
          <cell r="GD5">
            <v>4150</v>
          </cell>
        </row>
        <row r="8">
          <cell r="GD8">
            <v>1</v>
          </cell>
        </row>
        <row r="9">
          <cell r="GD9">
            <v>4</v>
          </cell>
        </row>
        <row r="15">
          <cell r="GB15">
            <v>191</v>
          </cell>
          <cell r="GC15">
            <v>148</v>
          </cell>
          <cell r="GD15">
            <v>190</v>
          </cell>
        </row>
        <row r="16">
          <cell r="GB16">
            <v>188</v>
          </cell>
          <cell r="GC16">
            <v>149</v>
          </cell>
          <cell r="GD16">
            <v>190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GB19">
            <v>7193</v>
          </cell>
          <cell r="GC19">
            <v>6329</v>
          </cell>
          <cell r="GD19">
            <v>8689</v>
          </cell>
        </row>
        <row r="22">
          <cell r="GD22">
            <v>203503</v>
          </cell>
        </row>
        <row r="23">
          <cell r="GD23">
            <v>204592</v>
          </cell>
        </row>
        <row r="27">
          <cell r="GD27">
            <v>8368</v>
          </cell>
        </row>
        <row r="28">
          <cell r="GD28">
            <v>7740</v>
          </cell>
        </row>
        <row r="32">
          <cell r="GB32">
            <v>12102</v>
          </cell>
          <cell r="GC32">
            <v>9006</v>
          </cell>
          <cell r="GD32">
            <v>12038</v>
          </cell>
        </row>
        <row r="33">
          <cell r="GB33">
            <v>11189</v>
          </cell>
          <cell r="GC33">
            <v>9223</v>
          </cell>
          <cell r="GD33">
            <v>12205</v>
          </cell>
        </row>
        <row r="37">
          <cell r="GB37">
            <v>118</v>
          </cell>
          <cell r="GC37">
            <v>98</v>
          </cell>
          <cell r="GD37">
            <v>126</v>
          </cell>
        </row>
        <row r="38">
          <cell r="GB38">
            <v>110</v>
          </cell>
          <cell r="GC38">
            <v>94</v>
          </cell>
          <cell r="GD38">
            <v>143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GB41">
            <v>324103</v>
          </cell>
          <cell r="GC41">
            <v>289416</v>
          </cell>
          <cell r="GD41">
            <v>432338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70">
          <cell r="GD70">
            <v>66492</v>
          </cell>
        </row>
        <row r="71">
          <cell r="GD71">
            <v>138100</v>
          </cell>
        </row>
        <row r="73">
          <cell r="GD73">
            <v>3967</v>
          </cell>
        </row>
        <row r="74">
          <cell r="GD74">
            <v>8238</v>
          </cell>
        </row>
      </sheetData>
      <sheetData sheetId="50">
        <row r="4">
          <cell r="GD4">
            <v>71</v>
          </cell>
        </row>
        <row r="5">
          <cell r="GD5">
            <v>71</v>
          </cell>
        </row>
        <row r="8">
          <cell r="GD8"/>
        </row>
        <row r="9">
          <cell r="GD9"/>
        </row>
        <row r="19">
          <cell r="FN19">
            <v>200</v>
          </cell>
          <cell r="FO19">
            <v>142</v>
          </cell>
          <cell r="FP19">
            <v>184</v>
          </cell>
          <cell r="GB19">
            <v>164</v>
          </cell>
          <cell r="GC19">
            <v>164</v>
          </cell>
          <cell r="GD19">
            <v>142</v>
          </cell>
        </row>
        <row r="22">
          <cell r="GD22">
            <v>4810</v>
          </cell>
        </row>
        <row r="23">
          <cell r="GD23">
            <v>4868</v>
          </cell>
        </row>
        <row r="27">
          <cell r="GD27">
            <v>137</v>
          </cell>
        </row>
        <row r="28">
          <cell r="GD28">
            <v>118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GB41">
            <v>10659</v>
          </cell>
          <cell r="GC41">
            <v>10628</v>
          </cell>
          <cell r="GD41">
            <v>9678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51"/>
      <sheetData sheetId="52">
        <row r="4">
          <cell r="GD4"/>
        </row>
        <row r="5">
          <cell r="GD5"/>
        </row>
        <row r="8">
          <cell r="GD8"/>
        </row>
        <row r="9">
          <cell r="GD9"/>
        </row>
        <row r="19">
          <cell r="FN19">
            <v>44</v>
          </cell>
          <cell r="FO19">
            <v>48</v>
          </cell>
          <cell r="FP19">
            <v>61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41">
          <cell r="FN41">
            <v>2634</v>
          </cell>
          <cell r="FO41">
            <v>3110</v>
          </cell>
          <cell r="FP41">
            <v>3714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53">
        <row r="4">
          <cell r="GD4">
            <v>40</v>
          </cell>
        </row>
        <row r="5">
          <cell r="GD5">
            <v>40</v>
          </cell>
        </row>
        <row r="8">
          <cell r="GD8"/>
        </row>
        <row r="9">
          <cell r="GD9"/>
        </row>
        <row r="19">
          <cell r="FN19">
            <v>120</v>
          </cell>
          <cell r="FO19">
            <v>86</v>
          </cell>
          <cell r="FP19">
            <v>102</v>
          </cell>
          <cell r="GB19">
            <v>112</v>
          </cell>
          <cell r="GC19">
            <v>108</v>
          </cell>
          <cell r="GD19">
            <v>80</v>
          </cell>
        </row>
        <row r="22">
          <cell r="GD22">
            <v>2803</v>
          </cell>
        </row>
        <row r="23">
          <cell r="GD23">
            <v>2779</v>
          </cell>
        </row>
        <row r="27">
          <cell r="GD27">
            <v>51</v>
          </cell>
        </row>
        <row r="28">
          <cell r="GD28">
            <v>75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GB41">
            <v>6705</v>
          </cell>
          <cell r="GC41">
            <v>7019</v>
          </cell>
          <cell r="GD41">
            <v>5582</v>
          </cell>
        </row>
        <row r="47">
          <cell r="GD47">
            <v>1068</v>
          </cell>
        </row>
        <row r="48">
          <cell r="GD48"/>
        </row>
        <row r="52">
          <cell r="GD52">
            <v>22</v>
          </cell>
        </row>
        <row r="53">
          <cell r="GD53">
            <v>2357</v>
          </cell>
        </row>
        <row r="57">
          <cell r="GD57"/>
        </row>
        <row r="58">
          <cell r="GD58"/>
        </row>
      </sheetData>
      <sheetData sheetId="54">
        <row r="4">
          <cell r="GD4"/>
        </row>
        <row r="5">
          <cell r="GD5"/>
        </row>
        <row r="8">
          <cell r="GD8"/>
        </row>
        <row r="9">
          <cell r="GD9"/>
        </row>
        <row r="19">
          <cell r="FN19">
            <v>0</v>
          </cell>
          <cell r="FO19">
            <v>0</v>
          </cell>
          <cell r="FP19">
            <v>0</v>
          </cell>
          <cell r="GB19">
            <v>0</v>
          </cell>
          <cell r="GC19">
            <v>0</v>
          </cell>
          <cell r="GD19">
            <v>0</v>
          </cell>
        </row>
        <row r="22">
          <cell r="GD22"/>
        </row>
        <row r="23">
          <cell r="GD23"/>
        </row>
        <row r="27">
          <cell r="GD27"/>
        </row>
        <row r="28">
          <cell r="GD28"/>
        </row>
        <row r="41">
          <cell r="FN41">
            <v>0</v>
          </cell>
          <cell r="FO41">
            <v>0</v>
          </cell>
          <cell r="FP41">
            <v>0</v>
          </cell>
          <cell r="GB41">
            <v>0</v>
          </cell>
          <cell r="GC41">
            <v>0</v>
          </cell>
          <cell r="GD41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G58"/>
        </row>
      </sheetData>
      <sheetData sheetId="55">
        <row r="4">
          <cell r="GD4">
            <v>4</v>
          </cell>
        </row>
        <row r="5">
          <cell r="GD5">
            <v>4</v>
          </cell>
        </row>
        <row r="8">
          <cell r="GD8"/>
        </row>
        <row r="9">
          <cell r="GD9"/>
        </row>
        <row r="19">
          <cell r="FN19">
            <v>30</v>
          </cell>
          <cell r="FO19">
            <v>40</v>
          </cell>
          <cell r="FP19">
            <v>4</v>
          </cell>
          <cell r="GB19">
            <v>170</v>
          </cell>
          <cell r="GC19">
            <v>144</v>
          </cell>
          <cell r="GD19">
            <v>8</v>
          </cell>
        </row>
        <row r="22">
          <cell r="GD22">
            <v>205</v>
          </cell>
        </row>
        <row r="23">
          <cell r="GD23">
            <v>223</v>
          </cell>
        </row>
        <row r="27">
          <cell r="GD27">
            <v>4</v>
          </cell>
        </row>
        <row r="28">
          <cell r="GD28">
            <v>9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GB41">
            <v>8679</v>
          </cell>
          <cell r="GC41">
            <v>7527</v>
          </cell>
          <cell r="GD41">
            <v>428</v>
          </cell>
        </row>
        <row r="47">
          <cell r="GD47">
            <v>137</v>
          </cell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BH58"/>
        </row>
        <row r="70">
          <cell r="GD70">
            <v>115</v>
          </cell>
        </row>
        <row r="71">
          <cell r="GD71">
            <v>108</v>
          </cell>
        </row>
        <row r="73">
          <cell r="GD73"/>
        </row>
        <row r="74">
          <cell r="GD74"/>
        </row>
      </sheetData>
      <sheetData sheetId="56"/>
      <sheetData sheetId="57"/>
      <sheetData sheetId="58"/>
      <sheetData sheetId="59">
        <row r="4">
          <cell r="GD4"/>
        </row>
        <row r="5">
          <cell r="GD5"/>
        </row>
        <row r="15">
          <cell r="GB15"/>
          <cell r="GC15"/>
          <cell r="GD15"/>
        </row>
        <row r="16">
          <cell r="GB16"/>
          <cell r="GC16"/>
          <cell r="GD16"/>
        </row>
        <row r="22">
          <cell r="GD22"/>
        </row>
        <row r="23">
          <cell r="GD23"/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</sheetData>
      <sheetData sheetId="60">
        <row r="4">
          <cell r="GD4"/>
        </row>
        <row r="5">
          <cell r="GD5"/>
        </row>
        <row r="15">
          <cell r="GD15"/>
        </row>
        <row r="16">
          <cell r="GD16"/>
        </row>
        <row r="22">
          <cell r="GD22"/>
        </row>
        <row r="23">
          <cell r="GD23"/>
        </row>
        <row r="32">
          <cell r="GD32"/>
        </row>
        <row r="33">
          <cell r="GD33"/>
        </row>
      </sheetData>
      <sheetData sheetId="61">
        <row r="4">
          <cell r="GD4"/>
        </row>
        <row r="5">
          <cell r="GD5"/>
        </row>
        <row r="8">
          <cell r="GD8"/>
        </row>
        <row r="9">
          <cell r="GD9"/>
        </row>
        <row r="15">
          <cell r="GB15"/>
          <cell r="GC15"/>
          <cell r="GD15"/>
        </row>
        <row r="16">
          <cell r="GB16"/>
          <cell r="GC16"/>
          <cell r="GD16"/>
        </row>
        <row r="23">
          <cell r="GD23"/>
        </row>
        <row r="32">
          <cell r="GB32"/>
          <cell r="GC32">
            <v>212</v>
          </cell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</sheetData>
      <sheetData sheetId="62">
        <row r="4">
          <cell r="GD4"/>
        </row>
        <row r="5">
          <cell r="GD5">
            <v>1</v>
          </cell>
        </row>
        <row r="15">
          <cell r="GB15"/>
          <cell r="GC15"/>
          <cell r="GD15"/>
        </row>
        <row r="16">
          <cell r="GB16"/>
          <cell r="GC16"/>
          <cell r="GD16"/>
        </row>
        <row r="22">
          <cell r="GD22"/>
        </row>
        <row r="23">
          <cell r="GD23">
            <v>148</v>
          </cell>
        </row>
        <row r="32">
          <cell r="GB32"/>
          <cell r="GC32"/>
          <cell r="GD32"/>
        </row>
        <row r="33">
          <cell r="GB33"/>
          <cell r="GC33"/>
          <cell r="GD33"/>
        </row>
        <row r="37">
          <cell r="GB37"/>
          <cell r="GC37"/>
          <cell r="GD37"/>
        </row>
        <row r="38">
          <cell r="GB38"/>
          <cell r="GC38"/>
          <cell r="GD38"/>
        </row>
      </sheetData>
      <sheetData sheetId="63">
        <row r="4">
          <cell r="GD4">
            <v>31</v>
          </cell>
        </row>
        <row r="5">
          <cell r="GD5">
            <v>31</v>
          </cell>
        </row>
        <row r="12">
          <cell r="FN12">
            <v>0</v>
          </cell>
          <cell r="FO12">
            <v>0</v>
          </cell>
          <cell r="FP12">
            <v>0</v>
          </cell>
          <cell r="GB12">
            <v>56</v>
          </cell>
          <cell r="GC12">
            <v>56</v>
          </cell>
          <cell r="GD12">
            <v>62</v>
          </cell>
        </row>
        <row r="19">
          <cell r="FP19">
            <v>0</v>
          </cell>
          <cell r="GD19">
            <v>62</v>
          </cell>
        </row>
        <row r="47">
          <cell r="GD47">
            <v>1470565</v>
          </cell>
        </row>
        <row r="48">
          <cell r="GD48"/>
        </row>
        <row r="52">
          <cell r="GD52">
            <v>861369</v>
          </cell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0</v>
          </cell>
          <cell r="FP64">
            <v>0</v>
          </cell>
          <cell r="GB64">
            <v>2282192</v>
          </cell>
          <cell r="GC64">
            <v>2065405</v>
          </cell>
          <cell r="GD64">
            <v>2331934</v>
          </cell>
        </row>
      </sheetData>
      <sheetData sheetId="64"/>
      <sheetData sheetId="65">
        <row r="4">
          <cell r="GD4"/>
        </row>
        <row r="5">
          <cell r="GD5"/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</sheetData>
      <sheetData sheetId="66">
        <row r="12">
          <cell r="FN12">
            <v>42</v>
          </cell>
          <cell r="FO12">
            <v>40</v>
          </cell>
          <cell r="FP12">
            <v>32</v>
          </cell>
          <cell r="GB12">
            <v>0</v>
          </cell>
          <cell r="GC12">
            <v>0</v>
          </cell>
          <cell r="GD12">
            <v>0</v>
          </cell>
        </row>
        <row r="19">
          <cell r="FP19">
            <v>32</v>
          </cell>
          <cell r="GD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GB64">
            <v>0</v>
          </cell>
          <cell r="GC64">
            <v>0</v>
          </cell>
          <cell r="GD64">
            <v>0</v>
          </cell>
        </row>
      </sheetData>
      <sheetData sheetId="67">
        <row r="4">
          <cell r="GD4">
            <v>0</v>
          </cell>
        </row>
        <row r="5">
          <cell r="GD5"/>
        </row>
        <row r="12">
          <cell r="FN12">
            <v>0</v>
          </cell>
          <cell r="FO12">
            <v>0</v>
          </cell>
          <cell r="FP12">
            <v>0</v>
          </cell>
          <cell r="GB12">
            <v>0</v>
          </cell>
          <cell r="GC12">
            <v>2</v>
          </cell>
          <cell r="GD12">
            <v>0</v>
          </cell>
        </row>
        <row r="19">
          <cell r="FP19">
            <v>0</v>
          </cell>
          <cell r="GD19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0</v>
          </cell>
          <cell r="FP64">
            <v>0</v>
          </cell>
          <cell r="GB64">
            <v>0</v>
          </cell>
          <cell r="GC64">
            <v>18552</v>
          </cell>
          <cell r="GD64">
            <v>0</v>
          </cell>
        </row>
      </sheetData>
      <sheetData sheetId="68"/>
      <sheetData sheetId="69">
        <row r="4">
          <cell r="GD4">
            <v>21</v>
          </cell>
        </row>
        <row r="5">
          <cell r="GD5">
            <v>21</v>
          </cell>
        </row>
        <row r="12">
          <cell r="FN12">
            <v>0</v>
          </cell>
          <cell r="FO12">
            <v>0</v>
          </cell>
          <cell r="FP12">
            <v>0</v>
          </cell>
          <cell r="GB12">
            <v>40</v>
          </cell>
          <cell r="GC12">
            <v>40</v>
          </cell>
          <cell r="GD12">
            <v>42</v>
          </cell>
        </row>
        <row r="19">
          <cell r="FP19">
            <v>0</v>
          </cell>
          <cell r="GD19">
            <v>42</v>
          </cell>
        </row>
        <row r="47">
          <cell r="GD47">
            <v>829650</v>
          </cell>
        </row>
        <row r="48">
          <cell r="GD48"/>
        </row>
        <row r="52">
          <cell r="GD52">
            <v>559410</v>
          </cell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0</v>
          </cell>
          <cell r="FP64">
            <v>0</v>
          </cell>
          <cell r="GB64">
            <v>1210246</v>
          </cell>
          <cell r="GC64">
            <v>993887</v>
          </cell>
          <cell r="GD64">
            <v>1389060</v>
          </cell>
        </row>
      </sheetData>
      <sheetData sheetId="70"/>
      <sheetData sheetId="71"/>
      <sheetData sheetId="72">
        <row r="4">
          <cell r="GD4">
            <v>47</v>
          </cell>
        </row>
        <row r="5">
          <cell r="GD5">
            <v>47</v>
          </cell>
        </row>
        <row r="12">
          <cell r="FN12">
            <v>0</v>
          </cell>
          <cell r="FO12">
            <v>0</v>
          </cell>
          <cell r="FP12">
            <v>0</v>
          </cell>
          <cell r="GB12">
            <v>85</v>
          </cell>
          <cell r="GC12">
            <v>74</v>
          </cell>
          <cell r="GD12">
            <v>94</v>
          </cell>
        </row>
        <row r="15">
          <cell r="GD15"/>
        </row>
        <row r="19">
          <cell r="FP19">
            <v>0</v>
          </cell>
          <cell r="GD19">
            <v>94</v>
          </cell>
        </row>
        <row r="47">
          <cell r="GD47">
            <v>76758</v>
          </cell>
        </row>
        <row r="48">
          <cell r="GD48"/>
        </row>
        <row r="52">
          <cell r="GD52">
            <v>37347</v>
          </cell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0</v>
          </cell>
          <cell r="FP64">
            <v>0</v>
          </cell>
          <cell r="GB64">
            <v>104772</v>
          </cell>
          <cell r="GC64">
            <v>94246</v>
          </cell>
          <cell r="GD64">
            <v>114105</v>
          </cell>
        </row>
      </sheetData>
      <sheetData sheetId="73">
        <row r="12">
          <cell r="FN12">
            <v>0</v>
          </cell>
          <cell r="FO12">
            <v>0</v>
          </cell>
          <cell r="FP12">
            <v>0</v>
          </cell>
          <cell r="GB12">
            <v>0</v>
          </cell>
          <cell r="GC12">
            <v>0</v>
          </cell>
          <cell r="GD12">
            <v>0</v>
          </cell>
        </row>
        <row r="15">
          <cell r="GD15"/>
        </row>
        <row r="16">
          <cell r="GD16"/>
        </row>
        <row r="19">
          <cell r="FP19">
            <v>0</v>
          </cell>
          <cell r="GD19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0</v>
          </cell>
          <cell r="FP64">
            <v>0</v>
          </cell>
          <cell r="GB64">
            <v>0</v>
          </cell>
          <cell r="GC64">
            <v>0</v>
          </cell>
          <cell r="GD64">
            <v>0</v>
          </cell>
        </row>
      </sheetData>
      <sheetData sheetId="74">
        <row r="4">
          <cell r="GD4">
            <v>126</v>
          </cell>
        </row>
        <row r="5">
          <cell r="GD5">
            <v>126</v>
          </cell>
        </row>
        <row r="12">
          <cell r="FN12">
            <v>258</v>
          </cell>
          <cell r="FO12">
            <v>242</v>
          </cell>
          <cell r="FP12">
            <v>270</v>
          </cell>
          <cell r="GB12">
            <v>268</v>
          </cell>
          <cell r="GC12">
            <v>238</v>
          </cell>
          <cell r="GD12">
            <v>252</v>
          </cell>
        </row>
        <row r="15">
          <cell r="GD15"/>
        </row>
        <row r="19">
          <cell r="FP19">
            <v>270</v>
          </cell>
          <cell r="GD19">
            <v>252</v>
          </cell>
        </row>
        <row r="47">
          <cell r="GD47">
            <v>9015750</v>
          </cell>
        </row>
        <row r="48">
          <cell r="GD48"/>
        </row>
        <row r="52">
          <cell r="GD52">
            <v>8099116</v>
          </cell>
        </row>
        <row r="53">
          <cell r="GD53"/>
        </row>
        <row r="57">
          <cell r="GD57"/>
        </row>
        <row r="58">
          <cell r="GD58"/>
        </row>
        <row r="64">
          <cell r="FN64">
            <v>16987230</v>
          </cell>
          <cell r="FO64">
            <v>15694855</v>
          </cell>
          <cell r="FP64">
            <v>18229115</v>
          </cell>
          <cell r="GB64">
            <v>16852041</v>
          </cell>
          <cell r="GC64">
            <v>15404386</v>
          </cell>
          <cell r="GD64">
            <v>17114866</v>
          </cell>
        </row>
      </sheetData>
      <sheetData sheetId="75">
        <row r="4">
          <cell r="GD4">
            <v>21</v>
          </cell>
        </row>
        <row r="5">
          <cell r="GD5">
            <v>21</v>
          </cell>
        </row>
        <row r="12">
          <cell r="FN12">
            <v>38</v>
          </cell>
          <cell r="FO12">
            <v>38</v>
          </cell>
          <cell r="FP12">
            <v>38</v>
          </cell>
          <cell r="GB12">
            <v>0</v>
          </cell>
          <cell r="GC12">
            <v>38</v>
          </cell>
          <cell r="GD12">
            <v>42</v>
          </cell>
        </row>
        <row r="19">
          <cell r="FP19">
            <v>38</v>
          </cell>
          <cell r="GD19">
            <v>42</v>
          </cell>
        </row>
        <row r="47">
          <cell r="GD47">
            <v>138240</v>
          </cell>
        </row>
        <row r="48">
          <cell r="GD48"/>
        </row>
        <row r="52">
          <cell r="GD52">
            <v>41216</v>
          </cell>
        </row>
        <row r="53">
          <cell r="GD53"/>
        </row>
        <row r="57">
          <cell r="GD57"/>
        </row>
        <row r="58">
          <cell r="GD58"/>
        </row>
        <row r="64">
          <cell r="FN64">
            <v>135846</v>
          </cell>
          <cell r="FO64">
            <v>119854</v>
          </cell>
          <cell r="FP64">
            <v>137313</v>
          </cell>
          <cell r="GB64">
            <v>0</v>
          </cell>
          <cell r="GC64">
            <v>167446</v>
          </cell>
          <cell r="GD64">
            <v>179456</v>
          </cell>
        </row>
      </sheetData>
      <sheetData sheetId="76">
        <row r="4">
          <cell r="GD4">
            <v>15</v>
          </cell>
        </row>
        <row r="5">
          <cell r="GD5">
            <v>15</v>
          </cell>
        </row>
        <row r="12">
          <cell r="FN12">
            <v>38</v>
          </cell>
          <cell r="FO12">
            <v>52</v>
          </cell>
          <cell r="FP12">
            <v>48</v>
          </cell>
          <cell r="GB12">
            <v>37</v>
          </cell>
          <cell r="GC12">
            <v>28</v>
          </cell>
          <cell r="GD12">
            <v>30</v>
          </cell>
        </row>
        <row r="15">
          <cell r="GD15"/>
        </row>
        <row r="19">
          <cell r="FP19">
            <v>48</v>
          </cell>
          <cell r="GD19">
            <v>30</v>
          </cell>
        </row>
        <row r="47">
          <cell r="GD47">
            <v>13271</v>
          </cell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64">
          <cell r="FN64">
            <v>23766</v>
          </cell>
          <cell r="FO64">
            <v>18968</v>
          </cell>
          <cell r="FP64">
            <v>15913</v>
          </cell>
          <cell r="GB64">
            <v>17952</v>
          </cell>
          <cell r="GC64">
            <v>14360</v>
          </cell>
          <cell r="GD64">
            <v>13271</v>
          </cell>
        </row>
      </sheetData>
      <sheetData sheetId="77">
        <row r="4">
          <cell r="GD4">
            <v>117</v>
          </cell>
        </row>
        <row r="5">
          <cell r="GD5">
            <v>117</v>
          </cell>
        </row>
        <row r="12">
          <cell r="FN12">
            <v>198</v>
          </cell>
          <cell r="FO12">
            <v>184</v>
          </cell>
          <cell r="FP12">
            <v>206</v>
          </cell>
          <cell r="GB12">
            <v>244</v>
          </cell>
          <cell r="GC12">
            <v>246</v>
          </cell>
          <cell r="GD12">
            <v>234</v>
          </cell>
        </row>
        <row r="15">
          <cell r="GD15">
            <v>22</v>
          </cell>
        </row>
        <row r="16">
          <cell r="GD16">
            <v>22</v>
          </cell>
        </row>
        <row r="19">
          <cell r="FP19">
            <v>238</v>
          </cell>
          <cell r="GD19">
            <v>278</v>
          </cell>
        </row>
        <row r="47">
          <cell r="GD47">
            <v>6022899</v>
          </cell>
        </row>
        <row r="48">
          <cell r="GD48">
            <v>496</v>
          </cell>
        </row>
        <row r="52">
          <cell r="GD52">
            <v>5362933</v>
          </cell>
        </row>
        <row r="53">
          <cell r="GD53">
            <v>418696</v>
          </cell>
        </row>
        <row r="57">
          <cell r="GD57"/>
        </row>
        <row r="58">
          <cell r="GD58"/>
        </row>
        <row r="64">
          <cell r="FN64">
            <v>10765966</v>
          </cell>
          <cell r="FO64">
            <v>9812321</v>
          </cell>
          <cell r="FP64">
            <v>11072920</v>
          </cell>
          <cell r="GB64">
            <v>10457590</v>
          </cell>
          <cell r="GC64">
            <v>9838079</v>
          </cell>
          <cell r="GD64">
            <v>11805024</v>
          </cell>
        </row>
      </sheetData>
      <sheetData sheetId="78"/>
      <sheetData sheetId="79"/>
      <sheetData sheetId="80"/>
      <sheetData sheetId="81">
        <row r="4">
          <cell r="GD4">
            <v>189</v>
          </cell>
        </row>
        <row r="5">
          <cell r="GD5">
            <v>189</v>
          </cell>
        </row>
        <row r="12">
          <cell r="FN12">
            <v>614</v>
          </cell>
          <cell r="FO12">
            <v>520</v>
          </cell>
          <cell r="FP12">
            <v>554</v>
          </cell>
          <cell r="GB12">
            <v>398</v>
          </cell>
          <cell r="GC12">
            <v>350</v>
          </cell>
          <cell r="GD12">
            <v>378</v>
          </cell>
        </row>
        <row r="19">
          <cell r="FP19">
            <v>554</v>
          </cell>
          <cell r="GD19">
            <v>378</v>
          </cell>
        </row>
      </sheetData>
      <sheetData sheetId="82">
        <row r="4">
          <cell r="GD4"/>
        </row>
        <row r="5">
          <cell r="GD5"/>
        </row>
        <row r="12">
          <cell r="FN12">
            <v>0</v>
          </cell>
          <cell r="FO12">
            <v>2</v>
          </cell>
          <cell r="FP12">
            <v>0</v>
          </cell>
          <cell r="GB12">
            <v>0</v>
          </cell>
          <cell r="GC12">
            <v>3</v>
          </cell>
          <cell r="GD12">
            <v>0</v>
          </cell>
        </row>
        <row r="19">
          <cell r="FP19">
            <v>0</v>
          </cell>
          <cell r="GD19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64">
          <cell r="FN64">
            <v>0</v>
          </cell>
          <cell r="FO64">
            <v>3414</v>
          </cell>
          <cell r="FP64">
            <v>0</v>
          </cell>
          <cell r="GB64">
            <v>0</v>
          </cell>
          <cell r="GC64">
            <v>4835</v>
          </cell>
          <cell r="GD64">
            <v>0</v>
          </cell>
        </row>
      </sheetData>
      <sheetData sheetId="83">
        <row r="4">
          <cell r="GD4"/>
        </row>
        <row r="5">
          <cell r="GD5"/>
        </row>
        <row r="8">
          <cell r="GD8"/>
        </row>
        <row r="9">
          <cell r="GD9"/>
        </row>
        <row r="12">
          <cell r="FN12">
            <v>48</v>
          </cell>
          <cell r="FO12">
            <v>1</v>
          </cell>
          <cell r="FP12">
            <v>88</v>
          </cell>
          <cell r="GB12">
            <v>0</v>
          </cell>
          <cell r="GC12">
            <v>0</v>
          </cell>
          <cell r="GD12">
            <v>0</v>
          </cell>
        </row>
        <row r="19">
          <cell r="FP19">
            <v>88</v>
          </cell>
          <cell r="GD19">
            <v>0</v>
          </cell>
        </row>
        <row r="47">
          <cell r="GD47"/>
        </row>
        <row r="48">
          <cell r="GD48"/>
        </row>
        <row r="52">
          <cell r="GD52"/>
        </row>
        <row r="53">
          <cell r="GD53"/>
        </row>
        <row r="57">
          <cell r="GD57"/>
        </row>
        <row r="58">
          <cell r="GD58"/>
        </row>
        <row r="64">
          <cell r="FN64">
            <v>91916</v>
          </cell>
          <cell r="FO64">
            <v>14442</v>
          </cell>
          <cell r="FP64">
            <v>120115</v>
          </cell>
          <cell r="GB64">
            <v>0</v>
          </cell>
          <cell r="GC64">
            <v>0</v>
          </cell>
          <cell r="GD64">
            <v>0</v>
          </cell>
        </row>
      </sheetData>
      <sheetData sheetId="84">
        <row r="4">
          <cell r="GD4">
            <v>52</v>
          </cell>
        </row>
        <row r="5">
          <cell r="GD5">
            <v>53</v>
          </cell>
        </row>
      </sheetData>
      <sheetData sheetId="85">
        <row r="4">
          <cell r="GD4">
            <v>717</v>
          </cell>
        </row>
        <row r="5">
          <cell r="GD5">
            <v>717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6" sqref="K16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43525</v>
      </c>
      <c r="B2" s="10"/>
      <c r="C2" s="10"/>
      <c r="D2" s="452" t="s">
        <v>213</v>
      </c>
      <c r="E2" s="452" t="s">
        <v>197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53"/>
      <c r="E3" s="454"/>
      <c r="F3" s="5" t="s">
        <v>2</v>
      </c>
      <c r="G3" s="5" t="s">
        <v>214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1361862</v>
      </c>
      <c r="C5" s="10">
        <f>'Major Airline Stats'!K5</f>
        <v>1375740</v>
      </c>
      <c r="D5" s="2">
        <f>'Major Airline Stats'!K6</f>
        <v>2737602</v>
      </c>
      <c r="E5" s="2">
        <f>'[1]Monthly Summary'!D5</f>
        <v>2586223</v>
      </c>
      <c r="F5" s="3">
        <f>(D5-E5)/E5</f>
        <v>5.8532848868794375E-2</v>
      </c>
      <c r="G5" s="2">
        <f>+D5+'[2]Monthly Summary'!G5</f>
        <v>6870708</v>
      </c>
      <c r="H5" s="2">
        <f>'[1]Monthly Summary'!G5</f>
        <v>6697023</v>
      </c>
      <c r="I5" s="67">
        <f>(G5-H5)/H5</f>
        <v>2.5934657832293543E-2</v>
      </c>
      <c r="J5" s="2"/>
    </row>
    <row r="6" spans="1:14" x14ac:dyDescent="0.2">
      <c r="A6" s="52" t="s">
        <v>5</v>
      </c>
      <c r="B6" s="254">
        <f>'Regional Major'!M5</f>
        <v>345598</v>
      </c>
      <c r="C6" s="254">
        <f>'Regional Major'!M6</f>
        <v>349554</v>
      </c>
      <c r="D6" s="2">
        <f>B6+C6</f>
        <v>695152</v>
      </c>
      <c r="E6" s="2">
        <f>'[1]Monthly Summary'!D6</f>
        <v>720749</v>
      </c>
      <c r="F6" s="3">
        <f>(D6-E6)/E6</f>
        <v>-3.5514444002003473E-2</v>
      </c>
      <c r="G6" s="2">
        <f>+D6+'[2]Monthly Summary'!G6</f>
        <v>1739857</v>
      </c>
      <c r="H6" s="2">
        <f>'[1]Monthly Summary'!G6</f>
        <v>1826949</v>
      </c>
      <c r="I6" s="67">
        <f>(G6-H6)/H6</f>
        <v>-4.7670734103688717E-2</v>
      </c>
      <c r="K6" s="2"/>
    </row>
    <row r="7" spans="1:14" x14ac:dyDescent="0.2">
      <c r="A7" s="52" t="s">
        <v>6</v>
      </c>
      <c r="B7" s="2">
        <f>Charter!G5</f>
        <v>0</v>
      </c>
      <c r="C7" s="254">
        <f>Charter!G6</f>
        <v>148</v>
      </c>
      <c r="D7" s="2">
        <f>B7+C7</f>
        <v>148</v>
      </c>
      <c r="E7" s="2">
        <f>'[1]Monthly Summary'!D7</f>
        <v>204</v>
      </c>
      <c r="F7" s="3">
        <f>(D7-E7)/E7</f>
        <v>-0.27450980392156865</v>
      </c>
      <c r="G7" s="2">
        <f>+D7+'[2]Monthly Summary'!G7</f>
        <v>627</v>
      </c>
      <c r="H7" s="2">
        <f>'[1]Monthly Summary'!G7</f>
        <v>2145</v>
      </c>
      <c r="I7" s="67">
        <f>(G7-H7)/H7</f>
        <v>-0.70769230769230773</v>
      </c>
      <c r="K7" s="2"/>
    </row>
    <row r="8" spans="1:14" x14ac:dyDescent="0.2">
      <c r="A8" s="54" t="s">
        <v>7</v>
      </c>
      <c r="B8" s="121">
        <f>SUM(B5:B7)</f>
        <v>1707460</v>
      </c>
      <c r="C8" s="121">
        <f>SUM(C5:C7)</f>
        <v>1725442</v>
      </c>
      <c r="D8" s="121">
        <f>SUM(D5:D7)</f>
        <v>3432902</v>
      </c>
      <c r="E8" s="121">
        <f>SUM(E5:E7)</f>
        <v>3307176</v>
      </c>
      <c r="F8" s="73">
        <f>(D8-E8)/E8</f>
        <v>3.801612009763012E-2</v>
      </c>
      <c r="G8" s="121">
        <f>SUM(G5:G7)</f>
        <v>8611192</v>
      </c>
      <c r="H8" s="121">
        <f>SUM(H5:H7)</f>
        <v>8526117</v>
      </c>
      <c r="I8" s="72">
        <f>(G8-H8)/H8</f>
        <v>9.978164737828487E-3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51473</v>
      </c>
      <c r="C10" s="255">
        <f>'Major Airline Stats'!K10+'Regional Major'!M11</f>
        <v>53029</v>
      </c>
      <c r="D10" s="98">
        <f>SUM(B10:C10)</f>
        <v>104502</v>
      </c>
      <c r="E10" s="98">
        <f>'[1]Monthly Summary'!D10</f>
        <v>103691</v>
      </c>
      <c r="F10" s="74">
        <f>(D10-E10)/E10</f>
        <v>7.8213152539757542E-3</v>
      </c>
      <c r="G10" s="2">
        <f>+D10+'[2]Monthly Summary'!G10</f>
        <v>288064</v>
      </c>
      <c r="H10" s="98">
        <f>'[1]Monthly Summary'!G10</f>
        <v>280933</v>
      </c>
      <c r="I10" s="77">
        <f>(G10-H10)/H10</f>
        <v>2.538327643957812E-2</v>
      </c>
      <c r="J10" s="193"/>
    </row>
    <row r="11" spans="1:14" ht="15.75" thickBot="1" x14ac:dyDescent="0.3">
      <c r="A11" s="53" t="s">
        <v>13</v>
      </c>
      <c r="B11" s="234">
        <f>B10+B8</f>
        <v>1758933</v>
      </c>
      <c r="C11" s="234">
        <f>C10+C8</f>
        <v>1778471</v>
      </c>
      <c r="D11" s="234">
        <f>D10+D8</f>
        <v>3537404</v>
      </c>
      <c r="E11" s="234">
        <f>E10+E8</f>
        <v>3410867</v>
      </c>
      <c r="F11" s="75">
        <f>(D11-E11)/E11</f>
        <v>3.7098192336435284E-2</v>
      </c>
      <c r="G11" s="234">
        <f>G8+G10</f>
        <v>8899256</v>
      </c>
      <c r="H11" s="234">
        <f>H8+H10</f>
        <v>8807050</v>
      </c>
      <c r="I11" s="78">
        <f>(G11-H11)/H11</f>
        <v>1.0469566994623626E-2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2" t="s">
        <v>213</v>
      </c>
      <c r="E13" s="452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53"/>
      <c r="E14" s="454"/>
      <c r="F14" s="5" t="s">
        <v>2</v>
      </c>
      <c r="G14" s="5" t="s">
        <v>214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9824</v>
      </c>
      <c r="C16" s="263">
        <f>'Major Airline Stats'!K16+'Major Airline Stats'!K20</f>
        <v>9832</v>
      </c>
      <c r="D16" s="32">
        <f t="shared" ref="D16:D21" si="0">SUM(B16:C16)</f>
        <v>19656</v>
      </c>
      <c r="E16" s="2">
        <f>'[1]Monthly Summary'!D16</f>
        <v>18822</v>
      </c>
      <c r="F16" s="76">
        <f t="shared" ref="F16:F22" si="1">(D16-E16)/E16</f>
        <v>4.4309850175326744E-2</v>
      </c>
      <c r="G16" s="2">
        <f>+D16+'[2]Monthly Summary'!G16</f>
        <v>52627</v>
      </c>
      <c r="H16" s="2">
        <f>'[1]Monthly Summary'!G16</f>
        <v>51566</v>
      </c>
      <c r="I16" s="225">
        <f t="shared" ref="I16:I22" si="2">(G16-H16)/H16</f>
        <v>2.0575573052011013E-2</v>
      </c>
      <c r="N16" s="97"/>
    </row>
    <row r="17" spans="1:12" x14ac:dyDescent="0.2">
      <c r="A17" s="52" t="s">
        <v>5</v>
      </c>
      <c r="B17" s="32">
        <f>'Regional Major'!M15+'Regional Major'!M18</f>
        <v>6508</v>
      </c>
      <c r="C17" s="32">
        <f>'Regional Major'!M16+'Regional Major'!M19</f>
        <v>6508</v>
      </c>
      <c r="D17" s="32">
        <f>SUM(B17:C17)</f>
        <v>13016</v>
      </c>
      <c r="E17" s="2">
        <f>'[1]Monthly Summary'!D17</f>
        <v>13777</v>
      </c>
      <c r="F17" s="76">
        <f t="shared" si="1"/>
        <v>-5.5236989184873339E-2</v>
      </c>
      <c r="G17" s="2">
        <f>+D17+'[2]Monthly Summary'!G17</f>
        <v>33951</v>
      </c>
      <c r="H17" s="2">
        <f>'[1]Monthly Summary'!G17</f>
        <v>35906</v>
      </c>
      <c r="I17" s="225">
        <f t="shared" si="2"/>
        <v>-5.4447724614270596E-2</v>
      </c>
    </row>
    <row r="18" spans="1:12" x14ac:dyDescent="0.2">
      <c r="A18" s="52" t="s">
        <v>10</v>
      </c>
      <c r="B18" s="32">
        <f>Charter!G10</f>
        <v>0</v>
      </c>
      <c r="C18" s="32">
        <f>Charter!G11</f>
        <v>1</v>
      </c>
      <c r="D18" s="32">
        <f t="shared" si="0"/>
        <v>1</v>
      </c>
      <c r="E18" s="2">
        <f>'[1]Monthly Summary'!D18</f>
        <v>2</v>
      </c>
      <c r="F18" s="76">
        <f t="shared" si="1"/>
        <v>-0.5</v>
      </c>
      <c r="G18" s="2">
        <f>+D18+'[2]Monthly Summary'!G18</f>
        <v>18</v>
      </c>
      <c r="H18" s="2">
        <f>'[1]Monthly Summary'!G18</f>
        <v>14</v>
      </c>
      <c r="I18" s="225">
        <f t="shared" si="2"/>
        <v>0.2857142857142857</v>
      </c>
    </row>
    <row r="19" spans="1:12" x14ac:dyDescent="0.2">
      <c r="A19" s="52" t="s">
        <v>11</v>
      </c>
      <c r="B19" s="32">
        <f>Cargo!P4</f>
        <v>589</v>
      </c>
      <c r="C19" s="32">
        <f>Cargo!P5</f>
        <v>589</v>
      </c>
      <c r="D19" s="32">
        <f t="shared" si="0"/>
        <v>1178</v>
      </c>
      <c r="E19" s="2">
        <f>'[1]Monthly Summary'!D19</f>
        <v>1268</v>
      </c>
      <c r="F19" s="76">
        <f t="shared" si="1"/>
        <v>-7.0977917981072558E-2</v>
      </c>
      <c r="G19" s="2">
        <f>+D19+'[2]Monthly Summary'!G19</f>
        <v>3419</v>
      </c>
      <c r="H19" s="2">
        <f>'[1]Monthly Summary'!G19</f>
        <v>3648</v>
      </c>
      <c r="I19" s="225">
        <f t="shared" si="2"/>
        <v>-6.2774122807017538E-2</v>
      </c>
    </row>
    <row r="20" spans="1:12" x14ac:dyDescent="0.2">
      <c r="A20" s="52" t="s">
        <v>152</v>
      </c>
      <c r="B20" s="32">
        <f>'[3]General Avation'!$GD$4</f>
        <v>717</v>
      </c>
      <c r="C20" s="32">
        <f>'[3]General Avation'!$GD$5</f>
        <v>717</v>
      </c>
      <c r="D20" s="32">
        <f t="shared" si="0"/>
        <v>1434</v>
      </c>
      <c r="E20" s="2">
        <f>'[1]Monthly Summary'!D20</f>
        <v>1550</v>
      </c>
      <c r="F20" s="76">
        <f t="shared" si="1"/>
        <v>-7.483870967741936E-2</v>
      </c>
      <c r="G20" s="2">
        <f>+D20+'[2]Monthly Summary'!G20</f>
        <v>4129</v>
      </c>
      <c r="H20" s="2">
        <f>'[1]Monthly Summary'!G20</f>
        <v>5056</v>
      </c>
      <c r="I20" s="225">
        <f t="shared" si="2"/>
        <v>-0.18334651898734178</v>
      </c>
    </row>
    <row r="21" spans="1:12" ht="12.75" customHeight="1" x14ac:dyDescent="0.2">
      <c r="A21" s="52" t="s">
        <v>12</v>
      </c>
      <c r="B21" s="11">
        <f>'[3]Military '!$GD$4</f>
        <v>52</v>
      </c>
      <c r="C21" s="11">
        <f>'[3]Military '!$GD$5</f>
        <v>53</v>
      </c>
      <c r="D21" s="11">
        <f t="shared" si="0"/>
        <v>105</v>
      </c>
      <c r="E21" s="98">
        <f>'[1]Monthly Summary'!D21</f>
        <v>102</v>
      </c>
      <c r="F21" s="223">
        <f t="shared" si="1"/>
        <v>2.9411764705882353E-2</v>
      </c>
      <c r="G21" s="2">
        <f>+D21+'[2]Monthly Summary'!G21</f>
        <v>247</v>
      </c>
      <c r="H21" s="98">
        <f>'[1]Monthly Summary'!G21</f>
        <v>306</v>
      </c>
      <c r="I21" s="226">
        <f t="shared" si="2"/>
        <v>-0.19281045751633988</v>
      </c>
    </row>
    <row r="22" spans="1:12" ht="15.75" thickBot="1" x14ac:dyDescent="0.3">
      <c r="A22" s="53" t="s">
        <v>28</v>
      </c>
      <c r="B22" s="235">
        <f>SUM(B16:B21)</f>
        <v>17690</v>
      </c>
      <c r="C22" s="235">
        <f>SUM(C16:C21)</f>
        <v>17700</v>
      </c>
      <c r="D22" s="235">
        <f>SUM(D16:D21)</f>
        <v>35390</v>
      </c>
      <c r="E22" s="235">
        <f>SUM(E16:E21)</f>
        <v>35521</v>
      </c>
      <c r="F22" s="232">
        <f t="shared" si="1"/>
        <v>-3.6879592353818869E-3</v>
      </c>
      <c r="G22" s="235">
        <f>SUM(G16:G21)</f>
        <v>94391</v>
      </c>
      <c r="H22" s="235">
        <f>SUM(H16:H21)</f>
        <v>96496</v>
      </c>
      <c r="I22" s="233">
        <f t="shared" si="2"/>
        <v>-2.181437572541867E-2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2" t="s">
        <v>213</v>
      </c>
      <c r="E24" s="452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53"/>
      <c r="E25" s="454"/>
      <c r="F25" s="5" t="s">
        <v>2</v>
      </c>
      <c r="G25" s="5" t="s">
        <v>214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10327.57569225459</v>
      </c>
      <c r="C27" s="14">
        <f>(Cargo!P21+'Major Airline Stats'!K33+'Regional Major'!M30)*0.00045359237</f>
        <v>8044.7283014483</v>
      </c>
      <c r="D27" s="14">
        <f>(SUM(B27:C27)+('Cargo Summary'!E17*0.00045359237))</f>
        <v>18372.303993702888</v>
      </c>
      <c r="E27" s="2">
        <f>'[1]Monthly Summary'!D27</f>
        <v>17654.743997573758</v>
      </c>
      <c r="F27" s="79">
        <f>(D27-E27)/E27</f>
        <v>4.0644032914198151E-2</v>
      </c>
      <c r="G27" s="2">
        <f>+D27+'[2]Monthly Summary'!G27</f>
        <v>51312.402802587079</v>
      </c>
      <c r="H27" s="2">
        <f>'[1]Monthly Summary'!G27</f>
        <v>49298.69943403636</v>
      </c>
      <c r="I27" s="81">
        <f>(G27-H27)/H27</f>
        <v>4.084698768260886E-2</v>
      </c>
    </row>
    <row r="28" spans="1:12" x14ac:dyDescent="0.2">
      <c r="A28" s="47" t="s">
        <v>16</v>
      </c>
      <c r="B28" s="14">
        <f>(Cargo!P17+'Major Airline Stats'!K29+'Regional Major'!M26)*0.00045359237</f>
        <v>804.76086129978</v>
      </c>
      <c r="C28" s="14">
        <f>(Cargo!P22+'Major Airline Stats'!K34+'Regional Major'!M31)*0.00045359237</f>
        <v>1239.0651229502701</v>
      </c>
      <c r="D28" s="14">
        <f>SUM(B28:C28)</f>
        <v>2043.8259842500502</v>
      </c>
      <c r="E28" s="2">
        <f>'[1]Monthly Summary'!D28</f>
        <v>2227.93050897802</v>
      </c>
      <c r="F28" s="79">
        <f>(D28-E28)/E28</f>
        <v>-8.2634769794692101E-2</v>
      </c>
      <c r="G28" s="2">
        <f>+D28+'[2]Monthly Summary'!G28</f>
        <v>6255.8271258390596</v>
      </c>
      <c r="H28" s="2">
        <f>'[1]Monthly Summary'!G28</f>
        <v>6087.2799122173492</v>
      </c>
      <c r="I28" s="81">
        <f>(G28-H28)/H28</f>
        <v>2.768842833782478E-2</v>
      </c>
    </row>
    <row r="29" spans="1:12" ht="15.75" thickBot="1" x14ac:dyDescent="0.3">
      <c r="A29" s="48" t="s">
        <v>62</v>
      </c>
      <c r="B29" s="39">
        <f>SUM(B27:B28)</f>
        <v>11132.336553554369</v>
      </c>
      <c r="C29" s="39">
        <f>SUM(C27:C28)</f>
        <v>9283.7934243985692</v>
      </c>
      <c r="D29" s="39">
        <f>SUM(D27:D28)</f>
        <v>20416.129977952936</v>
      </c>
      <c r="E29" s="39">
        <f>SUM(E27:E28)</f>
        <v>19882.674506551779</v>
      </c>
      <c r="F29" s="80">
        <f>(D29-E29)/E29</f>
        <v>2.6830166697411461E-2</v>
      </c>
      <c r="G29" s="39">
        <f>SUM(G27:G28)</f>
        <v>57568.229928426139</v>
      </c>
      <c r="H29" s="39">
        <f>SUM(H27:H28)</f>
        <v>55385.979346253705</v>
      </c>
      <c r="I29" s="82">
        <f>(G29-H29)/H29</f>
        <v>3.9400776296285543E-2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1" t="s">
        <v>148</v>
      </c>
      <c r="C31" s="450"/>
      <c r="D31" s="451" t="s">
        <v>155</v>
      </c>
      <c r="E31" s="450"/>
      <c r="F31" s="354"/>
      <c r="G31" s="355"/>
    </row>
    <row r="32" spans="1:12" x14ac:dyDescent="0.2">
      <c r="A32" s="336" t="s">
        <v>149</v>
      </c>
      <c r="B32" s="337">
        <f>C8-B33</f>
        <v>1169290</v>
      </c>
      <c r="C32" s="338">
        <f>B32/C8</f>
        <v>0.67767563325802893</v>
      </c>
      <c r="D32" s="339">
        <f>+B32+'[2]Monthly Summary'!$D$32</f>
        <v>2936998</v>
      </c>
      <c r="E32" s="340">
        <f>+D32/D34</f>
        <v>0.6763073730449074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556152</v>
      </c>
      <c r="C33" s="343">
        <f>+B33/C8</f>
        <v>0.32232436674197107</v>
      </c>
      <c r="D33" s="344">
        <f>+B33+'[2]Monthly Summary'!$D$33</f>
        <v>1405699</v>
      </c>
      <c r="E33" s="345">
        <f>+D33/D34</f>
        <v>0.32369262695509265</v>
      </c>
      <c r="I33" s="353"/>
    </row>
    <row r="34" spans="1:14" ht="13.5" thickBot="1" x14ac:dyDescent="0.25">
      <c r="B34" s="267"/>
      <c r="D34" s="346">
        <f>SUM(D32:D33)</f>
        <v>4342697</v>
      </c>
    </row>
    <row r="35" spans="1:14" ht="13.5" thickBot="1" x14ac:dyDescent="0.25">
      <c r="B35" s="449" t="s">
        <v>226</v>
      </c>
      <c r="C35" s="450"/>
      <c r="D35" s="451" t="s">
        <v>215</v>
      </c>
      <c r="E35" s="450"/>
    </row>
    <row r="36" spans="1:14" x14ac:dyDescent="0.2">
      <c r="A36" s="336" t="s">
        <v>149</v>
      </c>
      <c r="B36" s="337">
        <f>'[1]Monthly Summary'!$B$32</f>
        <v>1109897</v>
      </c>
      <c r="C36" s="338">
        <f>+B36/B38</f>
        <v>0.6667229328920139</v>
      </c>
      <c r="D36" s="339">
        <f>'[1]Monthly Summary'!$D$32</f>
        <v>2860681</v>
      </c>
      <c r="E36" s="340">
        <f>+D36/D38</f>
        <v>0.6655356030294669</v>
      </c>
    </row>
    <row r="37" spans="1:14" ht="13.5" thickBot="1" x14ac:dyDescent="0.25">
      <c r="A37" s="341" t="s">
        <v>150</v>
      </c>
      <c r="B37" s="342">
        <f>'[1]Monthly Summary'!$B$33</f>
        <v>554808</v>
      </c>
      <c r="C37" s="345">
        <f>+B37/B38</f>
        <v>0.3332770671079861</v>
      </c>
      <c r="D37" s="344">
        <f>'[1]Monthly Summary'!$D$33</f>
        <v>1437633</v>
      </c>
      <c r="E37" s="345">
        <f>+D37/D38</f>
        <v>0.3344643969705331</v>
      </c>
      <c r="M37" s="1"/>
    </row>
    <row r="38" spans="1:14" x14ac:dyDescent="0.2">
      <c r="B38" s="358">
        <f>+SUM(B36:B37)</f>
        <v>1664705</v>
      </c>
      <c r="D38" s="346">
        <f>SUM(D36:D37)</f>
        <v>4298314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23" activeCellId="1" sqref="O18 O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5">
        <v>43525</v>
      </c>
      <c r="B1" s="5" t="s">
        <v>18</v>
      </c>
      <c r="C1" s="146" t="s">
        <v>207</v>
      </c>
      <c r="D1" s="364" t="s">
        <v>161</v>
      </c>
      <c r="E1" s="146" t="s">
        <v>168</v>
      </c>
      <c r="F1" s="146" t="s">
        <v>167</v>
      </c>
      <c r="G1" s="146" t="s">
        <v>49</v>
      </c>
      <c r="H1" s="146" t="s">
        <v>115</v>
      </c>
      <c r="I1" s="146" t="s">
        <v>201</v>
      </c>
      <c r="J1" s="146" t="s">
        <v>196</v>
      </c>
      <c r="K1" s="146" t="s">
        <v>208</v>
      </c>
      <c r="L1" s="146" t="s">
        <v>166</v>
      </c>
      <c r="M1" s="146" t="s">
        <v>160</v>
      </c>
      <c r="N1" s="146" t="s">
        <v>142</v>
      </c>
      <c r="O1" s="146" t="s">
        <v>21</v>
      </c>
    </row>
    <row r="2" spans="1:15" ht="15" x14ac:dyDescent="0.25">
      <c r="A2" s="486" t="s">
        <v>143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8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[3]Delta!$GD$32</f>
        <v>103915</v>
      </c>
      <c r="C4" s="13">
        <f>'[3]Atlantic Southeast'!$GD$32</f>
        <v>0</v>
      </c>
      <c r="D4" s="13">
        <f>[3]Pinnacle!$GD$32</f>
        <v>5346</v>
      </c>
      <c r="E4" s="13">
        <f>'[3]Sky West'!$GD$32</f>
        <v>12038</v>
      </c>
      <c r="F4" s="13">
        <f>'[3]Go Jet'!$GD$32</f>
        <v>2693</v>
      </c>
      <c r="G4" s="13">
        <f>'[3]Sun Country'!$GD$32</f>
        <v>44793</v>
      </c>
      <c r="H4" s="13">
        <f>[3]Icelandair!$GD$32</f>
        <v>1635</v>
      </c>
      <c r="I4" s="13">
        <f>[3]KLM!$GD$32</f>
        <v>4533</v>
      </c>
      <c r="J4" s="13">
        <f>'[3]Air Georgian'!$GD$32</f>
        <v>0</v>
      </c>
      <c r="K4" s="13">
        <f>'[3]Sky Regional'!$GD$32</f>
        <v>4585</v>
      </c>
      <c r="L4" s="13">
        <f>[3]Condor!$GD$32</f>
        <v>0</v>
      </c>
      <c r="M4" s="13">
        <f>'[3]Air France'!$GD$32</f>
        <v>0</v>
      </c>
      <c r="N4" s="13">
        <f>'[3]Charter Misc'!$GD$32+[3]Ryan!$GD$32+[3]Omni!$GD$32</f>
        <v>0</v>
      </c>
      <c r="O4" s="242">
        <f>SUM(B4:N4)</f>
        <v>179538</v>
      </c>
    </row>
    <row r="5" spans="1:15" x14ac:dyDescent="0.2">
      <c r="A5" s="47" t="s">
        <v>31</v>
      </c>
      <c r="B5" s="7">
        <f>[3]Delta!$GD$33</f>
        <v>103568</v>
      </c>
      <c r="C5" s="7">
        <f>'[3]Atlantic Southeast'!$GD$33</f>
        <v>0</v>
      </c>
      <c r="D5" s="7">
        <f>[3]Pinnacle!$GD$33</f>
        <v>5789</v>
      </c>
      <c r="E5" s="7">
        <f>'[3]Sky West'!$GD$33</f>
        <v>12205</v>
      </c>
      <c r="F5" s="7">
        <f>'[3]Go Jet'!$GD$33</f>
        <v>2988</v>
      </c>
      <c r="G5" s="7">
        <f>'[3]Sun Country'!$GD$33</f>
        <v>45489</v>
      </c>
      <c r="H5" s="7">
        <f>[3]Icelandair!$GD$33</f>
        <v>2134</v>
      </c>
      <c r="I5" s="7">
        <f>[3]KLM!$GD$33</f>
        <v>4202</v>
      </c>
      <c r="J5" s="7">
        <f>'[3]Air Georgian'!$GD$33</f>
        <v>0</v>
      </c>
      <c r="K5" s="7">
        <f>'[3]Sky Regional'!$GD$33</f>
        <v>5053</v>
      </c>
      <c r="L5" s="7">
        <f>[3]Condor!$GD$33</f>
        <v>0</v>
      </c>
      <c r="M5" s="7">
        <f>'[3]Air France'!$GD$33</f>
        <v>0</v>
      </c>
      <c r="N5" s="7">
        <f>'[3]Charter Misc'!$GD$33++[3]Ryan!$GD$33+[3]Omni!$GD$33</f>
        <v>0</v>
      </c>
      <c r="O5" s="243">
        <f>SUM(B5:N5)</f>
        <v>181428</v>
      </c>
    </row>
    <row r="6" spans="1:15" ht="15" x14ac:dyDescent="0.25">
      <c r="A6" s="45" t="s">
        <v>7</v>
      </c>
      <c r="B6" s="25">
        <f t="shared" ref="B6:N6" si="0">SUM(B4:B5)</f>
        <v>207483</v>
      </c>
      <c r="C6" s="25">
        <f t="shared" si="0"/>
        <v>0</v>
      </c>
      <c r="D6" s="25">
        <f t="shared" si="0"/>
        <v>11135</v>
      </c>
      <c r="E6" s="25">
        <f t="shared" si="0"/>
        <v>24243</v>
      </c>
      <c r="F6" s="25">
        <f t="shared" ref="F6" si="1">SUM(F4:F5)</f>
        <v>5681</v>
      </c>
      <c r="G6" s="25">
        <f t="shared" si="0"/>
        <v>90282</v>
      </c>
      <c r="H6" s="25">
        <f t="shared" si="0"/>
        <v>3769</v>
      </c>
      <c r="I6" s="25">
        <f t="shared" ref="I6" si="2">SUM(I4:I5)</f>
        <v>8735</v>
      </c>
      <c r="J6" s="25">
        <f t="shared" si="0"/>
        <v>0</v>
      </c>
      <c r="K6" s="25">
        <f t="shared" ref="K6" si="3">SUM(K4:K5)</f>
        <v>9638</v>
      </c>
      <c r="L6" s="25">
        <f t="shared" ref="L6" si="4">SUM(L4:L5)</f>
        <v>0</v>
      </c>
      <c r="M6" s="25">
        <f t="shared" si="0"/>
        <v>0</v>
      </c>
      <c r="N6" s="25">
        <f t="shared" si="0"/>
        <v>0</v>
      </c>
      <c r="O6" s="244">
        <f>SUM(B6:N6)</f>
        <v>360966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2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2">
        <f>SUM(B8:N8)</f>
        <v>0</v>
      </c>
    </row>
    <row r="9" spans="1:15" x14ac:dyDescent="0.2">
      <c r="A9" s="47" t="s">
        <v>30</v>
      </c>
      <c r="B9" s="13">
        <f>[3]Delta!$GD$37</f>
        <v>2193</v>
      </c>
      <c r="C9" s="13">
        <f>'[3]Atlantic Southeast'!$GD$37</f>
        <v>0</v>
      </c>
      <c r="D9" s="13">
        <f>[3]Pinnacle!$GD$37</f>
        <v>69</v>
      </c>
      <c r="E9" s="13">
        <f>'[3]Sky West'!$GD$37</f>
        <v>126</v>
      </c>
      <c r="F9" s="13">
        <f>'[3]Go Jet'!$GD$37</f>
        <v>62</v>
      </c>
      <c r="G9" s="13">
        <f>'[3]Sun Country'!$GD$37</f>
        <v>249</v>
      </c>
      <c r="H9" s="13">
        <f>[3]Icelandair!$GD$37</f>
        <v>29</v>
      </c>
      <c r="I9" s="13">
        <f>[3]KLM!$GD$37</f>
        <v>30</v>
      </c>
      <c r="J9" s="13">
        <f>'[3]Air Georgian'!$GD$37</f>
        <v>0</v>
      </c>
      <c r="K9" s="13">
        <f>'[3]Sky Regional'!$GD$37</f>
        <v>38</v>
      </c>
      <c r="L9" s="13">
        <f>[3]Condor!$GD$37</f>
        <v>0</v>
      </c>
      <c r="M9" s="13">
        <f>'[3]Air France'!$GD$37</f>
        <v>0</v>
      </c>
      <c r="N9" s="13">
        <f>'[3]Charter Misc'!$GD$37+[3]Ryan!$GD$37+[3]Omni!$GD$37</f>
        <v>0</v>
      </c>
      <c r="O9" s="242">
        <f>SUM(B9:N9)</f>
        <v>2796</v>
      </c>
    </row>
    <row r="10" spans="1:15" x14ac:dyDescent="0.2">
      <c r="A10" s="47" t="s">
        <v>33</v>
      </c>
      <c r="B10" s="7">
        <f>[3]Delta!$GD$38</f>
        <v>2520</v>
      </c>
      <c r="C10" s="7">
        <f>'[3]Atlantic Southeast'!$GD$38</f>
        <v>0</v>
      </c>
      <c r="D10" s="7">
        <f>[3]Pinnacle!$GD$38</f>
        <v>52</v>
      </c>
      <c r="E10" s="7">
        <f>'[3]Sky West'!$GD$38</f>
        <v>143</v>
      </c>
      <c r="F10" s="7">
        <f>'[3]Go Jet'!$GD$38</f>
        <v>48</v>
      </c>
      <c r="G10" s="7">
        <f>'[3]Sun Country'!$GD$38</f>
        <v>314</v>
      </c>
      <c r="H10" s="7">
        <f>[3]Icelandair!$GD$38</f>
        <v>22</v>
      </c>
      <c r="I10" s="7">
        <f>[3]KLM!$GD$38</f>
        <v>28</v>
      </c>
      <c r="J10" s="7">
        <f>'[3]Air Georgian'!$GD$38</f>
        <v>0</v>
      </c>
      <c r="K10" s="7">
        <f>'[3]Sky Regional'!$GD$38</f>
        <v>48</v>
      </c>
      <c r="L10" s="7">
        <f>[3]Condor!$GD$38</f>
        <v>0</v>
      </c>
      <c r="M10" s="7">
        <f>'[3]Air France'!$GD$38</f>
        <v>0</v>
      </c>
      <c r="N10" s="7">
        <f>'[3]Charter Misc'!$GD$38+[3]Ryan!$GD$38+[3]Omni!$GD$38</f>
        <v>0</v>
      </c>
      <c r="O10" s="243">
        <f>SUM(B10:N10)</f>
        <v>3175</v>
      </c>
    </row>
    <row r="11" spans="1:15" ht="15.75" thickBot="1" x14ac:dyDescent="0.3">
      <c r="A11" s="48" t="s">
        <v>34</v>
      </c>
      <c r="B11" s="245">
        <f t="shared" ref="B11:G11" si="5">SUM(B9:B10)</f>
        <v>4713</v>
      </c>
      <c r="C11" s="245">
        <f t="shared" si="5"/>
        <v>0</v>
      </c>
      <c r="D11" s="245">
        <f t="shared" si="5"/>
        <v>121</v>
      </c>
      <c r="E11" s="245">
        <f t="shared" si="5"/>
        <v>269</v>
      </c>
      <c r="F11" s="245">
        <f t="shared" ref="F11" si="6">SUM(F9:F10)</f>
        <v>110</v>
      </c>
      <c r="G11" s="245">
        <f t="shared" si="5"/>
        <v>563</v>
      </c>
      <c r="H11" s="245">
        <f t="shared" ref="H11:N11" si="7">SUM(H9:H10)</f>
        <v>51</v>
      </c>
      <c r="I11" s="245">
        <f t="shared" ref="I11" si="8">SUM(I9:I10)</f>
        <v>58</v>
      </c>
      <c r="J11" s="245">
        <f t="shared" si="7"/>
        <v>0</v>
      </c>
      <c r="K11" s="245">
        <f t="shared" ref="K11" si="9">SUM(K9:K10)</f>
        <v>86</v>
      </c>
      <c r="L11" s="245">
        <f t="shared" si="7"/>
        <v>0</v>
      </c>
      <c r="M11" s="245">
        <f t="shared" si="7"/>
        <v>0</v>
      </c>
      <c r="N11" s="245">
        <f t="shared" si="7"/>
        <v>0</v>
      </c>
      <c r="O11" s="246">
        <f>SUM(B11:N11)</f>
        <v>5971</v>
      </c>
    </row>
    <row r="12" spans="1:15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7"/>
    </row>
    <row r="13" spans="1:15" ht="39" thickBot="1" x14ac:dyDescent="0.25">
      <c r="B13" s="5" t="s">
        <v>18</v>
      </c>
      <c r="C13" s="146" t="s">
        <v>207</v>
      </c>
      <c r="D13" s="364" t="s">
        <v>161</v>
      </c>
      <c r="E13" s="5" t="s">
        <v>99</v>
      </c>
      <c r="F13" s="146" t="s">
        <v>167</v>
      </c>
      <c r="G13" s="5" t="s">
        <v>141</v>
      </c>
      <c r="H13" s="5" t="s">
        <v>115</v>
      </c>
      <c r="I13" s="146" t="s">
        <v>201</v>
      </c>
      <c r="J13" s="146" t="s">
        <v>196</v>
      </c>
      <c r="K13" s="146" t="s">
        <v>208</v>
      </c>
      <c r="L13" s="146" t="s">
        <v>166</v>
      </c>
      <c r="M13" s="5" t="s">
        <v>160</v>
      </c>
      <c r="N13" s="5" t="s">
        <v>142</v>
      </c>
      <c r="O13" s="146" t="s">
        <v>144</v>
      </c>
    </row>
    <row r="14" spans="1:15" ht="15" x14ac:dyDescent="0.25">
      <c r="A14" s="489" t="s">
        <v>145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SUM([3]Delta!$GB$32:$GD$32)</f>
        <v>275892</v>
      </c>
      <c r="C16" s="13">
        <f>SUM('[3]Atlantic Southeast'!$GB$32:$GD$32)</f>
        <v>0</v>
      </c>
      <c r="D16" s="13">
        <f>SUM([3]Pinnacle!$GB$32:$GD$32)</f>
        <v>13244</v>
      </c>
      <c r="E16" s="13">
        <f>SUM('[3]Sky West'!$GB$32:$GD$32)</f>
        <v>33146</v>
      </c>
      <c r="F16" s="13">
        <f>SUM('[3]Go Jet'!$GB$32:$GD$32)</f>
        <v>4903</v>
      </c>
      <c r="G16" s="13">
        <f>SUM('[3]Sun Country'!$GB$32:$GD$32)</f>
        <v>94019</v>
      </c>
      <c r="H16" s="13">
        <f>SUM([3]Icelandair!$GB$32:$GD$32)</f>
        <v>2220</v>
      </c>
      <c r="I16" s="13">
        <f>SUM([3]KLM!$GB$32:$GD$32)</f>
        <v>11215</v>
      </c>
      <c r="J16" s="13">
        <f>SUM('[3]Air Georgian'!$GB$32:$GD$32)</f>
        <v>0</v>
      </c>
      <c r="K16" s="13">
        <f>SUM('[3]Sky Regional'!$GB$32:$GD$32)</f>
        <v>11908</v>
      </c>
      <c r="L16" s="13">
        <f>SUM([3]Condor!$GB$32:$GD$32)</f>
        <v>0</v>
      </c>
      <c r="M16" s="13">
        <f>SUM('[3]Air France'!$GB$32:$GD$32)</f>
        <v>0</v>
      </c>
      <c r="N16" s="13">
        <f>SUM('[3]Charter Misc'!$GB$32:$GD$32)+SUM([3]Ryan!$GB$32:$GD$32)+SUM([3]Omni!$GB$32:$GD$32)</f>
        <v>212</v>
      </c>
      <c r="O16" s="242">
        <f>SUM(B16:N16)</f>
        <v>446759</v>
      </c>
    </row>
    <row r="17" spans="1:18" x14ac:dyDescent="0.2">
      <c r="A17" s="47" t="s">
        <v>31</v>
      </c>
      <c r="B17" s="7">
        <f>SUM([3]Delta!$GB$33:$GD$33)</f>
        <v>270523</v>
      </c>
      <c r="C17" s="7">
        <f>SUM('[3]Atlantic Southeast'!$GB$33:$GD$33)</f>
        <v>0</v>
      </c>
      <c r="D17" s="7">
        <f>SUM([3]Pinnacle!$GB$33:$GD$33)</f>
        <v>14326</v>
      </c>
      <c r="E17" s="7">
        <f>SUM('[3]Sky West'!$GB$33:$GD$33)</f>
        <v>32617</v>
      </c>
      <c r="F17" s="7">
        <f>SUM('[3]Go Jet'!$GB$33:$GD$33)</f>
        <v>5624</v>
      </c>
      <c r="G17" s="7">
        <f>SUM('[3]Sun Country'!$GB$33:$GD$33)</f>
        <v>96552</v>
      </c>
      <c r="H17" s="7">
        <f>SUM([3]Icelandair!$GB$33:$GD$33)</f>
        <v>2649</v>
      </c>
      <c r="I17" s="7">
        <f>SUM([3]KLM!$GB$33:$GD$33)</f>
        <v>10371</v>
      </c>
      <c r="J17" s="7">
        <f>SUM('[3]Air Georgian'!$GB$33:$GD$33)</f>
        <v>0</v>
      </c>
      <c r="K17" s="7">
        <f>SUM('[3]Sky Regional'!$GB$33:$GD$33)</f>
        <v>12083</v>
      </c>
      <c r="L17" s="7">
        <f>SUM([3]Condor!$GB$33:$GD$33)</f>
        <v>0</v>
      </c>
      <c r="M17" s="7">
        <f>SUM('[3]Air France'!$GB$33:$GD$33)</f>
        <v>0</v>
      </c>
      <c r="N17" s="7">
        <f>SUM('[3]Charter Misc'!$GB$33:$GD$33)++SUM([3]Ryan!$GB$33:$GD$33)+SUM([3]Omni!$GB$33:$GD$33)</f>
        <v>0</v>
      </c>
      <c r="O17" s="243">
        <f>SUM(B17:N17)</f>
        <v>444745</v>
      </c>
    </row>
    <row r="18" spans="1:18" ht="15" x14ac:dyDescent="0.25">
      <c r="A18" s="45" t="s">
        <v>7</v>
      </c>
      <c r="B18" s="25">
        <f t="shared" ref="B18:N18" si="10">SUM(B16:B17)</f>
        <v>546415</v>
      </c>
      <c r="C18" s="25">
        <f t="shared" si="10"/>
        <v>0</v>
      </c>
      <c r="D18" s="25">
        <f t="shared" si="10"/>
        <v>27570</v>
      </c>
      <c r="E18" s="25">
        <f t="shared" si="10"/>
        <v>65763</v>
      </c>
      <c r="F18" s="25">
        <f t="shared" ref="F18" si="11">SUM(F16:F17)</f>
        <v>10527</v>
      </c>
      <c r="G18" s="25">
        <f t="shared" si="10"/>
        <v>190571</v>
      </c>
      <c r="H18" s="25">
        <f t="shared" si="10"/>
        <v>4869</v>
      </c>
      <c r="I18" s="25">
        <f t="shared" ref="I18" si="12">SUM(I16:I17)</f>
        <v>21586</v>
      </c>
      <c r="J18" s="25">
        <f t="shared" si="10"/>
        <v>0</v>
      </c>
      <c r="K18" s="25">
        <f t="shared" ref="K18" si="13">SUM(K16:K17)</f>
        <v>23991</v>
      </c>
      <c r="L18" s="25">
        <f t="shared" ref="L18" si="14">SUM(L16:L17)</f>
        <v>0</v>
      </c>
      <c r="M18" s="25">
        <f t="shared" si="10"/>
        <v>0</v>
      </c>
      <c r="N18" s="25">
        <f t="shared" si="10"/>
        <v>212</v>
      </c>
      <c r="O18" s="244">
        <f>SUM(B18:N18)</f>
        <v>891504</v>
      </c>
      <c r="R18" s="267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2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2">
        <f>SUM(B20:N20)</f>
        <v>0</v>
      </c>
    </row>
    <row r="21" spans="1:18" x14ac:dyDescent="0.2">
      <c r="A21" s="47" t="s">
        <v>30</v>
      </c>
      <c r="B21" s="13">
        <f>SUM([3]Delta!$GB$37:$GD$37)</f>
        <v>7030</v>
      </c>
      <c r="C21" s="13">
        <f>SUM('[3]Atlantic Southeast'!$GB$37:$GD$37)</f>
        <v>0</v>
      </c>
      <c r="D21" s="13">
        <f>SUM([3]Pinnacle!$GB$37:$GD$37)</f>
        <v>220</v>
      </c>
      <c r="E21" s="13">
        <f>SUM('[3]Sky West'!$GB$37:$GD$37)</f>
        <v>342</v>
      </c>
      <c r="F21" s="13">
        <f>SUM('[3]Go Jet'!$GB$37:$GD$37)</f>
        <v>105</v>
      </c>
      <c r="G21" s="13">
        <f>SUM('[3]Sun Country'!$GB$37:$GD$37)</f>
        <v>632</v>
      </c>
      <c r="H21" s="13">
        <f>SUM([3]Icelandair!$GB$37:$GD$37)</f>
        <v>39</v>
      </c>
      <c r="I21" s="13">
        <f>SUM([3]KLM!$GB$37:$GD$37)</f>
        <v>47</v>
      </c>
      <c r="J21" s="13">
        <f>SUM('[3]Air Georgian'!$GB$37:$GD$37)</f>
        <v>0</v>
      </c>
      <c r="K21" s="13">
        <f>SUM('[3]Sky Regional'!$GB$37:$GD$37)</f>
        <v>85</v>
      </c>
      <c r="L21" s="13">
        <f>SUM([3]Condor!$GB$37:$GD$37)</f>
        <v>0</v>
      </c>
      <c r="M21" s="13">
        <f>SUM('[3]Air France'!$GB$37:$GD$37)</f>
        <v>0</v>
      </c>
      <c r="N21" s="13">
        <f>SUM('[3]Charter Misc'!$GB$37:$GD$37)++SUM([3]Ryan!$GB$37:$GD$37)+SUM([3]Omni!$GB$37:$GD$37)</f>
        <v>0</v>
      </c>
      <c r="O21" s="242">
        <f>SUM(B21:N21)</f>
        <v>8500</v>
      </c>
    </row>
    <row r="22" spans="1:18" x14ac:dyDescent="0.2">
      <c r="A22" s="47" t="s">
        <v>33</v>
      </c>
      <c r="B22" s="7">
        <f>SUM([3]Delta!$GB$38:$GD$38)</f>
        <v>6943</v>
      </c>
      <c r="C22" s="7">
        <f>SUM('[3]Atlantic Southeast'!$GB$38:$GD$38)</f>
        <v>0</v>
      </c>
      <c r="D22" s="7">
        <f>SUM([3]Pinnacle!$GB$38:$GD$38)</f>
        <v>172</v>
      </c>
      <c r="E22" s="7">
        <f>SUM('[3]Sky West'!$GB$38:$GD$38)</f>
        <v>347</v>
      </c>
      <c r="F22" s="7">
        <f>SUM('[3]Go Jet'!$GB$38:$GD$38)</f>
        <v>69</v>
      </c>
      <c r="G22" s="7">
        <f>SUM('[3]Sun Country'!$GB$38:$GD$38)</f>
        <v>800</v>
      </c>
      <c r="H22" s="7">
        <f>SUM([3]Icelandair!$GB$38:$GD$38)</f>
        <v>27</v>
      </c>
      <c r="I22" s="7">
        <f>SUM([3]KLM!$GB$38:$GD$38)</f>
        <v>46</v>
      </c>
      <c r="J22" s="7">
        <f>SUM('[3]Air Georgian'!$GB$38:$GD$38)</f>
        <v>0</v>
      </c>
      <c r="K22" s="7">
        <f>SUM('[3]Sky Regional'!$GB$38:$GD$38)</f>
        <v>122</v>
      </c>
      <c r="L22" s="7">
        <f>SUM([3]Condor!$GB$38:$GD$38)</f>
        <v>0</v>
      </c>
      <c r="M22" s="7">
        <f>SUM('[3]Air France'!$GB$38:$GD$38)</f>
        <v>0</v>
      </c>
      <c r="N22" s="7">
        <f>SUM('[3]Charter Misc'!$GB$38:$GD$38)++SUM([3]Ryan!$GB$38:$GD$38)+SUM([3]Omni!$GB$38:$GD$38)</f>
        <v>0</v>
      </c>
      <c r="O22" s="243">
        <f>SUM(B22:N22)</f>
        <v>8526</v>
      </c>
    </row>
    <row r="23" spans="1:18" ht="15.75" thickBot="1" x14ac:dyDescent="0.3">
      <c r="A23" s="48" t="s">
        <v>34</v>
      </c>
      <c r="B23" s="245">
        <f t="shared" ref="B23:N23" si="15">SUM(B21:B22)</f>
        <v>13973</v>
      </c>
      <c r="C23" s="245">
        <f t="shared" si="15"/>
        <v>0</v>
      </c>
      <c r="D23" s="245">
        <f t="shared" si="15"/>
        <v>392</v>
      </c>
      <c r="E23" s="245">
        <f t="shared" si="15"/>
        <v>689</v>
      </c>
      <c r="F23" s="245">
        <f t="shared" ref="F23" si="16">SUM(F21:F22)</f>
        <v>174</v>
      </c>
      <c r="G23" s="245">
        <f t="shared" si="15"/>
        <v>1432</v>
      </c>
      <c r="H23" s="245">
        <f t="shared" si="15"/>
        <v>66</v>
      </c>
      <c r="I23" s="245">
        <f t="shared" ref="I23" si="17">SUM(I21:I22)</f>
        <v>93</v>
      </c>
      <c r="J23" s="245">
        <f t="shared" si="15"/>
        <v>0</v>
      </c>
      <c r="K23" s="245">
        <f t="shared" ref="K23" si="18">SUM(K21:K22)</f>
        <v>207</v>
      </c>
      <c r="L23" s="245">
        <f t="shared" ref="L23" si="19">SUM(L21:L22)</f>
        <v>0</v>
      </c>
      <c r="M23" s="245">
        <f t="shared" si="15"/>
        <v>0</v>
      </c>
      <c r="N23" s="245">
        <f t="shared" si="15"/>
        <v>0</v>
      </c>
      <c r="O23" s="246">
        <f>SUM(B23:N23)</f>
        <v>17026</v>
      </c>
    </row>
    <row r="25" spans="1:18" ht="39" thickBot="1" x14ac:dyDescent="0.25">
      <c r="B25" s="5" t="s">
        <v>18</v>
      </c>
      <c r="C25" s="146" t="s">
        <v>207</v>
      </c>
      <c r="D25" s="364" t="s">
        <v>161</v>
      </c>
      <c r="E25" s="5" t="s">
        <v>99</v>
      </c>
      <c r="F25" s="146" t="s">
        <v>167</v>
      </c>
      <c r="G25" s="5" t="s">
        <v>141</v>
      </c>
      <c r="H25" s="5" t="s">
        <v>115</v>
      </c>
      <c r="I25" s="146" t="s">
        <v>201</v>
      </c>
      <c r="J25" s="146" t="s">
        <v>196</v>
      </c>
      <c r="K25" s="146" t="s">
        <v>208</v>
      </c>
      <c r="L25" s="146" t="s">
        <v>166</v>
      </c>
      <c r="M25" s="5" t="s">
        <v>160</v>
      </c>
      <c r="N25" s="5" t="s">
        <v>142</v>
      </c>
      <c r="O25" s="146" t="s">
        <v>21</v>
      </c>
    </row>
    <row r="26" spans="1:18" ht="15" x14ac:dyDescent="0.25">
      <c r="A26" s="492" t="s">
        <v>146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4"/>
    </row>
    <row r="27" spans="1:18" x14ac:dyDescent="0.2">
      <c r="A27" s="47" t="s">
        <v>22</v>
      </c>
      <c r="B27" s="13">
        <f>[3]Delta!$GD$15</f>
        <v>646</v>
      </c>
      <c r="C27" s="13">
        <f>'[3]Atlantic Southeast'!$GD$15</f>
        <v>0</v>
      </c>
      <c r="D27" s="13">
        <f>[3]Pinnacle!$GD$15</f>
        <v>88</v>
      </c>
      <c r="E27" s="13">
        <f>'[3]Sky West'!$GD$15</f>
        <v>190</v>
      </c>
      <c r="F27" s="13">
        <f>'[3]Go Jet'!$GD$15</f>
        <v>51</v>
      </c>
      <c r="G27" s="13">
        <f>'[3]Sun Country'!$GD$15</f>
        <v>300</v>
      </c>
      <c r="H27" s="13">
        <f>[3]Icelandair!$GD$15</f>
        <v>15</v>
      </c>
      <c r="I27" s="13">
        <f>[3]KLM!$GD$15</f>
        <v>18</v>
      </c>
      <c r="J27" s="13">
        <f>'[3]Air Georgian'!$GD$15</f>
        <v>0</v>
      </c>
      <c r="K27" s="13">
        <f>'[3]Sky Regional'!$GD$15</f>
        <v>85</v>
      </c>
      <c r="L27" s="13">
        <f>[3]Condor!$GD$15</f>
        <v>0</v>
      </c>
      <c r="M27" s="13">
        <f>'[3]Air France'!$GD$15</f>
        <v>0</v>
      </c>
      <c r="N27" s="13">
        <f>'[3]Charter Misc'!$GD$15+[3]Ryan!$GD$15+[3]Omni!$GD$15</f>
        <v>0</v>
      </c>
      <c r="O27" s="242">
        <f>SUM(B27:N27)</f>
        <v>1393</v>
      </c>
    </row>
    <row r="28" spans="1:18" x14ac:dyDescent="0.2">
      <c r="A28" s="47" t="s">
        <v>23</v>
      </c>
      <c r="B28" s="13">
        <f>[3]Delta!$GD$16</f>
        <v>645</v>
      </c>
      <c r="C28" s="13">
        <f>'[3]Atlantic Southeast'!$GD$16</f>
        <v>0</v>
      </c>
      <c r="D28" s="13">
        <f>[3]Pinnacle!$GD$16</f>
        <v>89</v>
      </c>
      <c r="E28" s="13">
        <f>'[3]Sky West'!$GD$16</f>
        <v>190</v>
      </c>
      <c r="F28" s="13">
        <f>'[3]Go Jet'!$GD$16</f>
        <v>50</v>
      </c>
      <c r="G28" s="13">
        <f>'[3]Sun Country'!$GD$16</f>
        <v>303</v>
      </c>
      <c r="H28" s="13">
        <f>[3]Icelandair!$GD$16</f>
        <v>15</v>
      </c>
      <c r="I28" s="13">
        <f>[3]KLM!$GD$16</f>
        <v>18</v>
      </c>
      <c r="J28" s="13">
        <f>'[3]Air Georgian'!$GD$16</f>
        <v>0</v>
      </c>
      <c r="K28" s="13">
        <f>'[3]Sky Regional'!$GD$16</f>
        <v>85</v>
      </c>
      <c r="L28" s="13">
        <f>[3]Condor!$GD$16</f>
        <v>0</v>
      </c>
      <c r="M28" s="13">
        <f>'[3]Air France'!$GD$16</f>
        <v>0</v>
      </c>
      <c r="N28" s="13">
        <f>'[3]Charter Misc'!$GD$16+[3]Ryan!$GD$16+[3]Omni!$GD$16</f>
        <v>0</v>
      </c>
      <c r="O28" s="242">
        <f>SUM(B28:N28)</f>
        <v>1395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2"/>
    </row>
    <row r="30" spans="1:18" ht="15.75" thickBot="1" x14ac:dyDescent="0.3">
      <c r="A30" s="48" t="s">
        <v>28</v>
      </c>
      <c r="B30" s="328">
        <f t="shared" ref="B30:J30" si="20">SUM(B27:B28)</f>
        <v>1291</v>
      </c>
      <c r="C30" s="328">
        <f t="shared" si="20"/>
        <v>0</v>
      </c>
      <c r="D30" s="328">
        <f t="shared" si="20"/>
        <v>177</v>
      </c>
      <c r="E30" s="328">
        <f>SUM(E27:E28)</f>
        <v>380</v>
      </c>
      <c r="F30" s="328">
        <f>SUM(F27:F28)</f>
        <v>101</v>
      </c>
      <c r="G30" s="328">
        <f t="shared" si="20"/>
        <v>603</v>
      </c>
      <c r="H30" s="328">
        <f t="shared" si="20"/>
        <v>30</v>
      </c>
      <c r="I30" s="328">
        <f t="shared" ref="I30" si="21">SUM(I27:I28)</f>
        <v>36</v>
      </c>
      <c r="J30" s="328">
        <f t="shared" si="20"/>
        <v>0</v>
      </c>
      <c r="K30" s="328">
        <f t="shared" ref="K30" si="22">SUM(K27:K28)</f>
        <v>170</v>
      </c>
      <c r="L30" s="328">
        <f>SUM(L27:L28)</f>
        <v>0</v>
      </c>
      <c r="M30" s="328">
        <f>SUM(M27:M28)</f>
        <v>0</v>
      </c>
      <c r="N30" s="328">
        <f>SUM(N27:N28)</f>
        <v>0</v>
      </c>
      <c r="O30" s="329">
        <f>SUM(B30:N30)</f>
        <v>2788</v>
      </c>
    </row>
    <row r="31" spans="1:18" ht="15" x14ac:dyDescent="0.25">
      <c r="A31" s="330"/>
    </row>
    <row r="32" spans="1:18" ht="39" thickBot="1" x14ac:dyDescent="0.25">
      <c r="B32" s="5" t="s">
        <v>18</v>
      </c>
      <c r="C32" s="146" t="s">
        <v>207</v>
      </c>
      <c r="D32" s="364" t="s">
        <v>161</v>
      </c>
      <c r="E32" s="5" t="s">
        <v>99</v>
      </c>
      <c r="F32" s="146" t="s">
        <v>167</v>
      </c>
      <c r="G32" s="5" t="s">
        <v>141</v>
      </c>
      <c r="H32" s="5" t="s">
        <v>115</v>
      </c>
      <c r="I32" s="146" t="s">
        <v>201</v>
      </c>
      <c r="J32" s="146" t="s">
        <v>196</v>
      </c>
      <c r="K32" s="146" t="s">
        <v>208</v>
      </c>
      <c r="L32" s="146" t="s">
        <v>166</v>
      </c>
      <c r="M32" s="5" t="s">
        <v>160</v>
      </c>
      <c r="N32" s="5" t="s">
        <v>142</v>
      </c>
      <c r="O32" s="146" t="s">
        <v>144</v>
      </c>
    </row>
    <row r="33" spans="1:15" ht="15" x14ac:dyDescent="0.25">
      <c r="A33" s="495" t="s">
        <v>147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7"/>
    </row>
    <row r="34" spans="1:15" x14ac:dyDescent="0.2">
      <c r="A34" s="47" t="s">
        <v>22</v>
      </c>
      <c r="B34" s="13">
        <f>SUM([3]Delta!$GB$15:$GD$15)</f>
        <v>1805</v>
      </c>
      <c r="C34" s="13">
        <f>SUM('[3]Atlantic Southeast'!$GB$15:$GD$15)</f>
        <v>0</v>
      </c>
      <c r="D34" s="13">
        <f>SUM([3]Pinnacle!$GB$15:$GD$15)</f>
        <v>226</v>
      </c>
      <c r="E34" s="13">
        <f>SUM('[3]Sky West'!$GB$15:$GD$15)</f>
        <v>529</v>
      </c>
      <c r="F34" s="13">
        <f>SUM('[3]Go Jet'!$GB$15:$GD$15)</f>
        <v>93</v>
      </c>
      <c r="G34" s="13">
        <f>SUM('[3]Sun Country'!$GB$15:$GD$15)</f>
        <v>677</v>
      </c>
      <c r="H34" s="13">
        <f>SUM([3]Icelandair!$GB$15:$GD$15)</f>
        <v>19</v>
      </c>
      <c r="I34" s="13">
        <f>SUM([3]KLM!$GB$15:$GD$15)</f>
        <v>49</v>
      </c>
      <c r="J34" s="13">
        <f>SUM('[3]Air Georgian'!$GB$15:$GD$15)</f>
        <v>0</v>
      </c>
      <c r="K34" s="13">
        <f>SUM('[3]Sky Regional'!$GB$15:$GD$15)</f>
        <v>228</v>
      </c>
      <c r="L34" s="13">
        <f>SUM([3]Condor!$GB$15:$GD$15)</f>
        <v>0</v>
      </c>
      <c r="M34" s="13">
        <f>SUM('[3]Air France'!$GB$15:$GD$15)</f>
        <v>0</v>
      </c>
      <c r="N34" s="13">
        <f>SUM('[3]Charter Misc'!$GB$15:$GD$15)+SUM([3]Ryan!$GB$15:$GD$15)+SUM([3]Omni!$GB$15:$GD$15)</f>
        <v>0</v>
      </c>
      <c r="O34" s="242">
        <f>SUM(B34:N34)</f>
        <v>3626</v>
      </c>
    </row>
    <row r="35" spans="1:15" x14ac:dyDescent="0.2">
      <c r="A35" s="47" t="s">
        <v>23</v>
      </c>
      <c r="B35" s="13">
        <f>SUM([3]Delta!$GB$16:$GD$16)</f>
        <v>1812</v>
      </c>
      <c r="C35" s="13">
        <f>SUM('[3]Atlantic Southeast'!$GB$16:$GD$16)</f>
        <v>0</v>
      </c>
      <c r="D35" s="13">
        <f>SUM([3]Pinnacle!$GB$16:$GD$16)</f>
        <v>226</v>
      </c>
      <c r="E35" s="13">
        <f>SUM('[3]Sky West'!$GB$16:$GD$16)</f>
        <v>527</v>
      </c>
      <c r="F35" s="13">
        <f>SUM('[3]Go Jet'!$GB$16:$GD$16)</f>
        <v>94</v>
      </c>
      <c r="G35" s="13">
        <f>SUM('[3]Sun Country'!$GB$16:$GD$16)</f>
        <v>683</v>
      </c>
      <c r="H35" s="13">
        <f>SUM([3]Icelandair!$GB$16:$GD$16)</f>
        <v>19</v>
      </c>
      <c r="I35" s="13">
        <f>SUM([3]KLM!$GB$16:$GD$16)</f>
        <v>49</v>
      </c>
      <c r="J35" s="13">
        <f>SUM('[3]Air Georgian'!$GB$16:$GD$16)</f>
        <v>0</v>
      </c>
      <c r="K35" s="13">
        <f>SUM('[3]Sky Regional'!$GB$16:$GD$16)</f>
        <v>228</v>
      </c>
      <c r="L35" s="13">
        <f>SUM([3]Condor!$GB$16:$GD$16)</f>
        <v>0</v>
      </c>
      <c r="M35" s="13">
        <f>SUM('[3]Air France'!$GB$16:$GD$16)</f>
        <v>0</v>
      </c>
      <c r="N35" s="13">
        <f>SUM('[3]Charter Misc'!$GB$16:$GD$16)+SUM([3]Ryan!$GB$16:$GD$16)+SUM([3]Omni!$GB$16:$GD$16)</f>
        <v>0</v>
      </c>
      <c r="O35" s="242">
        <f>SUM(B35:N35)</f>
        <v>3638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2"/>
    </row>
    <row r="37" spans="1:15" ht="15.75" thickBot="1" x14ac:dyDescent="0.3">
      <c r="A37" s="48" t="s">
        <v>28</v>
      </c>
      <c r="B37" s="328">
        <f t="shared" ref="B37:J37" si="23">+SUM(B34:B35)</f>
        <v>3617</v>
      </c>
      <c r="C37" s="328">
        <f t="shared" si="23"/>
        <v>0</v>
      </c>
      <c r="D37" s="328">
        <f t="shared" si="23"/>
        <v>452</v>
      </c>
      <c r="E37" s="328">
        <f>+SUM(E34:E35)</f>
        <v>1056</v>
      </c>
      <c r="F37" s="328">
        <f>+SUM(F34:F35)</f>
        <v>187</v>
      </c>
      <c r="G37" s="328">
        <f t="shared" si="23"/>
        <v>1360</v>
      </c>
      <c r="H37" s="328">
        <f t="shared" si="23"/>
        <v>38</v>
      </c>
      <c r="I37" s="328">
        <f t="shared" ref="I37" si="24">+SUM(I34:I35)</f>
        <v>98</v>
      </c>
      <c r="J37" s="328">
        <f t="shared" si="23"/>
        <v>0</v>
      </c>
      <c r="K37" s="328">
        <f t="shared" ref="K37" si="25">+SUM(K34:K35)</f>
        <v>456</v>
      </c>
      <c r="L37" s="328">
        <f>+SUM(L34:L35)</f>
        <v>0</v>
      </c>
      <c r="M37" s="328">
        <f>+SUM(M34:M35)</f>
        <v>0</v>
      </c>
      <c r="N37" s="328">
        <f>+SUM(N34:N35)</f>
        <v>0</v>
      </c>
      <c r="O37" s="329">
        <f>SUM(B37:N37)</f>
        <v>7264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&amp;"Arial,Bold"March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6"/>
  <sheetViews>
    <sheetView topLeftCell="A36" zoomScale="115" zoomScaleNormal="115" zoomScaleSheetLayoutView="85" workbookViewId="0">
      <selection activeCell="C71" sqref="C71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5703125" style="192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6" bestFit="1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1" t="s">
        <v>134</v>
      </c>
      <c r="B1" s="502"/>
      <c r="C1" s="383" t="s">
        <v>221</v>
      </c>
      <c r="D1" s="384" t="s">
        <v>202</v>
      </c>
      <c r="E1" s="229" t="s">
        <v>97</v>
      </c>
      <c r="F1" s="228" t="s">
        <v>222</v>
      </c>
      <c r="G1" s="384" t="s">
        <v>203</v>
      </c>
      <c r="H1" s="227" t="s">
        <v>98</v>
      </c>
      <c r="I1" s="229" t="s">
        <v>139</v>
      </c>
      <c r="J1" s="507" t="s">
        <v>138</v>
      </c>
      <c r="K1" s="508"/>
      <c r="L1" s="381" t="s">
        <v>223</v>
      </c>
      <c r="M1" s="382" t="s">
        <v>204</v>
      </c>
      <c r="N1" s="298" t="s">
        <v>98</v>
      </c>
      <c r="O1" s="418" t="s">
        <v>224</v>
      </c>
      <c r="P1" s="230" t="s">
        <v>205</v>
      </c>
      <c r="Q1" s="415" t="s">
        <v>98</v>
      </c>
      <c r="R1" s="419" t="s">
        <v>206</v>
      </c>
    </row>
    <row r="2" spans="1:18" s="9" customFormat="1" ht="13.5" customHeight="1" thickBot="1" x14ac:dyDescent="0.25">
      <c r="A2" s="503">
        <v>43525</v>
      </c>
      <c r="B2" s="504"/>
      <c r="C2" s="505" t="s">
        <v>9</v>
      </c>
      <c r="D2" s="506"/>
      <c r="E2" s="506"/>
      <c r="F2" s="506"/>
      <c r="G2" s="506"/>
      <c r="H2" s="506"/>
      <c r="I2" s="385"/>
      <c r="J2" s="503">
        <f>+A2</f>
        <v>43525</v>
      </c>
      <c r="K2" s="504"/>
      <c r="L2" s="498" t="s">
        <v>140</v>
      </c>
      <c r="M2" s="499"/>
      <c r="N2" s="499"/>
      <c r="O2" s="499"/>
      <c r="P2" s="499"/>
      <c r="Q2" s="499"/>
      <c r="R2" s="500"/>
    </row>
    <row r="3" spans="1:18" x14ac:dyDescent="0.2">
      <c r="A3" s="299"/>
      <c r="B3" s="300"/>
      <c r="C3" s="301"/>
      <c r="D3" s="302"/>
      <c r="E3" s="303"/>
      <c r="F3" s="356"/>
      <c r="G3" s="302"/>
      <c r="H3" s="413"/>
      <c r="I3" s="303"/>
      <c r="J3" s="304"/>
      <c r="K3" s="300"/>
      <c r="L3" s="310"/>
      <c r="N3" s="67"/>
      <c r="O3" s="299"/>
      <c r="P3" s="305"/>
      <c r="Q3" s="305"/>
      <c r="R3" s="300"/>
    </row>
    <row r="4" spans="1:18" ht="14.1" customHeight="1" x14ac:dyDescent="0.2">
      <c r="A4" s="306" t="s">
        <v>100</v>
      </c>
      <c r="B4" s="40"/>
      <c r="C4" s="307">
        <f>SUM(C5:C7)</f>
        <v>170</v>
      </c>
      <c r="D4" s="150">
        <f>SUM(D5:D7)</f>
        <v>172</v>
      </c>
      <c r="E4" s="309">
        <f>(C4-D4)/D4</f>
        <v>-1.1627906976744186E-2</v>
      </c>
      <c r="F4" s="307">
        <f>SUM(F5:F7)</f>
        <v>456</v>
      </c>
      <c r="G4" s="150">
        <f>SUM(G5:G7)</f>
        <v>482</v>
      </c>
      <c r="H4" s="308">
        <f>(F4-G4)/G4</f>
        <v>-5.3941908713692949E-2</v>
      </c>
      <c r="I4" s="309">
        <f>F4/$F$67</f>
        <v>5.2669269329390835E-3</v>
      </c>
      <c r="J4" s="306" t="s">
        <v>100</v>
      </c>
      <c r="K4" s="40"/>
      <c r="L4" s="307">
        <f>SUM(L5:L7)</f>
        <v>9638</v>
      </c>
      <c r="M4" s="150">
        <f>SUM(M5:M7)</f>
        <v>9093</v>
      </c>
      <c r="N4" s="309">
        <f>(L4-M4)/M4</f>
        <v>5.9936214670625758E-2</v>
      </c>
      <c r="O4" s="307">
        <f>SUM(O5:O7)</f>
        <v>23991</v>
      </c>
      <c r="P4" s="150">
        <f>SUM(P5:P7)</f>
        <v>24170</v>
      </c>
      <c r="Q4" s="308">
        <f>(O4-P4)/P4</f>
        <v>-7.4058750517170049E-3</v>
      </c>
      <c r="R4" s="309">
        <f>O4/$O$67</f>
        <v>2.7862283137053143E-3</v>
      </c>
    </row>
    <row r="5" spans="1:18" ht="14.1" customHeight="1" x14ac:dyDescent="0.2">
      <c r="A5" s="306"/>
      <c r="B5" s="365" t="s">
        <v>100</v>
      </c>
      <c r="C5" s="310">
        <f>+[3]AirCanada!$GD$19</f>
        <v>0</v>
      </c>
      <c r="D5" s="2">
        <f>+[3]AirCanada!$FP$19</f>
        <v>0</v>
      </c>
      <c r="E5" s="67" t="e">
        <f>(C5-D5)/D5</f>
        <v>#DIV/0!</v>
      </c>
      <c r="F5" s="254">
        <f>SUM([3]AirCanada!$GB$19:$GD$19)</f>
        <v>0</v>
      </c>
      <c r="G5" s="254">
        <f>SUM([3]AirCanada!$FN$19:$FP$19)</f>
        <v>0</v>
      </c>
      <c r="H5" s="370" t="e">
        <f>(F5-G5)/G5</f>
        <v>#DIV/0!</v>
      </c>
      <c r="I5" s="67">
        <f>F5/$F$67</f>
        <v>0</v>
      </c>
      <c r="J5" s="306"/>
      <c r="K5" s="365" t="s">
        <v>100</v>
      </c>
      <c r="L5" s="369">
        <f>+[3]AirCanada!$GD$41</f>
        <v>0</v>
      </c>
      <c r="M5" s="254">
        <f>+[3]AirCanada!$FP$41</f>
        <v>0</v>
      </c>
      <c r="N5" s="371" t="e">
        <f>(L5-M5)/M5</f>
        <v>#DIV/0!</v>
      </c>
      <c r="O5" s="369">
        <f>SUM([3]AirCanada!$GB$41:$GD$41)</f>
        <v>0</v>
      </c>
      <c r="P5" s="254">
        <f>SUM([3]AirCanada!$FN$41:$FP$41)</f>
        <v>0</v>
      </c>
      <c r="Q5" s="370" t="e">
        <f>(O5-P5)/P5</f>
        <v>#DIV/0!</v>
      </c>
      <c r="R5" s="371">
        <f>O5/$O$67</f>
        <v>0</v>
      </c>
    </row>
    <row r="6" spans="1:18" ht="14.1" customHeight="1" x14ac:dyDescent="0.2">
      <c r="A6" s="306"/>
      <c r="B6" s="365" t="s">
        <v>169</v>
      </c>
      <c r="C6" s="310">
        <f>'[3]Air Georgian'!$GD$19</f>
        <v>0</v>
      </c>
      <c r="D6" s="2">
        <f>'[3]Air Georgian'!$FP$19</f>
        <v>0</v>
      </c>
      <c r="E6" s="67" t="e">
        <f>(C6-D6)/D6</f>
        <v>#DIV/0!</v>
      </c>
      <c r="F6" s="254">
        <f>SUM('[3]Air Georgian'!$GB$19:$GD$19)</f>
        <v>0</v>
      </c>
      <c r="G6" s="254">
        <f>SUM('[3]Air Georgian'!$FN$19:$FP$19)</f>
        <v>0</v>
      </c>
      <c r="H6" s="370" t="e">
        <f>(F6-G6)/G6</f>
        <v>#DIV/0!</v>
      </c>
      <c r="I6" s="67">
        <f>F6/$F$67</f>
        <v>0</v>
      </c>
      <c r="J6" s="306"/>
      <c r="K6" s="365" t="s">
        <v>169</v>
      </c>
      <c r="L6" s="310">
        <f>'[3]Air Georgian'!$GD$41</f>
        <v>0</v>
      </c>
      <c r="M6" s="2">
        <f>'[3]Air Georgian'!$FP$41</f>
        <v>0</v>
      </c>
      <c r="N6" s="67" t="e">
        <f>(L6-M6)/M6</f>
        <v>#DIV/0!</v>
      </c>
      <c r="O6" s="310">
        <f>SUM('[3]Air Georgian'!$GB$41:$GD$41)</f>
        <v>0</v>
      </c>
      <c r="P6" s="2">
        <f>SUM('[3]Air Georgian'!$FN$41:$FP$41)</f>
        <v>0</v>
      </c>
      <c r="Q6" s="3" t="e">
        <f>(O6-P6)/P6</f>
        <v>#DIV/0!</v>
      </c>
      <c r="R6" s="67">
        <f>O6/$O$67</f>
        <v>0</v>
      </c>
    </row>
    <row r="7" spans="1:18" ht="14.1" customHeight="1" x14ac:dyDescent="0.2">
      <c r="A7" s="306"/>
      <c r="B7" s="365" t="s">
        <v>199</v>
      </c>
      <c r="C7" s="310">
        <f>'[3]Sky Regional'!$GD$19</f>
        <v>170</v>
      </c>
      <c r="D7" s="2">
        <f>'[3]Sky Regional'!$FP$19</f>
        <v>172</v>
      </c>
      <c r="E7" s="67">
        <f>(C7-D7)/D7</f>
        <v>-1.1627906976744186E-2</v>
      </c>
      <c r="F7" s="254">
        <f>SUM('[3]Sky Regional'!$GB$19:$GD$19)</f>
        <v>456</v>
      </c>
      <c r="G7" s="254">
        <f>SUM('[3]Sky Regional'!$FN$19:$FP$19)</f>
        <v>482</v>
      </c>
      <c r="H7" s="370">
        <f>(F7-G7)/G7</f>
        <v>-5.3941908713692949E-2</v>
      </c>
      <c r="I7" s="67">
        <f>F7/$F$67</f>
        <v>5.2669269329390835E-3</v>
      </c>
      <c r="J7" s="306"/>
      <c r="K7" s="365" t="s">
        <v>199</v>
      </c>
      <c r="L7" s="310">
        <f>'[3]Sky Regional'!$GD$41</f>
        <v>9638</v>
      </c>
      <c r="M7" s="2">
        <f>'[3]Sky Regional'!$FP$41</f>
        <v>9093</v>
      </c>
      <c r="N7" s="67">
        <f>(L7-M7)/M7</f>
        <v>5.9936214670625758E-2</v>
      </c>
      <c r="O7" s="310">
        <f>SUM('[3]Sky Regional'!$GB$41:$GD$41)</f>
        <v>23991</v>
      </c>
      <c r="P7" s="2">
        <f>SUM('[3]Sky Regional'!$FN$41:$FP$41)</f>
        <v>24170</v>
      </c>
      <c r="Q7" s="3">
        <f>(O7-P7)/P7</f>
        <v>-7.4058750517170049E-3</v>
      </c>
      <c r="R7" s="67">
        <f>O7/$O$67</f>
        <v>2.7862283137053143E-3</v>
      </c>
    </row>
    <row r="8" spans="1:18" ht="14.1" customHeight="1" x14ac:dyDescent="0.2">
      <c r="A8" s="306"/>
      <c r="B8" s="40"/>
      <c r="C8" s="307"/>
      <c r="D8" s="150"/>
      <c r="E8" s="309"/>
      <c r="F8" s="150"/>
      <c r="G8" s="150"/>
      <c r="H8" s="308"/>
      <c r="I8" s="309"/>
      <c r="J8" s="306"/>
      <c r="K8" s="40"/>
      <c r="L8" s="310"/>
      <c r="N8" s="67"/>
      <c r="O8" s="310"/>
      <c r="P8" s="2"/>
      <c r="Q8" s="3"/>
      <c r="R8" s="67"/>
    </row>
    <row r="9" spans="1:18" ht="14.1" customHeight="1" x14ac:dyDescent="0.2">
      <c r="A9" s="306" t="s">
        <v>183</v>
      </c>
      <c r="B9" s="40"/>
      <c r="C9" s="307">
        <f>'[3]Air Choice One'!$GD$19</f>
        <v>202</v>
      </c>
      <c r="D9" s="150">
        <f>'[3]Air Choice One'!$FP$19</f>
        <v>186</v>
      </c>
      <c r="E9" s="309">
        <f>(C9-D9)/D9</f>
        <v>8.6021505376344093E-2</v>
      </c>
      <c r="F9" s="150">
        <f>SUM('[3]Air Choice One'!$GB$19:$GD$19)</f>
        <v>564</v>
      </c>
      <c r="G9" s="150">
        <f>SUM('[3]Air Choice One'!$FN$19:$FP$19)</f>
        <v>644</v>
      </c>
      <c r="H9" s="308">
        <f>(F9-G9)/G9</f>
        <v>-0.12422360248447205</v>
      </c>
      <c r="I9" s="309">
        <f>F9/$F$67</f>
        <v>6.514356996003604E-3</v>
      </c>
      <c r="J9" s="306" t="s">
        <v>183</v>
      </c>
      <c r="K9" s="40"/>
      <c r="L9" s="307">
        <f>'[3]Air Choice One'!$GD$41</f>
        <v>832</v>
      </c>
      <c r="M9" s="150">
        <f>'[3]Air Choice One'!$FP$41</f>
        <v>740</v>
      </c>
      <c r="N9" s="309">
        <f>(L9-M9)/M9</f>
        <v>0.12432432432432433</v>
      </c>
      <c r="O9" s="307">
        <f>SUM('[3]Air Choice One'!$GB$41:$GD$41)</f>
        <v>2315</v>
      </c>
      <c r="P9" s="150">
        <f>SUM('[3]Air Choice One'!$FN$41:$FP$41)</f>
        <v>2455</v>
      </c>
      <c r="Q9" s="308">
        <f>(O9-P9)/P9</f>
        <v>-5.7026476578411409E-2</v>
      </c>
      <c r="R9" s="309">
        <f>O9/$O$67</f>
        <v>2.6885576033628457E-4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160</v>
      </c>
      <c r="B11" s="40"/>
      <c r="C11" s="307">
        <f>'[3]Air France'!$GD$19</f>
        <v>0</v>
      </c>
      <c r="D11" s="150">
        <f>'[3]Air France'!$FP$19</f>
        <v>0</v>
      </c>
      <c r="E11" s="309" t="e">
        <f>(C11-D11)/D11</f>
        <v>#DIV/0!</v>
      </c>
      <c r="F11" s="150">
        <f>SUM('[3]Air France'!$GB$19:$GD$19)</f>
        <v>0</v>
      </c>
      <c r="G11" s="150">
        <f>SUM('[3]Air France'!$FN$19:$FP$19)</f>
        <v>0</v>
      </c>
      <c r="H11" s="308" t="e">
        <f>(F11-G11)/G11</f>
        <v>#DIV/0!</v>
      </c>
      <c r="I11" s="309">
        <f>F11/$F$67</f>
        <v>0</v>
      </c>
      <c r="J11" s="306" t="s">
        <v>160</v>
      </c>
      <c r="K11" s="40"/>
      <c r="L11" s="307">
        <f>'[3]Air France'!$GD$41</f>
        <v>0</v>
      </c>
      <c r="M11" s="150">
        <f>'[3]Air France'!$FP$41</f>
        <v>0</v>
      </c>
      <c r="N11" s="309" t="e">
        <f>(L11-M11)/M11</f>
        <v>#DIV/0!</v>
      </c>
      <c r="O11" s="307">
        <f>SUM('[3]Air France'!$GB$41:$GD$41)</f>
        <v>0</v>
      </c>
      <c r="P11" s="150">
        <f>SUM('[3]Air France'!$FN$41:$FP$41)</f>
        <v>0</v>
      </c>
      <c r="Q11" s="308" t="e">
        <f>(O11-P11)/P11</f>
        <v>#DIV/0!</v>
      </c>
      <c r="R11" s="309">
        <f>O11/$O$67</f>
        <v>0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130</v>
      </c>
      <c r="B13" s="40"/>
      <c r="C13" s="307">
        <f>SUM(C14:C16)</f>
        <v>248</v>
      </c>
      <c r="D13" s="150">
        <f>SUM(D14:D16)</f>
        <v>345</v>
      </c>
      <c r="E13" s="309">
        <f>(C13-D13)/D13</f>
        <v>-0.28115942028985508</v>
      </c>
      <c r="F13" s="150">
        <f>SUM(F14:F16)</f>
        <v>721</v>
      </c>
      <c r="G13" s="150">
        <f>SUM(G14:G16)</f>
        <v>928</v>
      </c>
      <c r="H13" s="308">
        <f>(F13-G13)/G13</f>
        <v>-0.22306034482758622</v>
      </c>
      <c r="I13" s="309">
        <f>F13/$F$67</f>
        <v>8.3277506987918404E-3</v>
      </c>
      <c r="J13" s="306" t="s">
        <v>130</v>
      </c>
      <c r="K13" s="40"/>
      <c r="L13" s="307">
        <f>SUM(L14:L16)</f>
        <v>29281</v>
      </c>
      <c r="M13" s="150">
        <f>SUM(M14:M16)</f>
        <v>32037</v>
      </c>
      <c r="N13" s="309">
        <f>(L13-M13)/M13</f>
        <v>-8.6025532977494767E-2</v>
      </c>
      <c r="O13" s="307">
        <f>SUM(O14:O16)</f>
        <v>76030</v>
      </c>
      <c r="P13" s="150">
        <f>SUM(P14:P16)</f>
        <v>84774</v>
      </c>
      <c r="Q13" s="308">
        <f>(O13-P13)/P13</f>
        <v>-0.10314483214193031</v>
      </c>
      <c r="R13" s="309">
        <f>O13/$O$67</f>
        <v>8.8298503059903739E-3</v>
      </c>
    </row>
    <row r="14" spans="1:18" ht="14.1" customHeight="1" x14ac:dyDescent="0.2">
      <c r="A14" s="306"/>
      <c r="B14" s="365" t="s">
        <v>130</v>
      </c>
      <c r="C14" s="369">
        <f>[3]Alaska!$GD$19</f>
        <v>168</v>
      </c>
      <c r="D14" s="254">
        <f>[3]Alaska!$FP$19</f>
        <v>120</v>
      </c>
      <c r="E14" s="371">
        <f>(C14-D14)/D14</f>
        <v>0.4</v>
      </c>
      <c r="F14" s="254">
        <f>SUM([3]Alaska!$GB$19:$GD$19)</f>
        <v>409</v>
      </c>
      <c r="G14" s="254">
        <f>SUM([3]Alaska!$FN$19:$FP$19)</f>
        <v>354</v>
      </c>
      <c r="H14" s="370">
        <f>(F14-G14)/G14</f>
        <v>0.15536723163841809</v>
      </c>
      <c r="I14" s="371">
        <f>F14/$F$67</f>
        <v>4.7240638499387831E-3</v>
      </c>
      <c r="J14" s="306"/>
      <c r="K14" s="365" t="s">
        <v>130</v>
      </c>
      <c r="L14" s="369">
        <f>[3]Alaska!$GD$41</f>
        <v>23699</v>
      </c>
      <c r="M14" s="254">
        <f>[3]Alaska!$FP$41</f>
        <v>17525</v>
      </c>
      <c r="N14" s="371">
        <f>(L14-M14)/M14</f>
        <v>0.35229671897289588</v>
      </c>
      <c r="O14" s="369">
        <f>SUM([3]Alaska!$GB$41:$GD$41)</f>
        <v>55905</v>
      </c>
      <c r="P14" s="254">
        <f>SUM([3]Alaska!$FN$41:$FP$41)</f>
        <v>48549</v>
      </c>
      <c r="Q14" s="370">
        <f>(O14-P14)/P14</f>
        <v>0.15151702403757028</v>
      </c>
      <c r="R14" s="371">
        <f>O14/$O$67</f>
        <v>6.4926053052267764E-3</v>
      </c>
    </row>
    <row r="15" spans="1:18" ht="14.1" customHeight="1" x14ac:dyDescent="0.2">
      <c r="A15" s="306"/>
      <c r="B15" s="365" t="s">
        <v>99</v>
      </c>
      <c r="C15" s="310">
        <f>'[3]Sky West_AS'!$GD$19</f>
        <v>80</v>
      </c>
      <c r="D15" s="2">
        <f>'[3]Sky West_AS'!$FP$19</f>
        <v>102</v>
      </c>
      <c r="E15" s="67">
        <f>(C15-D15)/D15</f>
        <v>-0.21568627450980393</v>
      </c>
      <c r="F15" s="2">
        <f>SUM('[3]Sky West_AS'!$GB$19:$GD$19)</f>
        <v>300</v>
      </c>
      <c r="G15" s="2">
        <f>SUM('[3]Sky West_AS'!$FN$19:$FP$19)</f>
        <v>308</v>
      </c>
      <c r="H15" s="3">
        <f>(F15-G15)/G15</f>
        <v>-2.5974025974025976E-2</v>
      </c>
      <c r="I15" s="67">
        <f>F15/$F$67</f>
        <v>3.4650835085125553E-3</v>
      </c>
      <c r="J15" s="306"/>
      <c r="K15" s="365" t="s">
        <v>99</v>
      </c>
      <c r="L15" s="310">
        <f>'[3]Sky West_AS'!$GD$41</f>
        <v>5582</v>
      </c>
      <c r="M15" s="2">
        <f>'[3]Sky West_AS'!$FP$41</f>
        <v>6764</v>
      </c>
      <c r="N15" s="67">
        <f>(L15-M15)/M15</f>
        <v>-0.17474866942637493</v>
      </c>
      <c r="O15" s="310">
        <f>SUM('[3]Sky West_AS'!$GB$41:$GD$41)</f>
        <v>19306</v>
      </c>
      <c r="P15" s="2">
        <f>SUM('[3]Sky West_AS'!$FN$41:$FP$41)</f>
        <v>19586</v>
      </c>
      <c r="Q15" s="3">
        <f>(O15-P15)/P15</f>
        <v>-1.4295925661186561E-2</v>
      </c>
      <c r="R15" s="371">
        <f>O15/$O$67</f>
        <v>2.2421292911673045E-3</v>
      </c>
    </row>
    <row r="16" spans="1:18" ht="14.1" customHeight="1" x14ac:dyDescent="0.2">
      <c r="A16" s="306"/>
      <c r="B16" s="365" t="s">
        <v>200</v>
      </c>
      <c r="C16" s="310">
        <f>[3]Horizon_AS!$GD$19</f>
        <v>0</v>
      </c>
      <c r="D16" s="2">
        <f>[3]Horizon_AS!$FP$19</f>
        <v>123</v>
      </c>
      <c r="E16" s="67">
        <f>(C16-D16)/D16</f>
        <v>-1</v>
      </c>
      <c r="F16" s="2">
        <f>SUM([3]Horizon_AS!$GB$19:$GD$19)</f>
        <v>12</v>
      </c>
      <c r="G16" s="2">
        <f>SUM([3]Horizon_AS!$FN$19:$FP$19)</f>
        <v>266</v>
      </c>
      <c r="H16" s="3">
        <f>(F16-G16)/G16</f>
        <v>-0.95488721804511278</v>
      </c>
      <c r="I16" s="67">
        <f>F16/$F$67</f>
        <v>1.386033403405022E-4</v>
      </c>
      <c r="J16" s="306"/>
      <c r="K16" s="365" t="s">
        <v>200</v>
      </c>
      <c r="L16" s="310">
        <f>[3]Horizon_AS!$GD$41</f>
        <v>0</v>
      </c>
      <c r="M16" s="2">
        <f>[3]Horizon_AS!$FP$41</f>
        <v>7748</v>
      </c>
      <c r="N16" s="67">
        <f>(L16-M16)/M16</f>
        <v>-1</v>
      </c>
      <c r="O16" s="310">
        <f>SUM([3]Horizon_AS!$GB$41:$GD$41)</f>
        <v>819</v>
      </c>
      <c r="P16" s="2">
        <f>SUM([3]Horizon_AS!$FN$41:$FP$41)</f>
        <v>16639</v>
      </c>
      <c r="Q16" s="3">
        <f>(O16-P16)/P16</f>
        <v>-0.95077829196466135</v>
      </c>
      <c r="R16" s="371">
        <f>O16/$O$67</f>
        <v>9.5115709596292465E-5</v>
      </c>
    </row>
    <row r="17" spans="1:20" ht="14.1" customHeight="1" x14ac:dyDescent="0.2">
      <c r="A17" s="306"/>
      <c r="B17" s="40"/>
      <c r="C17" s="307"/>
      <c r="D17" s="165"/>
      <c r="E17" s="309"/>
      <c r="F17" s="165"/>
      <c r="G17" s="165"/>
      <c r="H17" s="308"/>
      <c r="I17" s="309"/>
      <c r="J17" s="306"/>
      <c r="K17" s="40"/>
      <c r="L17" s="141"/>
      <c r="M17" s="97"/>
      <c r="N17" s="67"/>
      <c r="O17" s="141"/>
      <c r="P17" s="97"/>
      <c r="Q17" s="3"/>
      <c r="R17" s="67"/>
    </row>
    <row r="18" spans="1:20" ht="14.1" customHeight="1" x14ac:dyDescent="0.2">
      <c r="A18" s="306" t="s">
        <v>17</v>
      </c>
      <c r="B18" s="311"/>
      <c r="C18" s="307">
        <f>SUM(C19:C25)</f>
        <v>1658</v>
      </c>
      <c r="D18" s="150">
        <f>SUM(D19:D25)</f>
        <v>1739</v>
      </c>
      <c r="E18" s="309">
        <f t="shared" ref="E18:E25" si="0">(C18-D18)/D18</f>
        <v>-4.6578493387004025E-2</v>
      </c>
      <c r="F18" s="307">
        <f>SUM(F19:F25)</f>
        <v>4744</v>
      </c>
      <c r="G18" s="150">
        <f>SUM(G19:G25)</f>
        <v>4966</v>
      </c>
      <c r="H18" s="308">
        <f t="shared" ref="H18:H25" si="1">(F18-G18)/G18</f>
        <v>-4.4703987112364077E-2</v>
      </c>
      <c r="I18" s="309">
        <f t="shared" ref="I18:I25" si="2">F18/$F$67</f>
        <v>5.4794520547945202E-2</v>
      </c>
      <c r="J18" s="306" t="s">
        <v>17</v>
      </c>
      <c r="K18" s="311"/>
      <c r="L18" s="307">
        <f>SUM(L19:L25)</f>
        <v>186322</v>
      </c>
      <c r="M18" s="150">
        <f>SUM(M19:M25)</f>
        <v>185028</v>
      </c>
      <c r="N18" s="309">
        <f t="shared" ref="N18:N25" si="3">(L18-M18)/M18</f>
        <v>6.9935361134530992E-3</v>
      </c>
      <c r="O18" s="307">
        <f>SUM(O19:O25)</f>
        <v>498130</v>
      </c>
      <c r="P18" s="150">
        <f>SUM(P19:P25)</f>
        <v>510191</v>
      </c>
      <c r="Q18" s="308">
        <f t="shared" ref="Q18:Q25" si="4">(O18-P18)/P18</f>
        <v>-2.3640166133859671E-2</v>
      </c>
      <c r="R18" s="309">
        <f t="shared" ref="R18:R25" si="5">O18/$O$67</f>
        <v>5.7851023713310336E-2</v>
      </c>
    </row>
    <row r="19" spans="1:20" ht="14.1" customHeight="1" x14ac:dyDescent="0.2">
      <c r="A19" s="38"/>
      <c r="B19" s="40" t="s">
        <v>17</v>
      </c>
      <c r="C19" s="310">
        <f>[3]American!$GD$19</f>
        <v>1194</v>
      </c>
      <c r="D19" s="2">
        <f>[3]American!$FP$19</f>
        <v>1151</v>
      </c>
      <c r="E19" s="67">
        <f t="shared" si="0"/>
        <v>3.7358818418766288E-2</v>
      </c>
      <c r="F19" s="2">
        <f>SUM([3]American!$GB$19:$GD$19)</f>
        <v>3640</v>
      </c>
      <c r="G19" s="2">
        <f>SUM([3]American!$FN$19:$FP$19)</f>
        <v>3370</v>
      </c>
      <c r="H19" s="3">
        <f t="shared" si="1"/>
        <v>8.0118694362017809E-2</v>
      </c>
      <c r="I19" s="67">
        <f t="shared" si="2"/>
        <v>4.2043013236618999E-2</v>
      </c>
      <c r="J19" s="38"/>
      <c r="K19" s="40" t="s">
        <v>17</v>
      </c>
      <c r="L19" s="310">
        <f>[3]American!$GD$41</f>
        <v>158330</v>
      </c>
      <c r="M19" s="2">
        <f>[3]American!$FP$41</f>
        <v>150790</v>
      </c>
      <c r="N19" s="67">
        <f t="shared" si="3"/>
        <v>5.0003315869752638E-2</v>
      </c>
      <c r="O19" s="310">
        <f>SUM([3]American!$GB$41:$GD$41)</f>
        <v>439308</v>
      </c>
      <c r="P19" s="2">
        <f>SUM([3]American!$FN$41:$FP$41)</f>
        <v>423754</v>
      </c>
      <c r="Q19" s="3">
        <f t="shared" si="4"/>
        <v>3.6705258239450249E-2</v>
      </c>
      <c r="R19" s="67">
        <f t="shared" si="5"/>
        <v>5.1019648536420083E-2</v>
      </c>
    </row>
    <row r="20" spans="1:20" ht="14.1" customHeight="1" x14ac:dyDescent="0.2">
      <c r="A20" s="38"/>
      <c r="B20" s="365" t="s">
        <v>170</v>
      </c>
      <c r="C20" s="310">
        <f>'[3]American Eagle'!$GD$19</f>
        <v>124</v>
      </c>
      <c r="D20" s="2">
        <f>'[3]American Eagle'!$FP$19</f>
        <v>64</v>
      </c>
      <c r="E20" s="67">
        <f t="shared" si="0"/>
        <v>0.9375</v>
      </c>
      <c r="F20" s="2">
        <f>SUM('[3]American Eagle'!$GB$19:$GD$19)</f>
        <v>182</v>
      </c>
      <c r="G20" s="2">
        <f>SUM('[3]American Eagle'!$FN$19:$FP$19)</f>
        <v>114</v>
      </c>
      <c r="H20" s="3">
        <f t="shared" si="1"/>
        <v>0.59649122807017541</v>
      </c>
      <c r="I20" s="67">
        <f t="shared" si="2"/>
        <v>2.10215066183095E-3</v>
      </c>
      <c r="J20" s="38"/>
      <c r="K20" s="365" t="s">
        <v>170</v>
      </c>
      <c r="L20" s="310">
        <f>'[3]American Eagle'!$GD$41</f>
        <v>8680</v>
      </c>
      <c r="M20" s="2">
        <f>'[3]American Eagle'!$FP$41</f>
        <v>3853</v>
      </c>
      <c r="N20" s="67">
        <f t="shared" si="3"/>
        <v>1.2527900337399429</v>
      </c>
      <c r="O20" s="310">
        <f>SUM('[3]American Eagle'!$GB$41:$GD$41)</f>
        <v>12642</v>
      </c>
      <c r="P20" s="2">
        <f>SUM('[3]American Eagle'!$FN$41:$FP$41)</f>
        <v>6757</v>
      </c>
      <c r="Q20" s="3">
        <f t="shared" si="4"/>
        <v>0.87094864584874943</v>
      </c>
      <c r="R20" s="67">
        <f t="shared" si="5"/>
        <v>1.4681963378709759E-3</v>
      </c>
    </row>
    <row r="21" spans="1:20" ht="14.1" customHeight="1" x14ac:dyDescent="0.2">
      <c r="A21" s="38"/>
      <c r="B21" s="365" t="s">
        <v>52</v>
      </c>
      <c r="C21" s="310">
        <f>[3]Republic!$GD$19</f>
        <v>340</v>
      </c>
      <c r="D21" s="2">
        <f>[3]Republic!$FP$19</f>
        <v>399</v>
      </c>
      <c r="E21" s="67">
        <f t="shared" si="0"/>
        <v>-0.14786967418546365</v>
      </c>
      <c r="F21" s="2">
        <f>SUM([3]Republic!$GB$19:$GD$19)</f>
        <v>922</v>
      </c>
      <c r="G21" s="2">
        <f>SUM([3]Republic!$FN$19:$FP$19)</f>
        <v>1155</v>
      </c>
      <c r="H21" s="3">
        <f t="shared" si="1"/>
        <v>-0.20173160173160173</v>
      </c>
      <c r="I21" s="67">
        <f t="shared" si="2"/>
        <v>1.0649356649495253E-2</v>
      </c>
      <c r="J21" s="38"/>
      <c r="K21" s="312" t="s">
        <v>52</v>
      </c>
      <c r="L21" s="310">
        <f>[3]Republic!$GD$41</f>
        <v>19312</v>
      </c>
      <c r="M21" s="2">
        <f>[3]Republic!$FP$41</f>
        <v>23541</v>
      </c>
      <c r="N21" s="67">
        <f t="shared" si="3"/>
        <v>-0.17964402531753113</v>
      </c>
      <c r="O21" s="310">
        <f>SUM([3]Republic!$GB$41:$GD$41)</f>
        <v>46180</v>
      </c>
      <c r="P21" s="2">
        <f>SUM([3]Republic!$FN$41:$FP$41)</f>
        <v>62869</v>
      </c>
      <c r="Q21" s="3">
        <f t="shared" si="4"/>
        <v>-0.26545674338704289</v>
      </c>
      <c r="R21" s="67">
        <f t="shared" si="5"/>
        <v>5.3631788390192748E-3</v>
      </c>
    </row>
    <row r="22" spans="1:20" ht="14.1" customHeight="1" x14ac:dyDescent="0.2">
      <c r="A22" s="38"/>
      <c r="B22" s="365" t="s">
        <v>187</v>
      </c>
      <c r="C22" s="310">
        <f>[3]PSA!$GD$19</f>
        <v>0</v>
      </c>
      <c r="D22" s="2">
        <f>[3]PSA!$FP$19</f>
        <v>64</v>
      </c>
      <c r="E22" s="67">
        <f t="shared" si="0"/>
        <v>-1</v>
      </c>
      <c r="F22" s="2">
        <f>SUM([3]PSA!$GB$19:$GD$19)</f>
        <v>0</v>
      </c>
      <c r="G22" s="2">
        <f>SUM([3]PSA!$FN$19:$FP$19)</f>
        <v>174</v>
      </c>
      <c r="H22" s="3">
        <f t="shared" si="1"/>
        <v>-1</v>
      </c>
      <c r="I22" s="67">
        <f t="shared" si="2"/>
        <v>0</v>
      </c>
      <c r="J22" s="38"/>
      <c r="K22" s="365" t="s">
        <v>187</v>
      </c>
      <c r="L22" s="310">
        <f>[3]PSA!$GD$41</f>
        <v>0</v>
      </c>
      <c r="M22" s="2">
        <f>[3]PSA!$FP$41</f>
        <v>3130</v>
      </c>
      <c r="N22" s="67">
        <f t="shared" si="3"/>
        <v>-1</v>
      </c>
      <c r="O22" s="310">
        <f>SUM([3]PSA!$GB$41:$GD$41)</f>
        <v>0</v>
      </c>
      <c r="P22" s="2">
        <f>SUM([3]PSA!$FN$41:$FP$41)</f>
        <v>7353</v>
      </c>
      <c r="Q22" s="3">
        <f t="shared" si="4"/>
        <v>-1</v>
      </c>
      <c r="R22" s="67">
        <f t="shared" si="5"/>
        <v>0</v>
      </c>
    </row>
    <row r="23" spans="1:20" ht="14.1" customHeight="1" x14ac:dyDescent="0.2">
      <c r="A23" s="38"/>
      <c r="B23" s="365" t="s">
        <v>99</v>
      </c>
      <c r="C23" s="310">
        <f>'[3]Sky West_AA'!$GD$19</f>
        <v>0</v>
      </c>
      <c r="D23" s="2">
        <f>'[3]Sky West_AA'!$FP$19</f>
        <v>61</v>
      </c>
      <c r="E23" s="67">
        <f>(C23-D23)/D23</f>
        <v>-1</v>
      </c>
      <c r="F23" s="2">
        <f>SUM('[3]Sky West_AA'!$GB$19:$GD$19)</f>
        <v>0</v>
      </c>
      <c r="G23" s="2">
        <f>SUM('[3]Sky West_AA'!$FN$19:$FP$19)</f>
        <v>153</v>
      </c>
      <c r="H23" s="3">
        <f>(F23-G23)/G23</f>
        <v>-1</v>
      </c>
      <c r="I23" s="67">
        <f t="shared" si="2"/>
        <v>0</v>
      </c>
      <c r="J23" s="38"/>
      <c r="K23" s="365" t="s">
        <v>99</v>
      </c>
      <c r="L23" s="310">
        <f>'[3]Sky West_AA'!$GD$41</f>
        <v>0</v>
      </c>
      <c r="M23" s="2">
        <f>'[3]Sky West_AA'!$FP$41</f>
        <v>3714</v>
      </c>
      <c r="N23" s="67">
        <f>(L23-M23)/M23</f>
        <v>-1</v>
      </c>
      <c r="O23" s="310">
        <f>SUM('[3]Sky West_AA'!$GB$41:$GD$41)</f>
        <v>0</v>
      </c>
      <c r="P23" s="2">
        <f>SUM('[3]Sky West_AA'!$FN$41:$FP$41)</f>
        <v>9458</v>
      </c>
      <c r="Q23" s="3">
        <f>(O23-P23)/P23</f>
        <v>-1</v>
      </c>
      <c r="R23" s="371">
        <f t="shared" si="5"/>
        <v>0</v>
      </c>
    </row>
    <row r="24" spans="1:20" ht="14.1" customHeight="1" x14ac:dyDescent="0.2">
      <c r="A24" s="38"/>
      <c r="B24" s="365" t="s">
        <v>51</v>
      </c>
      <c r="C24" s="310">
        <f>[3]MESA!$GD$19</f>
        <v>0</v>
      </c>
      <c r="D24" s="2">
        <f>[3]MESA!$FP$19</f>
        <v>0</v>
      </c>
      <c r="E24" s="67" t="e">
        <f t="shared" si="0"/>
        <v>#DIV/0!</v>
      </c>
      <c r="F24" s="2">
        <f>SUM([3]MESA!$GB$19:$GD$19)</f>
        <v>0</v>
      </c>
      <c r="G24" s="2">
        <f>SUM([3]MESA!$FN$19:$FP$19)</f>
        <v>0</v>
      </c>
      <c r="H24" s="3" t="e">
        <f t="shared" si="1"/>
        <v>#DIV/0!</v>
      </c>
      <c r="I24" s="67">
        <f t="shared" si="2"/>
        <v>0</v>
      </c>
      <c r="J24" s="38"/>
      <c r="K24" s="365" t="s">
        <v>51</v>
      </c>
      <c r="L24" s="310">
        <f>[3]MESA!$GD$41</f>
        <v>0</v>
      </c>
      <c r="M24" s="2">
        <f>[3]MESA!$FP$41</f>
        <v>0</v>
      </c>
      <c r="N24" s="67" t="e">
        <f t="shared" si="3"/>
        <v>#DIV/0!</v>
      </c>
      <c r="O24" s="310">
        <f>SUM([3]MESA!$GB$41:$GD$41)</f>
        <v>0</v>
      </c>
      <c r="P24" s="2">
        <f>SUM([3]MESA!$FN$41:$FP$41)</f>
        <v>0</v>
      </c>
      <c r="Q24" s="3" t="e">
        <f t="shared" si="4"/>
        <v>#DIV/0!</v>
      </c>
      <c r="R24" s="67">
        <f t="shared" si="5"/>
        <v>0</v>
      </c>
    </row>
    <row r="25" spans="1:20" ht="14.1" customHeight="1" x14ac:dyDescent="0.2">
      <c r="A25" s="38"/>
      <c r="B25" s="365" t="s">
        <v>50</v>
      </c>
      <c r="C25" s="310">
        <f>'[3]Air Wisconsin'!$GD$19</f>
        <v>0</v>
      </c>
      <c r="D25" s="2">
        <f>'[3]Air Wisconsin'!$FP$19</f>
        <v>0</v>
      </c>
      <c r="E25" s="67" t="e">
        <f t="shared" si="0"/>
        <v>#DIV/0!</v>
      </c>
      <c r="F25" s="2">
        <f>SUM('[3]Air Wisconsin'!$GB$19:$GD$19)</f>
        <v>0</v>
      </c>
      <c r="G25" s="2">
        <f>SUM('[3]Air Wisconsin'!$FN$19:$FP$19)</f>
        <v>0</v>
      </c>
      <c r="H25" s="352" t="e">
        <f t="shared" si="1"/>
        <v>#DIV/0!</v>
      </c>
      <c r="I25" s="67">
        <f t="shared" si="2"/>
        <v>0</v>
      </c>
      <c r="J25" s="38"/>
      <c r="K25" s="312" t="s">
        <v>50</v>
      </c>
      <c r="L25" s="310">
        <f>'[3]Air Wisconsin'!$GD$41</f>
        <v>0</v>
      </c>
      <c r="M25" s="2">
        <f>'[3]Air Wisconsin'!$FP$41</f>
        <v>0</v>
      </c>
      <c r="N25" s="67" t="e">
        <f t="shared" si="3"/>
        <v>#DIV/0!</v>
      </c>
      <c r="O25" s="310">
        <f>SUM('[3]Air Wisconsin'!$GB$41:$GD$41)</f>
        <v>0</v>
      </c>
      <c r="P25" s="2">
        <f>SUM('[3]Air Wisconsin'!$FN$41:$FP$41)</f>
        <v>0</v>
      </c>
      <c r="Q25" s="3" t="e">
        <f t="shared" si="4"/>
        <v>#DIV/0!</v>
      </c>
      <c r="R25" s="67">
        <f t="shared" si="5"/>
        <v>0</v>
      </c>
    </row>
    <row r="26" spans="1:20" ht="14.1" customHeight="1" x14ac:dyDescent="0.2">
      <c r="A26" s="38"/>
      <c r="B26" s="40"/>
      <c r="C26" s="310"/>
      <c r="E26" s="67"/>
      <c r="F26" s="2"/>
      <c r="I26" s="67"/>
      <c r="J26" s="38"/>
      <c r="K26" s="40"/>
      <c r="L26" s="310"/>
      <c r="N26" s="67"/>
      <c r="O26" s="310"/>
      <c r="P26" s="2"/>
      <c r="Q26" s="3"/>
      <c r="R26" s="67"/>
      <c r="T26" s="2"/>
    </row>
    <row r="27" spans="1:20" ht="14.1" customHeight="1" x14ac:dyDescent="0.2">
      <c r="A27" s="306" t="s">
        <v>184</v>
      </c>
      <c r="B27" s="40"/>
      <c r="C27" s="307">
        <f>'[3]Boutique Air'!$GD$19</f>
        <v>148</v>
      </c>
      <c r="D27" s="150">
        <f>'[3]Boutique Air'!$FP$19</f>
        <v>148</v>
      </c>
      <c r="E27" s="309">
        <f>(C27-D27)/D27</f>
        <v>0</v>
      </c>
      <c r="F27" s="150">
        <f>SUM('[3]Boutique Air'!$GB$19:$GD$19)</f>
        <v>412</v>
      </c>
      <c r="G27" s="150">
        <f>SUM('[3]Boutique Air'!$FN$19:$FP$19)</f>
        <v>444</v>
      </c>
      <c r="H27" s="308">
        <f>(F27-G27)/G27</f>
        <v>-7.2072072072072071E-2</v>
      </c>
      <c r="I27" s="309">
        <f>F27/$F$67</f>
        <v>4.758714685023909E-3</v>
      </c>
      <c r="J27" s="306" t="s">
        <v>184</v>
      </c>
      <c r="K27" s="40"/>
      <c r="L27" s="307">
        <f>'[3]Boutique Air'!$GD$41</f>
        <v>667</v>
      </c>
      <c r="M27" s="150">
        <f>'[3]Boutique Air'!$FP$41</f>
        <v>838</v>
      </c>
      <c r="N27" s="309">
        <f>(L27-M27)/M27</f>
        <v>-0.20405727923627684</v>
      </c>
      <c r="O27" s="307">
        <f>SUM('[3]Boutique Air'!$GB$41:$GD$41)</f>
        <v>1735</v>
      </c>
      <c r="P27" s="150">
        <f>SUM('[3]Boutique Air'!$FN$41:$FP$41)</f>
        <v>2322</v>
      </c>
      <c r="Q27" s="308">
        <f>(O27-P27)/P27</f>
        <v>-0.25279931093884583</v>
      </c>
      <c r="R27" s="309">
        <f>O27/$O$67</f>
        <v>2.0149664975527157E-4</v>
      </c>
      <c r="T27" s="2"/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166</v>
      </c>
      <c r="B29" s="40"/>
      <c r="C29" s="307">
        <f>[3]Condor!$GD$19</f>
        <v>0</v>
      </c>
      <c r="D29" s="150">
        <f>[3]Condor!$FP$19</f>
        <v>0</v>
      </c>
      <c r="E29" s="309" t="e">
        <f>(C29-D29)/D29</f>
        <v>#DIV/0!</v>
      </c>
      <c r="F29" s="150">
        <f>SUM([3]Condor!$GB$19:$GD$19)</f>
        <v>0</v>
      </c>
      <c r="G29" s="150">
        <f>SUM([3]Condor!$FN$19:$FP$19)</f>
        <v>0</v>
      </c>
      <c r="H29" s="308" t="e">
        <f>(F29-G29)/G29</f>
        <v>#DIV/0!</v>
      </c>
      <c r="I29" s="309">
        <f>F29/$F$67</f>
        <v>0</v>
      </c>
      <c r="J29" s="306" t="s">
        <v>166</v>
      </c>
      <c r="K29" s="40"/>
      <c r="L29" s="307">
        <f>[3]Condor!$GD$41</f>
        <v>0</v>
      </c>
      <c r="M29" s="150">
        <f>[3]Condor!$FP$41</f>
        <v>0</v>
      </c>
      <c r="N29" s="309" t="e">
        <f>(L29-M29)/M29</f>
        <v>#DIV/0!</v>
      </c>
      <c r="O29" s="307">
        <f>SUM([3]Condor!$GB$41:$GD$41)</f>
        <v>0</v>
      </c>
      <c r="P29" s="150">
        <f>SUM([3]Condor!$FN$41:$FP$41)</f>
        <v>0</v>
      </c>
      <c r="Q29" s="308" t="e">
        <f>(O29-P29)/P29</f>
        <v>#DIV/0!</v>
      </c>
      <c r="R29" s="309">
        <f>O29/$O$67</f>
        <v>0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18</v>
      </c>
      <c r="B31" s="311"/>
      <c r="C31" s="307">
        <f>SUM(C32:C38)</f>
        <v>23942</v>
      </c>
      <c r="D31" s="150">
        <f>SUM(D32:D38)</f>
        <v>23852</v>
      </c>
      <c r="E31" s="309">
        <f t="shared" ref="E31:E38" si="6">(C31-D31)/D31</f>
        <v>3.773268489015596E-3</v>
      </c>
      <c r="F31" s="165">
        <f>SUM(F32:F38)</f>
        <v>63136</v>
      </c>
      <c r="G31" s="165">
        <f>SUM(G32:G38)</f>
        <v>62954</v>
      </c>
      <c r="H31" s="308">
        <f>(F31-G31)/G31</f>
        <v>2.8909997776154018E-3</v>
      </c>
      <c r="I31" s="309">
        <f t="shared" ref="I31:I38" si="7">F31/$F$67</f>
        <v>0.72923837464482899</v>
      </c>
      <c r="J31" s="306" t="s">
        <v>18</v>
      </c>
      <c r="K31" s="311"/>
      <c r="L31" s="307">
        <f>SUM(L32:L38)</f>
        <v>2379866</v>
      </c>
      <c r="M31" s="150">
        <f>SUM(M32:M38)</f>
        <v>2319366</v>
      </c>
      <c r="N31" s="309">
        <f t="shared" ref="N31:N38" si="8">(L31-M31)/M31</f>
        <v>2.6084714529746492E-2</v>
      </c>
      <c r="O31" s="307">
        <f>SUM(O32:O38)</f>
        <v>5982750</v>
      </c>
      <c r="P31" s="150">
        <f>SUM(P32:P38)</f>
        <v>5915329</v>
      </c>
      <c r="Q31" s="308">
        <f t="shared" ref="Q31:Q38" si="9">(O31-P31)/P31</f>
        <v>1.1397675429380175E-2</v>
      </c>
      <c r="R31" s="309">
        <f t="shared" ref="R31:R38" si="10">O31/$O$67</f>
        <v>0.69481503246302656</v>
      </c>
      <c r="S31" s="353"/>
    </row>
    <row r="32" spans="1:20" ht="14.1" customHeight="1" x14ac:dyDescent="0.2">
      <c r="A32" s="38"/>
      <c r="B32" s="40" t="s">
        <v>18</v>
      </c>
      <c r="C32" s="310">
        <f>[3]Delta!$GD$19</f>
        <v>12546</v>
      </c>
      <c r="D32" s="2">
        <f>[3]Delta!$FP$19</f>
        <v>11996</v>
      </c>
      <c r="E32" s="67">
        <f t="shared" si="6"/>
        <v>4.5848616205401801E-2</v>
      </c>
      <c r="F32" s="2">
        <f>SUM([3]Delta!$GB$19:$GD$19)</f>
        <v>33695</v>
      </c>
      <c r="G32" s="2">
        <f>SUM([3]Delta!$FN$19:$FP$19)</f>
        <v>32300</v>
      </c>
      <c r="H32" s="3">
        <f t="shared" ref="H32:H38" si="11">(F32-G32)/G32</f>
        <v>4.318885448916409E-2</v>
      </c>
      <c r="I32" s="67">
        <f t="shared" si="7"/>
        <v>0.38918662939776849</v>
      </c>
      <c r="J32" s="38"/>
      <c r="K32" s="40" t="s">
        <v>18</v>
      </c>
      <c r="L32" s="310">
        <f>[3]Delta!$GD$41</f>
        <v>1786325</v>
      </c>
      <c r="M32" s="2">
        <f>[3]Delta!$FP$41</f>
        <v>1714964</v>
      </c>
      <c r="N32" s="67">
        <f t="shared" si="8"/>
        <v>4.1610785999006396E-2</v>
      </c>
      <c r="O32" s="310">
        <f>SUM([3]Delta!$GB$41:$GD$41)</f>
        <v>4508109</v>
      </c>
      <c r="P32" s="2">
        <f>SUM([3]Delta!$FN$41:$FP$41)</f>
        <v>4397824</v>
      </c>
      <c r="Q32" s="3">
        <f t="shared" si="9"/>
        <v>2.5077174529949356E-2</v>
      </c>
      <c r="R32" s="67">
        <f t="shared" si="10"/>
        <v>0.52355553903837904</v>
      </c>
      <c r="T32" s="2"/>
    </row>
    <row r="33" spans="1:21" ht="14.1" customHeight="1" x14ac:dyDescent="0.2">
      <c r="A33" s="38"/>
      <c r="B33" s="312" t="s">
        <v>119</v>
      </c>
      <c r="C33" s="310">
        <f>[3]Compass!$GD$19</f>
        <v>0</v>
      </c>
      <c r="D33" s="2">
        <f>[3]Compass!$FP$19</f>
        <v>0</v>
      </c>
      <c r="E33" s="67" t="e">
        <f t="shared" si="6"/>
        <v>#DIV/0!</v>
      </c>
      <c r="F33" s="2">
        <f>SUM([3]Compass!$GB$19:$GD$19)</f>
        <v>0</v>
      </c>
      <c r="G33" s="2">
        <f>SUM([3]Compass!$FN$19:$FP$19)</f>
        <v>2</v>
      </c>
      <c r="H33" s="3">
        <f t="shared" si="11"/>
        <v>-1</v>
      </c>
      <c r="I33" s="67">
        <f t="shared" si="7"/>
        <v>0</v>
      </c>
      <c r="J33" s="38"/>
      <c r="K33" s="312" t="s">
        <v>119</v>
      </c>
      <c r="L33" s="310">
        <f>[3]Compass!$GD$41</f>
        <v>0</v>
      </c>
      <c r="M33" s="2">
        <f>[3]Compass!$FP$41</f>
        <v>0</v>
      </c>
      <c r="N33" s="67" t="e">
        <f t="shared" si="8"/>
        <v>#DIV/0!</v>
      </c>
      <c r="O33" s="310">
        <f>SUM([3]Compass!$GB$41:$GD$41)</f>
        <v>0</v>
      </c>
      <c r="P33" s="2">
        <f>SUM([3]Compass!$FN$41:$FP$41)</f>
        <v>0</v>
      </c>
      <c r="Q33" s="3" t="e">
        <f t="shared" si="9"/>
        <v>#DIV/0!</v>
      </c>
      <c r="R33" s="67">
        <f t="shared" si="10"/>
        <v>0</v>
      </c>
      <c r="S33" s="2"/>
      <c r="T33" s="2"/>
    </row>
    <row r="34" spans="1:21" ht="14.1" customHeight="1" x14ac:dyDescent="0.2">
      <c r="A34" s="38"/>
      <c r="B34" s="40" t="s">
        <v>162</v>
      </c>
      <c r="C34" s="310">
        <f>[3]Pinnacle!$GD$19</f>
        <v>2329</v>
      </c>
      <c r="D34" s="2">
        <f>[3]Pinnacle!$FP$19</f>
        <v>2570</v>
      </c>
      <c r="E34" s="67">
        <f t="shared" si="6"/>
        <v>-9.377431906614786E-2</v>
      </c>
      <c r="F34" s="2">
        <f>SUM([3]Pinnacle!$GB$19:$GD$19)</f>
        <v>6063</v>
      </c>
      <c r="G34" s="2">
        <f>SUM([3]Pinnacle!$FN$19:$FP$19)</f>
        <v>6756</v>
      </c>
      <c r="H34" s="3">
        <f t="shared" si="11"/>
        <v>-0.10257548845470693</v>
      </c>
      <c r="I34" s="67">
        <f t="shared" si="7"/>
        <v>7.0029337707038744E-2</v>
      </c>
      <c r="J34" s="38"/>
      <c r="K34" s="40" t="s">
        <v>162</v>
      </c>
      <c r="L34" s="310">
        <f>[3]Pinnacle!$GD$41</f>
        <v>139549</v>
      </c>
      <c r="M34" s="2">
        <f>[3]Pinnacle!$FP$41</f>
        <v>151810</v>
      </c>
      <c r="N34" s="67">
        <f t="shared" si="8"/>
        <v>-8.0765430472300906E-2</v>
      </c>
      <c r="O34" s="310">
        <f>SUM([3]Pinnacle!$GB$41:$GD$41)</f>
        <v>364460</v>
      </c>
      <c r="P34" s="2">
        <f>SUM([3]Pinnacle!$FN$41:$FP$41)</f>
        <v>378957</v>
      </c>
      <c r="Q34" s="3">
        <f t="shared" si="9"/>
        <v>-3.8254999907641238E-2</v>
      </c>
      <c r="R34" s="67">
        <f t="shared" si="10"/>
        <v>4.2327071452337911E-2</v>
      </c>
    </row>
    <row r="35" spans="1:21" ht="14.1" customHeight="1" x14ac:dyDescent="0.2">
      <c r="A35" s="38"/>
      <c r="B35" s="40" t="s">
        <v>158</v>
      </c>
      <c r="C35" s="310">
        <f>'[3]Go Jet'!$GD$19</f>
        <v>370</v>
      </c>
      <c r="D35" s="2">
        <f>'[3]Go Jet'!$FP$19</f>
        <v>630</v>
      </c>
      <c r="E35" s="67">
        <f t="shared" si="6"/>
        <v>-0.41269841269841268</v>
      </c>
      <c r="F35" s="2">
        <f>SUM('[3]Go Jet'!$GB$19:$GD$19)</f>
        <v>845</v>
      </c>
      <c r="G35" s="2">
        <f>SUM('[3]Go Jet'!$FN$19:$FP$19)</f>
        <v>1810</v>
      </c>
      <c r="H35" s="3">
        <f>(F35-G35)/G35</f>
        <v>-0.53314917127071826</v>
      </c>
      <c r="I35" s="67">
        <f t="shared" si="7"/>
        <v>9.7599852156436979E-3</v>
      </c>
      <c r="J35" s="38"/>
      <c r="K35" s="40" t="s">
        <v>158</v>
      </c>
      <c r="L35" s="310">
        <f>'[3]Go Jet'!$GD$41</f>
        <v>21226</v>
      </c>
      <c r="M35" s="2">
        <f>'[3]Go Jet'!$FP$41</f>
        <v>36065</v>
      </c>
      <c r="N35" s="67">
        <f t="shared" si="8"/>
        <v>-0.41145154582004712</v>
      </c>
      <c r="O35" s="310">
        <f>SUM('[3]Go Jet'!$GB$41:$GD$41)</f>
        <v>47690</v>
      </c>
      <c r="P35" s="2">
        <f>SUM('[3]Go Jet'!$FN$41:$FP$41)</f>
        <v>101361</v>
      </c>
      <c r="Q35" s="3">
        <f>(O35-P35)/P35</f>
        <v>-0.529503457937471</v>
      </c>
      <c r="R35" s="67">
        <f t="shared" si="10"/>
        <v>5.5385447993250153E-3</v>
      </c>
      <c r="S35" s="285"/>
      <c r="T35" s="193"/>
    </row>
    <row r="36" spans="1:21" ht="14.1" customHeight="1" x14ac:dyDescent="0.2">
      <c r="A36" s="38"/>
      <c r="B36" s="40" t="s">
        <v>99</v>
      </c>
      <c r="C36" s="310">
        <f>'[3]Sky West'!$GD$19</f>
        <v>8689</v>
      </c>
      <c r="D36" s="2">
        <f>'[3]Sky West'!$FP$19</f>
        <v>8354</v>
      </c>
      <c r="E36" s="67">
        <f t="shared" si="6"/>
        <v>4.0100550634426621E-2</v>
      </c>
      <c r="F36" s="2">
        <f>SUM('[3]Sky West'!$GB$19:$GD$19)</f>
        <v>22211</v>
      </c>
      <c r="G36" s="2">
        <f>SUM('[3]Sky West'!$FN$19:$FP$19)</f>
        <v>21276</v>
      </c>
      <c r="H36" s="3">
        <f t="shared" si="11"/>
        <v>4.3946230494453842E-2</v>
      </c>
      <c r="I36" s="67">
        <f t="shared" si="7"/>
        <v>0.25654323269190787</v>
      </c>
      <c r="J36" s="38"/>
      <c r="K36" s="40" t="s">
        <v>99</v>
      </c>
      <c r="L36" s="310">
        <f>'[3]Sky West'!$GD$41</f>
        <v>432338</v>
      </c>
      <c r="M36" s="2">
        <f>'[3]Sky West'!$FP$41</f>
        <v>401094</v>
      </c>
      <c r="N36" s="67">
        <f t="shared" si="8"/>
        <v>7.7896951836726555E-2</v>
      </c>
      <c r="O36" s="310">
        <f>SUM('[3]Sky West'!$GB$41:$GD$41)</f>
        <v>1045857</v>
      </c>
      <c r="P36" s="2">
        <f>SUM('[3]Sky West'!$FN$41:$FP$41)</f>
        <v>995465</v>
      </c>
      <c r="Q36" s="3">
        <f t="shared" si="9"/>
        <v>5.0621568814574094E-2</v>
      </c>
      <c r="R36" s="67">
        <f t="shared" si="10"/>
        <v>0.12146206433608016</v>
      </c>
    </row>
    <row r="37" spans="1:21" ht="14.1" customHeight="1" x14ac:dyDescent="0.2">
      <c r="A37" s="38"/>
      <c r="B37" s="40" t="s">
        <v>133</v>
      </c>
      <c r="C37" s="310">
        <f>'[3]Shuttle America_Delta'!$GD$19</f>
        <v>8</v>
      </c>
      <c r="D37" s="2">
        <f>'[3]Shuttle America_Delta'!$FP$19</f>
        <v>4</v>
      </c>
      <c r="E37" s="67">
        <f t="shared" si="6"/>
        <v>1</v>
      </c>
      <c r="F37" s="2">
        <f>SUM('[3]Shuttle America_Delta'!$GB$19:$GD$19)</f>
        <v>322</v>
      </c>
      <c r="G37" s="2">
        <f>SUM('[3]Shuttle America_Delta'!$FN$19:$FP$19)</f>
        <v>74</v>
      </c>
      <c r="H37" s="3">
        <f t="shared" si="11"/>
        <v>3.3513513513513513</v>
      </c>
      <c r="I37" s="67">
        <f t="shared" si="7"/>
        <v>3.7191896324701426E-3</v>
      </c>
      <c r="J37" s="38"/>
      <c r="K37" s="40" t="s">
        <v>133</v>
      </c>
      <c r="L37" s="310">
        <f>'[3]Shuttle America_Delta'!$GD$41</f>
        <v>428</v>
      </c>
      <c r="M37" s="2">
        <f>'[3]Shuttle America_Delta'!$FP$41</f>
        <v>247</v>
      </c>
      <c r="N37" s="67">
        <f t="shared" si="8"/>
        <v>0.73279352226720651</v>
      </c>
      <c r="O37" s="310">
        <f>SUM('[3]Shuttle America_Delta'!$GB$41:$GD$41)</f>
        <v>16634</v>
      </c>
      <c r="P37" s="2">
        <f>SUM('[3]Shuttle America_Delta'!$FN$41:$FP$41)</f>
        <v>4452</v>
      </c>
      <c r="Q37" s="3">
        <f t="shared" si="9"/>
        <v>2.7362982929020663</v>
      </c>
      <c r="R37" s="67">
        <f t="shared" si="10"/>
        <v>1.9318128369044307E-3</v>
      </c>
    </row>
    <row r="38" spans="1:21" ht="14.1" customHeight="1" x14ac:dyDescent="0.2">
      <c r="A38" s="38"/>
      <c r="B38" s="365" t="s">
        <v>171</v>
      </c>
      <c r="C38" s="310">
        <f>'[3]Atlantic Southeast'!$GD$19</f>
        <v>0</v>
      </c>
      <c r="D38" s="2">
        <f>'[3]Atlantic Southeast'!$FP$19</f>
        <v>298</v>
      </c>
      <c r="E38" s="67">
        <f t="shared" si="6"/>
        <v>-1</v>
      </c>
      <c r="F38" s="2">
        <f>SUM('[3]Atlantic Southeast'!$GB$19:$GD$19)</f>
        <v>0</v>
      </c>
      <c r="G38" s="2">
        <f>SUM('[3]Atlantic Southeast'!$FN$19:$FP$19)</f>
        <v>736</v>
      </c>
      <c r="H38" s="3">
        <f t="shared" si="11"/>
        <v>-1</v>
      </c>
      <c r="I38" s="67">
        <f t="shared" si="7"/>
        <v>0</v>
      </c>
      <c r="J38" s="38"/>
      <c r="K38" s="365" t="s">
        <v>171</v>
      </c>
      <c r="L38" s="310">
        <f>'[3]Atlantic Southeast'!$GD$41</f>
        <v>0</v>
      </c>
      <c r="M38" s="2">
        <f>'[3]Atlantic Southeast'!$FP$41</f>
        <v>15186</v>
      </c>
      <c r="N38" s="67">
        <f t="shared" si="8"/>
        <v>-1</v>
      </c>
      <c r="O38" s="310">
        <f>SUM('[3]Atlantic Southeast'!$GB$41:$GD$41)</f>
        <v>0</v>
      </c>
      <c r="P38" s="2">
        <f>SUM('[3]Atlantic Southeast'!$FN$41:$FP$41)</f>
        <v>37270</v>
      </c>
      <c r="Q38" s="3">
        <f t="shared" si="9"/>
        <v>-1</v>
      </c>
      <c r="R38" s="67">
        <f t="shared" si="10"/>
        <v>0</v>
      </c>
      <c r="S38" s="284"/>
    </row>
    <row r="39" spans="1:21" ht="14.1" customHeight="1" x14ac:dyDescent="0.2">
      <c r="A39" s="38"/>
      <c r="B39" s="365"/>
      <c r="C39" s="310"/>
      <c r="E39" s="67"/>
      <c r="F39" s="2"/>
      <c r="I39" s="67"/>
      <c r="J39" s="38"/>
      <c r="K39" s="365"/>
      <c r="L39" s="310"/>
      <c r="N39" s="67"/>
      <c r="O39" s="310"/>
      <c r="P39" s="2"/>
      <c r="Q39" s="3"/>
      <c r="R39" s="67"/>
      <c r="S39" s="284"/>
    </row>
    <row r="40" spans="1:21" ht="14.1" customHeight="1" x14ac:dyDescent="0.2">
      <c r="A40" s="306" t="s">
        <v>47</v>
      </c>
      <c r="B40" s="40"/>
      <c r="C40" s="307">
        <f>[3]Frontier!$GD$19</f>
        <v>216</v>
      </c>
      <c r="D40" s="150">
        <f>[3]Frontier!$FP$19</f>
        <v>222</v>
      </c>
      <c r="E40" s="309">
        <f>(C40-D40)/D40</f>
        <v>-2.7027027027027029E-2</v>
      </c>
      <c r="F40" s="150">
        <f>SUM([3]Frontier!$GB$19:$GD$19)</f>
        <v>615</v>
      </c>
      <c r="G40" s="150">
        <f>SUM([3]Frontier!$FN$19:$FP$19)</f>
        <v>692</v>
      </c>
      <c r="H40" s="308">
        <f>(F40-G40)/G40</f>
        <v>-0.11127167630057803</v>
      </c>
      <c r="I40" s="309">
        <f>F40/$F$67</f>
        <v>7.103421192450738E-3</v>
      </c>
      <c r="J40" s="306" t="s">
        <v>47</v>
      </c>
      <c r="K40" s="40"/>
      <c r="L40" s="307">
        <f>[3]Frontier!$GD$41</f>
        <v>39185</v>
      </c>
      <c r="M40" s="150">
        <f>[3]Frontier!$FP$41</f>
        <v>38515</v>
      </c>
      <c r="N40" s="309">
        <f>(L40-M40)/M40</f>
        <v>1.7395819810463457E-2</v>
      </c>
      <c r="O40" s="307">
        <f>SUM([3]Frontier!$GB$41:$GD$41)</f>
        <v>106450</v>
      </c>
      <c r="P40" s="150">
        <f>SUM([3]Frontier!$FN$41:$FP$41)</f>
        <v>111997</v>
      </c>
      <c r="Q40" s="308">
        <f>(O40-P40)/P40</f>
        <v>-4.9528112360152504E-2</v>
      </c>
      <c r="R40" s="309">
        <f>O40/$O$67</f>
        <v>1.2362719519566951E-2</v>
      </c>
      <c r="S40" s="399"/>
      <c r="U40" s="2"/>
    </row>
    <row r="41" spans="1:21" ht="14.1" customHeight="1" x14ac:dyDescent="0.2">
      <c r="A41" s="306"/>
      <c r="B41" s="40"/>
      <c r="C41" s="307"/>
      <c r="D41" s="150"/>
      <c r="E41" s="309"/>
      <c r="F41" s="150"/>
      <c r="G41" s="150"/>
      <c r="H41" s="308"/>
      <c r="I41" s="309"/>
      <c r="J41" s="306"/>
      <c r="K41" s="40"/>
      <c r="L41" s="310"/>
      <c r="N41" s="67"/>
      <c r="O41" s="310"/>
      <c r="P41" s="2"/>
      <c r="Q41" s="3"/>
      <c r="R41" s="67"/>
      <c r="S41" s="399"/>
    </row>
    <row r="42" spans="1:21" ht="14.1" customHeight="1" x14ac:dyDescent="0.2">
      <c r="A42" s="306" t="s">
        <v>48</v>
      </c>
      <c r="B42" s="40"/>
      <c r="C42" s="307">
        <f>[3]Icelandair!$GD$19</f>
        <v>30</v>
      </c>
      <c r="D42" s="150">
        <f>[3]Icelandair!$FP$19</f>
        <v>34</v>
      </c>
      <c r="E42" s="309">
        <f>(C42-D42)/D42</f>
        <v>-0.11764705882352941</v>
      </c>
      <c r="F42" s="150">
        <f>SUM([3]Icelandair!$GB$19:$GD$19)</f>
        <v>38</v>
      </c>
      <c r="G42" s="150">
        <f>SUM([3]Icelandair!$FN$19:$FP$19)</f>
        <v>44</v>
      </c>
      <c r="H42" s="308">
        <f>(F42-G42)/G42</f>
        <v>-0.13636363636363635</v>
      </c>
      <c r="I42" s="309">
        <f>F42/$F$67</f>
        <v>4.3891057774492366E-4</v>
      </c>
      <c r="J42" s="306" t="s">
        <v>48</v>
      </c>
      <c r="K42" s="40"/>
      <c r="L42" s="307">
        <f>[3]Icelandair!$GD$41</f>
        <v>3769</v>
      </c>
      <c r="M42" s="150">
        <f>[3]Icelandair!$FP$41</f>
        <v>4450</v>
      </c>
      <c r="N42" s="309">
        <f>(L42-M42)/M42</f>
        <v>-0.15303370786516854</v>
      </c>
      <c r="O42" s="307">
        <f>SUM([3]Icelandair!$GB$41:$GD$41)</f>
        <v>4869</v>
      </c>
      <c r="P42" s="150">
        <f>SUM([3]Icelandair!$FN$41:$FP$41)</f>
        <v>5973</v>
      </c>
      <c r="Q42" s="308">
        <f>(O42-P42)/P42</f>
        <v>-0.18483174284279258</v>
      </c>
      <c r="R42" s="309">
        <f>O42/$O$67</f>
        <v>5.6546811968784857E-4</v>
      </c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</row>
    <row r="44" spans="1:21" ht="14.1" customHeight="1" x14ac:dyDescent="0.2">
      <c r="A44" s="306" t="s">
        <v>216</v>
      </c>
      <c r="B44" s="40"/>
      <c r="C44" s="307">
        <f>'[3]Jet Blue'!$GD$19</f>
        <v>176</v>
      </c>
      <c r="D44" s="150">
        <f>'[3]Jet Blue'!$FP$19</f>
        <v>0</v>
      </c>
      <c r="E44" s="309" t="e">
        <f>(C44-D44)/D44</f>
        <v>#DIV/0!</v>
      </c>
      <c r="F44" s="150">
        <f>SUM('[3]Jet Blue'!$GB$19:$GD$19)</f>
        <v>488</v>
      </c>
      <c r="G44" s="150">
        <f>SUM('[3]Jet Blue'!$FN$19:$FP$19)</f>
        <v>0</v>
      </c>
      <c r="H44" s="308" t="e">
        <f>(F44-G44)/G44</f>
        <v>#DIV/0!</v>
      </c>
      <c r="I44" s="309">
        <f>F44/$F$67</f>
        <v>5.6365358405137565E-3</v>
      </c>
      <c r="J44" s="306" t="s">
        <v>216</v>
      </c>
      <c r="K44" s="40"/>
      <c r="L44" s="307">
        <f>'[3]Jet Blue'!$GD$41</f>
        <v>19641</v>
      </c>
      <c r="M44" s="150">
        <f>'[3]Jet Blue'!$FP$41</f>
        <v>0</v>
      </c>
      <c r="N44" s="309" t="e">
        <f>(L44-M44)/M44</f>
        <v>#DIV/0!</v>
      </c>
      <c r="O44" s="307">
        <f>SUM('[3]Jet Blue'!$GB$41:$GD$41)</f>
        <v>46949</v>
      </c>
      <c r="P44" s="150">
        <f>SUM('[3]Jet Blue'!$FN$41:$FP$41)</f>
        <v>0</v>
      </c>
      <c r="Q44" s="308" t="e">
        <f>(O44-P44)/P44</f>
        <v>#DIV/0!</v>
      </c>
      <c r="R44" s="309">
        <f>O44/$O$67</f>
        <v>5.4524877287378936E-3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201</v>
      </c>
      <c r="B46" s="40"/>
      <c r="C46" s="307">
        <f>[3]KLM!$GD$19</f>
        <v>36</v>
      </c>
      <c r="D46" s="150">
        <f>[3]KLM!$FP$19</f>
        <v>26</v>
      </c>
      <c r="E46" s="309">
        <f>(C46-D46)/D46</f>
        <v>0.38461538461538464</v>
      </c>
      <c r="F46" s="150">
        <f>SUM([3]KLM!$GB$19:$GD$19)</f>
        <v>98</v>
      </c>
      <c r="G46" s="150">
        <f>SUM([3]KLM!$FN$19:$FP$19)</f>
        <v>78</v>
      </c>
      <c r="H46" s="308">
        <f>(F46-G46)/G46</f>
        <v>0.25641025641025639</v>
      </c>
      <c r="I46" s="309">
        <f>F46/$F$67</f>
        <v>1.1319272794474346E-3</v>
      </c>
      <c r="J46" s="306" t="s">
        <v>201</v>
      </c>
      <c r="K46" s="40"/>
      <c r="L46" s="307">
        <f>[3]KLM!$GD$41</f>
        <v>8735</v>
      </c>
      <c r="M46" s="150">
        <f>[3]KLM!$FP$41</f>
        <v>6193</v>
      </c>
      <c r="N46" s="309">
        <f>(L46-M46)/M46</f>
        <v>0.41046342644921685</v>
      </c>
      <c r="O46" s="307">
        <f>SUM([3]KLM!$GB$41:$GD$41)</f>
        <v>21586</v>
      </c>
      <c r="P46" s="150">
        <f>SUM([3]KLM!$FN$41:$FP$41)</f>
        <v>16256</v>
      </c>
      <c r="Q46" s="308">
        <f>(O46-P46)/P46</f>
        <v>0.32787893700787402</v>
      </c>
      <c r="R46" s="309">
        <f>O46/$O$67</f>
        <v>2.5069202775892174E-3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131</v>
      </c>
      <c r="B48" s="40"/>
      <c r="C48" s="307">
        <f>SUM(C49:C49)</f>
        <v>1492</v>
      </c>
      <c r="D48" s="150">
        <f>SUM(D49:D49)</f>
        <v>1403</v>
      </c>
      <c r="E48" s="309">
        <f>(C48-D48)/D48</f>
        <v>6.3435495367070563E-2</v>
      </c>
      <c r="F48" s="307">
        <f>SUM(F49:F49)</f>
        <v>3891</v>
      </c>
      <c r="G48" s="150">
        <f>SUM(G49:G49)</f>
        <v>3824</v>
      </c>
      <c r="H48" s="308">
        <f>(F48-G48)/G48</f>
        <v>1.7520920502092051E-2</v>
      </c>
      <c r="I48" s="309">
        <f>F48/$F$67</f>
        <v>4.4942133105407837E-2</v>
      </c>
      <c r="J48" s="306" t="s">
        <v>131</v>
      </c>
      <c r="K48" s="40"/>
      <c r="L48" s="307">
        <f>SUM(L49:L49)</f>
        <v>184365</v>
      </c>
      <c r="M48" s="150">
        <f>SUM(M49:M49)</f>
        <v>174299</v>
      </c>
      <c r="N48" s="309">
        <f>(L48-M48)/M48</f>
        <v>5.775133534902667E-2</v>
      </c>
      <c r="O48" s="307">
        <f>SUM(O49:O49)</f>
        <v>447754</v>
      </c>
      <c r="P48" s="150">
        <f>SUM(P49:P49)</f>
        <v>461042</v>
      </c>
      <c r="Q48" s="308">
        <f>(O48-P48)/P48</f>
        <v>-2.8821669175476419E-2</v>
      </c>
      <c r="R48" s="309">
        <f>O48/$O$67</f>
        <v>5.2000536550156698E-2</v>
      </c>
    </row>
    <row r="49" spans="1:20" ht="14.1" customHeight="1" x14ac:dyDescent="0.2">
      <c r="A49" s="306"/>
      <c r="B49" s="40" t="s">
        <v>131</v>
      </c>
      <c r="C49" s="369">
        <f>[3]Southwest!$GD$19</f>
        <v>1492</v>
      </c>
      <c r="D49" s="254">
        <f>[3]Southwest!$FP$19</f>
        <v>1403</v>
      </c>
      <c r="E49" s="371">
        <f>(C49-D49)/D49</f>
        <v>6.3435495367070563E-2</v>
      </c>
      <c r="F49" s="254">
        <f>SUM([3]Southwest!$GB$19:$GD$19)</f>
        <v>3891</v>
      </c>
      <c r="G49" s="254">
        <f>SUM([3]Southwest!$FN$19:$FP$19)</f>
        <v>3824</v>
      </c>
      <c r="H49" s="370">
        <f>(F49-G49)/G49</f>
        <v>1.7520920502092051E-2</v>
      </c>
      <c r="I49" s="371">
        <f>F49/$F$67</f>
        <v>4.4942133105407837E-2</v>
      </c>
      <c r="J49" s="306"/>
      <c r="K49" s="40" t="s">
        <v>131</v>
      </c>
      <c r="L49" s="369">
        <f>[3]Southwest!$GD$41</f>
        <v>184365</v>
      </c>
      <c r="M49" s="254">
        <f>[3]Southwest!$FP$41</f>
        <v>174299</v>
      </c>
      <c r="N49" s="371">
        <f>(L49-M49)/M49</f>
        <v>5.775133534902667E-2</v>
      </c>
      <c r="O49" s="369">
        <f>SUM([3]Southwest!$GB$41:$GD$41)</f>
        <v>447754</v>
      </c>
      <c r="P49" s="254">
        <f>SUM([3]Southwest!$FN$41:$FP$41)</f>
        <v>461042</v>
      </c>
      <c r="Q49" s="370">
        <f>(O49-P49)/P49</f>
        <v>-2.8821669175476419E-2</v>
      </c>
      <c r="R49" s="371">
        <f>O49/$O$67</f>
        <v>5.2000536550156698E-2</v>
      </c>
    </row>
    <row r="50" spans="1:20" ht="14.1" customHeight="1" x14ac:dyDescent="0.2">
      <c r="A50" s="306"/>
      <c r="B50" s="40"/>
      <c r="C50" s="307"/>
      <c r="D50" s="150"/>
      <c r="E50" s="309"/>
      <c r="F50" s="150"/>
      <c r="G50" s="150"/>
      <c r="H50" s="308"/>
      <c r="I50" s="309"/>
      <c r="J50" s="306"/>
      <c r="K50" s="40"/>
      <c r="L50" s="310"/>
      <c r="N50" s="67"/>
      <c r="O50" s="310"/>
      <c r="P50" s="2"/>
      <c r="Q50" s="3"/>
      <c r="R50" s="67"/>
    </row>
    <row r="51" spans="1:20" ht="14.1" customHeight="1" x14ac:dyDescent="0.2">
      <c r="A51" s="306" t="s">
        <v>159</v>
      </c>
      <c r="B51" s="40"/>
      <c r="C51" s="307">
        <f>[3]Spirit!$GD$19</f>
        <v>791</v>
      </c>
      <c r="D51" s="150">
        <f>[3]Spirit!$FP$19</f>
        <v>776</v>
      </c>
      <c r="E51" s="309">
        <f>(C51-D51)/D51</f>
        <v>1.9329896907216496E-2</v>
      </c>
      <c r="F51" s="150">
        <f>SUM([3]Spirit!$GB$19:$GD$19)</f>
        <v>2091</v>
      </c>
      <c r="G51" s="150">
        <f>SUM([3]Spirit!$FN$19:$FP$19)</f>
        <v>2214</v>
      </c>
      <c r="H51" s="308">
        <f>(F51-G51)/G51</f>
        <v>-5.5555555555555552E-2</v>
      </c>
      <c r="I51" s="309">
        <f>F51/$F$67</f>
        <v>2.415163205433251E-2</v>
      </c>
      <c r="J51" s="306" t="s">
        <v>159</v>
      </c>
      <c r="K51" s="40"/>
      <c r="L51" s="307">
        <f>[3]Spirit!$GD$41</f>
        <v>127023</v>
      </c>
      <c r="M51" s="150">
        <f>[3]Spirit!$FP$41</f>
        <v>114773</v>
      </c>
      <c r="N51" s="309">
        <f>(L51-M51)/M51</f>
        <v>0.1067324196457355</v>
      </c>
      <c r="O51" s="307">
        <f>SUM([3]Spirit!$GB$41:$GD$41)</f>
        <v>314133</v>
      </c>
      <c r="P51" s="150">
        <f>SUM([3]Spirit!$FN$41:$FP$41)</f>
        <v>302141</v>
      </c>
      <c r="Q51" s="308">
        <f>(O51-P51)/P51</f>
        <v>3.969007847329558E-2</v>
      </c>
      <c r="R51" s="309">
        <f>O51/$O$67</f>
        <v>3.6482274972664396E-2</v>
      </c>
    </row>
    <row r="52" spans="1:20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>
        <f>O52/$O$67</f>
        <v>0</v>
      </c>
    </row>
    <row r="53" spans="1:20" ht="14.1" customHeight="1" x14ac:dyDescent="0.2">
      <c r="A53" s="306" t="s">
        <v>49</v>
      </c>
      <c r="B53" s="40"/>
      <c r="C53" s="307">
        <f>'[3]Sun Country'!$GD$19</f>
        <v>2101</v>
      </c>
      <c r="D53" s="150">
        <f>'[3]Sun Country'!$FP$19</f>
        <v>2216</v>
      </c>
      <c r="E53" s="309">
        <f>(C53-D53)/D53</f>
        <v>-5.1895306859205778E-2</v>
      </c>
      <c r="F53" s="150">
        <f>SUM('[3]Sun Country'!$GB$19:$GD$19)</f>
        <v>5290</v>
      </c>
      <c r="G53" s="150">
        <f>SUM('[3]Sun Country'!$FN$19:$FP$19)</f>
        <v>6036</v>
      </c>
      <c r="H53" s="308">
        <f>(F53-G53)/G53</f>
        <v>-0.12359178263750828</v>
      </c>
      <c r="I53" s="309">
        <f>F53/$F$67</f>
        <v>6.1100972533438054E-2</v>
      </c>
      <c r="J53" s="306" t="s">
        <v>49</v>
      </c>
      <c r="K53" s="40"/>
      <c r="L53" s="307">
        <f>'[3]Sun Country'!$GD$41</f>
        <v>309927</v>
      </c>
      <c r="M53" s="150">
        <f>'[3]Sun Country'!$FP$41</f>
        <v>288785</v>
      </c>
      <c r="N53" s="309">
        <f>(L53-M53)/M53</f>
        <v>7.3210173658604147E-2</v>
      </c>
      <c r="O53" s="307">
        <f>SUM('[3]Sun Country'!$GB$41:$GD$41)</f>
        <v>739409</v>
      </c>
      <c r="P53" s="150">
        <f>SUM('[3]Sun Country'!$FN$41:$FP$41)</f>
        <v>721865</v>
      </c>
      <c r="Q53" s="308">
        <f>(O53-P53)/P53</f>
        <v>2.4303713298192874E-2</v>
      </c>
      <c r="R53" s="309">
        <f>O53/$O$67</f>
        <v>8.5872297578614185E-2</v>
      </c>
    </row>
    <row r="54" spans="1:20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/>
    </row>
    <row r="55" spans="1:20" ht="14.1" customHeight="1" x14ac:dyDescent="0.2">
      <c r="A55" s="306" t="s">
        <v>19</v>
      </c>
      <c r="B55" s="311"/>
      <c r="C55" s="307">
        <f>SUM(C56:C62)</f>
        <v>1462</v>
      </c>
      <c r="D55" s="150">
        <f>SUM(D56:D62)</f>
        <v>1480</v>
      </c>
      <c r="E55" s="309">
        <f t="shared" ref="E55:E62" si="12">(C55-D55)/D55</f>
        <v>-1.2162162162162163E-2</v>
      </c>
      <c r="F55" s="150">
        <f>SUM(F56:F62)</f>
        <v>4034</v>
      </c>
      <c r="G55" s="150">
        <f>SUM(G56:G62)</f>
        <v>4166</v>
      </c>
      <c r="H55" s="308">
        <f t="shared" ref="H55:H62" si="13">(F55-G55)/G55</f>
        <v>-3.1685069611137782E-2</v>
      </c>
      <c r="I55" s="309">
        <f t="shared" ref="I55:I62" si="14">F55/$F$67</f>
        <v>4.6593822911132156E-2</v>
      </c>
      <c r="J55" s="306" t="s">
        <v>19</v>
      </c>
      <c r="K55" s="311"/>
      <c r="L55" s="307">
        <f>SUM(L56:L62)</f>
        <v>133503</v>
      </c>
      <c r="M55" s="150">
        <f>SUM(M56:M62)</f>
        <v>132855</v>
      </c>
      <c r="N55" s="309">
        <f t="shared" ref="N55:N62" si="15">(L55-M55)/M55</f>
        <v>4.8774980241616797E-3</v>
      </c>
      <c r="O55" s="307">
        <f>SUM(O56:O62)</f>
        <v>344464</v>
      </c>
      <c r="P55" s="150">
        <f>SUM(P56:P62)</f>
        <v>365457</v>
      </c>
      <c r="Q55" s="308">
        <f t="shared" ref="Q55:Q62" si="16">(O55-P55)/P55</f>
        <v>-5.74431465261303E-2</v>
      </c>
      <c r="R55" s="309">
        <f t="shared" ref="R55:R62" si="17">O55/$O$67</f>
        <v>4.0004808046858714E-2</v>
      </c>
    </row>
    <row r="56" spans="1:20" ht="14.1" customHeight="1" x14ac:dyDescent="0.2">
      <c r="A56" s="38"/>
      <c r="B56" s="365" t="s">
        <v>19</v>
      </c>
      <c r="C56" s="310">
        <f>[3]United!$GD$19</f>
        <v>556</v>
      </c>
      <c r="D56" s="2">
        <f>[3]United!$FP$19+[3]Continental!$FP$19</f>
        <v>544</v>
      </c>
      <c r="E56" s="67">
        <f t="shared" si="12"/>
        <v>2.2058823529411766E-2</v>
      </c>
      <c r="F56" s="2">
        <f>SUM([3]United!$GB$19:$GD$19)</f>
        <v>1396</v>
      </c>
      <c r="G56" s="2">
        <f>SUM([3]United!$FN$19:$FP$19)+SUM([3]Continental!$FN$19:$FP$19)</f>
        <v>1566</v>
      </c>
      <c r="H56" s="3">
        <f t="shared" si="13"/>
        <v>-0.10855683269476372</v>
      </c>
      <c r="I56" s="67">
        <f t="shared" si="14"/>
        <v>1.612418859294509E-2</v>
      </c>
      <c r="J56" s="38"/>
      <c r="K56" s="365" t="s">
        <v>19</v>
      </c>
      <c r="L56" s="310">
        <f>[3]United!$GD$41</f>
        <v>75104</v>
      </c>
      <c r="M56" s="2">
        <f>[3]United!$FP$41+[3]Continental!$FP$41</f>
        <v>74351</v>
      </c>
      <c r="N56" s="67">
        <f t="shared" si="15"/>
        <v>1.0127637825987546E-2</v>
      </c>
      <c r="O56" s="310">
        <f>SUM([3]United!$GB$41:$GD$41)</f>
        <v>182186</v>
      </c>
      <c r="P56" s="2">
        <f>SUM([3]United!$FN$41:$FP$41)+SUM([3]Continental!$FN$41:$FP$41)</f>
        <v>202845</v>
      </c>
      <c r="Q56" s="3">
        <f t="shared" si="16"/>
        <v>-0.10184623727476645</v>
      </c>
      <c r="R56" s="67">
        <f t="shared" si="17"/>
        <v>2.1158425724676605E-2</v>
      </c>
    </row>
    <row r="57" spans="1:20" ht="14.1" customHeight="1" x14ac:dyDescent="0.2">
      <c r="A57" s="38"/>
      <c r="B57" s="365" t="s">
        <v>171</v>
      </c>
      <c r="C57" s="310">
        <f>'[3]Continental Express'!$GD$19</f>
        <v>4</v>
      </c>
      <c r="D57" s="2">
        <f>'[3]Continental Express'!$FP$19</f>
        <v>22</v>
      </c>
      <c r="E57" s="67">
        <f t="shared" si="12"/>
        <v>-0.81818181818181823</v>
      </c>
      <c r="F57" s="2">
        <f>SUM('[3]Continental Express'!$GB$19:$GD$19)</f>
        <v>54</v>
      </c>
      <c r="G57" s="2">
        <f>SUM('[3]Continental Express'!$FN$19:$FP$19)</f>
        <v>48</v>
      </c>
      <c r="H57" s="3">
        <f t="shared" si="13"/>
        <v>0.125</v>
      </c>
      <c r="I57" s="67">
        <f t="shared" si="14"/>
        <v>6.2371503153225993E-4</v>
      </c>
      <c r="J57" s="38"/>
      <c r="K57" s="365" t="s">
        <v>171</v>
      </c>
      <c r="L57" s="310">
        <f>'[3]Continental Express'!$GD$41</f>
        <v>118</v>
      </c>
      <c r="M57" s="2">
        <f>'[3]Continental Express'!$FP$41</f>
        <v>557</v>
      </c>
      <c r="N57" s="67">
        <f t="shared" si="15"/>
        <v>-0.78815080789946135</v>
      </c>
      <c r="O57" s="310">
        <f>SUM('[3]Continental Express'!$GB$41:$GD$41)</f>
        <v>1426</v>
      </c>
      <c r="P57" s="2">
        <f>SUM('[3]Continental Express'!$FN$41:$FP$41)</f>
        <v>1497</v>
      </c>
      <c r="Q57" s="3">
        <f t="shared" si="16"/>
        <v>-4.7428189712758854E-2</v>
      </c>
      <c r="R57" s="67">
        <f t="shared" si="17"/>
        <v>1.6561050291124914E-4</v>
      </c>
    </row>
    <row r="58" spans="1:20" ht="14.1" customHeight="1" x14ac:dyDescent="0.2">
      <c r="A58" s="38"/>
      <c r="B58" s="40" t="s">
        <v>158</v>
      </c>
      <c r="C58" s="310">
        <f>'[3]Go Jet_UA'!$GD$19</f>
        <v>12</v>
      </c>
      <c r="D58" s="2">
        <f>'[3]Go Jet_UA'!$FP$19</f>
        <v>58</v>
      </c>
      <c r="E58" s="67">
        <f t="shared" si="12"/>
        <v>-0.7931034482758621</v>
      </c>
      <c r="F58" s="2">
        <f>SUM('[3]Go Jet_UA'!$GB$19:$GD$19)</f>
        <v>32</v>
      </c>
      <c r="G58" s="2">
        <f>SUM('[3]Go Jet_UA'!$FN$19:$FP$19)</f>
        <v>138</v>
      </c>
      <c r="H58" s="3">
        <f t="shared" si="13"/>
        <v>-0.76811594202898548</v>
      </c>
      <c r="I58" s="67">
        <f t="shared" si="14"/>
        <v>3.6960890757467254E-4</v>
      </c>
      <c r="J58" s="38"/>
      <c r="K58" s="40" t="s">
        <v>158</v>
      </c>
      <c r="L58" s="310">
        <f>'[3]Go Jet_UA'!$GD$41</f>
        <v>741</v>
      </c>
      <c r="M58" s="2">
        <f>'[3]Go Jet_UA'!$FP$41</f>
        <v>3871</v>
      </c>
      <c r="N58" s="67">
        <f t="shared" si="15"/>
        <v>-0.80857659519503999</v>
      </c>
      <c r="O58" s="310">
        <f>SUM('[3]Go Jet_UA'!$GB$41:$GD$41)</f>
        <v>2004</v>
      </c>
      <c r="P58" s="2">
        <f>SUM('[3]Go Jet_UA'!$FN$41:$FP$41)</f>
        <v>9098</v>
      </c>
      <c r="Q58" s="3">
        <f t="shared" si="16"/>
        <v>-0.77973180918883267</v>
      </c>
      <c r="R58" s="67">
        <f t="shared" si="17"/>
        <v>2.3273734069715517E-4</v>
      </c>
    </row>
    <row r="59" spans="1:20" ht="14.1" customHeight="1" x14ac:dyDescent="0.2">
      <c r="A59" s="38"/>
      <c r="B59" s="40" t="s">
        <v>51</v>
      </c>
      <c r="C59" s="310">
        <f>[3]MESA_UA!$GD$19</f>
        <v>196</v>
      </c>
      <c r="D59" s="2">
        <f>[3]MESA_UA!$FP$19</f>
        <v>244</v>
      </c>
      <c r="E59" s="67">
        <f t="shared" si="12"/>
        <v>-0.19672131147540983</v>
      </c>
      <c r="F59" s="2">
        <f>SUM([3]MESA_UA!$GB$19:$GD$19)</f>
        <v>670</v>
      </c>
      <c r="G59" s="2">
        <f>SUM([3]MESA_UA!$FN$19:$FP$19)</f>
        <v>722</v>
      </c>
      <c r="H59" s="3">
        <f>(F59-G59)/G59</f>
        <v>-7.2022160664819951E-2</v>
      </c>
      <c r="I59" s="67">
        <f t="shared" si="14"/>
        <v>7.7386865023447065E-3</v>
      </c>
      <c r="J59" s="38"/>
      <c r="K59" s="40" t="s">
        <v>51</v>
      </c>
      <c r="L59" s="310">
        <f>[3]MESA_UA!$GD$41</f>
        <v>12797</v>
      </c>
      <c r="M59" s="2">
        <f>[3]MESA_UA!$FP$41</f>
        <v>15303</v>
      </c>
      <c r="N59" s="67">
        <f t="shared" si="15"/>
        <v>-0.16375874011631705</v>
      </c>
      <c r="O59" s="310">
        <f>SUM([3]MESA_UA!$GB$41:$GD$41)</f>
        <v>43016</v>
      </c>
      <c r="P59" s="2">
        <f>SUM([3]MESA_UA!$FN$41:$FP$41)</f>
        <v>43991</v>
      </c>
      <c r="Q59" s="3">
        <f t="shared" si="16"/>
        <v>-2.2163624377713624E-2</v>
      </c>
      <c r="R59" s="67">
        <f t="shared" si="17"/>
        <v>4.9957232771600931E-3</v>
      </c>
    </row>
    <row r="60" spans="1:20" ht="14.1" customHeight="1" x14ac:dyDescent="0.2">
      <c r="A60" s="38"/>
      <c r="B60" s="365" t="s">
        <v>52</v>
      </c>
      <c r="C60" s="310">
        <f>[3]Republic_UA!$GD$19</f>
        <v>552</v>
      </c>
      <c r="D60" s="2">
        <f>[3]Republic_UA!$FP$19</f>
        <v>428</v>
      </c>
      <c r="E60" s="67">
        <f t="shared" si="12"/>
        <v>0.28971962616822428</v>
      </c>
      <c r="F60" s="2">
        <f>SUM([3]Republic_UA!$GB$19:$GD$19)</f>
        <v>1412</v>
      </c>
      <c r="G60" s="2">
        <f>SUM([3]Republic_UA!$FN$19:$FP$19)</f>
        <v>1166</v>
      </c>
      <c r="H60" s="3">
        <f t="shared" ref="H60" si="18">(F60-G60)/G60</f>
        <v>0.21097770154373929</v>
      </c>
      <c r="I60" s="67">
        <f t="shared" si="14"/>
        <v>1.6308993046732428E-2</v>
      </c>
      <c r="J60" s="38"/>
      <c r="K60" s="365" t="s">
        <v>52</v>
      </c>
      <c r="L60" s="310">
        <f>[3]Republic_UA!$GD$41</f>
        <v>35065</v>
      </c>
      <c r="M60" s="2">
        <f>[3]Republic_UA!$FP$41</f>
        <v>26796</v>
      </c>
      <c r="N60" s="67">
        <f t="shared" si="15"/>
        <v>0.30859083445290342</v>
      </c>
      <c r="O60" s="310">
        <f>SUM([3]Republic_UA!$GB$41:$GD$41)</f>
        <v>84867</v>
      </c>
      <c r="P60" s="2">
        <f>SUM([3]Republic_UA!$FN$41:$FP$41)</f>
        <v>72632</v>
      </c>
      <c r="Q60" s="3">
        <f t="shared" si="16"/>
        <v>0.16845192201784337</v>
      </c>
      <c r="R60" s="67">
        <f t="shared" si="17"/>
        <v>9.8561476511703928E-3</v>
      </c>
    </row>
    <row r="61" spans="1:20" ht="14.1" customHeight="1" x14ac:dyDescent="0.2">
      <c r="A61" s="38"/>
      <c r="B61" s="40" t="s">
        <v>99</v>
      </c>
      <c r="C61" s="310">
        <f>'[3]Sky West_UA'!$GD$19</f>
        <v>142</v>
      </c>
      <c r="D61" s="2">
        <f>'[3]Sky West_UA'!$FP$19+'[3]Sky West_CO'!$FP$19</f>
        <v>184</v>
      </c>
      <c r="E61" s="67">
        <f t="shared" si="12"/>
        <v>-0.22826086956521738</v>
      </c>
      <c r="F61" s="2">
        <f>SUM('[3]Sky West_UA'!$GB$19:$GD$19)</f>
        <v>470</v>
      </c>
      <c r="G61" s="2">
        <f>SUM('[3]Sky West_UA'!$FN$19:$FP$19)+SUM('[3]Sky West_CO'!$FN$19:$FP$19)</f>
        <v>526</v>
      </c>
      <c r="H61" s="3">
        <f t="shared" si="13"/>
        <v>-0.10646387832699619</v>
      </c>
      <c r="I61" s="67">
        <f t="shared" si="14"/>
        <v>5.4286308300030032E-3</v>
      </c>
      <c r="J61" s="38"/>
      <c r="K61" s="40" t="s">
        <v>99</v>
      </c>
      <c r="L61" s="310">
        <f>'[3]Sky West_UA'!$GD$41</f>
        <v>9678</v>
      </c>
      <c r="M61" s="2">
        <f>'[3]Sky West_UA'!$FP$41+'[3]Sky West_CO'!$FP$41</f>
        <v>11977</v>
      </c>
      <c r="N61" s="67">
        <f t="shared" si="15"/>
        <v>-0.19195123987642981</v>
      </c>
      <c r="O61" s="310">
        <f>SUM('[3]Sky West_UA'!$GB$41:$GD$41)</f>
        <v>30965</v>
      </c>
      <c r="P61" s="2">
        <f>SUM('[3]Sky West_UA'!$FN$41:$FP$41)+SUM('[3]Sky West_CO'!$FN$41:$FP$41)</f>
        <v>35394</v>
      </c>
      <c r="Q61" s="3">
        <f t="shared" si="16"/>
        <v>-0.12513420353732271</v>
      </c>
      <c r="R61" s="67">
        <f t="shared" si="17"/>
        <v>3.5961635502432185E-3</v>
      </c>
    </row>
    <row r="62" spans="1:20" ht="14.1" customHeight="1" x14ac:dyDescent="0.2">
      <c r="A62" s="38"/>
      <c r="B62" s="312" t="s">
        <v>133</v>
      </c>
      <c r="C62" s="310">
        <f>'[3]Shuttle America'!$GD$19</f>
        <v>0</v>
      </c>
      <c r="D62" s="2">
        <f>'[3]Shuttle America'!$FP$19</f>
        <v>0</v>
      </c>
      <c r="E62" s="67" t="e">
        <f t="shared" si="12"/>
        <v>#DIV/0!</v>
      </c>
      <c r="F62" s="2">
        <f>SUM('[3]Shuttle America'!$GB$19:$GD$19)</f>
        <v>0</v>
      </c>
      <c r="G62" s="2">
        <f>SUM('[3]Shuttle America'!$FN$19:$FP$19)</f>
        <v>0</v>
      </c>
      <c r="H62" s="3" t="e">
        <f t="shared" si="13"/>
        <v>#DIV/0!</v>
      </c>
      <c r="I62" s="67">
        <f t="shared" si="14"/>
        <v>0</v>
      </c>
      <c r="J62" s="38"/>
      <c r="K62" s="312" t="s">
        <v>133</v>
      </c>
      <c r="L62" s="310">
        <f>'[3]Shuttle America'!$GD$41</f>
        <v>0</v>
      </c>
      <c r="M62" s="2">
        <f>'[3]Shuttle America'!$FP$41</f>
        <v>0</v>
      </c>
      <c r="N62" s="67" t="e">
        <f t="shared" si="15"/>
        <v>#DIV/0!</v>
      </c>
      <c r="O62" s="310">
        <f>SUM('[3]Shuttle America'!$GB$41:$GD$41)</f>
        <v>0</v>
      </c>
      <c r="P62" s="2">
        <f>SUM('[3]Shuttle America'!$FN$41:$FP$41)</f>
        <v>0</v>
      </c>
      <c r="Q62" s="3" t="e">
        <f t="shared" si="16"/>
        <v>#DIV/0!</v>
      </c>
      <c r="R62" s="67">
        <f t="shared" si="17"/>
        <v>0</v>
      </c>
    </row>
    <row r="63" spans="1:20" ht="14.1" customHeight="1" thickBot="1" x14ac:dyDescent="0.25">
      <c r="A63" s="367"/>
      <c r="B63" s="368"/>
      <c r="C63" s="313"/>
      <c r="D63" s="315"/>
      <c r="E63" s="316"/>
      <c r="F63" s="315"/>
      <c r="G63" s="315"/>
      <c r="H63" s="314"/>
      <c r="I63" s="316"/>
      <c r="J63" s="367"/>
      <c r="K63" s="368"/>
      <c r="L63" s="313"/>
      <c r="M63" s="315"/>
      <c r="N63" s="316"/>
      <c r="O63" s="313"/>
      <c r="P63" s="315"/>
      <c r="Q63" s="314"/>
      <c r="R63" s="401"/>
    </row>
    <row r="64" spans="1:20" s="194" customFormat="1" ht="14.1" customHeight="1" thickBot="1" x14ac:dyDescent="0.25">
      <c r="B64" s="193"/>
      <c r="C64" s="150"/>
      <c r="D64" s="150"/>
      <c r="E64" s="308"/>
      <c r="F64" s="366"/>
      <c r="G64" s="150"/>
      <c r="H64" s="308"/>
      <c r="I64" s="308"/>
      <c r="J64" s="317"/>
      <c r="K64" s="193"/>
      <c r="L64" s="318"/>
      <c r="M64" s="319"/>
      <c r="N64" s="317"/>
      <c r="S64"/>
      <c r="T64"/>
    </row>
    <row r="65" spans="2:18" ht="14.1" customHeight="1" x14ac:dyDescent="0.2">
      <c r="B65" s="320" t="s">
        <v>135</v>
      </c>
      <c r="C65" s="375">
        <f>+C67-C66</f>
        <v>19656</v>
      </c>
      <c r="D65" s="375">
        <f>+D67-D66</f>
        <v>18822</v>
      </c>
      <c r="E65" s="376">
        <f>(C65-D65)/D65</f>
        <v>4.4309850175326744E-2</v>
      </c>
      <c r="F65" s="375">
        <f>+F67-F66</f>
        <v>52627</v>
      </c>
      <c r="G65" s="375">
        <f>+G67-G66</f>
        <v>51566</v>
      </c>
      <c r="H65" s="376">
        <f>(F65-G65)/G65</f>
        <v>2.0575573052011013E-2</v>
      </c>
      <c r="I65" s="425">
        <f>F65/$F$67</f>
        <v>0.6078564993416341</v>
      </c>
      <c r="K65" s="320" t="s">
        <v>135</v>
      </c>
      <c r="L65" s="375">
        <f>+L67-L66</f>
        <v>2737602</v>
      </c>
      <c r="M65" s="375">
        <f>+M67-M66</f>
        <v>2586223</v>
      </c>
      <c r="N65" s="376">
        <f>(L65-M65)/M65</f>
        <v>5.8532848868794375E-2</v>
      </c>
      <c r="O65" s="375">
        <f>+O67-O66</f>
        <v>6870708</v>
      </c>
      <c r="P65" s="375">
        <f>+P67-P66</f>
        <v>6697023</v>
      </c>
      <c r="Q65" s="416">
        <f>(O65-P65)/P65</f>
        <v>2.5934657832293543E-2</v>
      </c>
      <c r="R65" s="420">
        <f>+O65/O67</f>
        <v>0.79793927576181123</v>
      </c>
    </row>
    <row r="66" spans="2:18" ht="14.1" customHeight="1" x14ac:dyDescent="0.2">
      <c r="B66" s="193" t="s">
        <v>136</v>
      </c>
      <c r="C66" s="377">
        <f>C62+C38+C36+C34+C33+C37+C20+C61+C58+C35+C57+C59+C25+C24+C21+C15+C6+C60+C22+C23+C7+C16</f>
        <v>13016</v>
      </c>
      <c r="D66" s="377">
        <f>D62+D38+D36+D34+D33+D37+D20+D61+D58+D35+D57+D59+D25+D24+D21+D15+D6+D60+D22+D23+D7+D16</f>
        <v>13777</v>
      </c>
      <c r="E66" s="321">
        <f>(C66-D66)/D66</f>
        <v>-5.5236989184873339E-2</v>
      </c>
      <c r="F66" s="377">
        <f>F62+F38+F36+F34+F33+F37+F20+F61+F58+F35+F57+F59+F25+F24+F21+F15+F6+F60+F22+F23+F7+F16</f>
        <v>33951</v>
      </c>
      <c r="G66" s="377">
        <f>G62+G38+G36+G34+G33+G37+G20+G61+G58+G35+G57+G59+G25+G24+G21+G15+G6+G60+G22+G23+G7+G16</f>
        <v>35906</v>
      </c>
      <c r="H66" s="321">
        <f>(F66-G66)/G66</f>
        <v>-5.4447724614270596E-2</v>
      </c>
      <c r="I66" s="426">
        <f>F66/$F$67</f>
        <v>0.39214350065836584</v>
      </c>
      <c r="K66" s="193" t="s">
        <v>136</v>
      </c>
      <c r="L66" s="377">
        <f>L62+L38+L36+L34+L33+L37+L20+L61+L58+L35+L57+L59+L25+L24+L21+L15+L6+L60+L22+L23+L7+L16</f>
        <v>695152</v>
      </c>
      <c r="M66" s="377">
        <f>M62+M38+M36+M34+M33+M37+M20+M61+M58+M35+M57+M59+M25+M24+M21+M15+M6+M60+M22+M23+M7+M16</f>
        <v>720749</v>
      </c>
      <c r="N66" s="321">
        <f>(L66-M66)/M66</f>
        <v>-3.5514444002003473E-2</v>
      </c>
      <c r="O66" s="377">
        <f>O62+O38+O36+O34+O33+O37+O20+O61+O58+O35+O57+O59+O25+O24+O21+O15+O6+O60+O22+O23+O7+O16</f>
        <v>1739857</v>
      </c>
      <c r="P66" s="377">
        <f>P62+P38+P36+P34+P33+P37+P20+P61+P58+P35+P57+P59+P25+P24+P21+P15+P6+P60+P22+P23+P7+P16</f>
        <v>1826949</v>
      </c>
      <c r="Q66" s="414">
        <f>(O66-P66)/P66</f>
        <v>-4.7670734103688717E-2</v>
      </c>
      <c r="R66" s="421">
        <f>+O66/O67</f>
        <v>0.20206072423818877</v>
      </c>
    </row>
    <row r="67" spans="2:18" ht="14.1" customHeight="1" thickBot="1" x14ac:dyDescent="0.25">
      <c r="B67" s="193" t="s">
        <v>137</v>
      </c>
      <c r="C67" s="378">
        <f>C55+C53+C48+C42+C40+C31+C18+C13+C4+C51+C29+C27+C9+C46+C11+C44</f>
        <v>32672</v>
      </c>
      <c r="D67" s="378">
        <f>D55+D53+D48+D42+D40+D31+D18+D13+D4+D51+D29+D27+D9+D46+D11+D44</f>
        <v>32599</v>
      </c>
      <c r="E67" s="379">
        <f>(C67-D67)/D67</f>
        <v>2.2393324948618057E-3</v>
      </c>
      <c r="F67" s="378">
        <f>F55+F53+F48+F42+F40+F31+F18+F13+F4+F51+F29+F27+F9+F46+F11+F44</f>
        <v>86578</v>
      </c>
      <c r="G67" s="378">
        <f>G55+G53+G48+G42+G40+G31+G18+G13+G4+G51+G29+G27+G9+G46+G11+G44</f>
        <v>87472</v>
      </c>
      <c r="H67" s="379">
        <f>(F67-G67)/G67</f>
        <v>-1.0220413389427474E-2</v>
      </c>
      <c r="I67" s="427">
        <f>+H67/H67</f>
        <v>1</v>
      </c>
      <c r="K67" s="193" t="s">
        <v>137</v>
      </c>
      <c r="L67" s="378">
        <f>L55+L53+L48+L42+L40+L31+L18+L13+L4+L51+L29+L27+L9+L46+L11+L44</f>
        <v>3432754</v>
      </c>
      <c r="M67" s="378">
        <f>M55+M53+M48+M42+M40+M31+M18+M13+M4+M51+M29+M27+M9+M46+M11+M44</f>
        <v>3306972</v>
      </c>
      <c r="N67" s="379">
        <f>(L67-M67)/M67</f>
        <v>3.8035399150642947E-2</v>
      </c>
      <c r="O67" s="378">
        <f>O55+O53+O48+O42+O40+O31+O18+O13+O4+O51+O29+O27+O9+O46+O11+O44</f>
        <v>8610565</v>
      </c>
      <c r="P67" s="378">
        <f>P55+P53+P48+P42+P40+P31+P18+P13+P4+P51+P29+P27+P9+P46+P11+P44</f>
        <v>8523972</v>
      </c>
      <c r="Q67" s="417">
        <f>(O67-P67)/P67</f>
        <v>1.0158761666509463E-2</v>
      </c>
      <c r="R67" s="422">
        <f>+O67/O67</f>
        <v>1</v>
      </c>
    </row>
    <row r="68" spans="2:18" x14ac:dyDescent="0.2">
      <c r="D68" s="3"/>
      <c r="F68" s="2"/>
      <c r="G68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F139" s="195"/>
      <c r="K139"/>
    </row>
    <row r="140" spans="4:14" x14ac:dyDescent="0.2">
      <c r="F140" s="195"/>
      <c r="K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March 2019</oddHeader>
    <oddFooter>&amp;LPrinted on &amp;D&amp;RPage &amp;P of &amp;N</oddFooter>
  </headerFooter>
  <colBreaks count="1" manualBreakCount="1">
    <brk id="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9" sqref="E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43525</v>
      </c>
      <c r="B1" s="374" t="s">
        <v>17</v>
      </c>
      <c r="C1" s="374" t="s">
        <v>18</v>
      </c>
      <c r="D1" s="374" t="s">
        <v>19</v>
      </c>
      <c r="E1" s="374" t="s">
        <v>159</v>
      </c>
      <c r="F1" s="374" t="s">
        <v>166</v>
      </c>
      <c r="G1" s="374" t="s">
        <v>160</v>
      </c>
      <c r="H1" s="429" t="s">
        <v>216</v>
      </c>
      <c r="I1" s="429" t="s">
        <v>201</v>
      </c>
      <c r="J1" s="374" t="s">
        <v>20</v>
      </c>
      <c r="K1" s="373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8"/>
      <c r="I2" s="428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[3]American!$GD$22</f>
        <v>78633</v>
      </c>
      <c r="C4" s="13">
        <f>[3]Delta!$GD$22+[3]Delta!$GD$32</f>
        <v>891695</v>
      </c>
      <c r="D4" s="13">
        <f>[3]United!$GD$22</f>
        <v>38141</v>
      </c>
      <c r="E4" s="13">
        <f>[3]Spirit!$GD$22</f>
        <v>61421</v>
      </c>
      <c r="F4" s="13">
        <f>[3]Condor!$GD$22</f>
        <v>0</v>
      </c>
      <c r="G4" s="13">
        <f>'[3]Air France'!$GD$22</f>
        <v>0</v>
      </c>
      <c r="H4" s="13">
        <f>'[3]Jet Blue'!$GD$22</f>
        <v>9542</v>
      </c>
      <c r="I4" s="13">
        <f>[3]KLM!$GD$22+[3]KLM!$GD$32</f>
        <v>4533</v>
      </c>
      <c r="J4" s="13">
        <f>'Other Major Airline Stats'!I5</f>
        <v>277897</v>
      </c>
      <c r="K4" s="242">
        <f>SUM(B4:J4)</f>
        <v>1361862</v>
      </c>
    </row>
    <row r="5" spans="1:20" x14ac:dyDescent="0.2">
      <c r="A5" s="47" t="s">
        <v>31</v>
      </c>
      <c r="B5" s="7">
        <f>[3]American!$GD$23</f>
        <v>79697</v>
      </c>
      <c r="C5" s="7">
        <f>[3]Delta!$GD$23+[3]Delta!$GD$33</f>
        <v>894630</v>
      </c>
      <c r="D5" s="7">
        <f>[3]United!$GD$23</f>
        <v>36963</v>
      </c>
      <c r="E5" s="7">
        <f>[3]Spirit!$GD$23</f>
        <v>65602</v>
      </c>
      <c r="F5" s="7">
        <f>[3]Condor!$GD$23</f>
        <v>0</v>
      </c>
      <c r="G5" s="7">
        <f>'[3]Air France'!$GD$23</f>
        <v>0</v>
      </c>
      <c r="H5" s="7">
        <f>'[3]Jet Blue'!$GD$23</f>
        <v>10099</v>
      </c>
      <c r="I5" s="7">
        <f>[3]KLM!$GD$23+[3]KLM!$GD$33</f>
        <v>4202</v>
      </c>
      <c r="J5" s="7">
        <f>'Other Major Airline Stats'!I6</f>
        <v>284547</v>
      </c>
      <c r="K5" s="243">
        <f>SUM(B5:J5)</f>
        <v>1375740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158330</v>
      </c>
      <c r="C6" s="25">
        <f t="shared" si="0"/>
        <v>1786325</v>
      </c>
      <c r="D6" s="25">
        <f t="shared" si="0"/>
        <v>75104</v>
      </c>
      <c r="E6" s="25">
        <f t="shared" si="0"/>
        <v>127023</v>
      </c>
      <c r="F6" s="25">
        <f t="shared" ref="F6:I6" si="1">SUM(F4:F5)</f>
        <v>0</v>
      </c>
      <c r="G6" s="25">
        <f t="shared" si="1"/>
        <v>0</v>
      </c>
      <c r="H6" s="25">
        <f t="shared" ref="H6" si="2">SUM(H4:H5)</f>
        <v>19641</v>
      </c>
      <c r="I6" s="25">
        <f t="shared" si="1"/>
        <v>8735</v>
      </c>
      <c r="J6" s="25">
        <f t="shared" si="0"/>
        <v>562444</v>
      </c>
      <c r="K6" s="244">
        <f>SUM(B6:J6)</f>
        <v>2737602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[3]American!$GD$27</f>
        <v>2648</v>
      </c>
      <c r="C9" s="13">
        <f>[3]Delta!$GD$27+[3]Delta!$GD$37</f>
        <v>30831</v>
      </c>
      <c r="D9" s="13">
        <f>[3]United!$GD$27</f>
        <v>1015</v>
      </c>
      <c r="E9" s="13">
        <f>[3]Spirit!$GD$27</f>
        <v>239</v>
      </c>
      <c r="F9" s="13">
        <f>[3]Condor!$GD$27</f>
        <v>0</v>
      </c>
      <c r="G9" s="13">
        <f>'[3]Air France'!$GD$27</f>
        <v>0</v>
      </c>
      <c r="H9" s="13">
        <f>'[3]Jet Blue'!$GD$27</f>
        <v>240</v>
      </c>
      <c r="I9" s="13">
        <f>[3]KLM!$GD$27+[3]KLM!$GD$37</f>
        <v>30</v>
      </c>
      <c r="J9" s="13">
        <f>'Other Major Airline Stats'!I10</f>
        <v>3827</v>
      </c>
      <c r="K9" s="242">
        <f>SUM(B9:J9)</f>
        <v>38830</v>
      </c>
    </row>
    <row r="10" spans="1:20" x14ac:dyDescent="0.2">
      <c r="A10" s="47" t="s">
        <v>33</v>
      </c>
      <c r="B10" s="7">
        <f>[3]American!$GD$28</f>
        <v>2852</v>
      </c>
      <c r="C10" s="7">
        <f>[3]Delta!$GD$28+[3]Delta!$GD$38</f>
        <v>31837</v>
      </c>
      <c r="D10" s="7">
        <f>[3]United!$GD$28</f>
        <v>1116</v>
      </c>
      <c r="E10" s="7">
        <f>[3]Spirit!$GD$28</f>
        <v>290</v>
      </c>
      <c r="F10" s="7">
        <f>[3]Condor!$GD$28</f>
        <v>0</v>
      </c>
      <c r="G10" s="7">
        <f>'[3]Air France'!$GD$28</f>
        <v>0</v>
      </c>
      <c r="H10" s="7">
        <f>'[3]Jet Blue'!$GD$28</f>
        <v>299</v>
      </c>
      <c r="I10" s="7">
        <f>[3]KLM!$GD$28+[3]KLM!$GD$38</f>
        <v>28</v>
      </c>
      <c r="J10" s="7">
        <f>'Other Major Airline Stats'!I11</f>
        <v>4270</v>
      </c>
      <c r="K10" s="243">
        <f>SUM(B10:J10)</f>
        <v>40692</v>
      </c>
    </row>
    <row r="11" spans="1:20" ht="15.75" thickBot="1" x14ac:dyDescent="0.3">
      <c r="A11" s="48" t="s">
        <v>34</v>
      </c>
      <c r="B11" s="245">
        <f t="shared" ref="B11:J11" si="3">SUM(B9:B10)</f>
        <v>5500</v>
      </c>
      <c r="C11" s="245">
        <f t="shared" si="3"/>
        <v>62668</v>
      </c>
      <c r="D11" s="245">
        <f t="shared" si="3"/>
        <v>2131</v>
      </c>
      <c r="E11" s="245">
        <f t="shared" si="3"/>
        <v>529</v>
      </c>
      <c r="F11" s="245">
        <f t="shared" ref="F11:I11" si="4">SUM(F9:F10)</f>
        <v>0</v>
      </c>
      <c r="G11" s="245">
        <f t="shared" si="4"/>
        <v>0</v>
      </c>
      <c r="H11" s="245">
        <f t="shared" ref="H11" si="5">SUM(H9:H10)</f>
        <v>539</v>
      </c>
      <c r="I11" s="245">
        <f t="shared" si="4"/>
        <v>58</v>
      </c>
      <c r="J11" s="245">
        <f t="shared" si="3"/>
        <v>8097</v>
      </c>
      <c r="K11" s="246">
        <f>SUM(B11:J11)</f>
        <v>79522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[3]American!$GD$4</f>
        <v>597</v>
      </c>
      <c r="C15" s="13">
        <f>[3]Delta!$GD$4+[3]Delta!$GD$15</f>
        <v>6266</v>
      </c>
      <c r="D15" s="13">
        <f>[3]United!$GD$4</f>
        <v>278</v>
      </c>
      <c r="E15" s="13">
        <f>[3]Spirit!$GD$4</f>
        <v>396</v>
      </c>
      <c r="F15" s="13">
        <f>[3]Condor!$GD$4</f>
        <v>0</v>
      </c>
      <c r="G15" s="13">
        <f>'[3]Air France'!$GD$4</f>
        <v>0</v>
      </c>
      <c r="H15" s="13">
        <f>'[3]Jet Blue'!$GD$4</f>
        <v>88</v>
      </c>
      <c r="I15" s="13">
        <f>[3]KLM!$GD$4+[3]KLM!$GD$15</f>
        <v>18</v>
      </c>
      <c r="J15" s="13">
        <f>'Other Major Airline Stats'!I16</f>
        <v>2099</v>
      </c>
      <c r="K15" s="18">
        <f>SUM(B15:J15)</f>
        <v>9742</v>
      </c>
    </row>
    <row r="16" spans="1:20" x14ac:dyDescent="0.2">
      <c r="A16" s="47" t="s">
        <v>23</v>
      </c>
      <c r="B16" s="7">
        <f>[3]American!$GD$5</f>
        <v>597</v>
      </c>
      <c r="C16" s="7">
        <f>[3]Delta!$GD$5+[3]Delta!$GD$16</f>
        <v>6271</v>
      </c>
      <c r="D16" s="7">
        <f>[3]United!$GD$5</f>
        <v>278</v>
      </c>
      <c r="E16" s="7">
        <f>[3]Spirit!$GD$5</f>
        <v>395</v>
      </c>
      <c r="F16" s="7">
        <f>[3]Condor!$GD$5</f>
        <v>0</v>
      </c>
      <c r="G16" s="7">
        <f>'[3]Air France'!$GD$5</f>
        <v>0</v>
      </c>
      <c r="H16" s="7">
        <f>'[3]Jet Blue'!$GD$5</f>
        <v>88</v>
      </c>
      <c r="I16" s="7">
        <f>[3]KLM!$GD$5+[3]KLM!$GD$16</f>
        <v>18</v>
      </c>
      <c r="J16" s="7">
        <f>'Other Major Airline Stats'!I17</f>
        <v>2103</v>
      </c>
      <c r="K16" s="24">
        <f>SUM(B16:J16)</f>
        <v>9750</v>
      </c>
    </row>
    <row r="17" spans="1:11" x14ac:dyDescent="0.2">
      <c r="A17" s="47" t="s">
        <v>24</v>
      </c>
      <c r="B17" s="249">
        <f t="shared" ref="B17:J17" si="6">SUM(B15:B16)</f>
        <v>1194</v>
      </c>
      <c r="C17" s="247">
        <f t="shared" si="6"/>
        <v>12537</v>
      </c>
      <c r="D17" s="247">
        <f t="shared" si="6"/>
        <v>556</v>
      </c>
      <c r="E17" s="247">
        <f t="shared" si="6"/>
        <v>791</v>
      </c>
      <c r="F17" s="247">
        <f t="shared" ref="F17:I17" si="7">SUM(F15:F16)</f>
        <v>0</v>
      </c>
      <c r="G17" s="247">
        <f t="shared" si="7"/>
        <v>0</v>
      </c>
      <c r="H17" s="247">
        <f t="shared" ref="H17" si="8">SUM(H15:H16)</f>
        <v>176</v>
      </c>
      <c r="I17" s="247">
        <f t="shared" si="7"/>
        <v>36</v>
      </c>
      <c r="J17" s="247">
        <f t="shared" si="6"/>
        <v>4202</v>
      </c>
      <c r="K17" s="248">
        <f>SUM(B17:J17)</f>
        <v>19492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[3]American!$GD$8</f>
        <v>0</v>
      </c>
      <c r="C19" s="13">
        <f>[3]Delta!$GD$8</f>
        <v>3</v>
      </c>
      <c r="D19" s="13">
        <f>[3]United!$GD$8</f>
        <v>0</v>
      </c>
      <c r="E19" s="13">
        <f>[3]Spirit!$GD$8</f>
        <v>0</v>
      </c>
      <c r="F19" s="13">
        <f>[3]Condor!$GD$8</f>
        <v>0</v>
      </c>
      <c r="G19" s="13">
        <f>'[3]Air France'!$GD$8</f>
        <v>0</v>
      </c>
      <c r="H19" s="13">
        <f>'[3]Jet Blue'!$GD$8</f>
        <v>0</v>
      </c>
      <c r="I19" s="13">
        <f>[3]KLM!$GD$8</f>
        <v>0</v>
      </c>
      <c r="J19" s="13">
        <f>'Other Major Airline Stats'!I20</f>
        <v>79</v>
      </c>
      <c r="K19" s="18">
        <f>SUM(B19:J19)</f>
        <v>82</v>
      </c>
    </row>
    <row r="20" spans="1:11" x14ac:dyDescent="0.2">
      <c r="A20" s="47" t="s">
        <v>26</v>
      </c>
      <c r="B20" s="7">
        <f>[3]American!$GD$9</f>
        <v>0</v>
      </c>
      <c r="C20" s="7">
        <f>[3]Delta!$GD$9</f>
        <v>6</v>
      </c>
      <c r="D20" s="7">
        <f>[3]United!$GD$9</f>
        <v>0</v>
      </c>
      <c r="E20" s="7">
        <f>[3]Spirit!$GD$9</f>
        <v>0</v>
      </c>
      <c r="F20" s="7">
        <f>[3]Condor!$GD$9</f>
        <v>0</v>
      </c>
      <c r="G20" s="7">
        <f>'[3]Air France'!$GD$9</f>
        <v>0</v>
      </c>
      <c r="H20" s="7">
        <f>'[3]Jet Blue'!$GD$9</f>
        <v>0</v>
      </c>
      <c r="I20" s="7">
        <f>[3]KLM!$GD$9</f>
        <v>0</v>
      </c>
      <c r="J20" s="7">
        <f>'Other Major Airline Stats'!I21</f>
        <v>76</v>
      </c>
      <c r="K20" s="24">
        <f>SUM(B20:J20)</f>
        <v>82</v>
      </c>
    </row>
    <row r="21" spans="1:11" x14ac:dyDescent="0.2">
      <c r="A21" s="47" t="s">
        <v>27</v>
      </c>
      <c r="B21" s="249">
        <f t="shared" ref="B21:J21" si="9">SUM(B19:B20)</f>
        <v>0</v>
      </c>
      <c r="C21" s="247">
        <f t="shared" si="9"/>
        <v>9</v>
      </c>
      <c r="D21" s="247">
        <f t="shared" si="9"/>
        <v>0</v>
      </c>
      <c r="E21" s="247">
        <f t="shared" si="9"/>
        <v>0</v>
      </c>
      <c r="F21" s="247">
        <f t="shared" ref="F21:I21" si="10">SUM(F19:F20)</f>
        <v>0</v>
      </c>
      <c r="G21" s="247">
        <f t="shared" si="10"/>
        <v>0</v>
      </c>
      <c r="H21" s="247">
        <f t="shared" ref="H21" si="11">SUM(H19:H20)</f>
        <v>0</v>
      </c>
      <c r="I21" s="247">
        <f t="shared" si="10"/>
        <v>0</v>
      </c>
      <c r="J21" s="247">
        <f t="shared" si="9"/>
        <v>155</v>
      </c>
      <c r="K21" s="148">
        <f>SUM(B21:J21)</f>
        <v>164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2">B17+B21</f>
        <v>1194</v>
      </c>
      <c r="C23" s="19">
        <f t="shared" si="12"/>
        <v>12546</v>
      </c>
      <c r="D23" s="19">
        <f t="shared" si="12"/>
        <v>556</v>
      </c>
      <c r="E23" s="19">
        <f>E17+E21</f>
        <v>791</v>
      </c>
      <c r="F23" s="19">
        <f t="shared" ref="F23:I23" si="13">F17+F21</f>
        <v>0</v>
      </c>
      <c r="G23" s="19">
        <f t="shared" si="13"/>
        <v>0</v>
      </c>
      <c r="H23" s="19">
        <f t="shared" ref="H23" si="14">H17+H21</f>
        <v>176</v>
      </c>
      <c r="I23" s="19">
        <f t="shared" si="13"/>
        <v>36</v>
      </c>
      <c r="J23" s="19">
        <f t="shared" si="12"/>
        <v>4357</v>
      </c>
      <c r="K23" s="20">
        <f>SUM(B23:J23)</f>
        <v>19656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[3]American!$GD$47</f>
        <v>42049</v>
      </c>
      <c r="C28" s="13">
        <f>[3]Delta!$GD$47</f>
        <v>4212775</v>
      </c>
      <c r="D28" s="13">
        <f>[3]United!$GD$47</f>
        <v>37585</v>
      </c>
      <c r="E28" s="13">
        <f>[3]Spirit!$GD$47</f>
        <v>0</v>
      </c>
      <c r="F28" s="13">
        <f>[3]Condor!$GD$47</f>
        <v>0</v>
      </c>
      <c r="G28" s="13">
        <f>'[3]Air France'!$GD$47</f>
        <v>0</v>
      </c>
      <c r="H28" s="13">
        <f>'[3]Jet Blue'!$GD$47</f>
        <v>0</v>
      </c>
      <c r="I28" s="13">
        <f>[3]KLM!$GD$47</f>
        <v>597181</v>
      </c>
      <c r="J28" s="13">
        <f>'Other Major Airline Stats'!I28</f>
        <v>308603</v>
      </c>
      <c r="K28" s="18">
        <f>SUM(B28:J28)</f>
        <v>5198193</v>
      </c>
    </row>
    <row r="29" spans="1:11" x14ac:dyDescent="0.2">
      <c r="A29" s="47" t="s">
        <v>38</v>
      </c>
      <c r="B29" s="7">
        <f>[3]American!$GD$48</f>
        <v>53357</v>
      </c>
      <c r="C29" s="7">
        <f>[3]Delta!$GD$48</f>
        <v>1500253</v>
      </c>
      <c r="D29" s="7">
        <f>[3]United!$GD$48</f>
        <v>58185</v>
      </c>
      <c r="E29" s="7">
        <f>[3]Spirit!$GD$48</f>
        <v>0</v>
      </c>
      <c r="F29" s="7">
        <f>[3]Condor!$GD$48</f>
        <v>0</v>
      </c>
      <c r="G29" s="7">
        <f>'[3]Air France'!$GD$48</f>
        <v>0</v>
      </c>
      <c r="H29" s="7">
        <f>'[3]Jet Blue'!$GD$48</f>
        <v>0</v>
      </c>
      <c r="I29" s="7">
        <f>[3]KLM!$GD$48</f>
        <v>0</v>
      </c>
      <c r="J29" s="7">
        <f>'Other Major Airline Stats'!I29</f>
        <v>161903</v>
      </c>
      <c r="K29" s="24">
        <f>SUM(B29:J29)</f>
        <v>1773698</v>
      </c>
    </row>
    <row r="30" spans="1:11" x14ac:dyDescent="0.2">
      <c r="A30" s="51" t="s">
        <v>39</v>
      </c>
      <c r="B30" s="249">
        <f t="shared" ref="B30:J30" si="15">SUM(B28:B29)</f>
        <v>95406</v>
      </c>
      <c r="C30" s="249">
        <f t="shared" si="15"/>
        <v>5713028</v>
      </c>
      <c r="D30" s="249">
        <f t="shared" si="15"/>
        <v>95770</v>
      </c>
      <c r="E30" s="249">
        <f t="shared" si="15"/>
        <v>0</v>
      </c>
      <c r="F30" s="249">
        <f t="shared" ref="F30:I30" si="16">SUM(F28:F29)</f>
        <v>0</v>
      </c>
      <c r="G30" s="249">
        <f t="shared" si="16"/>
        <v>0</v>
      </c>
      <c r="H30" s="249">
        <f t="shared" ref="H30" si="17">SUM(H28:H29)</f>
        <v>0</v>
      </c>
      <c r="I30" s="249">
        <f t="shared" si="16"/>
        <v>597181</v>
      </c>
      <c r="J30" s="249">
        <f t="shared" si="15"/>
        <v>470506</v>
      </c>
      <c r="K30" s="18">
        <f>SUM(B30:J30)</f>
        <v>6971891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7" t="s">
        <v>37</v>
      </c>
      <c r="B33" s="13">
        <f>[3]American!$GD$52</f>
        <v>10052</v>
      </c>
      <c r="C33" s="13">
        <f>[3]Delta!$GD$52</f>
        <v>2456898</v>
      </c>
      <c r="D33" s="13">
        <f>[3]United!$GD$52</f>
        <v>13054</v>
      </c>
      <c r="E33" s="13">
        <f>[3]Spirit!$GD$52</f>
        <v>0</v>
      </c>
      <c r="F33" s="13">
        <f>[3]Condor!$GD$52</f>
        <v>0</v>
      </c>
      <c r="G33" s="13">
        <f>'[3]Air France'!$GD$52</f>
        <v>0</v>
      </c>
      <c r="H33" s="13">
        <f>'[3]Jet Blue'!$GD$52</f>
        <v>0</v>
      </c>
      <c r="I33" s="13">
        <f>[3]KLM!$GD$52</f>
        <v>180562</v>
      </c>
      <c r="J33" s="13">
        <f>'Other Major Airline Stats'!I33</f>
        <v>111126</v>
      </c>
      <c r="K33" s="18">
        <f t="shared" si="18"/>
        <v>2771692</v>
      </c>
    </row>
    <row r="34" spans="1:11" x14ac:dyDescent="0.2">
      <c r="A34" s="47" t="s">
        <v>38</v>
      </c>
      <c r="B34" s="7">
        <f>[3]American!$GD$53</f>
        <v>74886</v>
      </c>
      <c r="C34" s="7">
        <f>[3]Delta!$GD$53</f>
        <v>1836420</v>
      </c>
      <c r="D34" s="7">
        <f>[3]United!$GD$53</f>
        <v>58874</v>
      </c>
      <c r="E34" s="7">
        <f>[3]Spirit!$GD$53</f>
        <v>0</v>
      </c>
      <c r="F34" s="7">
        <f>[3]Condor!$GD$53</f>
        <v>0</v>
      </c>
      <c r="G34" s="7">
        <f>'[3]Air France'!$GD$53</f>
        <v>0</v>
      </c>
      <c r="H34" s="7">
        <f>'[3]Jet Blue'!$GD$53</f>
        <v>0</v>
      </c>
      <c r="I34" s="7">
        <f>[3]KLM!$GD$53</f>
        <v>0</v>
      </c>
      <c r="J34" s="7">
        <f>'Other Major Airline Stats'!I34</f>
        <v>340438</v>
      </c>
      <c r="K34" s="24">
        <f t="shared" si="18"/>
        <v>2310618</v>
      </c>
    </row>
    <row r="35" spans="1:11" x14ac:dyDescent="0.2">
      <c r="A35" s="51" t="s">
        <v>41</v>
      </c>
      <c r="B35" s="249">
        <f t="shared" ref="B35:J35" si="19">SUM(B33:B34)</f>
        <v>84938</v>
      </c>
      <c r="C35" s="249">
        <f t="shared" si="19"/>
        <v>4293318</v>
      </c>
      <c r="D35" s="249">
        <f t="shared" si="19"/>
        <v>71928</v>
      </c>
      <c r="E35" s="249">
        <f t="shared" si="19"/>
        <v>0</v>
      </c>
      <c r="F35" s="249">
        <f t="shared" ref="F35:I35" si="20">SUM(F33:F34)</f>
        <v>0</v>
      </c>
      <c r="G35" s="249">
        <f t="shared" si="20"/>
        <v>0</v>
      </c>
      <c r="H35" s="249">
        <f t="shared" ref="H35" si="21">SUM(H33:H34)</f>
        <v>0</v>
      </c>
      <c r="I35" s="249">
        <f t="shared" si="20"/>
        <v>180562</v>
      </c>
      <c r="J35" s="249">
        <f t="shared" si="19"/>
        <v>451564</v>
      </c>
      <c r="K35" s="18">
        <f t="shared" si="18"/>
        <v>5082310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7" t="s">
        <v>37</v>
      </c>
      <c r="B38" s="13">
        <f>[3]American!$GD$57</f>
        <v>0</v>
      </c>
      <c r="C38" s="13">
        <f>[3]Delta!$GD$57</f>
        <v>0</v>
      </c>
      <c r="D38" s="13">
        <f>[3]United!$GD$57</f>
        <v>0</v>
      </c>
      <c r="E38" s="13">
        <f>[3]Spirit!$GD$57</f>
        <v>0</v>
      </c>
      <c r="F38" s="13">
        <f>[3]Condor!$GD$57</f>
        <v>0</v>
      </c>
      <c r="G38" s="13">
        <f>'[3]Air France'!$GD$57</f>
        <v>0</v>
      </c>
      <c r="H38" s="13">
        <f>'[3]Jet Blue'!$GD$57</f>
        <v>0</v>
      </c>
      <c r="I38" s="13">
        <f>[3]KLM!$GD$57</f>
        <v>0</v>
      </c>
      <c r="J38" s="13">
        <f>'Other Major Airline Stats'!I38</f>
        <v>0</v>
      </c>
      <c r="K38" s="18">
        <f t="shared" si="18"/>
        <v>0</v>
      </c>
    </row>
    <row r="39" spans="1:11" hidden="1" x14ac:dyDescent="0.2">
      <c r="A39" s="47" t="s">
        <v>38</v>
      </c>
      <c r="B39" s="7">
        <f>[3]American!$GD$58</f>
        <v>0</v>
      </c>
      <c r="C39" s="7">
        <f>[3]Delta!$GD$58</f>
        <v>0</v>
      </c>
      <c r="D39" s="7">
        <f>[3]United!$GD$58</f>
        <v>0</v>
      </c>
      <c r="E39" s="7">
        <f>[3]Spirit!$GD$58</f>
        <v>0</v>
      </c>
      <c r="F39" s="7">
        <f>[3]Condor!$GD$58</f>
        <v>0</v>
      </c>
      <c r="G39" s="7">
        <f>'[3]Air France'!$GD$58</f>
        <v>0</v>
      </c>
      <c r="H39" s="7">
        <f>'[3]Jet Blue'!$GD$58</f>
        <v>0</v>
      </c>
      <c r="I39" s="7">
        <f>[3]KLM!$GD$58</f>
        <v>0</v>
      </c>
      <c r="J39" s="7">
        <f>'Other Major Airline Stats'!I39</f>
        <v>0</v>
      </c>
      <c r="K39" s="24">
        <f t="shared" si="18"/>
        <v>0</v>
      </c>
    </row>
    <row r="40" spans="1:11" hidden="1" x14ac:dyDescent="0.2">
      <c r="A40" s="51" t="s">
        <v>43</v>
      </c>
      <c r="B40" s="249">
        <f t="shared" ref="B40:J40" si="22">SUM(B38:B39)</f>
        <v>0</v>
      </c>
      <c r="C40" s="249">
        <f t="shared" si="22"/>
        <v>0</v>
      </c>
      <c r="D40" s="249">
        <f t="shared" si="22"/>
        <v>0</v>
      </c>
      <c r="E40" s="249">
        <f t="shared" si="22"/>
        <v>0</v>
      </c>
      <c r="F40" s="249">
        <f t="shared" ref="F40:I40" si="23">SUM(F38:F39)</f>
        <v>0</v>
      </c>
      <c r="G40" s="249">
        <f t="shared" si="23"/>
        <v>0</v>
      </c>
      <c r="H40" s="249">
        <f t="shared" ref="H40" si="24">SUM(H38:H39)</f>
        <v>0</v>
      </c>
      <c r="I40" s="249">
        <f t="shared" si="23"/>
        <v>0</v>
      </c>
      <c r="J40" s="249">
        <f t="shared" si="22"/>
        <v>0</v>
      </c>
      <c r="K40" s="18">
        <f t="shared" si="18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25">B28+B33+B38</f>
        <v>52101</v>
      </c>
      <c r="C43" s="13">
        <f t="shared" si="25"/>
        <v>6669673</v>
      </c>
      <c r="D43" s="13">
        <f t="shared" si="25"/>
        <v>50639</v>
      </c>
      <c r="E43" s="13">
        <f>E28+E33+E38</f>
        <v>0</v>
      </c>
      <c r="F43" s="13">
        <f t="shared" ref="F43:I43" si="26">F28+F33+F38</f>
        <v>0</v>
      </c>
      <c r="G43" s="13">
        <f t="shared" si="26"/>
        <v>0</v>
      </c>
      <c r="H43" s="13">
        <f t="shared" ref="H43" si="27">H28+H33+H38</f>
        <v>0</v>
      </c>
      <c r="I43" s="13">
        <f t="shared" si="26"/>
        <v>777743</v>
      </c>
      <c r="J43" s="13">
        <f t="shared" si="25"/>
        <v>419729</v>
      </c>
      <c r="K43" s="18">
        <f>SUM(B43:J43)</f>
        <v>7969885</v>
      </c>
    </row>
    <row r="44" spans="1:11" x14ac:dyDescent="0.2">
      <c r="A44" s="47" t="s">
        <v>38</v>
      </c>
      <c r="B44" s="7">
        <f t="shared" si="25"/>
        <v>128243</v>
      </c>
      <c r="C44" s="7">
        <f t="shared" si="25"/>
        <v>3336673</v>
      </c>
      <c r="D44" s="7">
        <f t="shared" si="25"/>
        <v>117059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502341</v>
      </c>
      <c r="K44" s="18">
        <f>SUM(B44:J44)</f>
        <v>4084316</v>
      </c>
    </row>
    <row r="45" spans="1:11" ht="15.75" thickBot="1" x14ac:dyDescent="0.3">
      <c r="A45" s="48" t="s">
        <v>46</v>
      </c>
      <c r="B45" s="250">
        <f t="shared" ref="B45:J45" si="30">SUM(B43:B44)</f>
        <v>180344</v>
      </c>
      <c r="C45" s="250">
        <f t="shared" si="30"/>
        <v>10006346</v>
      </c>
      <c r="D45" s="250">
        <f t="shared" si="30"/>
        <v>167698</v>
      </c>
      <c r="E45" s="250">
        <f t="shared" si="30"/>
        <v>0</v>
      </c>
      <c r="F45" s="250">
        <f t="shared" ref="F45:I45" si="31">SUM(F43:F44)</f>
        <v>0</v>
      </c>
      <c r="G45" s="250">
        <f t="shared" si="31"/>
        <v>0</v>
      </c>
      <c r="H45" s="250">
        <f t="shared" ref="H45" si="32">SUM(H43:H44)</f>
        <v>0</v>
      </c>
      <c r="I45" s="250">
        <f t="shared" si="31"/>
        <v>777743</v>
      </c>
      <c r="J45" s="250">
        <f t="shared" si="30"/>
        <v>922070</v>
      </c>
      <c r="K45" s="251">
        <f>SUM(B45:J45)</f>
        <v>12054201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[3]Delta!$GD$70+[3]Delta!$GD$73</f>
        <v>532305</v>
      </c>
      <c r="D47" s="264"/>
      <c r="E47" s="264"/>
      <c r="F47" s="264"/>
      <c r="G47" s="264"/>
      <c r="H47" s="264"/>
      <c r="I47" s="264"/>
      <c r="J47" s="264"/>
      <c r="K47" s="265">
        <f>SUM(B47:J47)</f>
        <v>532305</v>
      </c>
    </row>
    <row r="48" spans="1:11" hidden="1" x14ac:dyDescent="0.2">
      <c r="A48" s="323" t="s">
        <v>124</v>
      </c>
      <c r="C48" s="276">
        <f>[3]Delta!$GD$71+[3]Delta!$GD$74</f>
        <v>362325</v>
      </c>
      <c r="D48" s="264"/>
      <c r="E48" s="264"/>
      <c r="F48" s="264"/>
      <c r="G48" s="264"/>
      <c r="H48" s="264"/>
      <c r="I48" s="264"/>
      <c r="J48" s="264"/>
      <c r="K48" s="265">
        <f>SUM(B48:J48)</f>
        <v>362325</v>
      </c>
    </row>
    <row r="49" spans="1:11" hidden="1" x14ac:dyDescent="0.2">
      <c r="A49" s="324" t="s">
        <v>125</v>
      </c>
      <c r="C49" s="277">
        <f>SUM(C47:C48)</f>
        <v>894630</v>
      </c>
      <c r="K49" s="265">
        <f>SUM(B49:J49)</f>
        <v>894630</v>
      </c>
    </row>
    <row r="50" spans="1:11" x14ac:dyDescent="0.2">
      <c r="A50" s="322" t="s">
        <v>123</v>
      </c>
      <c r="B50" s="333"/>
      <c r="C50" s="279">
        <f>[3]Delta!$GD$70+[3]Delta!$GD$73</f>
        <v>532305</v>
      </c>
      <c r="D50" s="333"/>
      <c r="E50" s="279">
        <f>[3]Spirit!$GD$70+[3]Spirit!$GD$73</f>
        <v>0</v>
      </c>
      <c r="F50" s="333"/>
      <c r="G50" s="333"/>
      <c r="H50" s="333"/>
      <c r="I50" s="333"/>
      <c r="J50" s="278">
        <f>'Other Major Airline Stats'!I48</f>
        <v>247260</v>
      </c>
      <c r="K50" s="268">
        <f>SUM(B50:J50)</f>
        <v>779565</v>
      </c>
    </row>
    <row r="51" spans="1:11" x14ac:dyDescent="0.2">
      <c r="A51" s="335" t="s">
        <v>124</v>
      </c>
      <c r="B51" s="333"/>
      <c r="C51" s="279">
        <f>[3]Delta!$GD$71+[3]Delta!$GD$74</f>
        <v>362325</v>
      </c>
      <c r="D51" s="333"/>
      <c r="E51" s="279">
        <f>[3]Spirit!$GD$71+[3]Spirit!$GD$74</f>
        <v>0</v>
      </c>
      <c r="F51" s="333"/>
      <c r="G51" s="333"/>
      <c r="H51" s="333"/>
      <c r="I51" s="333"/>
      <c r="J51" s="278">
        <f>+'Other Major Airline Stats'!I49</f>
        <v>2608</v>
      </c>
      <c r="K51" s="268">
        <f>SUM(B51:J51)</f>
        <v>364933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topLeftCell="A10" zoomScaleNormal="100" workbookViewId="0">
      <selection activeCell="C17" sqref="C17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25">
        <v>43525</v>
      </c>
      <c r="B2" s="374" t="s">
        <v>47</v>
      </c>
      <c r="C2" s="373" t="s">
        <v>183</v>
      </c>
      <c r="D2" s="373" t="s">
        <v>184</v>
      </c>
      <c r="E2" s="374" t="s">
        <v>48</v>
      </c>
      <c r="F2" s="373" t="s">
        <v>131</v>
      </c>
      <c r="G2" s="373" t="s">
        <v>49</v>
      </c>
      <c r="H2" s="373" t="s">
        <v>130</v>
      </c>
      <c r="I2" s="146" t="s">
        <v>61</v>
      </c>
    </row>
    <row r="3" spans="1:12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25"/>
    </row>
    <row r="4" spans="1:12" x14ac:dyDescent="0.2">
      <c r="A4" s="47" t="s">
        <v>29</v>
      </c>
      <c r="B4" s="97"/>
      <c r="C4" s="97"/>
      <c r="D4" s="97"/>
      <c r="E4" s="97"/>
      <c r="F4" s="97"/>
      <c r="G4" s="97"/>
      <c r="H4" s="97"/>
      <c r="I4" s="126"/>
    </row>
    <row r="5" spans="1:12" x14ac:dyDescent="0.2">
      <c r="A5" s="47" t="s">
        <v>30</v>
      </c>
      <c r="B5" s="97">
        <f>[3]Frontier!$GD$22</f>
        <v>19253</v>
      </c>
      <c r="C5" s="97">
        <f>'[3]Air Choice One'!$GD$22</f>
        <v>446</v>
      </c>
      <c r="D5" s="97">
        <f>'[3]Boutique Air'!$GD$22</f>
        <v>329</v>
      </c>
      <c r="E5" s="97">
        <f>[3]Icelandair!$GD$32</f>
        <v>1635</v>
      </c>
      <c r="F5" s="97">
        <f>[3]Southwest!$GD$22</f>
        <v>91507</v>
      </c>
      <c r="G5" s="97">
        <f>'[3]Sun Country'!$GD$22+'[3]Sun Country'!$GD$32</f>
        <v>152917</v>
      </c>
      <c r="H5" s="97">
        <f>[3]Alaska!$GD$22</f>
        <v>11810</v>
      </c>
      <c r="I5" s="120">
        <f>SUM(B5:H5)</f>
        <v>277897</v>
      </c>
      <c r="L5" s="97"/>
    </row>
    <row r="6" spans="1:12" x14ac:dyDescent="0.2">
      <c r="A6" s="47" t="s">
        <v>31</v>
      </c>
      <c r="B6" s="97">
        <f>[3]Frontier!$GD$23</f>
        <v>19932</v>
      </c>
      <c r="C6" s="97">
        <f>'[3]Air Choice One'!$GD$23</f>
        <v>386</v>
      </c>
      <c r="D6" s="97">
        <f>'[3]Boutique Air'!$GD$23</f>
        <v>338</v>
      </c>
      <c r="E6" s="97">
        <f>[3]Icelandair!$GD$33</f>
        <v>2134</v>
      </c>
      <c r="F6" s="97">
        <f>[3]Southwest!$GD$23</f>
        <v>92858</v>
      </c>
      <c r="G6" s="97">
        <f>'[3]Sun Country'!$GD$23+'[3]Sun Country'!$GD$33</f>
        <v>157010</v>
      </c>
      <c r="H6" s="97">
        <f>[3]Alaska!$GD$23</f>
        <v>11889</v>
      </c>
      <c r="I6" s="120">
        <f>SUM(B6:H6)</f>
        <v>284547</v>
      </c>
    </row>
    <row r="7" spans="1:12" ht="15" x14ac:dyDescent="0.25">
      <c r="A7" s="45" t="s">
        <v>7</v>
      </c>
      <c r="B7" s="128">
        <f t="shared" ref="B7:H7" si="0">SUM(B5:B6)</f>
        <v>39185</v>
      </c>
      <c r="C7" s="128">
        <f t="shared" ref="C7:D7" si="1">SUM(C5:C6)</f>
        <v>832</v>
      </c>
      <c r="D7" s="128">
        <f t="shared" si="1"/>
        <v>667</v>
      </c>
      <c r="E7" s="128">
        <f t="shared" si="0"/>
        <v>3769</v>
      </c>
      <c r="F7" s="128">
        <f t="shared" si="0"/>
        <v>184365</v>
      </c>
      <c r="G7" s="128">
        <f>SUM(G5:G6)</f>
        <v>309927</v>
      </c>
      <c r="H7" s="128">
        <f t="shared" si="0"/>
        <v>23699</v>
      </c>
      <c r="I7" s="129">
        <f>SUM(B7:H7)</f>
        <v>562444</v>
      </c>
    </row>
    <row r="8" spans="1:12" x14ac:dyDescent="0.2">
      <c r="A8" s="47"/>
      <c r="B8" s="127"/>
      <c r="C8" s="127"/>
      <c r="D8" s="127"/>
      <c r="E8" s="127"/>
      <c r="F8" s="127"/>
      <c r="G8" s="127"/>
      <c r="H8" s="127"/>
      <c r="I8" s="120"/>
    </row>
    <row r="9" spans="1:12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0"/>
    </row>
    <row r="10" spans="1:12" x14ac:dyDescent="0.2">
      <c r="A10" s="47" t="s">
        <v>30</v>
      </c>
      <c r="B10" s="127">
        <f>[3]Frontier!$GD$27</f>
        <v>174</v>
      </c>
      <c r="C10" s="127">
        <f>'[3]Air Choice One'!$GD$27</f>
        <v>0</v>
      </c>
      <c r="D10" s="127">
        <f>'[3]Boutique Air'!$GD$27</f>
        <v>0</v>
      </c>
      <c r="E10" s="127">
        <f>[3]Icelandair!$GD$37</f>
        <v>29</v>
      </c>
      <c r="F10" s="127">
        <f>[3]Southwest!$GD$27</f>
        <v>1662</v>
      </c>
      <c r="G10" s="127">
        <f>'[3]Sun Country'!$GD$27+'[3]Sun Country'!$GD$37</f>
        <v>1625</v>
      </c>
      <c r="H10" s="127">
        <f>[3]Alaska!$GD$27</f>
        <v>337</v>
      </c>
      <c r="I10" s="120">
        <f>SUM(B10:H10)</f>
        <v>3827</v>
      </c>
    </row>
    <row r="11" spans="1:12" x14ac:dyDescent="0.2">
      <c r="A11" s="47" t="s">
        <v>33</v>
      </c>
      <c r="B11" s="130">
        <f>[3]Frontier!$GD$28</f>
        <v>157</v>
      </c>
      <c r="C11" s="130">
        <f>'[3]Air Choice One'!$GD$28</f>
        <v>0</v>
      </c>
      <c r="D11" s="130">
        <f>'[3]Boutique Air'!$GD$28</f>
        <v>0</v>
      </c>
      <c r="E11" s="130">
        <f>[3]Icelandair!$GD$38</f>
        <v>22</v>
      </c>
      <c r="F11" s="130">
        <f>[3]Southwest!$GD$28</f>
        <v>1891</v>
      </c>
      <c r="G11" s="130">
        <f>'[3]Sun Country'!$GD$28+'[3]Sun Country'!$GD$38</f>
        <v>1759</v>
      </c>
      <c r="H11" s="130">
        <f>[3]Alaska!$GD$28</f>
        <v>441</v>
      </c>
      <c r="I11" s="120">
        <f>SUM(B11:H11)</f>
        <v>4270</v>
      </c>
    </row>
    <row r="12" spans="1:12" ht="15.75" thickBot="1" x14ac:dyDescent="0.3">
      <c r="A12" s="48" t="s">
        <v>34</v>
      </c>
      <c r="B12" s="123">
        <f t="shared" ref="B12:H12" si="2">SUM(B10:B11)</f>
        <v>331</v>
      </c>
      <c r="C12" s="123">
        <f t="shared" ref="C12:D12" si="3">SUM(C10:C11)</f>
        <v>0</v>
      </c>
      <c r="D12" s="123">
        <f t="shared" si="3"/>
        <v>0</v>
      </c>
      <c r="E12" s="123">
        <f t="shared" si="2"/>
        <v>51</v>
      </c>
      <c r="F12" s="123">
        <f t="shared" si="2"/>
        <v>3553</v>
      </c>
      <c r="G12" s="123">
        <f>SUM(G10:G11)</f>
        <v>3384</v>
      </c>
      <c r="H12" s="123">
        <f t="shared" si="2"/>
        <v>778</v>
      </c>
      <c r="I12" s="131">
        <f>SUM(B12:H12)</f>
        <v>8097</v>
      </c>
      <c r="L12" s="97"/>
    </row>
    <row r="13" spans="1:12" ht="15" x14ac:dyDescent="0.25">
      <c r="A13" s="44"/>
      <c r="B13" s="252"/>
      <c r="C13" s="252"/>
      <c r="D13" s="252"/>
      <c r="E13" s="252"/>
      <c r="F13" s="252"/>
      <c r="G13" s="252"/>
      <c r="H13" s="252"/>
      <c r="I13" s="253"/>
    </row>
    <row r="14" spans="1:12" ht="13.5" thickBot="1" x14ac:dyDescent="0.25"/>
    <row r="15" spans="1:12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9"/>
    </row>
    <row r="16" spans="1:12" x14ac:dyDescent="0.2">
      <c r="A16" s="47" t="s">
        <v>22</v>
      </c>
      <c r="B16" s="97">
        <f>[3]Frontier!$GD$4</f>
        <v>108</v>
      </c>
      <c r="C16" s="87">
        <f>'[3]Air Choice One'!$GD$4</f>
        <v>101</v>
      </c>
      <c r="D16" s="87">
        <f>'[3]Boutique Air'!$GD$4</f>
        <v>74</v>
      </c>
      <c r="E16" s="97">
        <f>[3]Icelandair!$GD$15</f>
        <v>15</v>
      </c>
      <c r="F16" s="87">
        <f>[3]Southwest!$GD$4</f>
        <v>746</v>
      </c>
      <c r="G16" s="97">
        <f>'[3]Sun Country'!$GD$4+'[3]Sun Country'!$GD$15</f>
        <v>971</v>
      </c>
      <c r="H16" s="97">
        <f>[3]Alaska!$GD$4</f>
        <v>84</v>
      </c>
      <c r="I16" s="120">
        <f>SUM(B16:H16)</f>
        <v>2099</v>
      </c>
    </row>
    <row r="17" spans="1:256" x14ac:dyDescent="0.2">
      <c r="A17" s="47" t="s">
        <v>23</v>
      </c>
      <c r="B17" s="97">
        <f>[3]Frontier!$GD$5</f>
        <v>108</v>
      </c>
      <c r="C17" s="87">
        <f>'[3]Air Choice One'!$GD$5</f>
        <v>101</v>
      </c>
      <c r="D17" s="87">
        <f>'[3]Boutique Air'!$GD$5</f>
        <v>74</v>
      </c>
      <c r="E17" s="97">
        <f>[3]Icelandair!$GD$16</f>
        <v>15</v>
      </c>
      <c r="F17" s="87">
        <f>[3]Southwest!$GD$5</f>
        <v>746</v>
      </c>
      <c r="G17" s="97">
        <f>'[3]Sun Country'!$GD$5+'[3]Sun Country'!$GD$16</f>
        <v>975</v>
      </c>
      <c r="H17" s="97">
        <f>[3]Alaska!$GD$5</f>
        <v>84</v>
      </c>
      <c r="I17" s="120">
        <f>SUM(B17:H17)</f>
        <v>2103</v>
      </c>
    </row>
    <row r="18" spans="1:256" x14ac:dyDescent="0.2">
      <c r="A18" s="51" t="s">
        <v>24</v>
      </c>
      <c r="B18" s="121">
        <f t="shared" ref="B18:H18" si="4">SUM(B16:B17)</f>
        <v>216</v>
      </c>
      <c r="C18" s="121">
        <f t="shared" ref="C18:D18" si="5">SUM(C16:C17)</f>
        <v>202</v>
      </c>
      <c r="D18" s="121">
        <f t="shared" si="5"/>
        <v>148</v>
      </c>
      <c r="E18" s="121">
        <f t="shared" si="4"/>
        <v>30</v>
      </c>
      <c r="F18" s="121">
        <f t="shared" si="4"/>
        <v>1492</v>
      </c>
      <c r="G18" s="121">
        <f t="shared" si="4"/>
        <v>1946</v>
      </c>
      <c r="H18" s="121">
        <f t="shared" si="4"/>
        <v>168</v>
      </c>
      <c r="I18" s="122">
        <f>SUM(B18:H18)</f>
        <v>4202</v>
      </c>
    </row>
    <row r="19" spans="1:256" x14ac:dyDescent="0.2">
      <c r="A19" s="51"/>
      <c r="B19" s="95"/>
      <c r="C19" s="95"/>
      <c r="D19" s="95"/>
      <c r="E19" s="95"/>
      <c r="F19" s="95"/>
      <c r="G19" s="95"/>
      <c r="H19" s="95"/>
      <c r="I19" s="120"/>
    </row>
    <row r="20" spans="1:256" x14ac:dyDescent="0.2">
      <c r="A20" s="47" t="s">
        <v>25</v>
      </c>
      <c r="B20" s="97">
        <f>[3]Frontier!$GD$8</f>
        <v>0</v>
      </c>
      <c r="C20" s="97">
        <f>'[3]Air Choice One'!$GD$8</f>
        <v>0</v>
      </c>
      <c r="D20" s="97">
        <f>'[3]Boutique Air'!$GD$8</f>
        <v>0</v>
      </c>
      <c r="E20" s="97">
        <f>[3]Icelandair!$GD$8</f>
        <v>0</v>
      </c>
      <c r="F20" s="97">
        <f>[3]Southwest!$GD$8</f>
        <v>0</v>
      </c>
      <c r="G20" s="97">
        <f>'[3]Sun Country'!$GD$8</f>
        <v>79</v>
      </c>
      <c r="H20" s="97">
        <f>[3]Alaska!$GD$8</f>
        <v>0</v>
      </c>
      <c r="I20" s="120">
        <f>SUM(B20:H20)</f>
        <v>79</v>
      </c>
    </row>
    <row r="21" spans="1:256" x14ac:dyDescent="0.2">
      <c r="A21" s="47" t="s">
        <v>26</v>
      </c>
      <c r="B21" s="97">
        <f>[3]Frontier!$GD$9</f>
        <v>0</v>
      </c>
      <c r="C21" s="97">
        <f>'[3]Air Choice One'!$GD$9</f>
        <v>0</v>
      </c>
      <c r="D21" s="97">
        <f>'[3]Boutique Air'!$GD$9</f>
        <v>0</v>
      </c>
      <c r="E21" s="97">
        <f>[3]Icelandair!$GD$9</f>
        <v>0</v>
      </c>
      <c r="F21" s="97">
        <f>[3]Southwest!$GD$9</f>
        <v>0</v>
      </c>
      <c r="G21" s="97">
        <f>'[3]Sun Country'!$GD$9</f>
        <v>76</v>
      </c>
      <c r="H21" s="97">
        <f>[3]Alaska!$GD$9</f>
        <v>0</v>
      </c>
      <c r="I21" s="120">
        <f>SUM(B21:H21)</f>
        <v>76</v>
      </c>
    </row>
    <row r="22" spans="1:256" x14ac:dyDescent="0.2">
      <c r="A22" s="51" t="s">
        <v>27</v>
      </c>
      <c r="B22" s="121">
        <f t="shared" ref="B22:H22" si="6">SUM(B20:B21)</f>
        <v>0</v>
      </c>
      <c r="C22" s="121">
        <f t="shared" ref="C22:D22" si="7">SUM(C20:C21)</f>
        <v>0</v>
      </c>
      <c r="D22" s="121">
        <f t="shared" si="7"/>
        <v>0</v>
      </c>
      <c r="E22" s="121">
        <f t="shared" si="6"/>
        <v>0</v>
      </c>
      <c r="F22" s="121">
        <f t="shared" si="6"/>
        <v>0</v>
      </c>
      <c r="G22" s="121">
        <f t="shared" si="6"/>
        <v>155</v>
      </c>
      <c r="H22" s="121">
        <f t="shared" si="6"/>
        <v>0</v>
      </c>
      <c r="I22" s="122">
        <f>SUM(B22:H22)</f>
        <v>155</v>
      </c>
    </row>
    <row r="23" spans="1:256" ht="15.75" thickBot="1" x14ac:dyDescent="0.3">
      <c r="A23" s="48" t="s">
        <v>28</v>
      </c>
      <c r="B23" s="123">
        <f t="shared" ref="B23:H23" si="8">B22+B18</f>
        <v>216</v>
      </c>
      <c r="C23" s="123">
        <f t="shared" ref="C23:D23" si="9">C22+C18</f>
        <v>202</v>
      </c>
      <c r="D23" s="123">
        <f t="shared" si="9"/>
        <v>148</v>
      </c>
      <c r="E23" s="123">
        <f t="shared" si="8"/>
        <v>30</v>
      </c>
      <c r="F23" s="123">
        <f t="shared" si="8"/>
        <v>1492</v>
      </c>
      <c r="G23" s="123">
        <f t="shared" si="8"/>
        <v>2101</v>
      </c>
      <c r="H23" s="123">
        <f t="shared" si="8"/>
        <v>168</v>
      </c>
      <c r="I23" s="124">
        <f>SUM(B23:H23)</f>
        <v>4357</v>
      </c>
    </row>
    <row r="24" spans="1:25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3.5" thickBot="1" x14ac:dyDescent="0.25">
      <c r="B25" s="357"/>
      <c r="C25" s="357"/>
      <c r="D25" s="357"/>
      <c r="E25" s="357"/>
      <c r="F25" s="357"/>
      <c r="G25" s="357"/>
      <c r="H25" s="357"/>
      <c r="I25" s="97"/>
    </row>
    <row r="26" spans="1:256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3"/>
    </row>
    <row r="27" spans="1:256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26"/>
    </row>
    <row r="28" spans="1:256" x14ac:dyDescent="0.2">
      <c r="A28" s="47" t="s">
        <v>37</v>
      </c>
      <c r="B28" s="97">
        <f>[3]Frontier!$GD$47</f>
        <v>0</v>
      </c>
      <c r="C28" s="97">
        <f>'[3]Air Choice One'!$GD$47</f>
        <v>0</v>
      </c>
      <c r="D28" s="97">
        <f>'[3]Boutique Air'!$GD$47</f>
        <v>0</v>
      </c>
      <c r="E28" s="97">
        <f>[3]Icelandair!$GD$47</f>
        <v>8763</v>
      </c>
      <c r="F28" s="97">
        <f>[3]Southwest!$GD$47</f>
        <v>252371</v>
      </c>
      <c r="G28" s="97">
        <f>'[3]Sun Country'!$GD$47</f>
        <v>40700</v>
      </c>
      <c r="H28" s="97">
        <f>[3]Alaska!$GD$47</f>
        <v>6769</v>
      </c>
      <c r="I28" s="120">
        <f>SUM(B28:H28)</f>
        <v>308603</v>
      </c>
    </row>
    <row r="29" spans="1:256" x14ac:dyDescent="0.2">
      <c r="A29" s="47" t="s">
        <v>38</v>
      </c>
      <c r="B29" s="97">
        <f>[3]Frontier!$GD$48</f>
        <v>0</v>
      </c>
      <c r="C29" s="97">
        <f>'[3]Air Choice One'!$GD$48</f>
        <v>0</v>
      </c>
      <c r="D29" s="97">
        <f>'[3]Boutique Air'!$GD$48</f>
        <v>0</v>
      </c>
      <c r="E29" s="97">
        <f>[3]Icelandair!$GD$48</f>
        <v>0</v>
      </c>
      <c r="F29" s="97">
        <f>[3]Southwest!$GD$48</f>
        <v>0</v>
      </c>
      <c r="G29" s="97">
        <f>'[3]Sun Country'!$GD$48</f>
        <v>161076</v>
      </c>
      <c r="H29" s="97">
        <f>[3]Alaska!$GD$48</f>
        <v>827</v>
      </c>
      <c r="I29" s="120">
        <f>SUM(B29:H29)</f>
        <v>161903</v>
      </c>
    </row>
    <row r="30" spans="1:256" x14ac:dyDescent="0.2">
      <c r="A30" s="51" t="s">
        <v>39</v>
      </c>
      <c r="B30" s="135">
        <f t="shared" ref="B30:H30" si="10">SUM(B28:B29)</f>
        <v>0</v>
      </c>
      <c r="C30" s="135">
        <f t="shared" ref="C30:D30" si="11">SUM(C28:C29)</f>
        <v>0</v>
      </c>
      <c r="D30" s="135">
        <f t="shared" si="11"/>
        <v>0</v>
      </c>
      <c r="E30" s="135">
        <f t="shared" si="10"/>
        <v>8763</v>
      </c>
      <c r="F30" s="135">
        <f t="shared" si="10"/>
        <v>252371</v>
      </c>
      <c r="G30" s="135">
        <f t="shared" si="10"/>
        <v>201776</v>
      </c>
      <c r="H30" s="135">
        <f t="shared" si="10"/>
        <v>7596</v>
      </c>
      <c r="I30" s="137">
        <f>SUM(B30:H30)</f>
        <v>470506</v>
      </c>
    </row>
    <row r="31" spans="1:256" x14ac:dyDescent="0.2">
      <c r="A31" s="47"/>
      <c r="B31" s="127"/>
      <c r="C31" s="127"/>
      <c r="D31" s="127"/>
      <c r="E31" s="127"/>
      <c r="F31" s="127"/>
      <c r="G31" s="127"/>
      <c r="H31" s="127"/>
      <c r="I31" s="120"/>
    </row>
    <row r="32" spans="1:256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120"/>
    </row>
    <row r="33" spans="1:9" x14ac:dyDescent="0.2">
      <c r="A33" s="47" t="s">
        <v>37</v>
      </c>
      <c r="B33" s="97">
        <f>[3]Frontier!$GD$52</f>
        <v>0</v>
      </c>
      <c r="C33" s="97">
        <f>'[3]Air Choice One'!$GD$52</f>
        <v>0</v>
      </c>
      <c r="D33" s="97">
        <f>'[3]Boutique Air'!$GD$52</f>
        <v>0</v>
      </c>
      <c r="E33" s="97">
        <f>[3]Icelandair!$GD$52</f>
        <v>214</v>
      </c>
      <c r="F33" s="97">
        <f>[3]Southwest!$GD$52</f>
        <v>67570</v>
      </c>
      <c r="G33" s="97">
        <f>'[3]Sun Country'!$GD$52</f>
        <v>34754</v>
      </c>
      <c r="H33" s="97">
        <f>[3]Alaska!$GD$52</f>
        <v>8588</v>
      </c>
      <c r="I33" s="120">
        <f>SUM(B33:H33)</f>
        <v>111126</v>
      </c>
    </row>
    <row r="34" spans="1:9" x14ac:dyDescent="0.2">
      <c r="A34" s="47" t="s">
        <v>38</v>
      </c>
      <c r="B34" s="97">
        <f>[3]Frontier!$GD$53</f>
        <v>0</v>
      </c>
      <c r="C34" s="97">
        <f>'[3]Air Choice One'!$GD$53</f>
        <v>0</v>
      </c>
      <c r="D34" s="97">
        <f>'[3]Boutique Air'!$GD$53</f>
        <v>0</v>
      </c>
      <c r="E34" s="97">
        <f>[3]Icelandair!$GD$53</f>
        <v>0</v>
      </c>
      <c r="F34" s="97">
        <f>[3]Southwest!$GD$53</f>
        <v>0</v>
      </c>
      <c r="G34" s="97">
        <f>'[3]Sun Country'!$GD$53</f>
        <v>330364</v>
      </c>
      <c r="H34" s="97">
        <f>[3]Alaska!$GD$53</f>
        <v>10074</v>
      </c>
      <c r="I34" s="136">
        <f>SUM(B34:H34)</f>
        <v>340438</v>
      </c>
    </row>
    <row r="35" spans="1:9" x14ac:dyDescent="0.2">
      <c r="A35" s="51" t="s">
        <v>41</v>
      </c>
      <c r="B35" s="121">
        <f t="shared" ref="B35:H35" si="12">SUM(B33:B34)</f>
        <v>0</v>
      </c>
      <c r="C35" s="121">
        <f t="shared" ref="C35:D35" si="13">SUM(C33:C34)</f>
        <v>0</v>
      </c>
      <c r="D35" s="121">
        <f t="shared" si="13"/>
        <v>0</v>
      </c>
      <c r="E35" s="121">
        <f t="shared" si="12"/>
        <v>214</v>
      </c>
      <c r="F35" s="121">
        <f t="shared" si="12"/>
        <v>67570</v>
      </c>
      <c r="G35" s="121">
        <f t="shared" si="12"/>
        <v>365118</v>
      </c>
      <c r="H35" s="121">
        <f t="shared" si="12"/>
        <v>18662</v>
      </c>
      <c r="I35" s="137">
        <f>SUM(B35:H35)</f>
        <v>451564</v>
      </c>
    </row>
    <row r="36" spans="1:9" hidden="1" x14ac:dyDescent="0.2">
      <c r="A36" s="47"/>
      <c r="B36" s="127"/>
      <c r="C36" s="127"/>
      <c r="D36" s="127"/>
      <c r="E36" s="127"/>
      <c r="F36" s="127"/>
      <c r="G36" s="127"/>
      <c r="H36" s="127"/>
      <c r="I36" s="120"/>
    </row>
    <row r="37" spans="1:9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0"/>
    </row>
    <row r="38" spans="1:9" hidden="1" x14ac:dyDescent="0.2">
      <c r="A38" s="47" t="s">
        <v>37</v>
      </c>
      <c r="B38" s="127">
        <f>[3]Frontier!$GD$57</f>
        <v>0</v>
      </c>
      <c r="C38" s="127">
        <f>'[3]Air Choice One'!$GD$57</f>
        <v>0</v>
      </c>
      <c r="D38" s="127">
        <f>'[3]Boutique Air'!$GD$57</f>
        <v>0</v>
      </c>
      <c r="E38" s="127">
        <f>[3]Icelandair!$GD$57</f>
        <v>0</v>
      </c>
      <c r="F38" s="127">
        <f>[3]Southwest!$GD$57</f>
        <v>0</v>
      </c>
      <c r="G38" s="127">
        <f>'[3]Sun Country'!$GD$57</f>
        <v>0</v>
      </c>
      <c r="H38" s="127">
        <f>[3]Alaska!$GD$57</f>
        <v>0</v>
      </c>
      <c r="I38" s="120">
        <f>SUM(B38:G38)</f>
        <v>0</v>
      </c>
    </row>
    <row r="39" spans="1:9" hidden="1" x14ac:dyDescent="0.2">
      <c r="A39" s="47" t="s">
        <v>38</v>
      </c>
      <c r="B39" s="130">
        <f>[3]Frontier!$GD$58</f>
        <v>0</v>
      </c>
      <c r="C39" s="130">
        <f>'[3]Air Choice One'!$GD$58</f>
        <v>0</v>
      </c>
      <c r="D39" s="130">
        <f>'[3]Boutique Air'!$GD$58</f>
        <v>0</v>
      </c>
      <c r="E39" s="130">
        <f>[3]Icelandair!$GD$58</f>
        <v>0</v>
      </c>
      <c r="F39" s="130">
        <f>[3]Southwest!$GD$58</f>
        <v>0</v>
      </c>
      <c r="G39" s="130">
        <f>'[3]Sun Country'!$GD$58</f>
        <v>0</v>
      </c>
      <c r="H39" s="130">
        <f>[3]Alaska!$GD$58</f>
        <v>0</v>
      </c>
      <c r="I39" s="136">
        <f>SUM(B39:G39)</f>
        <v>0</v>
      </c>
    </row>
    <row r="40" spans="1:9" hidden="1" x14ac:dyDescent="0.2">
      <c r="A40" s="51" t="s">
        <v>43</v>
      </c>
      <c r="B40" s="138">
        <f t="shared" ref="B40:H40" si="14">SUM(B38:B39)</f>
        <v>0</v>
      </c>
      <c r="C40" s="138">
        <f t="shared" ref="C40:D40" si="15">SUM(C38:C39)</f>
        <v>0</v>
      </c>
      <c r="D40" s="138">
        <f t="shared" si="15"/>
        <v>0</v>
      </c>
      <c r="E40" s="138">
        <f t="shared" si="14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20">
        <f>SUM(B40:G40)</f>
        <v>0</v>
      </c>
    </row>
    <row r="41" spans="1:9" x14ac:dyDescent="0.2">
      <c r="A41" s="47"/>
      <c r="B41" s="127"/>
      <c r="C41" s="127"/>
      <c r="D41" s="127"/>
      <c r="E41" s="127"/>
      <c r="F41" s="127"/>
      <c r="G41" s="127"/>
      <c r="H41" s="127"/>
      <c r="I41" s="120"/>
    </row>
    <row r="42" spans="1:9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0"/>
    </row>
    <row r="43" spans="1:9" x14ac:dyDescent="0.2">
      <c r="A43" s="47" t="s">
        <v>45</v>
      </c>
      <c r="B43" s="127">
        <f t="shared" ref="B43:H43" si="16">B28+B33+B38</f>
        <v>0</v>
      </c>
      <c r="C43" s="127">
        <f t="shared" ref="C43:D43" si="17">C28+C33+C38</f>
        <v>0</v>
      </c>
      <c r="D43" s="127">
        <f t="shared" si="17"/>
        <v>0</v>
      </c>
      <c r="E43" s="127">
        <f t="shared" si="16"/>
        <v>8977</v>
      </c>
      <c r="F43" s="127">
        <f t="shared" si="16"/>
        <v>319941</v>
      </c>
      <c r="G43" s="127">
        <f t="shared" si="16"/>
        <v>75454</v>
      </c>
      <c r="H43" s="127">
        <f t="shared" si="16"/>
        <v>15357</v>
      </c>
      <c r="I43" s="120">
        <f>SUM(B43:H43)</f>
        <v>419729</v>
      </c>
    </row>
    <row r="44" spans="1:9" x14ac:dyDescent="0.2">
      <c r="A44" s="47" t="s">
        <v>38</v>
      </c>
      <c r="B44" s="130">
        <f t="shared" ref="B44:H44" si="18">+B39+B34+B29</f>
        <v>0</v>
      </c>
      <c r="C44" s="130">
        <f t="shared" ref="C44:D44" si="19">+C39+C34+C29</f>
        <v>0</v>
      </c>
      <c r="D44" s="130">
        <f t="shared" si="19"/>
        <v>0</v>
      </c>
      <c r="E44" s="130">
        <f t="shared" si="18"/>
        <v>0</v>
      </c>
      <c r="F44" s="130">
        <f t="shared" si="18"/>
        <v>0</v>
      </c>
      <c r="G44" s="130">
        <f t="shared" si="18"/>
        <v>491440</v>
      </c>
      <c r="H44" s="130">
        <f t="shared" si="18"/>
        <v>10901</v>
      </c>
      <c r="I44" s="120">
        <f>SUM(B44:H44)</f>
        <v>502341</v>
      </c>
    </row>
    <row r="45" spans="1:9" ht="15.75" thickBot="1" x14ac:dyDescent="0.3">
      <c r="A45" s="48" t="s">
        <v>46</v>
      </c>
      <c r="B45" s="139">
        <f t="shared" ref="B45:H45" si="20">B43+B44</f>
        <v>0</v>
      </c>
      <c r="C45" s="139">
        <f t="shared" ref="C45:D45" si="21">C43+C44</f>
        <v>0</v>
      </c>
      <c r="D45" s="139">
        <f t="shared" si="21"/>
        <v>0</v>
      </c>
      <c r="E45" s="139">
        <f t="shared" si="20"/>
        <v>8977</v>
      </c>
      <c r="F45" s="139">
        <f t="shared" si="20"/>
        <v>319941</v>
      </c>
      <c r="G45" s="139">
        <f t="shared" si="20"/>
        <v>566894</v>
      </c>
      <c r="H45" s="139">
        <f t="shared" si="20"/>
        <v>26258</v>
      </c>
      <c r="I45" s="140">
        <f>SUM(B45:H45)</f>
        <v>922070</v>
      </c>
    </row>
    <row r="48" spans="1:9" x14ac:dyDescent="0.2">
      <c r="A48" s="322" t="s">
        <v>123</v>
      </c>
      <c r="B48" s="333"/>
      <c r="C48" s="333"/>
      <c r="D48" s="333"/>
      <c r="F48" s="279">
        <f>[3]Southwest!$GD$70+[3]Southwest!$GD$73</f>
        <v>91548</v>
      </c>
      <c r="G48" s="279">
        <f>'[3]Sun Country'!$GD$70+'[3]Sun Country'!$GD$73</f>
        <v>155712</v>
      </c>
      <c r="H48" s="333"/>
      <c r="I48" s="268">
        <f>SUM(B48:H48)</f>
        <v>247260</v>
      </c>
    </row>
    <row r="49" spans="1:9" x14ac:dyDescent="0.2">
      <c r="A49" s="335" t="s">
        <v>124</v>
      </c>
      <c r="B49" s="333"/>
      <c r="C49" s="333"/>
      <c r="D49" s="333"/>
      <c r="F49" s="279">
        <f>[3]Southwest!$GD$71+[3]Southwest!$GD$74</f>
        <v>1310</v>
      </c>
      <c r="G49" s="279">
        <f>'[3]Sun Country'!$GD$71+'[3]Sun Country'!$GD$74</f>
        <v>1298</v>
      </c>
      <c r="H49" s="333"/>
      <c r="I49" s="268">
        <f>SUM(B49:H49)</f>
        <v>2608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March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topLeftCell="A7" zoomScaleNormal="100" zoomScaleSheetLayoutView="115" workbookViewId="0">
      <selection activeCell="O17" sqref="O1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331"/>
    </row>
    <row r="2" spans="1:13" ht="51.75" thickBot="1" x14ac:dyDescent="0.25">
      <c r="A2" s="325">
        <v>43525</v>
      </c>
      <c r="B2" s="372" t="s">
        <v>161</v>
      </c>
      <c r="C2" s="372" t="s">
        <v>164</v>
      </c>
      <c r="D2" s="372" t="s">
        <v>173</v>
      </c>
      <c r="E2" s="372" t="s">
        <v>172</v>
      </c>
      <c r="F2" s="372" t="s">
        <v>174</v>
      </c>
      <c r="G2" s="372" t="s">
        <v>212</v>
      </c>
      <c r="H2" s="372" t="s">
        <v>178</v>
      </c>
      <c r="I2" s="372" t="s">
        <v>185</v>
      </c>
      <c r="J2" s="372" t="s">
        <v>208</v>
      </c>
      <c r="K2" s="372" t="s">
        <v>177</v>
      </c>
      <c r="L2" s="12" t="s">
        <v>117</v>
      </c>
      <c r="M2" s="12" t="s">
        <v>21</v>
      </c>
    </row>
    <row r="3" spans="1:13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13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13" x14ac:dyDescent="0.2">
      <c r="A5" s="47" t="s">
        <v>30</v>
      </c>
      <c r="B5" s="89">
        <f>[3]Pinnacle!$GD$22+[3]Pinnacle!$GD$32</f>
        <v>69476</v>
      </c>
      <c r="C5" s="89">
        <f>[3]MESA_UA!$GD$22</f>
        <v>6438</v>
      </c>
      <c r="D5" s="97">
        <f>'[3]Sky West'!$GD$22+'[3]Sky West'!$GD$32</f>
        <v>215541</v>
      </c>
      <c r="E5" s="97">
        <f>'[3]Sky West_UA'!$GD$22</f>
        <v>4810</v>
      </c>
      <c r="F5" s="97">
        <f>'[3]Sky West_AS'!$GD$22</f>
        <v>2803</v>
      </c>
      <c r="G5" s="97">
        <f>'[3]Sky West_AA'!$GD$22</f>
        <v>0</v>
      </c>
      <c r="H5" s="97">
        <f>[3]Republic!$GD$22</f>
        <v>9403</v>
      </c>
      <c r="I5" s="97">
        <f>[3]Republic_UA!$GD$22</f>
        <v>17515</v>
      </c>
      <c r="J5" s="97">
        <f>'[3]Sky Regional'!$GD$32</f>
        <v>4585</v>
      </c>
      <c r="K5" s="97">
        <f>'[3]American Eagle'!$GD$22</f>
        <v>4267</v>
      </c>
      <c r="L5" s="97">
        <f>'Other Regional'!J5</f>
        <v>10760</v>
      </c>
      <c r="M5" s="90">
        <f>SUM(B5:L5)</f>
        <v>345598</v>
      </c>
    </row>
    <row r="6" spans="1:13" s="6" customFormat="1" x14ac:dyDescent="0.2">
      <c r="A6" s="47" t="s">
        <v>31</v>
      </c>
      <c r="B6" s="89">
        <f>[3]Pinnacle!$GD$23+[3]Pinnacle!$GD$33</f>
        <v>70073</v>
      </c>
      <c r="C6" s="89">
        <f>[3]MESA_UA!$GD$23</f>
        <v>6359</v>
      </c>
      <c r="D6" s="97">
        <f>'[3]Sky West'!$GD$23+'[3]Sky West'!$GD$33</f>
        <v>216797</v>
      </c>
      <c r="E6" s="97">
        <f>'[3]Sky West_UA'!$GD$23</f>
        <v>4868</v>
      </c>
      <c r="F6" s="97">
        <f>'[3]Sky West_AS'!$GD$23</f>
        <v>2779</v>
      </c>
      <c r="G6" s="97">
        <f>'[3]Sky West_AA'!$GD$23</f>
        <v>0</v>
      </c>
      <c r="H6" s="97">
        <f>[3]Republic!$GD$23</f>
        <v>9909</v>
      </c>
      <c r="I6" s="97">
        <f>[3]Republic_UA!$GD$23</f>
        <v>17550</v>
      </c>
      <c r="J6" s="97">
        <f>'[3]Sky Regional'!$GD$33</f>
        <v>5053</v>
      </c>
      <c r="K6" s="97">
        <f>'[3]American Eagle'!$GD$23</f>
        <v>4413</v>
      </c>
      <c r="L6" s="97">
        <f>'Other Regional'!J6</f>
        <v>11753</v>
      </c>
      <c r="M6" s="94">
        <f>SUM(B6:L6)</f>
        <v>349554</v>
      </c>
    </row>
    <row r="7" spans="1:13" ht="15" thickBot="1" x14ac:dyDescent="0.25">
      <c r="A7" s="56" t="s">
        <v>7</v>
      </c>
      <c r="B7" s="107">
        <f>SUM(B5:B6)</f>
        <v>139549</v>
      </c>
      <c r="C7" s="107">
        <f t="shared" ref="C7:L7" si="0">SUM(C5:C6)</f>
        <v>12797</v>
      </c>
      <c r="D7" s="107">
        <f t="shared" si="0"/>
        <v>432338</v>
      </c>
      <c r="E7" s="107">
        <f t="shared" si="0"/>
        <v>9678</v>
      </c>
      <c r="F7" s="107">
        <f t="shared" ref="F7:G7" si="1">SUM(F5:F6)</f>
        <v>5582</v>
      </c>
      <c r="G7" s="107">
        <f t="shared" si="1"/>
        <v>0</v>
      </c>
      <c r="H7" s="107">
        <f t="shared" si="0"/>
        <v>19312</v>
      </c>
      <c r="I7" s="107">
        <f t="shared" si="0"/>
        <v>35065</v>
      </c>
      <c r="J7" s="107">
        <f t="shared" si="0"/>
        <v>9638</v>
      </c>
      <c r="K7" s="107">
        <f t="shared" si="0"/>
        <v>8680</v>
      </c>
      <c r="L7" s="107">
        <f t="shared" si="0"/>
        <v>22513</v>
      </c>
      <c r="M7" s="108">
        <f>SUM(B7:L7)</f>
        <v>695152</v>
      </c>
    </row>
    <row r="8" spans="1:13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13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13" x14ac:dyDescent="0.2">
      <c r="A10" s="47" t="s">
        <v>30</v>
      </c>
      <c r="B10" s="89">
        <f>[3]Pinnacle!$GD$27+[3]Pinnacle!$GD$37</f>
        <v>2311</v>
      </c>
      <c r="C10" s="89">
        <f>[3]MESA_UA!$GD$27</f>
        <v>122</v>
      </c>
      <c r="D10" s="97">
        <f>'[3]Sky West'!$GD$27+'[3]Sky West'!$GD$37</f>
        <v>8494</v>
      </c>
      <c r="E10" s="97">
        <f>'[3]Sky West_UA'!$GD$27</f>
        <v>137</v>
      </c>
      <c r="F10" s="97">
        <f>'[3]Sky West_AS'!$GD$27</f>
        <v>51</v>
      </c>
      <c r="G10" s="97">
        <f>'[3]Sky West_AA'!$GD$27</f>
        <v>0</v>
      </c>
      <c r="H10" s="97">
        <f>[3]Republic!$GD$27</f>
        <v>379</v>
      </c>
      <c r="I10" s="97">
        <f>[3]Republic_UA!$GD$27</f>
        <v>634</v>
      </c>
      <c r="J10" s="97">
        <f>'[3]Sky Regional'!$GD$37</f>
        <v>38</v>
      </c>
      <c r="K10" s="97">
        <f>'[3]American Eagle'!$GD$27</f>
        <v>174</v>
      </c>
      <c r="L10" s="97">
        <f>'Other Regional'!J10</f>
        <v>303</v>
      </c>
      <c r="M10" s="90">
        <f>SUM(B10:L10)</f>
        <v>12643</v>
      </c>
    </row>
    <row r="11" spans="1:13" x14ac:dyDescent="0.2">
      <c r="A11" s="47" t="s">
        <v>33</v>
      </c>
      <c r="B11" s="89">
        <f>[3]Pinnacle!$GD$28+[3]Pinnacle!$GD$38</f>
        <v>2459</v>
      </c>
      <c r="C11" s="89">
        <f>[3]MESA_UA!$GD$28</f>
        <v>150</v>
      </c>
      <c r="D11" s="97">
        <f>'[3]Sky West'!$GD$28+'[3]Sky West'!$GD$38</f>
        <v>7883</v>
      </c>
      <c r="E11" s="97">
        <f>'[3]Sky West_UA'!$GD$28</f>
        <v>118</v>
      </c>
      <c r="F11" s="97">
        <f>'[3]Sky West_AS'!$GD$28</f>
        <v>75</v>
      </c>
      <c r="G11" s="97">
        <f>'[3]Sky West_AA'!$GD$28</f>
        <v>0</v>
      </c>
      <c r="H11" s="97">
        <f>[3]Republic!$GD$28</f>
        <v>440</v>
      </c>
      <c r="I11" s="97">
        <f>[3]Republic_UA!$GD$28</f>
        <v>659</v>
      </c>
      <c r="J11" s="97">
        <f>'[3]Sky Regional'!$GD$38</f>
        <v>48</v>
      </c>
      <c r="K11" s="97">
        <f>'[3]American Eagle'!$GD$28</f>
        <v>135</v>
      </c>
      <c r="L11" s="97">
        <f>'Other Regional'!J11</f>
        <v>370</v>
      </c>
      <c r="M11" s="94">
        <f>SUM(B11:L11)</f>
        <v>12337</v>
      </c>
    </row>
    <row r="12" spans="1:13" ht="15" thickBot="1" x14ac:dyDescent="0.25">
      <c r="A12" s="57" t="s">
        <v>34</v>
      </c>
      <c r="B12" s="110">
        <f t="shared" ref="B12:L12" si="2">SUM(B10:B11)</f>
        <v>4770</v>
      </c>
      <c r="C12" s="110">
        <f t="shared" si="2"/>
        <v>272</v>
      </c>
      <c r="D12" s="110">
        <f t="shared" si="2"/>
        <v>16377</v>
      </c>
      <c r="E12" s="110">
        <f t="shared" si="2"/>
        <v>255</v>
      </c>
      <c r="F12" s="110">
        <f t="shared" ref="F12:G12" si="3">SUM(F10:F11)</f>
        <v>126</v>
      </c>
      <c r="G12" s="110">
        <f t="shared" si="3"/>
        <v>0</v>
      </c>
      <c r="H12" s="110">
        <f t="shared" si="2"/>
        <v>819</v>
      </c>
      <c r="I12" s="110">
        <f t="shared" si="2"/>
        <v>1293</v>
      </c>
      <c r="J12" s="110">
        <f t="shared" si="2"/>
        <v>86</v>
      </c>
      <c r="K12" s="110">
        <f t="shared" si="2"/>
        <v>309</v>
      </c>
      <c r="L12" s="110">
        <f t="shared" si="2"/>
        <v>673</v>
      </c>
      <c r="M12" s="111">
        <f>SUM(B12:L12)</f>
        <v>24980</v>
      </c>
    </row>
    <row r="13" spans="1:13" ht="13.5" thickBot="1" x14ac:dyDescent="0.25"/>
    <row r="14" spans="1:13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13" x14ac:dyDescent="0.2">
      <c r="A15" s="47" t="s">
        <v>53</v>
      </c>
      <c r="B15" s="13">
        <f>[3]Pinnacle!$GD$4+[3]Pinnacle!$GD$15</f>
        <v>1163</v>
      </c>
      <c r="C15" s="88">
        <f>[3]MESA_UA!$GD$4</f>
        <v>98</v>
      </c>
      <c r="D15" s="87">
        <f>'[3]Sky West'!$GD$4+'[3]Sky West'!$GD$15</f>
        <v>4344</v>
      </c>
      <c r="E15" s="87">
        <f>'[3]Sky West_UA'!$GD$4</f>
        <v>71</v>
      </c>
      <c r="F15" s="87">
        <f>'[3]Sky West_AS'!$GD$4</f>
        <v>40</v>
      </c>
      <c r="G15" s="87">
        <f>'[3]Sky West_AA'!$GD$4</f>
        <v>0</v>
      </c>
      <c r="H15" s="89">
        <f>[3]Republic!$GD$4</f>
        <v>170</v>
      </c>
      <c r="I15" s="386">
        <f>[3]Republic_UA!$GD$4</f>
        <v>276</v>
      </c>
      <c r="J15" s="386">
        <f>'[3]Sky Regional'!$GD$15</f>
        <v>85</v>
      </c>
      <c r="K15" s="89">
        <f>'[3]American Eagle'!$GD$4</f>
        <v>62</v>
      </c>
      <c r="L15" s="88">
        <f>'Other Regional'!J15</f>
        <v>197</v>
      </c>
      <c r="M15" s="90">
        <f t="shared" ref="M15:M21" si="5">SUM(B15:L15)</f>
        <v>6506</v>
      </c>
    </row>
    <row r="16" spans="1:13" x14ac:dyDescent="0.2">
      <c r="A16" s="47" t="s">
        <v>54</v>
      </c>
      <c r="B16" s="7">
        <f>[3]Pinnacle!$GD$5+[3]Pinnacle!$GD$16</f>
        <v>1165</v>
      </c>
      <c r="C16" s="92">
        <f>[3]MESA_UA!$GD$5</f>
        <v>98</v>
      </c>
      <c r="D16" s="91">
        <f>'[3]Sky West'!$GD$5+'[3]Sky West'!$GD$16</f>
        <v>4340</v>
      </c>
      <c r="E16" s="91">
        <f>'[3]Sky West_UA'!$GD$5</f>
        <v>71</v>
      </c>
      <c r="F16" s="91">
        <f>'[3]Sky West_AS'!$GD$5</f>
        <v>40</v>
      </c>
      <c r="G16" s="91">
        <f>'[3]Sky West_AA'!$GD$5</f>
        <v>0</v>
      </c>
      <c r="H16" s="93">
        <f>[3]Republic!$GD$5</f>
        <v>170</v>
      </c>
      <c r="I16" s="255">
        <f>[3]Republic_UA!$GD$5</f>
        <v>276</v>
      </c>
      <c r="J16" s="255">
        <f>'[3]Sky Regional'!$GD$16</f>
        <v>85</v>
      </c>
      <c r="K16" s="93">
        <f>'[3]American Eagle'!$GD$5</f>
        <v>62</v>
      </c>
      <c r="L16" s="92">
        <f>'Other Regional'!J16</f>
        <v>197</v>
      </c>
      <c r="M16" s="94">
        <f t="shared" si="5"/>
        <v>6504</v>
      </c>
    </row>
    <row r="17" spans="1:13" x14ac:dyDescent="0.2">
      <c r="A17" s="51" t="s">
        <v>55</v>
      </c>
      <c r="B17" s="95">
        <f t="shared" ref="B17:K17" si="6">SUM(B15:B16)</f>
        <v>2328</v>
      </c>
      <c r="C17" s="95">
        <f t="shared" si="6"/>
        <v>196</v>
      </c>
      <c r="D17" s="95">
        <f t="shared" si="6"/>
        <v>8684</v>
      </c>
      <c r="E17" s="95">
        <f t="shared" si="6"/>
        <v>142</v>
      </c>
      <c r="F17" s="95">
        <f t="shared" ref="F17:G17" si="7">SUM(F15:F16)</f>
        <v>80</v>
      </c>
      <c r="G17" s="95">
        <f t="shared" si="7"/>
        <v>0</v>
      </c>
      <c r="H17" s="95">
        <f t="shared" si="6"/>
        <v>340</v>
      </c>
      <c r="I17" s="95">
        <f t="shared" ref="I17:J17" si="8">SUM(I15:I16)</f>
        <v>552</v>
      </c>
      <c r="J17" s="95">
        <f t="shared" si="8"/>
        <v>170</v>
      </c>
      <c r="K17" s="95">
        <f t="shared" si="6"/>
        <v>124</v>
      </c>
      <c r="L17" s="95">
        <f>SUM(L15:L16)</f>
        <v>394</v>
      </c>
      <c r="M17" s="96">
        <f t="shared" si="5"/>
        <v>13010</v>
      </c>
    </row>
    <row r="18" spans="1:13" x14ac:dyDescent="0.2">
      <c r="A18" s="47" t="s">
        <v>56</v>
      </c>
      <c r="B18" s="97">
        <f>[3]Pinnacle!$GD$8</f>
        <v>1</v>
      </c>
      <c r="C18" s="89">
        <f>[3]MESA_UA!$GD$8</f>
        <v>0</v>
      </c>
      <c r="D18" s="97">
        <f>'[3]Sky West'!$GD$8</f>
        <v>1</v>
      </c>
      <c r="E18" s="97">
        <f>'[3]Sky West_UA'!$GD$8</f>
        <v>0</v>
      </c>
      <c r="F18" s="97">
        <f>'[3]Sky West_AS'!$GD$8</f>
        <v>0</v>
      </c>
      <c r="G18" s="97">
        <f>'[3]Sky West_AA'!$GD$8</f>
        <v>0</v>
      </c>
      <c r="H18" s="97">
        <f>[3]Republic!$GD$8</f>
        <v>0</v>
      </c>
      <c r="I18" s="97">
        <f>[3]Republic_UA!$GD$8</f>
        <v>0</v>
      </c>
      <c r="J18" s="97">
        <f>'[3]Sky Regional'!$GD$8</f>
        <v>0</v>
      </c>
      <c r="K18" s="97">
        <f>'[3]American Eagle'!$GD$8</f>
        <v>0</v>
      </c>
      <c r="L18" s="97">
        <f>'Other Regional'!J18</f>
        <v>0</v>
      </c>
      <c r="M18" s="90">
        <f t="shared" si="5"/>
        <v>2</v>
      </c>
    </row>
    <row r="19" spans="1:13" x14ac:dyDescent="0.2">
      <c r="A19" s="47" t="s">
        <v>57</v>
      </c>
      <c r="B19" s="98">
        <f>[3]Pinnacle!$GD$9</f>
        <v>0</v>
      </c>
      <c r="C19" s="93">
        <f>[3]MESA_UA!$GD$9</f>
        <v>0</v>
      </c>
      <c r="D19" s="98">
        <f>'[3]Sky West'!$GD$9</f>
        <v>4</v>
      </c>
      <c r="E19" s="98">
        <f>'[3]Sky West_UA'!$GD$9</f>
        <v>0</v>
      </c>
      <c r="F19" s="98">
        <f>'[3]Sky West_AS'!$GD$9</f>
        <v>0</v>
      </c>
      <c r="G19" s="98">
        <f>'[3]Sky West_AA'!$GD$9</f>
        <v>0</v>
      </c>
      <c r="H19" s="98">
        <f>[3]Republic!$GD$9</f>
        <v>0</v>
      </c>
      <c r="I19" s="98">
        <f>[3]Republic_UA!$GD$9</f>
        <v>0</v>
      </c>
      <c r="J19" s="98">
        <f>'[3]Sky Regional'!$GD$9</f>
        <v>0</v>
      </c>
      <c r="K19" s="98">
        <f>'[3]American Eagle'!$GD$9</f>
        <v>0</v>
      </c>
      <c r="L19" s="98">
        <f>'Other Regional'!J19</f>
        <v>0</v>
      </c>
      <c r="M19" s="94">
        <f t="shared" si="5"/>
        <v>4</v>
      </c>
    </row>
    <row r="20" spans="1:13" x14ac:dyDescent="0.2">
      <c r="A20" s="51" t="s">
        <v>58</v>
      </c>
      <c r="B20" s="95">
        <f t="shared" ref="B20:L20" si="9">SUM(B18:B19)</f>
        <v>1</v>
      </c>
      <c r="C20" s="95">
        <f t="shared" si="9"/>
        <v>0</v>
      </c>
      <c r="D20" s="95">
        <f t="shared" si="9"/>
        <v>5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6</v>
      </c>
    </row>
    <row r="21" spans="1:13" ht="15.75" thickBot="1" x14ac:dyDescent="0.3">
      <c r="A21" s="55" t="s">
        <v>28</v>
      </c>
      <c r="B21" s="99">
        <f t="shared" ref="B21:K21" si="11">SUM(B20,B17)</f>
        <v>2329</v>
      </c>
      <c r="C21" s="99">
        <f t="shared" si="11"/>
        <v>196</v>
      </c>
      <c r="D21" s="99">
        <f t="shared" si="11"/>
        <v>8689</v>
      </c>
      <c r="E21" s="99">
        <f t="shared" si="11"/>
        <v>142</v>
      </c>
      <c r="F21" s="99">
        <f t="shared" ref="F21:G21" si="12">SUM(F20,F17)</f>
        <v>80</v>
      </c>
      <c r="G21" s="99">
        <f t="shared" si="12"/>
        <v>0</v>
      </c>
      <c r="H21" s="99">
        <f t="shared" si="11"/>
        <v>340</v>
      </c>
      <c r="I21" s="99">
        <f t="shared" si="11"/>
        <v>552</v>
      </c>
      <c r="J21" s="99">
        <f t="shared" si="11"/>
        <v>170</v>
      </c>
      <c r="K21" s="99">
        <f t="shared" si="11"/>
        <v>124</v>
      </c>
      <c r="L21" s="99">
        <f>SUM(L20,L17)</f>
        <v>394</v>
      </c>
      <c r="M21" s="100">
        <f t="shared" si="5"/>
        <v>13016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[3]Pinnacle!$GD$47</f>
        <v>0</v>
      </c>
      <c r="C25" s="89">
        <f>[3]MESA_UA!$GD$47</f>
        <v>0</v>
      </c>
      <c r="D25" s="97">
        <f>'[3]Sky West'!$GD$47</f>
        <v>0</v>
      </c>
      <c r="E25" s="97">
        <f>'[3]Sky West_UA'!$GD$47</f>
        <v>0</v>
      </c>
      <c r="F25" s="97">
        <f>'[3]Sky West_AS'!$GD$47</f>
        <v>1068</v>
      </c>
      <c r="G25" s="97">
        <f>'[3]Sky West_AA'!$GD$47</f>
        <v>0</v>
      </c>
      <c r="H25" s="97">
        <f>[3]Republic!$GD$47</f>
        <v>0</v>
      </c>
      <c r="I25" s="97">
        <f>[3]Republic_UA!$GD$47</f>
        <v>0</v>
      </c>
      <c r="J25" s="97">
        <f>'[3]Sky Regional'!$GD$47</f>
        <v>1724</v>
      </c>
      <c r="K25" s="97">
        <f>'[3]American Eagle'!$GD$47</f>
        <v>129</v>
      </c>
      <c r="L25" s="97">
        <f>'Other Regional'!J25</f>
        <v>160</v>
      </c>
      <c r="M25" s="90">
        <f>SUM(B25:L25)</f>
        <v>3081</v>
      </c>
    </row>
    <row r="26" spans="1:13" x14ac:dyDescent="0.2">
      <c r="A26" s="47" t="s">
        <v>38</v>
      </c>
      <c r="B26" s="97">
        <f>[3]Pinnacle!$GD$48</f>
        <v>0</v>
      </c>
      <c r="C26" s="89">
        <f>[3]MESA_UA!$GD$48</f>
        <v>0</v>
      </c>
      <c r="D26" s="97">
        <f>'[3]Sky West'!$GD$48</f>
        <v>0</v>
      </c>
      <c r="E26" s="97">
        <f>'[3]Sky West_UA'!$GD$48</f>
        <v>0</v>
      </c>
      <c r="F26" s="97">
        <f>'[3]Sky West_AS'!$GD$48</f>
        <v>0</v>
      </c>
      <c r="G26" s="97">
        <f>'[3]Sky West_AA'!$GD$48</f>
        <v>0</v>
      </c>
      <c r="H26" s="97">
        <f>[3]Republic!$GD$48</f>
        <v>0</v>
      </c>
      <c r="I26" s="97">
        <f>[3]Republic_UA!$GD$48</f>
        <v>0</v>
      </c>
      <c r="J26" s="97">
        <f>'[3]Sky Regional'!$GD$48</f>
        <v>0</v>
      </c>
      <c r="K26" s="97">
        <f>'[3]American Eagle'!$GD$48</f>
        <v>0</v>
      </c>
      <c r="L26" s="97">
        <f>'Other Regional'!J26</f>
        <v>0</v>
      </c>
      <c r="M26" s="90">
        <f>SUM(B26:L26)</f>
        <v>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1068</v>
      </c>
      <c r="G27" s="107">
        <f t="shared" si="14"/>
        <v>0</v>
      </c>
      <c r="H27" s="107">
        <f t="shared" si="13"/>
        <v>0</v>
      </c>
      <c r="I27" s="107">
        <f t="shared" si="13"/>
        <v>0</v>
      </c>
      <c r="J27" s="107">
        <f t="shared" si="13"/>
        <v>1724</v>
      </c>
      <c r="K27" s="107">
        <f t="shared" si="13"/>
        <v>129</v>
      </c>
      <c r="L27" s="107">
        <f t="shared" si="13"/>
        <v>160</v>
      </c>
      <c r="M27" s="108">
        <f>SUM(B27:L27)</f>
        <v>3081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[3]Pinnacle!$GD$52</f>
        <v>0</v>
      </c>
      <c r="C30" s="89">
        <f>[3]MESA_UA!$GD$52</f>
        <v>0</v>
      </c>
      <c r="D30" s="97">
        <f>'[3]Sky West'!$GD$52</f>
        <v>0</v>
      </c>
      <c r="E30" s="97">
        <f>'[3]Sky West_UA'!$GD$52</f>
        <v>0</v>
      </c>
      <c r="F30" s="97">
        <f>'[3]Sky West_AS'!$GD$52</f>
        <v>22</v>
      </c>
      <c r="G30" s="97">
        <f>'[3]Sky West_AA'!$GD$52</f>
        <v>0</v>
      </c>
      <c r="H30" s="97">
        <f>[3]Republic!$GD$52</f>
        <v>0</v>
      </c>
      <c r="I30" s="97">
        <f>[3]Republic_UA!$GD$52</f>
        <v>0</v>
      </c>
      <c r="J30" s="97">
        <f>'[3]Sky Regional'!$GD$52</f>
        <v>2485</v>
      </c>
      <c r="K30" s="97">
        <f>'[3]American Eagle'!$GD$52</f>
        <v>0</v>
      </c>
      <c r="L30" s="97">
        <f>'Other Regional'!J30</f>
        <v>0</v>
      </c>
      <c r="M30" s="90">
        <f t="shared" ref="M30:M37" si="15">SUM(B30:L30)</f>
        <v>2507</v>
      </c>
    </row>
    <row r="31" spans="1:13" x14ac:dyDescent="0.2">
      <c r="A31" s="47" t="s">
        <v>60</v>
      </c>
      <c r="B31" s="97">
        <f>[3]Pinnacle!$GD$53</f>
        <v>0</v>
      </c>
      <c r="C31" s="89">
        <f>[3]MESA_UA!$GD$53</f>
        <v>0</v>
      </c>
      <c r="D31" s="97">
        <f>'[3]Sky West'!$GD$53</f>
        <v>0</v>
      </c>
      <c r="E31" s="97">
        <f>'[3]Sky West_UA'!$GD$53</f>
        <v>0</v>
      </c>
      <c r="F31" s="97">
        <f>'[3]Sky West_AS'!$GD$53</f>
        <v>2357</v>
      </c>
      <c r="G31" s="97">
        <f>'[3]Sky West_AA'!$GD$53</f>
        <v>0</v>
      </c>
      <c r="H31" s="97">
        <f>[3]Republic!$GD$53</f>
        <v>0</v>
      </c>
      <c r="I31" s="97">
        <f>[3]Republic_UA!$GD$53</f>
        <v>0</v>
      </c>
      <c r="J31" s="97">
        <f>'[3]Sky Regional'!$GD$53</f>
        <v>0</v>
      </c>
      <c r="K31" s="97">
        <f>'[3]American Eagle'!$GD$53</f>
        <v>0</v>
      </c>
      <c r="L31" s="97">
        <f>'Other Regional'!J31</f>
        <v>0</v>
      </c>
      <c r="M31" s="90">
        <f t="shared" si="15"/>
        <v>2357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2379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2485</v>
      </c>
      <c r="K32" s="107">
        <f t="shared" si="16"/>
        <v>0</v>
      </c>
      <c r="L32" s="107">
        <f>SUM(L30:L31)</f>
        <v>0</v>
      </c>
      <c r="M32" s="108">
        <f t="shared" si="15"/>
        <v>4864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[3]Pinnacle!$GD$57</f>
        <v>0</v>
      </c>
      <c r="C35" s="89">
        <f>[3]MESA_UA!$GD$57</f>
        <v>0</v>
      </c>
      <c r="D35" s="97">
        <f>'[3]Sky West'!$GD$57</f>
        <v>0</v>
      </c>
      <c r="E35" s="97">
        <f>'[3]Sky West_UA'!$GD$57</f>
        <v>0</v>
      </c>
      <c r="F35" s="97">
        <f>'[3]Sky West_AS'!$GD$57</f>
        <v>0</v>
      </c>
      <c r="G35" s="97">
        <f>'[3]Sky West_AA'!$GD$57</f>
        <v>0</v>
      </c>
      <c r="H35" s="97">
        <f>[3]Republic!$GD$57</f>
        <v>0</v>
      </c>
      <c r="I35" s="97">
        <f>[3]Republic!$GD$57</f>
        <v>0</v>
      </c>
      <c r="J35" s="97">
        <f>[3]Republic!$GD$57</f>
        <v>0</v>
      </c>
      <c r="K35" s="97">
        <f>'[3]American Eagle'!$GD$57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[3]Pinnacle!$GD$58</f>
        <v>0</v>
      </c>
      <c r="C36" s="89">
        <f>[3]MESA_UA!$GD$58</f>
        <v>0</v>
      </c>
      <c r="D36" s="97">
        <f>'[3]Sky West'!$GD$58</f>
        <v>0</v>
      </c>
      <c r="E36" s="97">
        <f>'[3]Sky West_UA'!$GD$58</f>
        <v>0</v>
      </c>
      <c r="F36" s="97">
        <f>'[3]Sky West_AS'!$GD$58</f>
        <v>0</v>
      </c>
      <c r="G36" s="97">
        <f>'[3]Sky West_AA'!$GD$58</f>
        <v>0</v>
      </c>
      <c r="H36" s="97">
        <f>[3]Republic!$GD$58</f>
        <v>0</v>
      </c>
      <c r="I36" s="97">
        <f>[3]Republic!$GD$58</f>
        <v>0</v>
      </c>
      <c r="J36" s="97">
        <f>[3]Republic!$GD$58</f>
        <v>0</v>
      </c>
      <c r="K36" s="97">
        <f>'[3]American Eagle'!$GD$58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1090</v>
      </c>
      <c r="G40" s="97">
        <f t="shared" ref="G40" si="22">SUM(G35,G30,G25)</f>
        <v>0</v>
      </c>
      <c r="H40" s="97">
        <f t="shared" si="20"/>
        <v>0</v>
      </c>
      <c r="I40" s="97">
        <f t="shared" si="20"/>
        <v>0</v>
      </c>
      <c r="J40" s="97">
        <f t="shared" si="20"/>
        <v>4209</v>
      </c>
      <c r="K40" s="97">
        <f>SUM(K35,K30,K25)</f>
        <v>129</v>
      </c>
      <c r="L40" s="97">
        <f>L35+L30+L25</f>
        <v>160</v>
      </c>
      <c r="M40" s="90">
        <f>SUM(B40:L40)</f>
        <v>5588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2357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2357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3447</v>
      </c>
      <c r="G42" s="110">
        <f t="shared" ref="G42" si="24">SUM(G37,G32,G27)</f>
        <v>0</v>
      </c>
      <c r="H42" s="110">
        <f t="shared" si="20"/>
        <v>0</v>
      </c>
      <c r="I42" s="110">
        <f t="shared" si="20"/>
        <v>0</v>
      </c>
      <c r="J42" s="110">
        <f t="shared" si="20"/>
        <v>4209</v>
      </c>
      <c r="K42" s="110">
        <f>SUM(K37,K32,K27)</f>
        <v>129</v>
      </c>
      <c r="L42" s="110">
        <f>SUM(L37,L32,L27)</f>
        <v>160</v>
      </c>
      <c r="M42" s="111">
        <f>SUM(B42:L42)</f>
        <v>7945</v>
      </c>
    </row>
    <row r="44" spans="1:13" x14ac:dyDescent="0.2">
      <c r="A44" s="322" t="s">
        <v>123</v>
      </c>
      <c r="B44" s="278">
        <f>[3]Pinnacle!$GD$70+[3]Pinnacle!$GD$73</f>
        <v>31112</v>
      </c>
      <c r="D44" s="279">
        <f>'[3]Sky West'!$GD$70+'[3]Sky West'!$GD$73</f>
        <v>70459</v>
      </c>
      <c r="E44" s="2"/>
      <c r="F44" s="2"/>
      <c r="G44" s="2"/>
      <c r="L44" s="279">
        <f>+'Other Regional'!J46</f>
        <v>5373</v>
      </c>
      <c r="M44" s="268">
        <f>SUM(B44:L44)</f>
        <v>106944</v>
      </c>
    </row>
    <row r="45" spans="1:13" x14ac:dyDescent="0.2">
      <c r="A45" s="335" t="s">
        <v>124</v>
      </c>
      <c r="B45" s="278">
        <f>[3]Pinnacle!$GD$71+[3]Pinnacle!$GD$74</f>
        <v>38961</v>
      </c>
      <c r="D45" s="279">
        <f>'[3]Sky West'!$GD$71+'[3]Sky West'!$GD$74</f>
        <v>146338</v>
      </c>
      <c r="E45" s="2"/>
      <c r="F45" s="2"/>
      <c r="G45" s="2"/>
      <c r="L45" s="279">
        <f>+'Other Regional'!J47</f>
        <v>5920</v>
      </c>
      <c r="M45" s="268">
        <f>SUM(B45:L45)</f>
        <v>191219</v>
      </c>
    </row>
    <row r="46" spans="1:13" x14ac:dyDescent="0.2">
      <c r="A46" s="269" t="s">
        <v>125</v>
      </c>
      <c r="B46" s="270">
        <f>SUM(B44:B45)</f>
        <v>70073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March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M29" sqref="M2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43525</v>
      </c>
      <c r="B2" s="431" t="s">
        <v>176</v>
      </c>
      <c r="C2" s="431" t="s">
        <v>175</v>
      </c>
      <c r="D2" s="431" t="s">
        <v>211</v>
      </c>
      <c r="E2" s="431" t="s">
        <v>186</v>
      </c>
      <c r="F2" s="431" t="s">
        <v>180</v>
      </c>
      <c r="G2" s="431" t="s">
        <v>179</v>
      </c>
      <c r="H2" s="431" t="s">
        <v>163</v>
      </c>
      <c r="I2" s="431" t="s">
        <v>167</v>
      </c>
      <c r="J2" s="432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30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America'!$GD$22</f>
        <v>0</v>
      </c>
      <c r="C5" s="89">
        <f>'[3]Shuttle America_Delta'!$GD$22</f>
        <v>205</v>
      </c>
      <c r="D5" s="386">
        <f>[3]Horizon_AS!$GD$22</f>
        <v>0</v>
      </c>
      <c r="E5" s="386">
        <f>[3]PSA!$GD$22</f>
        <v>0</v>
      </c>
      <c r="F5" s="89">
        <f>'[3]Atlantic Southeast'!$GD$22+'[3]Atlantic Southeast'!$GD$32</f>
        <v>0</v>
      </c>
      <c r="G5" s="89">
        <f>'[3]Continental Express'!$GD$22</f>
        <v>68</v>
      </c>
      <c r="H5" s="97">
        <f>'[3]Go Jet_UA'!$GD$22</f>
        <v>331</v>
      </c>
      <c r="I5" s="13">
        <f>'[3]Go Jet'!$GD$22+'[3]Go Jet'!$GD$32</f>
        <v>10156</v>
      </c>
      <c r="J5" s="90">
        <f>SUM(B5:I5)</f>
        <v>10760</v>
      </c>
    </row>
    <row r="6" spans="1:10" s="6" customFormat="1" x14ac:dyDescent="0.2">
      <c r="A6" s="47" t="s">
        <v>31</v>
      </c>
      <c r="B6" s="89">
        <f>'[3]Shuttle America'!$GD$23</f>
        <v>0</v>
      </c>
      <c r="C6" s="89">
        <f>'[3]Shuttle America_Delta'!$GD$23</f>
        <v>223</v>
      </c>
      <c r="D6" s="386">
        <f>[3]Horizon_AS!$GD$23</f>
        <v>0</v>
      </c>
      <c r="E6" s="386">
        <f>[3]PSA!$GD$23</f>
        <v>0</v>
      </c>
      <c r="F6" s="89">
        <f>'[3]Atlantic Southeast'!$GD$23+'[3]Atlantic Southeast'!$GD$33</f>
        <v>0</v>
      </c>
      <c r="G6" s="89">
        <f>'[3]Continental Express'!$GD$23</f>
        <v>50</v>
      </c>
      <c r="H6" s="97">
        <f>'[3]Go Jet_UA'!$GD$23</f>
        <v>410</v>
      </c>
      <c r="I6" s="7">
        <f>'[3]Go Jet'!$GD$23+'[3]Go Jet'!$GD$33</f>
        <v>11070</v>
      </c>
      <c r="J6" s="94">
        <f>SUM(B6:I6)</f>
        <v>11753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428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118</v>
      </c>
      <c r="H7" s="107">
        <f t="shared" si="0"/>
        <v>741</v>
      </c>
      <c r="I7" s="107">
        <f>SUM(I5:I6)</f>
        <v>21226</v>
      </c>
      <c r="J7" s="108">
        <f>SUM(B7:I7)</f>
        <v>22513</v>
      </c>
    </row>
    <row r="8" spans="1:10" ht="13.5" thickTop="1" x14ac:dyDescent="0.2">
      <c r="A8" s="47"/>
      <c r="B8" s="89"/>
      <c r="C8" s="89"/>
      <c r="D8" s="386"/>
      <c r="E8" s="386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6"/>
      <c r="E9" s="386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America'!$GD$27</f>
        <v>0</v>
      </c>
      <c r="C10" s="89">
        <f>'[3]Shuttle America_Delta'!$GD$27</f>
        <v>4</v>
      </c>
      <c r="D10" s="386">
        <f>[3]Horizon_AS!$GD$27</f>
        <v>0</v>
      </c>
      <c r="E10" s="386">
        <f>[3]PSA!$GD$27</f>
        <v>0</v>
      </c>
      <c r="F10" s="13">
        <f>'[3]Atlantic Southeast'!$GD$27+'[3]Atlantic Southeast'!$GD$37</f>
        <v>0</v>
      </c>
      <c r="G10" s="89">
        <f>'[3]Continental Express'!$GD$27</f>
        <v>0</v>
      </c>
      <c r="H10" s="97">
        <f>'[3]Go Jet_UA'!$GD$27</f>
        <v>7</v>
      </c>
      <c r="I10" s="13">
        <f>'[3]Go Jet'!$GD$27+'[3]Go Jet'!$GD$37</f>
        <v>292</v>
      </c>
      <c r="J10" s="90">
        <f>SUM(B10:I10)</f>
        <v>303</v>
      </c>
    </row>
    <row r="11" spans="1:10" x14ac:dyDescent="0.2">
      <c r="A11" s="47" t="s">
        <v>33</v>
      </c>
      <c r="B11" s="89">
        <f>'[3]Shuttle America'!$GD$28</f>
        <v>0</v>
      </c>
      <c r="C11" s="89">
        <f>'[3]Shuttle America_Delta'!$GD$28</f>
        <v>9</v>
      </c>
      <c r="D11" s="386">
        <f>[3]Horizon_AS!$GD$28</f>
        <v>0</v>
      </c>
      <c r="E11" s="386">
        <f>[3]PSA!$GD$28</f>
        <v>0</v>
      </c>
      <c r="F11" s="7">
        <f>'[3]Atlantic Southeast'!$GD$28+'[3]Atlantic Southeast'!$GD$38</f>
        <v>0</v>
      </c>
      <c r="G11" s="89">
        <f>'[3]Continental Express'!$GD$28</f>
        <v>0</v>
      </c>
      <c r="H11" s="97">
        <f>'[3]Go Jet_UA'!$GD$28</f>
        <v>8</v>
      </c>
      <c r="I11" s="7">
        <f>'[3]Go Jet'!$GD$28+'[3]Go Jet'!$GD$38</f>
        <v>353</v>
      </c>
      <c r="J11" s="94">
        <f>SUM(B11:I11)</f>
        <v>370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13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0</v>
      </c>
      <c r="H12" s="110">
        <f t="shared" si="3"/>
        <v>15</v>
      </c>
      <c r="I12" s="110">
        <f t="shared" ref="I12" si="4">SUM(I10:I11)</f>
        <v>645</v>
      </c>
      <c r="J12" s="111">
        <f>SUM(B12:I12)</f>
        <v>673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America'!$GD$4</f>
        <v>0</v>
      </c>
      <c r="C15" s="87">
        <f>'[3]Shuttle America_Delta'!$GD$4</f>
        <v>4</v>
      </c>
      <c r="D15" s="387">
        <f>[3]Horizon_AS!$GD$4</f>
        <v>0</v>
      </c>
      <c r="E15" s="387">
        <f>[3]PSA!$GD$4</f>
        <v>0</v>
      </c>
      <c r="F15" s="88">
        <f>'[3]Atlantic Southeast'!$GD$4+'[3]Atlantic Southeast'!$GD$15</f>
        <v>0</v>
      </c>
      <c r="G15" s="88">
        <f>'[3]Continental Express'!$GD$4</f>
        <v>2</v>
      </c>
      <c r="H15" s="87">
        <f>'[3]Go Jet_UA'!$GD$4</f>
        <v>6</v>
      </c>
      <c r="I15" s="13">
        <f>'[3]Go Jet'!$GD$4+'[3]Go Jet'!$GD$15</f>
        <v>185</v>
      </c>
      <c r="J15" s="90">
        <f t="shared" ref="J15:J21" si="5">SUM(B15:I15)</f>
        <v>197</v>
      </c>
    </row>
    <row r="16" spans="1:10" x14ac:dyDescent="0.2">
      <c r="A16" s="47" t="s">
        <v>54</v>
      </c>
      <c r="B16" s="91">
        <f>'[3]Shuttle America'!$GD$5</f>
        <v>0</v>
      </c>
      <c r="C16" s="91">
        <f>'[3]Shuttle America_Delta'!$GD$5</f>
        <v>4</v>
      </c>
      <c r="D16" s="388">
        <f>[3]Horizon_AS!$GD$5</f>
        <v>0</v>
      </c>
      <c r="E16" s="388">
        <f>[3]PSA!$GD$5</f>
        <v>0</v>
      </c>
      <c r="F16" s="92">
        <f>'[3]Atlantic Southeast'!$GD$5+'[3]Atlantic Southeast'!$GD$16</f>
        <v>0</v>
      </c>
      <c r="G16" s="92">
        <f>'[3]Continental Express'!$GD$5</f>
        <v>2</v>
      </c>
      <c r="H16" s="91">
        <f>'[3]Go Jet_UA'!$GD$5</f>
        <v>6</v>
      </c>
      <c r="I16" s="7">
        <f>'[3]Go Jet'!$GD$5+'[3]Go Jet'!$GD$16</f>
        <v>185</v>
      </c>
      <c r="J16" s="94">
        <f t="shared" si="5"/>
        <v>197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8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4</v>
      </c>
      <c r="H17" s="95">
        <f t="shared" si="7"/>
        <v>12</v>
      </c>
      <c r="I17" s="247">
        <f>SUM(I15:I16)</f>
        <v>370</v>
      </c>
      <c r="J17" s="96">
        <f t="shared" si="5"/>
        <v>394</v>
      </c>
    </row>
    <row r="18" spans="1:10" x14ac:dyDescent="0.2">
      <c r="A18" s="47" t="s">
        <v>56</v>
      </c>
      <c r="B18" s="97">
        <f>'[3]Shuttle America'!$GD$8</f>
        <v>0</v>
      </c>
      <c r="C18" s="97">
        <f>'[3]Shuttle America_Delta'!$GD$8</f>
        <v>0</v>
      </c>
      <c r="D18" s="97">
        <f>[3]Horizon_AS!$GD$8</f>
        <v>0</v>
      </c>
      <c r="E18" s="97">
        <f>[3]PSA!$GD$8</f>
        <v>0</v>
      </c>
      <c r="F18" s="89">
        <f>'[3]Atlantic Southeast'!$GD$8</f>
        <v>0</v>
      </c>
      <c r="G18" s="89">
        <f>'[3]Continental Express'!$GD$8</f>
        <v>0</v>
      </c>
      <c r="H18" s="97">
        <f>'[3]Go Jet_UA'!$GD$8</f>
        <v>0</v>
      </c>
      <c r="I18" s="13">
        <f>'[3]Go Jet'!$GD$8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America'!$GD$9</f>
        <v>0</v>
      </c>
      <c r="C19" s="98">
        <f>'[3]Shuttle America_Delta'!$GD$9</f>
        <v>0</v>
      </c>
      <c r="D19" s="98">
        <f>[3]Horizon_AS!$GD$9</f>
        <v>0</v>
      </c>
      <c r="E19" s="98">
        <f>[3]PSA!$GD$9</f>
        <v>0</v>
      </c>
      <c r="F19" s="93">
        <f>'[3]Atlantic Southeast'!$GD$9</f>
        <v>0</v>
      </c>
      <c r="G19" s="93">
        <f>'[3]Continental Express'!$GD$9</f>
        <v>0</v>
      </c>
      <c r="H19" s="98">
        <f>'[3]Go Jet_UA'!$GD$9</f>
        <v>0</v>
      </c>
      <c r="I19" s="7">
        <f>'[3]Go Jet'!$GD$9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8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4</v>
      </c>
      <c r="H21" s="99">
        <f t="shared" si="11"/>
        <v>12</v>
      </c>
      <c r="I21" s="99">
        <f t="shared" ref="I21" si="12">SUM(I20,I17)</f>
        <v>370</v>
      </c>
      <c r="J21" s="100">
        <f t="shared" si="5"/>
        <v>394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America'!$GD$47</f>
        <v>0</v>
      </c>
      <c r="C25" s="97">
        <f>'[3]Shuttle America_Delta'!$GD$47</f>
        <v>137</v>
      </c>
      <c r="D25" s="97">
        <f>[3]Horizon_AS!$GD$47</f>
        <v>0</v>
      </c>
      <c r="E25" s="97">
        <f>[3]PSA!$GD$47</f>
        <v>0</v>
      </c>
      <c r="F25" s="89">
        <f>'[3]Atlantic Southeast'!$GD$47</f>
        <v>0</v>
      </c>
      <c r="G25" s="89">
        <f>'[3]Continental Express'!$GD$47</f>
        <v>0</v>
      </c>
      <c r="H25" s="97">
        <f>'[3]Go Jet_UA'!$GD$47</f>
        <v>0</v>
      </c>
      <c r="I25" s="97">
        <f>'[3]Go Jet'!$GD$47</f>
        <v>23</v>
      </c>
      <c r="J25" s="90">
        <f>SUM(B25:I25)</f>
        <v>160</v>
      </c>
    </row>
    <row r="26" spans="1:10" x14ac:dyDescent="0.2">
      <c r="A26" s="47" t="s">
        <v>38</v>
      </c>
      <c r="B26" s="97">
        <f>'[3]Shuttle America'!$GD$48</f>
        <v>0</v>
      </c>
      <c r="C26" s="97">
        <f>'[3]Shuttle America_Delta'!$GD$48</f>
        <v>0</v>
      </c>
      <c r="D26" s="97">
        <f>[3]Horizon_AS!$GD$48</f>
        <v>0</v>
      </c>
      <c r="E26" s="97">
        <f>[3]PSA!$GD$48</f>
        <v>0</v>
      </c>
      <c r="F26" s="89">
        <f>'[3]Atlantic Southeast'!$GD$48</f>
        <v>0</v>
      </c>
      <c r="G26" s="89">
        <f>'[3]Continental Express'!$GD$48</f>
        <v>0</v>
      </c>
      <c r="H26" s="97">
        <f>'[3]Go Jet_UA'!$GD$48</f>
        <v>0</v>
      </c>
      <c r="I26" s="97">
        <f>'[3]Go Jet'!$GD$48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137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23</v>
      </c>
      <c r="J27" s="108">
        <f>SUM(B27:I27)</f>
        <v>160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America'!$GD$52</f>
        <v>0</v>
      </c>
      <c r="C30" s="97">
        <f>'[3]Shuttle America_Delta'!$GD$52</f>
        <v>0</v>
      </c>
      <c r="D30" s="97">
        <f>[3]Horizon_AS!$GD$52</f>
        <v>0</v>
      </c>
      <c r="E30" s="97">
        <f>[3]PSA!$GD$52</f>
        <v>0</v>
      </c>
      <c r="F30" s="89">
        <f>'[3]Atlantic Southeast'!$GD$52</f>
        <v>0</v>
      </c>
      <c r="G30" s="89">
        <f>'[3]Continental Express'!$GD$52</f>
        <v>0</v>
      </c>
      <c r="H30" s="97">
        <f>'[3]Go Jet_UA'!$GD$52</f>
        <v>0</v>
      </c>
      <c r="I30" s="97">
        <f>'[3]Go Jet'!$GD$52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America'!$GD$53</f>
        <v>0</v>
      </c>
      <c r="C31" s="97">
        <f>'[3]Shuttle America_Delta'!$GD$53</f>
        <v>0</v>
      </c>
      <c r="D31" s="97">
        <f>[3]Horizon_AS!$GD$53</f>
        <v>0</v>
      </c>
      <c r="E31" s="97">
        <f>[3]PSA!$GD$53</f>
        <v>0</v>
      </c>
      <c r="F31" s="89">
        <f>'[3]Atlantic Southeast'!$GD$53</f>
        <v>0</v>
      </c>
      <c r="G31" s="89">
        <f>'[3]Continental Express'!$GD$53</f>
        <v>0</v>
      </c>
      <c r="H31" s="97">
        <f>'[3]Go Jet_UA'!$GD$53</f>
        <v>0</v>
      </c>
      <c r="I31" s="97">
        <f>'[3]Go Jet'!$GD$53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America'!$GD$57</f>
        <v>0</v>
      </c>
      <c r="C35" s="97">
        <f>'[3]Shuttle America_Delta'!$GD$57</f>
        <v>0</v>
      </c>
      <c r="D35" s="97">
        <f>[3]Horizon_AS!$GD$57</f>
        <v>0</v>
      </c>
      <c r="E35" s="97">
        <f>[3]PSA!$GD$57</f>
        <v>0</v>
      </c>
      <c r="F35" s="89">
        <f>'[3]Atlantic Southeast'!$GD$57</f>
        <v>0</v>
      </c>
      <c r="G35" s="89">
        <f>'[3]Continental Express'!$GD$57</f>
        <v>0</v>
      </c>
      <c r="H35" s="97">
        <f>'[3]Go Jet_UA'!$AJ$57</f>
        <v>0</v>
      </c>
      <c r="I35" s="97">
        <f>'[3]Go Jet'!$GD$57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137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23</v>
      </c>
      <c r="J40" s="90">
        <f>SUM(B40:I40)</f>
        <v>160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137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23</v>
      </c>
      <c r="J42" s="111">
        <f>SUM(B42:I42)</f>
        <v>160</v>
      </c>
    </row>
    <row r="43" spans="1:10" ht="4.5" customHeight="1" x14ac:dyDescent="0.2"/>
    <row r="44" spans="1:10" hidden="1" x14ac:dyDescent="0.2">
      <c r="A44" s="280" t="s">
        <v>126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127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123</v>
      </c>
      <c r="C46" s="279">
        <f>'[3]Shuttle America_Delta'!$GD$70+'[3]Shuttle America_Delta'!$GD$73</f>
        <v>115</v>
      </c>
      <c r="D46" s="2"/>
      <c r="F46" s="279">
        <f>'[3]Atlantic Southeast'!$GD$70+'[3]Atlantic Southeast'!$GD$73</f>
        <v>0</v>
      </c>
      <c r="I46" s="279">
        <f>'[3]Go Jet'!$GD$70+'[3]Go Jet'!$GD$73</f>
        <v>5258</v>
      </c>
      <c r="J46" s="334">
        <f>SUM(B46:I46)</f>
        <v>5373</v>
      </c>
    </row>
    <row r="47" spans="1:10" x14ac:dyDescent="0.2">
      <c r="A47" s="335" t="s">
        <v>124</v>
      </c>
      <c r="C47" s="279">
        <f>'[3]Shuttle America_Delta'!$GD$71+'[3]Shuttle America_Delta'!$GD$74</f>
        <v>108</v>
      </c>
      <c r="D47" s="2"/>
      <c r="F47" s="279">
        <f>'[3]Atlantic Southeast'!$GD$71+'[3]Atlantic Southeast'!$GD$74</f>
        <v>0</v>
      </c>
      <c r="I47" s="279">
        <f>'[3]Go Jet'!$GD$71+'[3]Go Jet'!$GD$74</f>
        <v>5812</v>
      </c>
      <c r="J47" s="334">
        <f>SUM(B47:I47)</f>
        <v>5920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March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L7" sqref="L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43525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Misc'!$GD$22</f>
        <v>0</v>
      </c>
      <c r="C5" s="156">
        <f>[3]Ryan!$GD$22</f>
        <v>0</v>
      </c>
      <c r="D5" s="156">
        <f>'[3]Charter Misc'!$GD$32</f>
        <v>0</v>
      </c>
      <c r="E5" s="156">
        <f>[3]Omni!$GD$32</f>
        <v>0</v>
      </c>
      <c r="F5" s="156">
        <f>[3]Xtra!$GD$32+[3]Xtra!$GD$22</f>
        <v>0</v>
      </c>
      <c r="G5" s="296">
        <f>SUM(B5:F5)</f>
        <v>0</v>
      </c>
    </row>
    <row r="6" spans="1:17" x14ac:dyDescent="0.2">
      <c r="A6" s="47" t="s">
        <v>31</v>
      </c>
      <c r="B6" s="360">
        <f>'[3]Charter Misc'!$GD$23</f>
        <v>148</v>
      </c>
      <c r="C6" s="159">
        <f>[3]Ryan!$GD$23</f>
        <v>0</v>
      </c>
      <c r="D6" s="159">
        <f>'[3]Charter Misc'!$GD$33</f>
        <v>0</v>
      </c>
      <c r="E6" s="159">
        <f>[3]Omni!$GD$33+[3]Omni!$GD$23</f>
        <v>0</v>
      </c>
      <c r="F6" s="159">
        <f>[3]Xtra!$GD$33+[3]Xtra!$GD$23</f>
        <v>0</v>
      </c>
      <c r="G6" s="295">
        <f>SUM(B6:F6)</f>
        <v>148</v>
      </c>
    </row>
    <row r="7" spans="1:17" ht="15.75" thickBot="1" x14ac:dyDescent="0.3">
      <c r="A7" s="155" t="s">
        <v>7</v>
      </c>
      <c r="B7" s="361">
        <f>SUM(B5:B6)</f>
        <v>148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148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Misc'!$GD$4</f>
        <v>0</v>
      </c>
      <c r="C10" s="156">
        <f>[3]Ryan!$GD$4</f>
        <v>0</v>
      </c>
      <c r="D10" s="156">
        <f>'[3]Charter Misc'!$GD$15</f>
        <v>0</v>
      </c>
      <c r="E10" s="156">
        <f>[3]Omni!$GD$15+[3]Omni!$GD$4+[3]Omni!$GD$8</f>
        <v>0</v>
      </c>
      <c r="F10" s="156">
        <f>[3]Xtra!$GD$15+[3]Xtra!$GD$4+[3]Omni!$GD$8</f>
        <v>0</v>
      </c>
      <c r="G10" s="295">
        <f>SUM(B10:F10)</f>
        <v>0</v>
      </c>
    </row>
    <row r="11" spans="1:17" x14ac:dyDescent="0.2">
      <c r="A11" s="154" t="s">
        <v>81</v>
      </c>
      <c r="B11" s="359">
        <f>'[3]Charter Misc'!$GD$5</f>
        <v>1</v>
      </c>
      <c r="C11" s="156">
        <f>[3]Ryan!$GD$5</f>
        <v>0</v>
      </c>
      <c r="D11" s="156">
        <f>'[3]Charter Misc'!$GD$16</f>
        <v>0</v>
      </c>
      <c r="E11" s="156">
        <f>[3]Omni!$GD$16+[3]Omni!$GD$5+[3]Omni!$GD$9</f>
        <v>0</v>
      </c>
      <c r="F11" s="156">
        <f>[3]Xtra!$GD$16+[3]Xtra!$GD$5+[3]Omni!$GD$9</f>
        <v>0</v>
      </c>
      <c r="G11" s="295">
        <f>SUM(B11:F11)</f>
        <v>1</v>
      </c>
    </row>
    <row r="12" spans="1:17" ht="15.75" thickBot="1" x14ac:dyDescent="0.3">
      <c r="A12" s="238" t="s">
        <v>28</v>
      </c>
      <c r="B12" s="363">
        <f>SUM(B10:B11)</f>
        <v>1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1</v>
      </c>
      <c r="Q12" s="97"/>
    </row>
    <row r="17" spans="1:16" x14ac:dyDescent="0.2">
      <c r="B17" s="455" t="s">
        <v>154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7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58" t="s">
        <v>120</v>
      </c>
      <c r="C19" s="459"/>
      <c r="D19" s="459"/>
      <c r="E19" s="460"/>
      <c r="G19" s="458" t="s">
        <v>121</v>
      </c>
      <c r="H19" s="461"/>
      <c r="I19" s="461"/>
      <c r="J19" s="462"/>
      <c r="L19" s="463" t="s">
        <v>122</v>
      </c>
      <c r="M19" s="464"/>
      <c r="N19" s="464"/>
      <c r="O19" s="465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217</v>
      </c>
      <c r="E20" s="5" t="s">
        <v>210</v>
      </c>
      <c r="F20" s="206" t="s">
        <v>98</v>
      </c>
      <c r="G20" s="5" t="s">
        <v>102</v>
      </c>
      <c r="H20" s="5" t="s">
        <v>103</v>
      </c>
      <c r="I20" s="5" t="s">
        <v>217</v>
      </c>
      <c r="J20" s="5" t="s">
        <v>210</v>
      </c>
      <c r="K20" s="206" t="s">
        <v>98</v>
      </c>
      <c r="L20" s="205" t="s">
        <v>102</v>
      </c>
      <c r="M20" s="199" t="s">
        <v>103</v>
      </c>
      <c r="N20" s="5" t="s">
        <v>217</v>
      </c>
      <c r="O20" s="5" t="s">
        <v>210</v>
      </c>
      <c r="P20" s="206" t="s">
        <v>98</v>
      </c>
    </row>
    <row r="21" spans="1:16" ht="14.1" customHeight="1" x14ac:dyDescent="0.2">
      <c r="A21" s="209" t="s">
        <v>104</v>
      </c>
      <c r="B21" s="440">
        <f>+[4]Charter!$B$21</f>
        <v>137103</v>
      </c>
      <c r="C21" s="441">
        <f>+[4]Charter!$C$21</f>
        <v>129608</v>
      </c>
      <c r="D21" s="438">
        <f t="shared" ref="D21:D32" si="0">SUM(B21:C21)</f>
        <v>266711</v>
      </c>
      <c r="E21" s="439">
        <f>[5]Charter!$D$21</f>
        <v>268837</v>
      </c>
      <c r="F21" s="294">
        <f t="shared" ref="F21:F32" si="1">(D21-E21)/E21</f>
        <v>-7.9081376447438408E-3</v>
      </c>
      <c r="G21" s="290">
        <f t="shared" ref="G21:H23" si="2">L21-B21</f>
        <v>1214024</v>
      </c>
      <c r="H21" s="291">
        <f t="shared" si="2"/>
        <v>1256106</v>
      </c>
      <c r="I21" s="291">
        <f>SUM(G21:H21)</f>
        <v>2470130</v>
      </c>
      <c r="J21" s="292">
        <f>[5]Charter!$I$21</f>
        <v>2415973</v>
      </c>
      <c r="K21" s="210">
        <f t="shared" ref="K21:K32" si="3">(I21-J21)/J21</f>
        <v>2.2416227333666394E-2</v>
      </c>
      <c r="L21" s="444">
        <f>+[4]Charter!$L$21</f>
        <v>1351127</v>
      </c>
      <c r="M21" s="445">
        <f>+[4]Charter!$M$21</f>
        <v>1385714</v>
      </c>
      <c r="N21" s="291">
        <f t="shared" ref="N21:N32" si="4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42">
        <f>+[2]Charter!$B22</f>
        <v>135822</v>
      </c>
      <c r="C22" s="443">
        <f>+[2]Charter!$C22</f>
        <v>139060</v>
      </c>
      <c r="D22" s="434">
        <f t="shared" ref="D22" si="5">SUM(B22:C22)</f>
        <v>274882</v>
      </c>
      <c r="E22" s="435">
        <f>[6]Charter!$D22</f>
        <v>285115</v>
      </c>
      <c r="F22" s="289">
        <f t="shared" si="1"/>
        <v>-3.5890780912964944E-2</v>
      </c>
      <c r="G22" s="436">
        <f t="shared" si="2"/>
        <v>1165574</v>
      </c>
      <c r="H22" s="437">
        <f t="shared" si="2"/>
        <v>1184555</v>
      </c>
      <c r="I22" s="437">
        <f>SUM(G22:H22)</f>
        <v>2350129</v>
      </c>
      <c r="J22" s="293">
        <f>[6]Charter!$I22</f>
        <v>2426258</v>
      </c>
      <c r="K22" s="213">
        <f t="shared" si="3"/>
        <v>-3.1377124774034745E-2</v>
      </c>
      <c r="L22" s="286">
        <f>+[2]Charter!$L22</f>
        <v>1301396</v>
      </c>
      <c r="M22" s="288">
        <f>+[2]Charter!$M22</f>
        <v>1323615</v>
      </c>
      <c r="N22" s="437">
        <f t="shared" ref="N22" si="6">SUM(L22:M22)</f>
        <v>2625011</v>
      </c>
      <c r="O22" s="293">
        <f>[6]Charter!$N22</f>
        <v>2711373</v>
      </c>
      <c r="P22" s="212">
        <f t="shared" ref="P22:P32" si="7">(N22-O22)/O22</f>
        <v>-3.1851759237847395E-2</v>
      </c>
    </row>
    <row r="23" spans="1:16" ht="14.1" customHeight="1" x14ac:dyDescent="0.2">
      <c r="A23" s="211" t="s">
        <v>106</v>
      </c>
      <c r="B23" s="433">
        <f>'Intl Detail'!$O$4+'Intl Detail'!$O$9</f>
        <v>182334</v>
      </c>
      <c r="C23" s="434">
        <f>'Intl Detail'!$O$5+'Intl Detail'!$O$10</f>
        <v>184603</v>
      </c>
      <c r="D23" s="434">
        <f t="shared" ref="D23" si="8">SUM(B23:C23)</f>
        <v>366937</v>
      </c>
      <c r="E23" s="435">
        <f>[1]Charter!$D23</f>
        <v>367828</v>
      </c>
      <c r="F23" s="212">
        <f t="shared" si="1"/>
        <v>-2.4223278271365964E-3</v>
      </c>
      <c r="G23" s="436">
        <f t="shared" si="2"/>
        <v>1576599</v>
      </c>
      <c r="H23" s="437">
        <f t="shared" si="2"/>
        <v>1593868</v>
      </c>
      <c r="I23" s="437">
        <f>SUM(G23:H23)</f>
        <v>3170467</v>
      </c>
      <c r="J23" s="293">
        <f>[1]Charter!$I23</f>
        <v>3043039</v>
      </c>
      <c r="K23" s="213">
        <f t="shared" si="3"/>
        <v>4.187524379411503E-2</v>
      </c>
      <c r="L23" s="436">
        <f>'Monthly Summary'!$B$11</f>
        <v>1758933</v>
      </c>
      <c r="M23" s="437">
        <f>'Monthly Summary'!$C$11</f>
        <v>1778471</v>
      </c>
      <c r="N23" s="437">
        <f t="shared" ref="N23" si="9">SUM(L23:M23)</f>
        <v>3537404</v>
      </c>
      <c r="O23" s="293">
        <f>[1]Charter!$N23</f>
        <v>3410867</v>
      </c>
      <c r="P23" s="212">
        <f t="shared" si="7"/>
        <v>3.7098192336435284E-2</v>
      </c>
    </row>
    <row r="24" spans="1:16" ht="14.1" customHeight="1" x14ac:dyDescent="0.2">
      <c r="A24" s="211" t="s">
        <v>107</v>
      </c>
      <c r="B24" s="286"/>
      <c r="C24" s="288"/>
      <c r="D24" s="287">
        <f t="shared" si="0"/>
        <v>0</v>
      </c>
      <c r="E24" s="293"/>
      <c r="F24" s="212" t="e">
        <f t="shared" si="1"/>
        <v>#DIV/0!</v>
      </c>
      <c r="G24" s="286"/>
      <c r="H24" s="288"/>
      <c r="I24" s="287">
        <f>SUM(G24:H24)</f>
        <v>0</v>
      </c>
      <c r="J24" s="293"/>
      <c r="K24" s="213" t="e">
        <f t="shared" si="3"/>
        <v>#DIV/0!</v>
      </c>
      <c r="L24" s="286"/>
      <c r="M24" s="288"/>
      <c r="N24" s="287">
        <f t="shared" si="4"/>
        <v>0</v>
      </c>
      <c r="O24" s="293"/>
      <c r="P24" s="212" t="e">
        <f t="shared" si="7"/>
        <v>#DIV/0!</v>
      </c>
    </row>
    <row r="25" spans="1:16" ht="14.1" customHeight="1" x14ac:dyDescent="0.2">
      <c r="A25" s="198" t="s">
        <v>76</v>
      </c>
      <c r="B25" s="286"/>
      <c r="C25" s="288"/>
      <c r="D25" s="287">
        <f t="shared" si="0"/>
        <v>0</v>
      </c>
      <c r="E25" s="293"/>
      <c r="F25" s="201" t="e">
        <f t="shared" si="1"/>
        <v>#DIV/0!</v>
      </c>
      <c r="G25" s="286"/>
      <c r="H25" s="288"/>
      <c r="I25" s="287">
        <f t="shared" ref="I25:I32" si="10">SUM(G25:H25)</f>
        <v>0</v>
      </c>
      <c r="J25" s="293"/>
      <c r="K25" s="207" t="e">
        <f t="shared" si="3"/>
        <v>#DIV/0!</v>
      </c>
      <c r="L25" s="286"/>
      <c r="M25" s="288"/>
      <c r="N25" s="287">
        <f t="shared" si="4"/>
        <v>0</v>
      </c>
      <c r="O25" s="293"/>
      <c r="P25" s="201" t="e">
        <f t="shared" si="7"/>
        <v>#DIV/0!</v>
      </c>
    </row>
    <row r="26" spans="1:16" ht="14.1" customHeight="1" x14ac:dyDescent="0.2">
      <c r="A26" s="211" t="s">
        <v>108</v>
      </c>
      <c r="B26" s="286"/>
      <c r="C26" s="288"/>
      <c r="D26" s="287">
        <f t="shared" si="0"/>
        <v>0</v>
      </c>
      <c r="E26" s="293"/>
      <c r="F26" s="212" t="e">
        <f t="shared" si="1"/>
        <v>#DIV/0!</v>
      </c>
      <c r="G26" s="286"/>
      <c r="H26" s="288"/>
      <c r="I26" s="287">
        <f t="shared" si="10"/>
        <v>0</v>
      </c>
      <c r="J26" s="293"/>
      <c r="K26" s="213" t="e">
        <f t="shared" si="3"/>
        <v>#DIV/0!</v>
      </c>
      <c r="L26" s="286"/>
      <c r="M26" s="288"/>
      <c r="N26" s="287">
        <f t="shared" si="4"/>
        <v>0</v>
      </c>
      <c r="O26" s="293"/>
      <c r="P26" s="212" t="e">
        <f t="shared" si="7"/>
        <v>#DIV/0!</v>
      </c>
    </row>
    <row r="27" spans="1:16" ht="14.1" customHeight="1" x14ac:dyDescent="0.2">
      <c r="A27" s="198" t="s">
        <v>109</v>
      </c>
      <c r="B27" s="286"/>
      <c r="C27" s="288"/>
      <c r="D27" s="287">
        <f t="shared" si="0"/>
        <v>0</v>
      </c>
      <c r="E27" s="293"/>
      <c r="F27" s="201" t="e">
        <f t="shared" si="1"/>
        <v>#DIV/0!</v>
      </c>
      <c r="G27" s="286"/>
      <c r="H27" s="288"/>
      <c r="I27" s="287">
        <f t="shared" si="10"/>
        <v>0</v>
      </c>
      <c r="J27" s="293"/>
      <c r="K27" s="207" t="e">
        <f t="shared" si="3"/>
        <v>#DIV/0!</v>
      </c>
      <c r="L27" s="286"/>
      <c r="M27" s="288"/>
      <c r="N27" s="287">
        <f t="shared" si="4"/>
        <v>0</v>
      </c>
      <c r="O27" s="293"/>
      <c r="P27" s="201" t="e">
        <f t="shared" si="7"/>
        <v>#DIV/0!</v>
      </c>
    </row>
    <row r="28" spans="1:16" ht="14.1" customHeight="1" x14ac:dyDescent="0.2">
      <c r="A28" s="211" t="s">
        <v>110</v>
      </c>
      <c r="B28" s="286"/>
      <c r="C28" s="288"/>
      <c r="D28" s="287">
        <f t="shared" si="0"/>
        <v>0</v>
      </c>
      <c r="E28" s="293"/>
      <c r="F28" s="212" t="e">
        <f t="shared" si="1"/>
        <v>#DIV/0!</v>
      </c>
      <c r="G28" s="286"/>
      <c r="H28" s="288"/>
      <c r="I28" s="287">
        <f t="shared" si="10"/>
        <v>0</v>
      </c>
      <c r="J28" s="293"/>
      <c r="K28" s="213" t="e">
        <f t="shared" si="3"/>
        <v>#DIV/0!</v>
      </c>
      <c r="L28" s="286"/>
      <c r="M28" s="288"/>
      <c r="N28" s="287">
        <f t="shared" si="4"/>
        <v>0</v>
      </c>
      <c r="O28" s="293"/>
      <c r="P28" s="212" t="e">
        <f t="shared" si="7"/>
        <v>#DIV/0!</v>
      </c>
    </row>
    <row r="29" spans="1:16" ht="14.1" customHeight="1" x14ac:dyDescent="0.2">
      <c r="A29" s="198" t="s">
        <v>111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si="10"/>
        <v>0</v>
      </c>
      <c r="J29" s="293"/>
      <c r="K29" s="207" t="e">
        <f t="shared" si="3"/>
        <v>#DIV/0!</v>
      </c>
      <c r="L29" s="286"/>
      <c r="M29" s="288"/>
      <c r="N29" s="287">
        <f t="shared" si="4"/>
        <v>0</v>
      </c>
      <c r="O29" s="293"/>
      <c r="P29" s="201" t="e">
        <f t="shared" si="7"/>
        <v>#DIV/0!</v>
      </c>
    </row>
    <row r="30" spans="1:16" ht="14.1" customHeight="1" x14ac:dyDescent="0.2">
      <c r="A30" s="211" t="s">
        <v>112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3"/>
        <v>#DIV/0!</v>
      </c>
      <c r="L30" s="286"/>
      <c r="M30" s="288"/>
      <c r="N30" s="287">
        <f>SUM(L30:M30)</f>
        <v>0</v>
      </c>
      <c r="O30" s="293"/>
      <c r="P30" s="212" t="e">
        <f t="shared" si="7"/>
        <v>#DIV/0!</v>
      </c>
    </row>
    <row r="31" spans="1:16" ht="14.1" customHeight="1" x14ac:dyDescent="0.2">
      <c r="A31" s="198" t="s">
        <v>113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10"/>
        <v>0</v>
      </c>
      <c r="J31" s="293"/>
      <c r="K31" s="207" t="e">
        <f t="shared" si="3"/>
        <v>#DIV/0!</v>
      </c>
      <c r="L31" s="286"/>
      <c r="M31" s="288"/>
      <c r="N31" s="287">
        <f>SUM(L31:M31)</f>
        <v>0</v>
      </c>
      <c r="O31" s="293"/>
      <c r="P31" s="201" t="e">
        <f t="shared" si="7"/>
        <v>#DIV/0!</v>
      </c>
    </row>
    <row r="32" spans="1:16" ht="14.1" customHeight="1" x14ac:dyDescent="0.2">
      <c r="A32" s="214" t="s">
        <v>114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10"/>
        <v>0</v>
      </c>
      <c r="J32" s="293"/>
      <c r="K32" s="215" t="e">
        <f t="shared" si="3"/>
        <v>#DIV/0!</v>
      </c>
      <c r="L32" s="286"/>
      <c r="M32" s="288"/>
      <c r="N32" s="134">
        <f t="shared" si="4"/>
        <v>0</v>
      </c>
      <c r="O32" s="293"/>
      <c r="P32" s="215" t="e">
        <f t="shared" si="7"/>
        <v>#DIV/0!</v>
      </c>
    </row>
    <row r="33" spans="1:16" ht="13.5" thickBot="1" x14ac:dyDescent="0.25">
      <c r="A33" s="208" t="s">
        <v>77</v>
      </c>
      <c r="B33" s="218">
        <f>SUM(B21:B32)</f>
        <v>455259</v>
      </c>
      <c r="C33" s="219">
        <f>SUM(C21:C32)</f>
        <v>453271</v>
      </c>
      <c r="D33" s="219">
        <f>SUM(D21:D32)</f>
        <v>908530</v>
      </c>
      <c r="E33" s="220">
        <f>SUM(E21:E32)</f>
        <v>921780</v>
      </c>
      <c r="F33" s="203">
        <f>(D33-E33)/E33</f>
        <v>-1.4374362646184555E-2</v>
      </c>
      <c r="G33" s="221">
        <f>SUM(G21:G32)</f>
        <v>3956197</v>
      </c>
      <c r="H33" s="219">
        <f>SUM(H21:H32)</f>
        <v>4034529</v>
      </c>
      <c r="I33" s="219">
        <f>SUM(I21:I32)</f>
        <v>7990726</v>
      </c>
      <c r="J33" s="222">
        <f>SUM(J21:J32)</f>
        <v>7885270</v>
      </c>
      <c r="K33" s="204">
        <f>(I33-J33)/J33</f>
        <v>1.3373796965734845E-2</v>
      </c>
      <c r="L33" s="221">
        <f>SUM(L21:L32)</f>
        <v>4411456</v>
      </c>
      <c r="M33" s="219">
        <f>SUM(M21:M32)</f>
        <v>4487800</v>
      </c>
      <c r="N33" s="219">
        <f>SUM(N21:N32)</f>
        <v>8899256</v>
      </c>
      <c r="O33" s="220">
        <f>SUM(O21:O32)</f>
        <v>8807050</v>
      </c>
      <c r="P33" s="202">
        <f>(N33-O33)/O33</f>
        <v>1.0469566994623626E-2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March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69"/>
      <c r="C1" s="469"/>
      <c r="D1" s="469"/>
      <c r="E1" s="469"/>
      <c r="F1" s="469"/>
      <c r="G1" s="380"/>
      <c r="H1" s="470" t="s">
        <v>93</v>
      </c>
      <c r="I1" s="471"/>
      <c r="J1" s="471"/>
      <c r="K1" s="471"/>
      <c r="L1" s="471"/>
      <c r="M1" s="471"/>
      <c r="N1" s="471"/>
      <c r="O1" s="472"/>
    </row>
    <row r="2" spans="1:19" s="28" customFormat="1" ht="30.75" customHeight="1" thickBot="1" x14ac:dyDescent="0.25">
      <c r="A2" s="325">
        <v>43525</v>
      </c>
      <c r="B2" s="373" t="s">
        <v>181</v>
      </c>
      <c r="C2" s="373" t="s">
        <v>229</v>
      </c>
      <c r="D2" s="373" t="s">
        <v>219</v>
      </c>
      <c r="E2" s="374" t="s">
        <v>82</v>
      </c>
      <c r="F2" s="374" t="s">
        <v>83</v>
      </c>
      <c r="G2" s="446"/>
      <c r="H2" s="447" t="s">
        <v>233</v>
      </c>
      <c r="I2" s="447" t="s">
        <v>227</v>
      </c>
      <c r="J2" s="447" t="s">
        <v>182</v>
      </c>
      <c r="K2" s="447" t="s">
        <v>165</v>
      </c>
      <c r="L2" s="448" t="s">
        <v>84</v>
      </c>
      <c r="M2" s="374" t="s">
        <v>85</v>
      </c>
      <c r="N2" s="447" t="s">
        <v>86</v>
      </c>
      <c r="O2" s="447" t="s">
        <v>129</v>
      </c>
      <c r="P2" s="447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[3]DHL_Atlas!$GD$4</f>
        <v>0</v>
      </c>
      <c r="C4" s="134">
        <f>[3]DHL_Kalitta!$GD$4</f>
        <v>21</v>
      </c>
      <c r="D4" s="134">
        <f>'[3]Atlas Air'!$GD$4</f>
        <v>31</v>
      </c>
      <c r="E4" s="134">
        <f>[3]FedEx!$GD$4+[3]FedEx!$GD$15</f>
        <v>126</v>
      </c>
      <c r="F4" s="134">
        <f>[3]UPS!$GD$4+[3]UPS!$GD$15</f>
        <v>139</v>
      </c>
      <c r="G4" s="161"/>
      <c r="H4" s="97">
        <f>[3]Airborne!$GD$4</f>
        <v>0</v>
      </c>
      <c r="I4" s="134">
        <f>[3]Encore!$GD$4+[3]Encore!$GD$15</f>
        <v>47</v>
      </c>
      <c r="J4" s="134">
        <f>[3]IFL!$GD$4+[3]IFL!$GD$15</f>
        <v>15</v>
      </c>
      <c r="K4" s="97">
        <f>'[3]Suburban Air Freight'!$GD$15</f>
        <v>0</v>
      </c>
      <c r="L4" s="97">
        <f>[3]Bemidji!$GD$4</f>
        <v>189</v>
      </c>
      <c r="M4" s="97">
        <f>'[3]CSA Air'!$GD$4</f>
        <v>0</v>
      </c>
      <c r="N4" s="97">
        <f>'[3]Mountain Cargo'!$GD$4</f>
        <v>21</v>
      </c>
      <c r="O4" s="97">
        <f>'[3]Misc Cargo'!$GD$4</f>
        <v>0</v>
      </c>
      <c r="P4" s="172">
        <f>SUM(B4:O4)</f>
        <v>589</v>
      </c>
    </row>
    <row r="5" spans="1:19" x14ac:dyDescent="0.2">
      <c r="A5" s="38" t="s">
        <v>54</v>
      </c>
      <c r="B5" s="167">
        <f>[3]DHL_Atlas!$GD$5</f>
        <v>0</v>
      </c>
      <c r="C5" s="167">
        <f>[3]DHL_Kalitta!$GD$5</f>
        <v>21</v>
      </c>
      <c r="D5" s="167">
        <f>'[3]Atlas Air'!$GD$5</f>
        <v>31</v>
      </c>
      <c r="E5" s="167">
        <f>[3]FedEx!$GD$5</f>
        <v>126</v>
      </c>
      <c r="F5" s="167">
        <f>[3]UPS!$GD$5+[3]UPS!$GD$16</f>
        <v>139</v>
      </c>
      <c r="G5" s="161"/>
      <c r="H5" s="98">
        <f>[3]Airborne!$GD$5</f>
        <v>0</v>
      </c>
      <c r="I5" s="167">
        <f>[3]Encore!$GD$5</f>
        <v>47</v>
      </c>
      <c r="J5" s="167">
        <f>[3]IFL!$GD$5</f>
        <v>15</v>
      </c>
      <c r="K5" s="98">
        <f>'[3]Suburban Air Freight'!$GD$16</f>
        <v>0</v>
      </c>
      <c r="L5" s="98">
        <f>[3]Bemidji!$GD$5</f>
        <v>189</v>
      </c>
      <c r="M5" s="98">
        <f>'[3]CSA Air'!$GD$5</f>
        <v>0</v>
      </c>
      <c r="N5" s="98">
        <f>'[3]Mountain Cargo'!$GD$5</f>
        <v>21</v>
      </c>
      <c r="O5" s="98">
        <f>'[3]Misc Cargo'!$GD$5</f>
        <v>0</v>
      </c>
      <c r="P5" s="176">
        <f>SUM(B5:O5)</f>
        <v>589</v>
      </c>
    </row>
    <row r="6" spans="1:19" s="160" customFormat="1" x14ac:dyDescent="0.2">
      <c r="A6" s="173" t="s">
        <v>55</v>
      </c>
      <c r="B6" s="174">
        <f>SUM(B4:B5)</f>
        <v>0</v>
      </c>
      <c r="C6" s="174">
        <f>SUM(C4:C5)</f>
        <v>42</v>
      </c>
      <c r="D6" s="174">
        <f>SUM(D4:D5)</f>
        <v>62</v>
      </c>
      <c r="E6" s="174">
        <f>SUM(E4:E5)</f>
        <v>252</v>
      </c>
      <c r="F6" s="174">
        <f>SUM(F4:F5)</f>
        <v>278</v>
      </c>
      <c r="G6" s="162"/>
      <c r="H6" s="95">
        <f t="shared" ref="H6:O6" si="0">SUM(H4:H5)</f>
        <v>0</v>
      </c>
      <c r="I6" s="174">
        <f>SUM(I4:I5)</f>
        <v>94</v>
      </c>
      <c r="J6" s="174">
        <f>SUM(J4:J5)</f>
        <v>30</v>
      </c>
      <c r="K6" s="95">
        <f t="shared" si="0"/>
        <v>0</v>
      </c>
      <c r="L6" s="95">
        <f t="shared" si="0"/>
        <v>378</v>
      </c>
      <c r="M6" s="95">
        <f t="shared" si="0"/>
        <v>0</v>
      </c>
      <c r="N6" s="95">
        <f t="shared" si="0"/>
        <v>42</v>
      </c>
      <c r="O6" s="95">
        <f t="shared" si="0"/>
        <v>0</v>
      </c>
      <c r="P6" s="175">
        <f>SUM(B6:O6)</f>
        <v>1178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Cargo'!$GD$8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Cargo'!$GD$9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:O10" si="1">SUM(H8:H9)</f>
        <v>0</v>
      </c>
      <c r="I10" s="174">
        <f>SUM(I8:I9)</f>
        <v>0</v>
      </c>
      <c r="J10" s="174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0</v>
      </c>
      <c r="C12" s="178">
        <f>C6+C10</f>
        <v>42</v>
      </c>
      <c r="D12" s="178">
        <f>D6+D10</f>
        <v>62</v>
      </c>
      <c r="E12" s="178">
        <f>E6+E10</f>
        <v>252</v>
      </c>
      <c r="F12" s="178">
        <f>F6+F10</f>
        <v>278</v>
      </c>
      <c r="G12" s="179"/>
      <c r="H12" s="180">
        <f t="shared" ref="H12:O12" si="2">H6+H10</f>
        <v>0</v>
      </c>
      <c r="I12" s="178">
        <f>I6+I10</f>
        <v>94</v>
      </c>
      <c r="J12" s="178">
        <f>J6+J10</f>
        <v>30</v>
      </c>
      <c r="K12" s="180">
        <f t="shared" si="2"/>
        <v>0</v>
      </c>
      <c r="L12" s="180">
        <f t="shared" si="2"/>
        <v>378</v>
      </c>
      <c r="M12" s="180">
        <f t="shared" si="2"/>
        <v>0</v>
      </c>
      <c r="N12" s="180">
        <f t="shared" si="2"/>
        <v>42</v>
      </c>
      <c r="O12" s="180">
        <f t="shared" si="2"/>
        <v>0</v>
      </c>
      <c r="P12" s="181">
        <f>SUM(B12:O12)</f>
        <v>1178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[3]DHL_Atlas!$GD$47</f>
        <v>0</v>
      </c>
      <c r="C16" s="134">
        <f>[3]DHL_Kalitta!$GD$47</f>
        <v>829650</v>
      </c>
      <c r="D16" s="134">
        <f>'[3]Atlas Air'!$GD$47</f>
        <v>1470565</v>
      </c>
      <c r="E16" s="134">
        <f>[3]FedEx!$GD$47</f>
        <v>9015750</v>
      </c>
      <c r="F16" s="134">
        <f>[3]UPS!$GD$47</f>
        <v>6022899</v>
      </c>
      <c r="G16" s="161"/>
      <c r="H16" s="97">
        <f>[3]Airborne!$GD$47</f>
        <v>0</v>
      </c>
      <c r="I16" s="134">
        <f>[3]Encore!$GD$47</f>
        <v>76758</v>
      </c>
      <c r="J16" s="134">
        <f>[3]IFL!$GD$47</f>
        <v>13271</v>
      </c>
      <c r="K16" s="97">
        <f>'[3]Suburban Air Freight'!$GD$47</f>
        <v>0</v>
      </c>
      <c r="L16" s="466" t="s">
        <v>87</v>
      </c>
      <c r="M16" s="97">
        <f>'[3]CSA Air'!$GD$47</f>
        <v>0</v>
      </c>
      <c r="N16" s="97">
        <f>'[3]Mountain Cargo'!$GD$47</f>
        <v>138240</v>
      </c>
      <c r="O16" s="97">
        <f>'[3]Misc Cargo'!$GD$47</f>
        <v>0</v>
      </c>
      <c r="P16" s="172">
        <f>SUM(B16:K16)+SUM(M16:O16)</f>
        <v>17567133</v>
      </c>
    </row>
    <row r="17" spans="1:16" x14ac:dyDescent="0.2">
      <c r="A17" s="38" t="s">
        <v>38</v>
      </c>
      <c r="B17" s="134">
        <f>[3]DHL_Atlas!$GD$48</f>
        <v>0</v>
      </c>
      <c r="C17" s="134">
        <f>[3]DHL_Kalitta!$GD$48</f>
        <v>0</v>
      </c>
      <c r="D17" s="134">
        <f>'[3]Atlas Air'!$GD$48</f>
        <v>0</v>
      </c>
      <c r="E17" s="134">
        <f>[3]FedEx!$GD$48</f>
        <v>0</v>
      </c>
      <c r="F17" s="134">
        <f>[3]UPS!$GD$48</f>
        <v>496</v>
      </c>
      <c r="G17" s="161"/>
      <c r="H17" s="97">
        <f>[3]Airborne!$GD$48</f>
        <v>0</v>
      </c>
      <c r="I17" s="134">
        <f>[3]Encore!$GD$48</f>
        <v>0</v>
      </c>
      <c r="J17" s="134">
        <f>[3]IFL!$GD$48</f>
        <v>0</v>
      </c>
      <c r="K17" s="97">
        <f>'[3]Suburban Air Freight'!$GD$48</f>
        <v>0</v>
      </c>
      <c r="L17" s="467"/>
      <c r="M17" s="97">
        <f>'[3]CSA Air'!$GD$48</f>
        <v>0</v>
      </c>
      <c r="N17" s="97">
        <f>'[3]Mountain Cargo'!$GD$48</f>
        <v>0</v>
      </c>
      <c r="O17" s="97">
        <f>'[3]Misc Cargo'!$GD$48</f>
        <v>0</v>
      </c>
      <c r="P17" s="172">
        <f>SUM(B17:K17)+SUM(M17:O17)</f>
        <v>496</v>
      </c>
    </row>
    <row r="18" spans="1:16" ht="18" customHeight="1" x14ac:dyDescent="0.2">
      <c r="A18" s="187" t="s">
        <v>39</v>
      </c>
      <c r="B18" s="260">
        <f>SUM(B16:B17)</f>
        <v>0</v>
      </c>
      <c r="C18" s="260">
        <f>SUM(C16:C17)</f>
        <v>829650</v>
      </c>
      <c r="D18" s="260">
        <f>SUM(D16:D17)</f>
        <v>1470565</v>
      </c>
      <c r="E18" s="260">
        <f>SUM(E16:E17)</f>
        <v>9015750</v>
      </c>
      <c r="F18" s="260">
        <f>SUM(F16:F17)</f>
        <v>6023395</v>
      </c>
      <c r="G18" s="166"/>
      <c r="H18" s="261">
        <f>SUM(H16:H17)</f>
        <v>0</v>
      </c>
      <c r="I18" s="260">
        <f>SUM(I16:I17)</f>
        <v>76758</v>
      </c>
      <c r="J18" s="260">
        <f>SUM(J16:J17)</f>
        <v>13271</v>
      </c>
      <c r="K18" s="261">
        <f>SUM(K16:K17)</f>
        <v>0</v>
      </c>
      <c r="L18" s="467"/>
      <c r="M18" s="261">
        <f>SUM(M16:M17)</f>
        <v>0</v>
      </c>
      <c r="N18" s="261">
        <f>SUM(N16:N17)</f>
        <v>138240</v>
      </c>
      <c r="O18" s="261">
        <f>SUM(O16:O17)</f>
        <v>0</v>
      </c>
      <c r="P18" s="188">
        <f>SUM(B18:K18)+SUM(M18:O18)</f>
        <v>17567629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67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67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[3]DHL_Atlas!$GD$52</f>
        <v>0</v>
      </c>
      <c r="C21" s="134">
        <f>[3]DHL_Kalitta!$GD$52</f>
        <v>559410</v>
      </c>
      <c r="D21" s="134">
        <f>'[3]Atlas Air'!$GD$52</f>
        <v>861369</v>
      </c>
      <c r="E21" s="134">
        <f>[3]FedEx!$GD$52</f>
        <v>8099116</v>
      </c>
      <c r="F21" s="134">
        <f>[3]UPS!$GD$52</f>
        <v>5362933</v>
      </c>
      <c r="G21" s="161"/>
      <c r="H21" s="97">
        <f>[3]Airborne!$GD$52</f>
        <v>0</v>
      </c>
      <c r="I21" s="134">
        <f>[3]Encore!$GD$52</f>
        <v>37347</v>
      </c>
      <c r="J21" s="134">
        <f>[3]IFL!$GD$52</f>
        <v>0</v>
      </c>
      <c r="K21" s="97">
        <f>'[3]Suburban Air Freight'!$GD$52</f>
        <v>0</v>
      </c>
      <c r="L21" s="467"/>
      <c r="M21" s="97">
        <f>'[3]CSA Air'!$GD$52</f>
        <v>0</v>
      </c>
      <c r="N21" s="97">
        <f>'[3]Mountain Cargo'!$GD$52</f>
        <v>41216</v>
      </c>
      <c r="O21" s="97">
        <f>'[3]Misc Cargo'!$GD$52</f>
        <v>0</v>
      </c>
      <c r="P21" s="172">
        <f>SUM(B21:K21)+SUM(M21:O21)</f>
        <v>14961391</v>
      </c>
    </row>
    <row r="22" spans="1:16" x14ac:dyDescent="0.2">
      <c r="A22" s="38" t="s">
        <v>60</v>
      </c>
      <c r="B22" s="134">
        <f>[3]DHL_Atlas!$GD$53</f>
        <v>0</v>
      </c>
      <c r="C22" s="134">
        <f>[3]DHL_Kalitta!$GD$53</f>
        <v>0</v>
      </c>
      <c r="D22" s="134">
        <f>'[3]Atlas Air'!$GD$53</f>
        <v>0</v>
      </c>
      <c r="E22" s="134">
        <f>[3]FedEx!$GD$53</f>
        <v>0</v>
      </c>
      <c r="F22" s="134">
        <f>[3]UPS!$GD$53</f>
        <v>418696</v>
      </c>
      <c r="G22" s="161"/>
      <c r="H22" s="97">
        <f>[3]Airborne!$GD$53</f>
        <v>0</v>
      </c>
      <c r="I22" s="134">
        <f>[3]Encore!$GD$53</f>
        <v>0</v>
      </c>
      <c r="J22" s="134">
        <f>[3]IFL!$GD$53</f>
        <v>0</v>
      </c>
      <c r="K22" s="97">
        <f>'[3]Suburban Air Freight'!$GD$53</f>
        <v>0</v>
      </c>
      <c r="L22" s="467"/>
      <c r="M22" s="97">
        <f>'[3]CSA Air'!$GD$53</f>
        <v>0</v>
      </c>
      <c r="N22" s="97">
        <f>'[3]Mountain Cargo'!$GD$53</f>
        <v>0</v>
      </c>
      <c r="O22" s="97">
        <f>'[3]Misc Cargo'!$GD$53</f>
        <v>0</v>
      </c>
      <c r="P22" s="172">
        <f>SUM(B22:K22)+SUM(M22:O22)</f>
        <v>418696</v>
      </c>
    </row>
    <row r="23" spans="1:16" ht="18" customHeight="1" x14ac:dyDescent="0.2">
      <c r="A23" s="187" t="s">
        <v>41</v>
      </c>
      <c r="B23" s="260">
        <f>SUM(B21:B22)</f>
        <v>0</v>
      </c>
      <c r="C23" s="260">
        <f>SUM(C21:C22)</f>
        <v>559410</v>
      </c>
      <c r="D23" s="260">
        <f>SUM(D21:D22)</f>
        <v>861369</v>
      </c>
      <c r="E23" s="260">
        <f>SUM(E21:E22)</f>
        <v>8099116</v>
      </c>
      <c r="F23" s="260">
        <f>SUM(F21:F22)</f>
        <v>5781629</v>
      </c>
      <c r="G23" s="166"/>
      <c r="H23" s="261">
        <f>SUM(H21:H22)</f>
        <v>0</v>
      </c>
      <c r="I23" s="260">
        <f>SUM(I21:I22)</f>
        <v>37347</v>
      </c>
      <c r="J23" s="260">
        <f>SUM(J21:J22)</f>
        <v>0</v>
      </c>
      <c r="K23" s="261">
        <f>SUM(K21:K22)</f>
        <v>0</v>
      </c>
      <c r="L23" s="467"/>
      <c r="M23" s="261">
        <f>SUM(M21:M22)</f>
        <v>0</v>
      </c>
      <c r="N23" s="261">
        <f>SUM(N21:N22)</f>
        <v>41216</v>
      </c>
      <c r="O23" s="261">
        <f>SUM(O21:O22)</f>
        <v>0</v>
      </c>
      <c r="P23" s="188">
        <f>SUM(B23:K23)+SUM(M23:O23)</f>
        <v>15380087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67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67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[3]DHL_Atlas!$GD$57</f>
        <v>0</v>
      </c>
      <c r="C26" s="134">
        <f>[3]DHL_Kalitta!$GD$57</f>
        <v>0</v>
      </c>
      <c r="D26" s="134">
        <f>'[3]Atlas Air'!$GD$57</f>
        <v>0</v>
      </c>
      <c r="E26" s="134">
        <f>[3]FedEx!$GD$57</f>
        <v>0</v>
      </c>
      <c r="F26" s="134">
        <f>[3]UPS!$GD$57</f>
        <v>0</v>
      </c>
      <c r="G26" s="161"/>
      <c r="H26" s="97">
        <f>[3]Airborne!$GD$57</f>
        <v>0</v>
      </c>
      <c r="I26" s="134">
        <f>[3]Encore!$GD$57</f>
        <v>0</v>
      </c>
      <c r="J26" s="134">
        <f>[3]IFL!$GD$57</f>
        <v>0</v>
      </c>
      <c r="K26" s="97">
        <f>'[3]Suburban Air Freight'!$GD$57</f>
        <v>0</v>
      </c>
      <c r="L26" s="467"/>
      <c r="M26" s="97">
        <f>'[3]CSA Air'!$GD$57</f>
        <v>0</v>
      </c>
      <c r="N26" s="97">
        <f>'[3]Mountain Cargo'!$GD$57</f>
        <v>0</v>
      </c>
      <c r="O26" s="97">
        <f>'[3]Misc Cargo'!$GD$57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[3]DHL_Atlas!$GD$58</f>
        <v>0</v>
      </c>
      <c r="C27" s="134">
        <f>[3]DHL_Kalitta!$GD$58</f>
        <v>0</v>
      </c>
      <c r="D27" s="134">
        <f>'[3]Atlas Air'!$GD$58</f>
        <v>0</v>
      </c>
      <c r="E27" s="134">
        <f>[3]FedEx!$GD$58</f>
        <v>0</v>
      </c>
      <c r="F27" s="134">
        <f>[3]UPS!$GD$58</f>
        <v>0</v>
      </c>
      <c r="G27" s="161"/>
      <c r="H27" s="97">
        <f>[3]Airborne!$GD$58</f>
        <v>0</v>
      </c>
      <c r="I27" s="134">
        <f>[3]Encore!$GD$58</f>
        <v>0</v>
      </c>
      <c r="J27" s="134">
        <f>[3]IFL!$GD$58</f>
        <v>0</v>
      </c>
      <c r="K27" s="97">
        <f>'[3]Suburban Air Freight'!$GD$58</f>
        <v>0</v>
      </c>
      <c r="L27" s="467"/>
      <c r="M27" s="97">
        <f>'[3]CSA Air'!$GD$58</f>
        <v>0</v>
      </c>
      <c r="N27" s="97">
        <f>'[3]Mountain Cargo'!$GD$58</f>
        <v>0</v>
      </c>
      <c r="O27" s="97">
        <f>'[3]Misc Cargo'!$GD$58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67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67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67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3">B26+B21+B16</f>
        <v>0</v>
      </c>
      <c r="C31" s="134">
        <f t="shared" ref="C31" si="4">C26+C21+C16</f>
        <v>1389060</v>
      </c>
      <c r="D31" s="134">
        <f t="shared" ref="D31" si="5">D26+D21+D16</f>
        <v>2331934</v>
      </c>
      <c r="E31" s="134">
        <f t="shared" si="3"/>
        <v>17114866</v>
      </c>
      <c r="F31" s="134">
        <f t="shared" si="3"/>
        <v>11385832</v>
      </c>
      <c r="G31" s="161"/>
      <c r="H31" s="97">
        <f t="shared" ref="H31:K33" si="6">H26+H21+H16</f>
        <v>0</v>
      </c>
      <c r="I31" s="134">
        <f t="shared" ref="I31" si="7">I26+I21+I16</f>
        <v>114105</v>
      </c>
      <c r="J31" s="134">
        <f t="shared" si="6"/>
        <v>13271</v>
      </c>
      <c r="K31" s="97">
        <f t="shared" si="6"/>
        <v>0</v>
      </c>
      <c r="L31" s="467"/>
      <c r="M31" s="97">
        <f t="shared" ref="M31:O33" si="8">M26+M21+M16</f>
        <v>0</v>
      </c>
      <c r="N31" s="97">
        <f t="shared" si="8"/>
        <v>179456</v>
      </c>
      <c r="O31" s="97">
        <f>O26+O21+O16</f>
        <v>0</v>
      </c>
      <c r="P31" s="172">
        <f>SUM(B31:K31)+SUM(M31:O31)</f>
        <v>32528524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419192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68"/>
      <c r="M32" s="97">
        <f t="shared" si="8"/>
        <v>0</v>
      </c>
      <c r="N32" s="97">
        <f t="shared" si="8"/>
        <v>0</v>
      </c>
      <c r="O32" s="97">
        <f>O27+O22+O17</f>
        <v>0</v>
      </c>
      <c r="P32" s="176">
        <f>SUM(B32:K32)+SUM(M32:O32)</f>
        <v>419192</v>
      </c>
    </row>
    <row r="33" spans="1:16" ht="18" customHeight="1" thickBot="1" x14ac:dyDescent="0.25">
      <c r="A33" s="177" t="s">
        <v>46</v>
      </c>
      <c r="B33" s="178">
        <f t="shared" si="3"/>
        <v>0</v>
      </c>
      <c r="C33" s="178">
        <f t="shared" ref="C33" si="12">C28+C23+C18</f>
        <v>1389060</v>
      </c>
      <c r="D33" s="178">
        <f t="shared" ref="D33" si="13">D28+D23+D18</f>
        <v>2331934</v>
      </c>
      <c r="E33" s="178">
        <f t="shared" si="3"/>
        <v>17114866</v>
      </c>
      <c r="F33" s="178">
        <f t="shared" si="3"/>
        <v>11805024</v>
      </c>
      <c r="G33" s="191"/>
      <c r="H33" s="180">
        <f t="shared" si="6"/>
        <v>0</v>
      </c>
      <c r="I33" s="178">
        <f t="shared" ref="I33" si="14">I28+I23+I18</f>
        <v>114105</v>
      </c>
      <c r="J33" s="178">
        <f t="shared" si="6"/>
        <v>13271</v>
      </c>
      <c r="K33" s="180">
        <f t="shared" si="6"/>
        <v>0</v>
      </c>
      <c r="L33" s="262">
        <f>L28+L23+L18</f>
        <v>0</v>
      </c>
      <c r="M33" s="180">
        <f t="shared" si="8"/>
        <v>0</v>
      </c>
      <c r="N33" s="180">
        <f t="shared" si="8"/>
        <v>179456</v>
      </c>
      <c r="O33" s="180">
        <f t="shared" si="8"/>
        <v>0</v>
      </c>
      <c r="P33" s="181">
        <f>SUM(B33:K33)+SUM(M33:O33)</f>
        <v>32947716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March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I14" sqref="I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43525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218</v>
      </c>
      <c r="G2" s="60" t="s">
        <v>209</v>
      </c>
      <c r="H2" s="61" t="s">
        <v>66</v>
      </c>
      <c r="I2" s="62" t="s">
        <v>214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5198193</v>
      </c>
      <c r="C5" s="97">
        <f>'Regional Major'!M25</f>
        <v>3081</v>
      </c>
      <c r="D5" s="97">
        <f>Cargo!P16</f>
        <v>17567133</v>
      </c>
      <c r="E5" s="97">
        <f>SUM(B5:D5)</f>
        <v>22768407</v>
      </c>
      <c r="F5" s="97">
        <f>E5*0.00045359237</f>
        <v>10327.57569225459</v>
      </c>
      <c r="G5" s="97">
        <f>'[1]Cargo Summary'!F5</f>
        <v>9640.4993713513104</v>
      </c>
      <c r="H5" s="79">
        <f>(F5-G5)/G5</f>
        <v>7.1269785354176288E-2</v>
      </c>
      <c r="I5" s="97">
        <f>+F5+'[2]Cargo Summary'!I5</f>
        <v>28754.726260968404</v>
      </c>
      <c r="J5" s="97">
        <f>'[1]Cargo Summary'!I5</f>
        <v>27133.856564456179</v>
      </c>
      <c r="K5" s="67">
        <f>(I5-J5)/J5</f>
        <v>5.9736060469762826E-2</v>
      </c>
      <c r="M5" s="26"/>
    </row>
    <row r="6" spans="1:18" x14ac:dyDescent="0.2">
      <c r="A6" s="47" t="s">
        <v>16</v>
      </c>
      <c r="B6" s="141">
        <f>'Major Airline Stats'!K29</f>
        <v>1773698</v>
      </c>
      <c r="C6" s="97">
        <f>'Regional Major'!M26</f>
        <v>0</v>
      </c>
      <c r="D6" s="97">
        <f>Cargo!P17</f>
        <v>496</v>
      </c>
      <c r="E6" s="97">
        <f>SUM(B6:D6)</f>
        <v>1774194</v>
      </c>
      <c r="F6" s="97">
        <f>E6*0.00045359237</f>
        <v>804.76086129978</v>
      </c>
      <c r="G6" s="97">
        <f>'[1]Cargo Summary'!F6</f>
        <v>895.74287246674999</v>
      </c>
      <c r="H6" s="3">
        <f>(F6-G6)/G6</f>
        <v>-0.10157157144484813</v>
      </c>
      <c r="I6" s="97">
        <f>+F6+'[2]Cargo Summary'!I6</f>
        <v>2529.07638012183</v>
      </c>
      <c r="J6" s="97">
        <f>'[1]Cargo Summary'!I6</f>
        <v>2472.9692719146797</v>
      </c>
      <c r="K6" s="67">
        <f>(I6-J6)/J6</f>
        <v>2.2688154213784371E-2</v>
      </c>
      <c r="M6" s="26"/>
    </row>
    <row r="7" spans="1:18" ht="18" customHeight="1" thickBot="1" x14ac:dyDescent="0.25">
      <c r="A7" s="56" t="s">
        <v>72</v>
      </c>
      <c r="B7" s="143">
        <f>SUM(B5:B6)</f>
        <v>6971891</v>
      </c>
      <c r="C7" s="107">
        <f t="shared" ref="C7:J7" si="0">SUM(C5:C6)</f>
        <v>3081</v>
      </c>
      <c r="D7" s="107">
        <f t="shared" si="0"/>
        <v>17567629</v>
      </c>
      <c r="E7" s="107">
        <f t="shared" si="0"/>
        <v>24542601</v>
      </c>
      <c r="F7" s="107">
        <f t="shared" si="0"/>
        <v>11132.336553554369</v>
      </c>
      <c r="G7" s="107">
        <f t="shared" si="0"/>
        <v>10536.24224381806</v>
      </c>
      <c r="H7" s="29">
        <f>(F7-G7)/G7</f>
        <v>5.6575607882027937E-2</v>
      </c>
      <c r="I7" s="107">
        <f t="shared" si="0"/>
        <v>31283.802641090235</v>
      </c>
      <c r="J7" s="107">
        <f t="shared" si="0"/>
        <v>29606.825836370859</v>
      </c>
      <c r="K7" s="275">
        <f>(I7-J7)/J7</f>
        <v>5.6641560091162273E-2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2771692</v>
      </c>
      <c r="C10" s="97">
        <f>'Regional Major'!M30</f>
        <v>2507</v>
      </c>
      <c r="D10" s="97">
        <f>Cargo!P21</f>
        <v>14961391</v>
      </c>
      <c r="E10" s="97">
        <f>SUM(B10:D10)</f>
        <v>17735590</v>
      </c>
      <c r="F10" s="97">
        <f>E10*0.00045359237</f>
        <v>8044.7283014483</v>
      </c>
      <c r="G10" s="97">
        <f>'[1]Cargo Summary'!F10</f>
        <v>8014.2446262224494</v>
      </c>
      <c r="H10" s="3">
        <f>(F10-G10)/G10</f>
        <v>3.8036866414220367E-3</v>
      </c>
      <c r="I10" s="97">
        <f>+F10+'[2]Cargo Summary'!I10</f>
        <v>22557.676541618679</v>
      </c>
      <c r="J10" s="97">
        <f>'[1]Cargo Summary'!I10</f>
        <v>22164.842869580178</v>
      </c>
      <c r="K10" s="67">
        <f>(I10-J10)/J10</f>
        <v>1.7723278001561669E-2</v>
      </c>
      <c r="M10" s="26"/>
    </row>
    <row r="11" spans="1:18" x14ac:dyDescent="0.2">
      <c r="A11" s="47" t="s">
        <v>16</v>
      </c>
      <c r="B11" s="141">
        <f>'Major Airline Stats'!K34</f>
        <v>2310618</v>
      </c>
      <c r="C11" s="97">
        <f>'Regional Major'!M31</f>
        <v>2357</v>
      </c>
      <c r="D11" s="97">
        <f>Cargo!P22</f>
        <v>418696</v>
      </c>
      <c r="E11" s="97">
        <f>SUM(B11:D11)</f>
        <v>2731671</v>
      </c>
      <c r="F11" s="97">
        <f>E11*0.00045359237</f>
        <v>1239.0651229502701</v>
      </c>
      <c r="G11" s="97">
        <f>'[1]Cargo Summary'!F11</f>
        <v>1332.1876365112701</v>
      </c>
      <c r="H11" s="26">
        <f>(F11-G11)/G11</f>
        <v>-6.9901950002230193E-2</v>
      </c>
      <c r="I11" s="97">
        <f>+F11+'[2]Cargo Summary'!I11</f>
        <v>3726.7507457172296</v>
      </c>
      <c r="J11" s="97">
        <f>'[1]Cargo Summary'!I11</f>
        <v>3614.3106403026704</v>
      </c>
      <c r="K11" s="67">
        <f>(I11-J11)/J11</f>
        <v>3.1109696040167483E-2</v>
      </c>
      <c r="M11" s="26"/>
    </row>
    <row r="12" spans="1:18" ht="18" customHeight="1" thickBot="1" x14ac:dyDescent="0.25">
      <c r="A12" s="56" t="s">
        <v>73</v>
      </c>
      <c r="B12" s="143">
        <f>SUM(B10:B11)</f>
        <v>5082310</v>
      </c>
      <c r="C12" s="107">
        <f t="shared" ref="C12:J12" si="1">SUM(C10:C11)</f>
        <v>4864</v>
      </c>
      <c r="D12" s="107">
        <f t="shared" si="1"/>
        <v>15380087</v>
      </c>
      <c r="E12" s="107">
        <f t="shared" si="1"/>
        <v>20467261</v>
      </c>
      <c r="F12" s="107">
        <f t="shared" si="1"/>
        <v>9283.7934243985692</v>
      </c>
      <c r="G12" s="107">
        <f t="shared" si="1"/>
        <v>9346.4322627337187</v>
      </c>
      <c r="H12" s="29">
        <f>(F12-G12)/G12</f>
        <v>-6.7018982831453652E-3</v>
      </c>
      <c r="I12" s="107">
        <f t="shared" si="1"/>
        <v>26284.427287335908</v>
      </c>
      <c r="J12" s="107">
        <f t="shared" si="1"/>
        <v>25779.153509882846</v>
      </c>
      <c r="K12" s="275">
        <f>(I12-J12)/J12</f>
        <v>1.9600091882743816E-2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7969885</v>
      </c>
      <c r="C20" s="97">
        <f t="shared" si="3"/>
        <v>5588</v>
      </c>
      <c r="D20" s="97">
        <f t="shared" si="3"/>
        <v>32528524</v>
      </c>
      <c r="E20" s="97">
        <f>SUM(B20:D20)</f>
        <v>40503997</v>
      </c>
      <c r="F20" s="97">
        <f>E20*0.00045359237</f>
        <v>18372.303993702888</v>
      </c>
      <c r="G20" s="97">
        <f>'[1]Cargo Summary'!F20</f>
        <v>17654.743997573758</v>
      </c>
      <c r="H20" s="3">
        <f>(F20-G20)/G20</f>
        <v>4.0644032914198151E-2</v>
      </c>
      <c r="I20" s="97">
        <f>+I5+I10+I15</f>
        <v>51312.402802587079</v>
      </c>
      <c r="J20" s="97">
        <f>+J5+J10+J15</f>
        <v>49298.69943403636</v>
      </c>
      <c r="K20" s="67">
        <f>(I20-J20)/J20</f>
        <v>4.084698768260886E-2</v>
      </c>
      <c r="M20" s="26"/>
    </row>
    <row r="21" spans="1:13" x14ac:dyDescent="0.2">
      <c r="A21" s="47" t="s">
        <v>16</v>
      </c>
      <c r="B21" s="141">
        <f t="shared" si="3"/>
        <v>4084316</v>
      </c>
      <c r="C21" s="98">
        <f t="shared" si="3"/>
        <v>2357</v>
      </c>
      <c r="D21" s="98">
        <f t="shared" si="3"/>
        <v>419192</v>
      </c>
      <c r="E21" s="97">
        <f>SUM(B21:D21)</f>
        <v>4505865</v>
      </c>
      <c r="F21" s="97">
        <f>E21*0.00045359237</f>
        <v>2043.8259842500499</v>
      </c>
      <c r="G21" s="97">
        <f>'[1]Cargo Summary'!F21</f>
        <v>2227.93050897802</v>
      </c>
      <c r="H21" s="3">
        <f>(F21-G21)/G21</f>
        <v>-8.2634769794692198E-2</v>
      </c>
      <c r="I21" s="97">
        <f>+I6+I11+I16</f>
        <v>6255.8271258390596</v>
      </c>
      <c r="J21" s="97">
        <f>+J6+J11+J16</f>
        <v>6087.2799122173501</v>
      </c>
      <c r="K21" s="67">
        <f>(I21-J21)/J21</f>
        <v>2.7688428337824627E-2</v>
      </c>
      <c r="M21" s="26"/>
    </row>
    <row r="22" spans="1:13" ht="18" customHeight="1" thickBot="1" x14ac:dyDescent="0.25">
      <c r="A22" s="69" t="s">
        <v>62</v>
      </c>
      <c r="B22" s="144">
        <f>SUM(B20:B21)</f>
        <v>12054201</v>
      </c>
      <c r="C22" s="145">
        <f t="shared" ref="C22:J22" si="4">SUM(C20:C21)</f>
        <v>7945</v>
      </c>
      <c r="D22" s="145">
        <f t="shared" si="4"/>
        <v>32947716</v>
      </c>
      <c r="E22" s="145">
        <f t="shared" si="4"/>
        <v>45009862</v>
      </c>
      <c r="F22" s="145">
        <f t="shared" si="4"/>
        <v>20416.129977952936</v>
      </c>
      <c r="G22" s="145">
        <f t="shared" si="4"/>
        <v>19882.674506551779</v>
      </c>
      <c r="H22" s="281">
        <f>(F22-G22)/G22</f>
        <v>2.6830166697411461E-2</v>
      </c>
      <c r="I22" s="145">
        <f t="shared" si="4"/>
        <v>57568.229928426139</v>
      </c>
      <c r="J22" s="145">
        <f t="shared" si="4"/>
        <v>55385.979346253713</v>
      </c>
      <c r="K22" s="282">
        <f>(I22-J22)/J22</f>
        <v>3.9400776296285404E-2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C7" sqref="C7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79" t="s">
        <v>192</v>
      </c>
      <c r="B2" s="480"/>
      <c r="C2" s="389" t="s">
        <v>221</v>
      </c>
      <c r="D2" s="391" t="s">
        <v>202</v>
      </c>
      <c r="E2" s="392" t="s">
        <v>97</v>
      </c>
      <c r="F2" s="393" t="s">
        <v>222</v>
      </c>
      <c r="G2" s="391" t="s">
        <v>203</v>
      </c>
      <c r="H2" s="390" t="s">
        <v>98</v>
      </c>
      <c r="I2" s="392" t="s">
        <v>139</v>
      </c>
      <c r="J2" s="479" t="s">
        <v>188</v>
      </c>
      <c r="K2" s="480"/>
      <c r="L2" s="389" t="s">
        <v>223</v>
      </c>
      <c r="M2" s="391" t="s">
        <v>204</v>
      </c>
      <c r="N2" s="394" t="s">
        <v>98</v>
      </c>
      <c r="O2" s="395" t="s">
        <v>224</v>
      </c>
      <c r="P2" s="395" t="s">
        <v>205</v>
      </c>
      <c r="Q2" s="424" t="s">
        <v>98</v>
      </c>
      <c r="R2" s="392" t="s">
        <v>225</v>
      </c>
    </row>
    <row r="3" spans="1:18" s="9" customFormat="1" ht="13.5" customHeight="1" thickBot="1" x14ac:dyDescent="0.25">
      <c r="A3" s="481">
        <v>43525</v>
      </c>
      <c r="B3" s="482"/>
      <c r="C3" s="483" t="s">
        <v>9</v>
      </c>
      <c r="D3" s="484"/>
      <c r="E3" s="484"/>
      <c r="F3" s="484"/>
      <c r="G3" s="484"/>
      <c r="H3" s="485"/>
      <c r="I3" s="396"/>
      <c r="J3" s="481">
        <f>+A3</f>
        <v>43525</v>
      </c>
      <c r="K3" s="482"/>
      <c r="L3" s="473" t="s">
        <v>189</v>
      </c>
      <c r="M3" s="474"/>
      <c r="N3" s="474"/>
      <c r="O3" s="474"/>
      <c r="P3" s="474"/>
      <c r="Q3" s="474"/>
      <c r="R3" s="475"/>
    </row>
    <row r="4" spans="1:18" x14ac:dyDescent="0.2">
      <c r="A4" s="299"/>
      <c r="B4" s="300"/>
      <c r="C4" s="301"/>
      <c r="D4" s="302"/>
      <c r="E4" s="303"/>
      <c r="F4" s="397"/>
      <c r="G4" s="302"/>
      <c r="H4" s="413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230</v>
      </c>
      <c r="B5" s="40"/>
      <c r="C5" s="307">
        <f>+[3]DHL!$GD$19</f>
        <v>0</v>
      </c>
      <c r="D5" s="150">
        <f>+[3]DHL!$FP$19</f>
        <v>32</v>
      </c>
      <c r="E5" s="309">
        <f>(C5-D5)/D5</f>
        <v>-1</v>
      </c>
      <c r="F5" s="307">
        <f>+SUM([3]DHL!$GB$12:$GD$12)</f>
        <v>0</v>
      </c>
      <c r="G5" s="150">
        <f>+SUM([3]DHL!$FN$12:$FP$12)</f>
        <v>114</v>
      </c>
      <c r="H5" s="308">
        <f>(F5-G5)/G5</f>
        <v>-1</v>
      </c>
      <c r="I5" s="309">
        <f>+F5/$F$32</f>
        <v>0</v>
      </c>
      <c r="J5" s="306" t="s">
        <v>230</v>
      </c>
      <c r="K5" s="40"/>
      <c r="L5" s="307">
        <f>+[3]DHL!$GD$64</f>
        <v>0</v>
      </c>
      <c r="M5" s="150">
        <f>+[3]DHL!$FP$64</f>
        <v>1011296</v>
      </c>
      <c r="N5" s="309">
        <f>(L5-M5)/M5</f>
        <v>-1</v>
      </c>
      <c r="O5" s="307">
        <f>+SUM([3]DHL!$GB$64:$GD$64)</f>
        <v>0</v>
      </c>
      <c r="P5" s="150">
        <f>+SUM([3]DHL!$FN$64:$FP$64)</f>
        <v>3259230</v>
      </c>
      <c r="Q5" s="308">
        <f>(O5-P5)/P5</f>
        <v>-1</v>
      </c>
      <c r="R5" s="309">
        <f>O5/$O$32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231</v>
      </c>
      <c r="B7" s="40"/>
      <c r="C7" s="307">
        <f>+[3]DHL_Kalitta!$GD$19</f>
        <v>42</v>
      </c>
      <c r="D7" s="150">
        <f>+[3]DHL_Kalitta!$FP$19</f>
        <v>0</v>
      </c>
      <c r="E7" s="309" t="e">
        <f>(C7-D7)/D7</f>
        <v>#DIV/0!</v>
      </c>
      <c r="F7" s="307">
        <f>+SUM([3]DHL_Kalitta!$GB$12:$GD$12)</f>
        <v>122</v>
      </c>
      <c r="G7" s="150">
        <f>+SUM([3]DHL_Kalitta!$FN$12:$FP$12)</f>
        <v>0</v>
      </c>
      <c r="H7" s="308" t="e">
        <f>(F7-G7)/G7</f>
        <v>#DIV/0!</v>
      </c>
      <c r="I7" s="309">
        <f>+F7/$F$32</f>
        <v>3.6559784237338924E-2</v>
      </c>
      <c r="J7" s="306" t="s">
        <v>231</v>
      </c>
      <c r="K7" s="40"/>
      <c r="L7" s="307">
        <f>+[3]DHL_Kalitta!$GD$64</f>
        <v>1389060</v>
      </c>
      <c r="M7" s="150">
        <f>+[3]DHL_Kalitta!$FP$64</f>
        <v>0</v>
      </c>
      <c r="N7" s="309" t="e">
        <f>(L7-M7)/M7</f>
        <v>#DIV/0!</v>
      </c>
      <c r="O7" s="307">
        <f>+SUM([3]DHL_Kalitta!$GB$64:$GD$64)</f>
        <v>3593193</v>
      </c>
      <c r="P7" s="150">
        <f>+SUM([3]DHL_Kalitta!$FN$64:$FP$64)</f>
        <v>0</v>
      </c>
      <c r="Q7" s="308" t="e">
        <f>(O7-P7)/P7</f>
        <v>#DIV/0!</v>
      </c>
      <c r="R7" s="309">
        <f>O7/$O$32</f>
        <v>3.8856375442078372E-2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232</v>
      </c>
      <c r="B9" s="40"/>
      <c r="C9" s="307">
        <f>+[3]DHL_Atlas!$GD$19</f>
        <v>0</v>
      </c>
      <c r="D9" s="150">
        <f>+[3]DHL_Atlas!$FP$19</f>
        <v>0</v>
      </c>
      <c r="E9" s="309" t="e">
        <f>(C9-D9)/D9</f>
        <v>#DIV/0!</v>
      </c>
      <c r="F9" s="307">
        <f>+SUM([3]DHL_Atlas!$GB$12:$GD$12)</f>
        <v>2</v>
      </c>
      <c r="G9" s="150">
        <f>+SUM([3]DHL_Atlas!$FN$12:$FP$12)</f>
        <v>0</v>
      </c>
      <c r="H9" s="308" t="e">
        <f>(F9-G9)/G9</f>
        <v>#DIV/0!</v>
      </c>
      <c r="I9" s="309">
        <f>+F9/$F$32</f>
        <v>5.9934072520227753E-4</v>
      </c>
      <c r="J9" s="306" t="s">
        <v>232</v>
      </c>
      <c r="K9" s="40"/>
      <c r="L9" s="307">
        <f>+[3]DHL_Atlas!$GD$64</f>
        <v>0</v>
      </c>
      <c r="M9" s="150">
        <f>+[3]DHL_Atlas!$FP$64</f>
        <v>0</v>
      </c>
      <c r="N9" s="309" t="e">
        <f>(L9-M9)/M9</f>
        <v>#DIV/0!</v>
      </c>
      <c r="O9" s="307">
        <f>+SUM([3]DHL_Atlas!$GB$64:$GD$64)</f>
        <v>18552</v>
      </c>
      <c r="P9" s="150">
        <f>+SUM([3]DHL_Atlas!$FN$64:$FP$64)</f>
        <v>0</v>
      </c>
      <c r="Q9" s="308" t="e">
        <f>(O9-P9)/P9</f>
        <v>#DIV/0!</v>
      </c>
      <c r="R9" s="309">
        <f>O9/$O$32</f>
        <v>2.0061919223415996E-4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220</v>
      </c>
      <c r="B11" s="40"/>
      <c r="C11" s="307">
        <f>+'[3]Atlas Air'!$GD$19</f>
        <v>62</v>
      </c>
      <c r="D11" s="150">
        <f>+'[3]Atlas Air'!$FP$19</f>
        <v>0</v>
      </c>
      <c r="E11" s="309" t="e">
        <f>(C11-D11)/D11</f>
        <v>#DIV/0!</v>
      </c>
      <c r="F11" s="307">
        <f>+SUM('[3]Atlas Air'!$GB$12:$GD$12)</f>
        <v>174</v>
      </c>
      <c r="G11" s="150">
        <f>+SUM('[3]Atlas Air'!$FN$12:$FP$12)</f>
        <v>0</v>
      </c>
      <c r="H11" s="308" t="e">
        <f>(F11-G11)/G11</f>
        <v>#DIV/0!</v>
      </c>
      <c r="I11" s="309">
        <f>+F11/$F$32</f>
        <v>5.214264309259814E-2</v>
      </c>
      <c r="J11" s="306" t="s">
        <v>220</v>
      </c>
      <c r="K11" s="40"/>
      <c r="L11" s="307">
        <f>+'[3]Atlas Air'!$GD$64</f>
        <v>2331934</v>
      </c>
      <c r="M11" s="150">
        <f>+'[3]Atlas Air'!$FP$64</f>
        <v>0</v>
      </c>
      <c r="N11" s="309" t="e">
        <f>(L11-M11)/M11</f>
        <v>#DIV/0!</v>
      </c>
      <c r="O11" s="307">
        <f>+SUM('[3]Atlas Air'!$GB$64:$GD$64)</f>
        <v>6679531</v>
      </c>
      <c r="P11" s="150">
        <f>+SUM('[3]Atlas Air'!$FN$64:$FP$64)</f>
        <v>0</v>
      </c>
      <c r="Q11" s="308" t="e">
        <f>(O11-P11)/P11</f>
        <v>#DIV/0!</v>
      </c>
      <c r="R11" s="309">
        <f>O11/$O$32</f>
        <v>7.2231679264932666E-2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228</v>
      </c>
      <c r="B13" s="40"/>
      <c r="C13" s="307">
        <f>+[3]Encore!$GD$19</f>
        <v>94</v>
      </c>
      <c r="D13" s="150">
        <f>+[3]Encore!$FP$19</f>
        <v>0</v>
      </c>
      <c r="E13" s="309" t="e">
        <f>(C13-D13)/D13</f>
        <v>#DIV/0!</v>
      </c>
      <c r="F13" s="307">
        <f>+SUM([3]Encore!$GB$12:$GD$12)</f>
        <v>253</v>
      </c>
      <c r="G13" s="150">
        <f>+SUM([3]Encore!$FN$12:$FP$12)</f>
        <v>0</v>
      </c>
      <c r="H13" s="308" t="e">
        <f>(F13-G13)/G13</f>
        <v>#DIV/0!</v>
      </c>
      <c r="I13" s="309">
        <f>+F13/$F$32</f>
        <v>7.5816601738088102E-2</v>
      </c>
      <c r="J13" s="306" t="s">
        <v>228</v>
      </c>
      <c r="K13" s="40"/>
      <c r="L13" s="307">
        <f>+[3]Encore!$GD$64</f>
        <v>114105</v>
      </c>
      <c r="M13" s="150">
        <f>+[3]Encore!$FP$64</f>
        <v>0</v>
      </c>
      <c r="N13" s="309" t="e">
        <f>(L13-M13)/M13</f>
        <v>#DIV/0!</v>
      </c>
      <c r="O13" s="307">
        <f>+SUM([3]Encore!$GB$64:$GD$64)</f>
        <v>313123</v>
      </c>
      <c r="P13" s="150">
        <f>+SUM([3]Encore!$FN$64:$FP$64)</f>
        <v>0</v>
      </c>
      <c r="Q13" s="308" t="e">
        <f>(O13-P13)/P13</f>
        <v>#DIV/0!</v>
      </c>
      <c r="R13" s="309">
        <f>O13/$O$32</f>
        <v>3.3860760742743033E-3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190</v>
      </c>
      <c r="B15" s="40"/>
      <c r="C15" s="307">
        <f>+[3]FedEx!$GD$19</f>
        <v>252</v>
      </c>
      <c r="D15" s="150">
        <f>+[3]FedEx!$FP$19</f>
        <v>270</v>
      </c>
      <c r="E15" s="309">
        <f>(C15-D15)/D15</f>
        <v>-6.6666666666666666E-2</v>
      </c>
      <c r="F15" s="307">
        <f>+SUM([3]FedEx!$GB$12:$GD$12)</f>
        <v>758</v>
      </c>
      <c r="G15" s="150">
        <f>+SUM([3]FedEx!$FN$12:$FP$12)</f>
        <v>770</v>
      </c>
      <c r="H15" s="308">
        <f t="shared" ref="H15" si="0">(F15-G15)/G15</f>
        <v>-1.5584415584415584E-2</v>
      </c>
      <c r="I15" s="309">
        <f>+F15/$F$32</f>
        <v>0.22715013485166316</v>
      </c>
      <c r="J15" s="306" t="s">
        <v>190</v>
      </c>
      <c r="K15" s="40"/>
      <c r="L15" s="307">
        <f>+[3]FedEx!$GD$64</f>
        <v>17114866</v>
      </c>
      <c r="M15" s="150">
        <f>+[3]FedEx!$FP$64</f>
        <v>18229115</v>
      </c>
      <c r="N15" s="309">
        <f>(L15-M15)/M15</f>
        <v>-6.1124689816263705E-2</v>
      </c>
      <c r="O15" s="307">
        <f>+SUM([3]FedEx!$GB$64:$GD$64)</f>
        <v>49371293</v>
      </c>
      <c r="P15" s="150">
        <f>+SUM([3]FedEx!$FN$64:$FP$64)</f>
        <v>50911200</v>
      </c>
      <c r="Q15" s="308">
        <f t="shared" ref="Q15" si="1">(O15-P15)/P15</f>
        <v>-3.0246920127594713E-2</v>
      </c>
      <c r="R15" s="309">
        <f>O15/$O$32</f>
        <v>0.53389547872013998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2"/>
      <c r="Q16" s="3"/>
      <c r="R16" s="67"/>
    </row>
    <row r="17" spans="1:19" ht="14.1" customHeight="1" x14ac:dyDescent="0.2">
      <c r="A17" s="306" t="s">
        <v>83</v>
      </c>
      <c r="B17" s="40"/>
      <c r="C17" s="307">
        <f>+[3]UPS!$GD$19</f>
        <v>278</v>
      </c>
      <c r="D17" s="150">
        <f>+[3]UPS!$FP$19</f>
        <v>238</v>
      </c>
      <c r="E17" s="309">
        <f>(C17-D17)/D17</f>
        <v>0.16806722689075632</v>
      </c>
      <c r="F17" s="307">
        <f>+SUM([3]UPS!$GB$12:$GD$12)</f>
        <v>724</v>
      </c>
      <c r="G17" s="150">
        <f>+SUM([3]UPS!$FN$12:$FP$12)</f>
        <v>588</v>
      </c>
      <c r="H17" s="308">
        <f>(F17-G17)/G17</f>
        <v>0.23129251700680273</v>
      </c>
      <c r="I17" s="309">
        <f>+F17/$F$32</f>
        <v>0.21696134252322447</v>
      </c>
      <c r="J17" s="306" t="s">
        <v>83</v>
      </c>
      <c r="K17" s="40"/>
      <c r="L17" s="307">
        <f>+[3]UPS!$GD$64</f>
        <v>11805024</v>
      </c>
      <c r="M17" s="150">
        <f>+[3]UPS!$FP$64</f>
        <v>11072920</v>
      </c>
      <c r="N17" s="309">
        <f>(L17-M17)/M17</f>
        <v>6.6116616032627348E-2</v>
      </c>
      <c r="O17" s="307">
        <f>+SUM([3]UPS!$GB$64:$GD$64)</f>
        <v>32100693</v>
      </c>
      <c r="P17" s="150">
        <f>+SUM([3]UPS!$FN$64:$FP$64)</f>
        <v>31651207</v>
      </c>
      <c r="Q17" s="308">
        <f>(O17-P17)/P17</f>
        <v>1.4201227776242466E-2</v>
      </c>
      <c r="R17" s="309">
        <f>O17/$O$32</f>
        <v>0.34713319856709535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182</v>
      </c>
      <c r="B19" s="40"/>
      <c r="C19" s="307">
        <f>+[3]IFL!$GD$19</f>
        <v>30</v>
      </c>
      <c r="D19" s="150">
        <f>+[3]IFL!$FP$19</f>
        <v>48</v>
      </c>
      <c r="E19" s="309">
        <f>(C19-D19)/D19</f>
        <v>-0.375</v>
      </c>
      <c r="F19" s="307">
        <f>+SUM([3]IFL!$GB$12:$GD$12)</f>
        <v>95</v>
      </c>
      <c r="G19" s="150">
        <f>+SUM([3]IFL!$FN$12:$FP$12)</f>
        <v>138</v>
      </c>
      <c r="H19" s="308">
        <f>(F19-G19)/G19</f>
        <v>-0.31159420289855072</v>
      </c>
      <c r="I19" s="309">
        <f>+F19/$F$32</f>
        <v>2.8468684447108181E-2</v>
      </c>
      <c r="J19" s="306" t="s">
        <v>182</v>
      </c>
      <c r="K19" s="40"/>
      <c r="L19" s="307">
        <f>+[3]IFL!$GD$64</f>
        <v>13271</v>
      </c>
      <c r="M19" s="150">
        <f>+[3]IFL!$FP$64</f>
        <v>15913</v>
      </c>
      <c r="N19" s="309">
        <f>(L19-M19)/M19</f>
        <v>-0.16602777603217495</v>
      </c>
      <c r="O19" s="307">
        <f>+SUM([3]IFL!$GB$64:$GD$64)</f>
        <v>45583</v>
      </c>
      <c r="P19" s="150">
        <f>+SUM([3]IFL!$FN$64:$FP$64)</f>
        <v>58647</v>
      </c>
      <c r="Q19" s="308">
        <f>(O19-P19)/P19</f>
        <v>-0.2227564922331918</v>
      </c>
      <c r="R19" s="309">
        <f>O19/$O$32</f>
        <v>4.9292931433860031E-4</v>
      </c>
    </row>
    <row r="20" spans="1:19" ht="14.1" customHeight="1" x14ac:dyDescent="0.2">
      <c r="A20" s="306"/>
      <c r="B20" s="40"/>
      <c r="C20" s="307"/>
      <c r="D20" s="165"/>
      <c r="E20" s="309"/>
      <c r="F20" s="398"/>
      <c r="G20" s="165"/>
      <c r="H20" s="308"/>
      <c r="I20" s="309"/>
      <c r="J20" s="306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6" t="s">
        <v>165</v>
      </c>
      <c r="B21" s="311"/>
      <c r="C21" s="307">
        <f>+'[3]Suburban Air Freight'!$GD$19</f>
        <v>0</v>
      </c>
      <c r="D21" s="150">
        <f>+'[3]Suburban Air Freight'!$FP$19</f>
        <v>0</v>
      </c>
      <c r="E21" s="309" t="e">
        <f>(C21-D21)/D21</f>
        <v>#DIV/0!</v>
      </c>
      <c r="F21" s="307">
        <f>+SUM('[3]Suburban Air Freight'!$GB$12:$GD$12)</f>
        <v>0</v>
      </c>
      <c r="G21" s="150">
        <f>+SUM('[3]Suburban Air Freight'!$FN$12:$FP$12)</f>
        <v>0</v>
      </c>
      <c r="H21" s="308" t="e">
        <f t="shared" ref="H21" si="2">(F21-G21)/G21</f>
        <v>#DIV/0!</v>
      </c>
      <c r="I21" s="309">
        <f>+F21/$F$32</f>
        <v>0</v>
      </c>
      <c r="J21" s="306" t="s">
        <v>165</v>
      </c>
      <c r="K21" s="311"/>
      <c r="L21" s="307">
        <f>+'[3]Suburban Air Freight'!$GD$64</f>
        <v>0</v>
      </c>
      <c r="M21" s="150">
        <f>+'[3]Suburban Air Freight'!$FP$64</f>
        <v>0</v>
      </c>
      <c r="N21" s="309" t="e">
        <f>(L21-M21)/M21</f>
        <v>#DIV/0!</v>
      </c>
      <c r="O21" s="307">
        <f>+SUM('[3]Suburban Air Freight'!$GB$64:$GD$64)</f>
        <v>0</v>
      </c>
      <c r="P21" s="150">
        <f>+SUM('[3]Suburban Air Freight'!$FN$64:$FP$64)</f>
        <v>0</v>
      </c>
      <c r="Q21" s="308" t="e">
        <f t="shared" ref="Q21" si="3">(O21-P21)/P21</f>
        <v>#DIV/0!</v>
      </c>
      <c r="R21" s="309">
        <f>O21/$O$32</f>
        <v>0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84</v>
      </c>
      <c r="B23" s="40"/>
      <c r="C23" s="307">
        <f>+[3]Bemidji!$GD$19</f>
        <v>378</v>
      </c>
      <c r="D23" s="150">
        <f>+[3]Bemidji!$FP$19</f>
        <v>554</v>
      </c>
      <c r="E23" s="309">
        <f>(C23-D23)/D23</f>
        <v>-0.3176895306859206</v>
      </c>
      <c r="F23" s="307">
        <f>+SUM([3]Bemidji!$GB$12:$GD$12)</f>
        <v>1126</v>
      </c>
      <c r="G23" s="150">
        <f>+SUM([3]Bemidji!$FN$12:$FP$12)</f>
        <v>1688</v>
      </c>
      <c r="H23" s="308">
        <f t="shared" ref="H23" si="4">(F23-G23)/G23</f>
        <v>-0.33293838862559244</v>
      </c>
      <c r="I23" s="309">
        <f>+F23/$F$32</f>
        <v>0.33742882828888221</v>
      </c>
      <c r="J23" s="306" t="s">
        <v>84</v>
      </c>
      <c r="K23" s="40"/>
      <c r="L23" s="476" t="s">
        <v>193</v>
      </c>
      <c r="M23" s="477"/>
      <c r="N23" s="477"/>
      <c r="O23" s="477"/>
      <c r="P23" s="477"/>
      <c r="Q23" s="477"/>
      <c r="R23" s="478"/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85</v>
      </c>
      <c r="B25" s="40"/>
      <c r="C25" s="307">
        <f>+'[3]CSA Air'!$GD$19</f>
        <v>0</v>
      </c>
      <c r="D25" s="150">
        <f>+'[3]CSA Air'!$FP$19</f>
        <v>0</v>
      </c>
      <c r="E25" s="309" t="e">
        <f>(C25-D25)/D25</f>
        <v>#DIV/0!</v>
      </c>
      <c r="F25" s="307">
        <f>+SUM('[3]CSA Air'!$GB$12:$GD$12)</f>
        <v>3</v>
      </c>
      <c r="G25" s="150">
        <f>+SUM('[3]CSA Air'!$FN$12:$FP$12)</f>
        <v>2</v>
      </c>
      <c r="H25" s="308">
        <f t="shared" ref="H25" si="5">(F25-G25)/G25</f>
        <v>0.5</v>
      </c>
      <c r="I25" s="309">
        <f>+F25/$F$32</f>
        <v>8.9901108780341625E-4</v>
      </c>
      <c r="J25" s="306" t="s">
        <v>85</v>
      </c>
      <c r="K25" s="40"/>
      <c r="L25" s="307">
        <f>+'[3]CSA Air'!$GD$64</f>
        <v>0</v>
      </c>
      <c r="M25" s="150">
        <f>+'[3]CSA Air'!$FP$64</f>
        <v>0</v>
      </c>
      <c r="N25" s="309" t="e">
        <f>(L25-M25)/M25</f>
        <v>#DIV/0!</v>
      </c>
      <c r="O25" s="307">
        <f>+SUM('[3]CSA Air'!$GB$64:$GD$64)</f>
        <v>4835</v>
      </c>
      <c r="P25" s="150">
        <f>+SUM('[3]CSA Air'!$FN$64:$FP$64)</f>
        <v>3414</v>
      </c>
      <c r="Q25" s="308">
        <f t="shared" ref="Q25" si="6">(O25-P25)/P25</f>
        <v>0.4162272993555946</v>
      </c>
      <c r="R25" s="309">
        <f>O25/$O$32</f>
        <v>5.2285133379267109E-5</v>
      </c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86</v>
      </c>
      <c r="B27" s="311"/>
      <c r="C27" s="307">
        <f>+'[3]Mountain Cargo'!$GD$19</f>
        <v>42</v>
      </c>
      <c r="D27" s="150">
        <f>+'[3]Mountain Cargo'!$FP$19</f>
        <v>38</v>
      </c>
      <c r="E27" s="309">
        <f>(C27-D27)/D27</f>
        <v>0.10526315789473684</v>
      </c>
      <c r="F27" s="307">
        <f>+SUM('[3]Mountain Cargo'!$GB$12:$GD$12)</f>
        <v>80</v>
      </c>
      <c r="G27" s="150">
        <f>+SUM('[3]Mountain Cargo'!$FN$12:$FP$12)</f>
        <v>114</v>
      </c>
      <c r="H27" s="308">
        <f>(F27-G27)/G27</f>
        <v>-0.2982456140350877</v>
      </c>
      <c r="I27" s="309">
        <f>+F27/$F$32</f>
        <v>2.39736290080911E-2</v>
      </c>
      <c r="J27" s="306" t="s">
        <v>86</v>
      </c>
      <c r="K27" s="311"/>
      <c r="L27" s="307">
        <f>+'[3]Mountain Cargo'!$GD$64</f>
        <v>179456</v>
      </c>
      <c r="M27" s="150">
        <f>+'[3]Mountain Cargo'!$FP$64</f>
        <v>137313</v>
      </c>
      <c r="N27" s="309">
        <f>(L27-M27)/M27</f>
        <v>0.30691194570069841</v>
      </c>
      <c r="O27" s="307">
        <f>+SUM('[3]Mountain Cargo'!$GB$64:$GD$64)</f>
        <v>346902</v>
      </c>
      <c r="P27" s="150">
        <f>+SUM('[3]Mountain Cargo'!$FN$64:$FP$64)</f>
        <v>393013</v>
      </c>
      <c r="Q27" s="308">
        <f t="shared" ref="Q27" si="7">(O27-P27)/P27</f>
        <v>-0.11732690776132088</v>
      </c>
      <c r="R27" s="309">
        <f>O27/$O$32</f>
        <v>3.7513582915273051E-3</v>
      </c>
      <c r="S27" s="353"/>
    </row>
    <row r="28" spans="1:19" ht="14.1" customHeight="1" x14ac:dyDescent="0.2">
      <c r="A28" s="38"/>
      <c r="B28" s="365"/>
      <c r="C28" s="307"/>
      <c r="E28" s="67"/>
      <c r="F28" s="310"/>
      <c r="I28" s="67"/>
      <c r="J28" s="38"/>
      <c r="K28" s="365"/>
      <c r="L28" s="310"/>
      <c r="N28" s="67"/>
      <c r="O28" s="310"/>
      <c r="P28" s="2"/>
      <c r="Q28" s="3"/>
      <c r="R28" s="67"/>
      <c r="S28" s="284"/>
    </row>
    <row r="29" spans="1:19" ht="14.1" customHeight="1" x14ac:dyDescent="0.2">
      <c r="A29" s="306" t="s">
        <v>129</v>
      </c>
      <c r="B29" s="40"/>
      <c r="C29" s="307">
        <f>+'[3]Misc Cargo'!$GD$19</f>
        <v>0</v>
      </c>
      <c r="D29" s="150">
        <f>+'[3]Misc Cargo'!$FP$19</f>
        <v>88</v>
      </c>
      <c r="E29" s="309">
        <f>(C29-D29)/D29</f>
        <v>-1</v>
      </c>
      <c r="F29" s="307">
        <f>+SUM('[3]Misc Cargo'!$GB$12:$GD$12)</f>
        <v>0</v>
      </c>
      <c r="G29" s="150">
        <f>+SUM('[3]Misc Cargo'!$FN$12:$FP$12)</f>
        <v>137</v>
      </c>
      <c r="H29" s="308">
        <f>(F29-G29)/G29</f>
        <v>-1</v>
      </c>
      <c r="I29" s="309">
        <f>+F29/$F$32</f>
        <v>0</v>
      </c>
      <c r="J29" s="306" t="s">
        <v>129</v>
      </c>
      <c r="K29" s="40"/>
      <c r="L29" s="307">
        <f>+'[3]Misc Cargo'!$GD$64</f>
        <v>0</v>
      </c>
      <c r="M29" s="150">
        <f>+'[3]Misc Cargo'!$FP$64</f>
        <v>120115</v>
      </c>
      <c r="N29" s="309">
        <f>(L29-M29)/M29</f>
        <v>-1</v>
      </c>
      <c r="O29" s="307">
        <f>+SUM('[3]Misc Cargo'!$GB$64:$GD$64)</f>
        <v>0</v>
      </c>
      <c r="P29" s="150">
        <f>+SUM('[3]Misc Cargo'!$FN$64:$FP$64)</f>
        <v>226473</v>
      </c>
      <c r="Q29" s="308">
        <f>(O29-P29)/P29</f>
        <v>-1</v>
      </c>
      <c r="R29" s="309">
        <f>O29/$O$32</f>
        <v>0</v>
      </c>
      <c r="S29" s="399"/>
    </row>
    <row r="30" spans="1:19" ht="14.1" customHeight="1" thickBot="1" x14ac:dyDescent="0.25">
      <c r="A30" s="400"/>
      <c r="B30" s="401"/>
      <c r="C30" s="402"/>
      <c r="D30" s="404"/>
      <c r="E30" s="405"/>
      <c r="F30" s="402"/>
      <c r="G30" s="404"/>
      <c r="H30" s="403"/>
      <c r="I30" s="405"/>
      <c r="J30" s="306"/>
      <c r="K30" s="40"/>
      <c r="L30" s="313"/>
      <c r="M30" s="315"/>
      <c r="N30" s="316"/>
      <c r="O30" s="313"/>
      <c r="P30" s="315"/>
      <c r="Q30" s="314"/>
      <c r="R30" s="401"/>
      <c r="S30" s="399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6" t="s">
        <v>191</v>
      </c>
      <c r="C32" s="407">
        <f>+SUM(C5:C29)</f>
        <v>1178</v>
      </c>
      <c r="D32" s="408">
        <f>SUM(D5:D30)</f>
        <v>1268</v>
      </c>
      <c r="E32" s="409">
        <f>(C32-D32)/D32</f>
        <v>-7.0977917981072558E-2</v>
      </c>
      <c r="F32" s="407">
        <f>+SUM(F5:F29)</f>
        <v>3337</v>
      </c>
      <c r="G32" s="407">
        <f>+SUM(G5:G29)</f>
        <v>3551</v>
      </c>
      <c r="H32" s="410">
        <f>(F32-G32)/G32</f>
        <v>-6.0264714165023936E-2</v>
      </c>
      <c r="I32" s="423"/>
      <c r="J32"/>
      <c r="K32" s="406" t="s">
        <v>191</v>
      </c>
      <c r="L32" s="407">
        <f>+SUM(L5:L29)</f>
        <v>32947716</v>
      </c>
      <c r="M32" s="411">
        <f>SUM(M5:M30)</f>
        <v>30586672</v>
      </c>
      <c r="N32" s="412">
        <f>(L32-M32)/M32</f>
        <v>7.7191922024076362E-2</v>
      </c>
      <c r="O32" s="407">
        <f>+SUM(O5:O29)</f>
        <v>92473705</v>
      </c>
      <c r="P32" s="407">
        <f>+SUM(P5:P29)</f>
        <v>86503184</v>
      </c>
      <c r="Q32" s="410">
        <f t="shared" ref="Q32" si="8">(O32-P32)/P32</f>
        <v>6.9020823557199934E-2</v>
      </c>
      <c r="R32" s="423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March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2019-04-26T15:48:52Z</cp:lastPrinted>
  <dcterms:created xsi:type="dcterms:W3CDTF">2007-09-24T12:26:24Z</dcterms:created>
  <dcterms:modified xsi:type="dcterms:W3CDTF">2021-02-26T19:50:50Z</dcterms:modified>
</cp:coreProperties>
</file>