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53C27E45-1C4C-463D-95A5-EE8F560546C8}" xr6:coauthVersionLast="47" xr6:coauthVersionMax="47" xr10:uidLastSave="{00000000-0000-0000-0000-000000000000}"/>
  <bookViews>
    <workbookView xWindow="2010" yWindow="75" windowWidth="28800" windowHeight="1699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7" l="1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3" i="7"/>
  <c r="M22" i="7"/>
  <c r="L22" i="7"/>
  <c r="J23" i="7"/>
  <c r="C22" i="7"/>
  <c r="B22" i="7"/>
  <c r="E23" i="7"/>
  <c r="F11" i="7"/>
  <c r="E11" i="7"/>
  <c r="D11" i="7"/>
  <c r="C11" i="7"/>
  <c r="B11" i="7"/>
  <c r="F10" i="7"/>
  <c r="E10" i="7"/>
  <c r="D10" i="7"/>
  <c r="C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H28" i="1" l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B37" i="1"/>
  <c r="B36" i="1"/>
  <c r="D37" i="1"/>
  <c r="D36" i="1"/>
  <c r="M72" i="9" l="1"/>
  <c r="P72" i="9"/>
  <c r="B21" i="7"/>
  <c r="C21" i="7" l="1"/>
  <c r="D21" i="7" s="1"/>
  <c r="M21" i="7" l="1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V72" i="9"/>
  <c r="Y72" i="9"/>
  <c r="X72" i="9" l="1"/>
  <c r="U72" i="9"/>
  <c r="C72" i="9"/>
  <c r="F72" i="9"/>
  <c r="L72" i="9"/>
  <c r="O72" i="9"/>
  <c r="D9" i="17"/>
  <c r="C9" i="17"/>
  <c r="G9" i="17"/>
  <c r="F9" i="17"/>
  <c r="R17" i="8" l="1"/>
  <c r="R16" i="8"/>
  <c r="R22" i="8"/>
  <c r="R21" i="8"/>
  <c r="E9" i="17"/>
  <c r="R5" i="8"/>
  <c r="R4" i="8"/>
  <c r="H9" i="17"/>
  <c r="D10" i="8" l="1"/>
  <c r="D23" i="8" l="1"/>
  <c r="R27" i="8"/>
  <c r="D6" i="8"/>
  <c r="D12" i="8" s="1"/>
  <c r="D18" i="8"/>
  <c r="R26" i="8"/>
  <c r="D31" i="8"/>
  <c r="D28" i="8"/>
  <c r="D32" i="8"/>
  <c r="D33" i="8" l="1"/>
  <c r="K16" i="3" l="1"/>
  <c r="K17" i="3"/>
  <c r="K20" i="3"/>
  <c r="K21" i="3"/>
  <c r="K17" i="4" l="1"/>
  <c r="H17" i="4"/>
  <c r="T1048576" i="17" l="1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21" i="5" s="1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D20" i="5" l="1"/>
  <c r="R33" i="8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3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3" i="7" l="1"/>
  <c r="B33" i="1"/>
  <c r="D33" i="1" s="1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G19" i="1" s="1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0" i="5" l="1"/>
  <c r="G7" i="1"/>
  <c r="D23" i="7"/>
  <c r="F23" i="7" s="1"/>
  <c r="B17" i="5"/>
  <c r="D22" i="7"/>
  <c r="F22" i="7" s="1"/>
  <c r="F32" i="7"/>
  <c r="F30" i="7"/>
  <c r="F29" i="7"/>
  <c r="F28" i="7"/>
  <c r="K23" i="3"/>
  <c r="F27" i="7"/>
  <c r="F26" i="7"/>
  <c r="F25" i="7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L21" i="15"/>
  <c r="D6" i="1"/>
  <c r="C8" i="1"/>
  <c r="B10" i="1"/>
  <c r="F21" i="7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C21" i="5" s="1"/>
  <c r="M37" i="4"/>
  <c r="H16" i="5"/>
  <c r="L21" i="4"/>
  <c r="M21" i="4" s="1"/>
  <c r="C17" i="5"/>
  <c r="E15" i="5"/>
  <c r="D12" i="5"/>
  <c r="D7" i="5"/>
  <c r="C22" i="1"/>
  <c r="D16" i="1"/>
  <c r="G16" i="1" s="1"/>
  <c r="C7" i="5"/>
  <c r="E5" i="5"/>
  <c r="F5" i="5" s="1"/>
  <c r="I5" i="5" s="1"/>
  <c r="G5" i="1" l="1"/>
  <c r="G6" i="1"/>
  <c r="C33" i="7"/>
  <c r="B20" i="5"/>
  <c r="E20" i="5" s="1"/>
  <c r="B21" i="5"/>
  <c r="E21" i="5" s="1"/>
  <c r="C33" i="1"/>
  <c r="B32" i="1"/>
  <c r="D32" i="1" s="1"/>
  <c r="I7" i="1"/>
  <c r="I19" i="1"/>
  <c r="D10" i="1"/>
  <c r="G10" i="1" s="1"/>
  <c r="E6" i="5"/>
  <c r="F6" i="5" s="1"/>
  <c r="I6" i="5" s="1"/>
  <c r="E10" i="5"/>
  <c r="F10" i="5" s="1"/>
  <c r="I10" i="5" s="1"/>
  <c r="F5" i="1"/>
  <c r="I18" i="1"/>
  <c r="D8" i="1"/>
  <c r="F8" i="1" s="1"/>
  <c r="F6" i="1"/>
  <c r="C11" i="1"/>
  <c r="B11" i="1"/>
  <c r="L23" i="7" s="1"/>
  <c r="D33" i="7"/>
  <c r="D28" i="1"/>
  <c r="G28" i="1" s="1"/>
  <c r="B22" i="1"/>
  <c r="B29" i="1"/>
  <c r="C12" i="5"/>
  <c r="E11" i="5"/>
  <c r="F11" i="5" s="1"/>
  <c r="I11" i="5" s="1"/>
  <c r="C29" i="1"/>
  <c r="F16" i="1"/>
  <c r="D22" i="1"/>
  <c r="F22" i="1" s="1"/>
  <c r="D22" i="5"/>
  <c r="F15" i="5"/>
  <c r="I15" i="5" s="1"/>
  <c r="E17" i="5"/>
  <c r="D27" i="1" s="1"/>
  <c r="G27" i="1" s="1"/>
  <c r="F17" i="1"/>
  <c r="G23" i="7" l="1"/>
  <c r="H22" i="7"/>
  <c r="M23" i="7"/>
  <c r="N21" i="7"/>
  <c r="E22" i="5"/>
  <c r="P31" i="7"/>
  <c r="I17" i="5"/>
  <c r="I12" i="5"/>
  <c r="P29" i="7"/>
  <c r="P27" i="7"/>
  <c r="P26" i="7"/>
  <c r="P24" i="7"/>
  <c r="B22" i="5"/>
  <c r="C32" i="1"/>
  <c r="D34" i="1"/>
  <c r="H6" i="5"/>
  <c r="K6" i="5"/>
  <c r="F28" i="1"/>
  <c r="I5" i="1"/>
  <c r="F10" i="1"/>
  <c r="E7" i="5"/>
  <c r="F21" i="5"/>
  <c r="I21" i="5" s="1"/>
  <c r="I6" i="1"/>
  <c r="G8" i="1"/>
  <c r="I8" i="1" s="1"/>
  <c r="F33" i="7"/>
  <c r="I17" i="1"/>
  <c r="D11" i="1"/>
  <c r="F11" i="1" s="1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H23" i="7" l="1"/>
  <c r="I23" i="7" s="1"/>
  <c r="N23" i="7"/>
  <c r="P23" i="7" s="1"/>
  <c r="N22" i="7"/>
  <c r="P22" i="7" s="1"/>
  <c r="G22" i="7"/>
  <c r="K31" i="7"/>
  <c r="P32" i="7"/>
  <c r="K30" i="7"/>
  <c r="P30" i="7"/>
  <c r="K29" i="7"/>
  <c r="I22" i="5"/>
  <c r="K28" i="7"/>
  <c r="P28" i="7"/>
  <c r="K24" i="7"/>
  <c r="K27" i="7"/>
  <c r="K26" i="7"/>
  <c r="K25" i="7"/>
  <c r="P25" i="7"/>
  <c r="M33" i="7"/>
  <c r="H21" i="5"/>
  <c r="I10" i="1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I22" i="7" l="1"/>
  <c r="K22" i="7" s="1"/>
  <c r="K7" i="5"/>
  <c r="K32" i="7"/>
  <c r="H33" i="7"/>
  <c r="K23" i="7"/>
  <c r="K21" i="5"/>
  <c r="E32" i="1"/>
  <c r="K20" i="5"/>
  <c r="K22" i="5"/>
  <c r="N33" i="7" l="1"/>
  <c r="P33" i="7" s="1"/>
  <c r="L33" i="7"/>
  <c r="G33" i="7"/>
  <c r="I21" i="7" l="1"/>
  <c r="P21" i="7"/>
  <c r="I33" i="7" l="1"/>
  <c r="K21" i="7"/>
  <c r="K33" i="7" l="1"/>
</calcChain>
</file>

<file path=xl/sharedStrings.xml><?xml version="1.0" encoding="utf-8"?>
<sst xmlns="http://schemas.openxmlformats.org/spreadsheetml/2006/main" count="698" uniqueCount="249">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</sst>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1306894</v>
          </cell>
          <cell r="G5">
            <v>2919594</v>
          </cell>
        </row>
        <row r="6">
          <cell r="D6">
            <v>359126</v>
          </cell>
          <cell r="G6">
            <v>885842</v>
          </cell>
        </row>
        <row r="7">
          <cell r="D7">
            <v>0</v>
          </cell>
          <cell r="G7">
            <v>388</v>
          </cell>
        </row>
        <row r="10">
          <cell r="D10">
            <v>54875</v>
          </cell>
          <cell r="G10">
            <v>148874</v>
          </cell>
        </row>
        <row r="16">
          <cell r="D16">
            <v>11728</v>
          </cell>
          <cell r="G16">
            <v>30422</v>
          </cell>
        </row>
        <row r="17">
          <cell r="D17">
            <v>9564</v>
          </cell>
          <cell r="G17">
            <v>26559</v>
          </cell>
        </row>
        <row r="18">
          <cell r="D18">
            <v>0</v>
          </cell>
          <cell r="G18">
            <v>4</v>
          </cell>
        </row>
        <row r="19">
          <cell r="D19">
            <v>1398</v>
          </cell>
          <cell r="G19">
            <v>3781</v>
          </cell>
        </row>
        <row r="20">
          <cell r="D20">
            <v>1017</v>
          </cell>
          <cell r="G20">
            <v>2824</v>
          </cell>
        </row>
        <row r="21">
          <cell r="D21">
            <v>133</v>
          </cell>
          <cell r="G21">
            <v>327</v>
          </cell>
        </row>
        <row r="27">
          <cell r="D27">
            <v>17442.081750822959</v>
          </cell>
          <cell r="G27">
            <v>44322.077634338348</v>
          </cell>
        </row>
        <row r="28">
          <cell r="D28">
            <v>1527.9884940920601</v>
          </cell>
          <cell r="G28">
            <v>4866.1661609021994</v>
          </cell>
        </row>
        <row r="32">
          <cell r="B32">
            <v>650501</v>
          </cell>
          <cell r="D32">
            <v>1407434</v>
          </cell>
        </row>
        <row r="33">
          <cell r="B33">
            <v>205011</v>
          </cell>
          <cell r="D33">
            <v>525927</v>
          </cell>
        </row>
      </sheetData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>
        <row r="5">
          <cell r="F5">
            <v>9633.1398351480602</v>
          </cell>
          <cell r="I5">
            <v>23686.533233614791</v>
          </cell>
        </row>
        <row r="6">
          <cell r="F6">
            <v>914.14420773290999</v>
          </cell>
          <cell r="I6">
            <v>2442.0147678087696</v>
          </cell>
        </row>
        <row r="10">
          <cell r="F10">
            <v>7808.9419156749</v>
          </cell>
          <cell r="I10">
            <v>20635.54440072356</v>
          </cell>
        </row>
        <row r="11">
          <cell r="F11">
            <v>613.84428635915003</v>
          </cell>
          <cell r="I11">
            <v>2424.1513930934298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17442.081750822959</v>
          </cell>
          <cell r="I20">
            <v>44322.077634338348</v>
          </cell>
        </row>
        <row r="21">
          <cell r="F21">
            <v>1527.9884940920599</v>
          </cell>
          <cell r="I21">
            <v>4866.1661609022003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3322706</v>
          </cell>
        </row>
        <row r="6">
          <cell r="G6">
            <v>646857</v>
          </cell>
        </row>
        <row r="7">
          <cell r="G7">
            <v>3023</v>
          </cell>
        </row>
        <row r="10">
          <cell r="G10">
            <v>119587</v>
          </cell>
        </row>
        <row r="16">
          <cell r="G16">
            <v>27293</v>
          </cell>
        </row>
        <row r="17">
          <cell r="G17">
            <v>15227</v>
          </cell>
        </row>
        <row r="18">
          <cell r="G18">
            <v>25</v>
          </cell>
        </row>
        <row r="19">
          <cell r="G19">
            <v>2511</v>
          </cell>
        </row>
        <row r="20">
          <cell r="G20">
            <v>2219</v>
          </cell>
        </row>
        <row r="21">
          <cell r="G21">
            <v>166</v>
          </cell>
        </row>
        <row r="27">
          <cell r="G27">
            <v>31478.748023461198</v>
          </cell>
        </row>
        <row r="28">
          <cell r="G28">
            <v>3675.3578230114899</v>
          </cell>
        </row>
        <row r="32">
          <cell r="D32">
            <v>1416284</v>
          </cell>
        </row>
        <row r="33">
          <cell r="D33">
            <v>593641</v>
          </cell>
        </row>
      </sheetData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>
        <row r="5">
          <cell r="I5">
            <v>18222.511463803567</v>
          </cell>
        </row>
        <row r="6">
          <cell r="I6">
            <v>1988.1792722984501</v>
          </cell>
        </row>
        <row r="10">
          <cell r="I10">
            <v>13256.236559657629</v>
          </cell>
        </row>
        <row r="11">
          <cell r="I11">
            <v>1687.1785507130398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31478.748023461201</v>
          </cell>
        </row>
        <row r="21">
          <cell r="I21">
            <v>3675.3578230114899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3"/>
      <sheetData sheetId="4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5">
        <row r="4">
          <cell r="HT4">
            <v>58</v>
          </cell>
        </row>
        <row r="5">
          <cell r="HT5">
            <v>58</v>
          </cell>
        </row>
        <row r="19">
          <cell r="HD19">
            <v>0</v>
          </cell>
          <cell r="HE19">
            <v>0</v>
          </cell>
          <cell r="HF19">
            <v>0</v>
          </cell>
          <cell r="HR19">
            <v>82</v>
          </cell>
          <cell r="HS19">
            <v>94</v>
          </cell>
          <cell r="HT19">
            <v>116</v>
          </cell>
        </row>
        <row r="22">
          <cell r="HT22">
            <v>8912</v>
          </cell>
        </row>
        <row r="23">
          <cell r="HT23">
            <v>8406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8054</v>
          </cell>
          <cell r="HS41">
            <v>11264</v>
          </cell>
          <cell r="HT41">
            <v>17318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7">
        <row r="4">
          <cell r="HT4">
            <v>61</v>
          </cell>
        </row>
        <row r="5">
          <cell r="HT5">
            <v>62</v>
          </cell>
        </row>
        <row r="19">
          <cell r="HD19">
            <v>62</v>
          </cell>
          <cell r="HE19">
            <v>87</v>
          </cell>
          <cell r="HF19">
            <v>120</v>
          </cell>
          <cell r="HR19">
            <v>72</v>
          </cell>
          <cell r="HS19">
            <v>116</v>
          </cell>
          <cell r="HT19">
            <v>123</v>
          </cell>
        </row>
        <row r="22">
          <cell r="HT22">
            <v>8430</v>
          </cell>
        </row>
        <row r="23">
          <cell r="HT23">
            <v>8663</v>
          </cell>
        </row>
        <row r="27">
          <cell r="HT27">
            <v>174</v>
          </cell>
        </row>
        <row r="28">
          <cell r="HT28">
            <v>221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R41">
            <v>7669</v>
          </cell>
          <cell r="HS41">
            <v>13151</v>
          </cell>
          <cell r="HT41">
            <v>17093</v>
          </cell>
        </row>
        <row r="47">
          <cell r="HT47">
            <v>7412</v>
          </cell>
        </row>
        <row r="52">
          <cell r="HT52">
            <v>7216</v>
          </cell>
        </row>
        <row r="53">
          <cell r="HT53">
            <v>14199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R64">
            <v>8706</v>
          </cell>
          <cell r="HS64">
            <v>17136</v>
          </cell>
          <cell r="HT64">
            <v>28827</v>
          </cell>
        </row>
      </sheetData>
      <sheetData sheetId="8"/>
      <sheetData sheetId="9">
        <row r="4">
          <cell r="HT4">
            <v>320</v>
          </cell>
        </row>
        <row r="5">
          <cell r="HT5">
            <v>322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R19">
            <v>561</v>
          </cell>
          <cell r="HS19">
            <v>497</v>
          </cell>
          <cell r="HT19">
            <v>642</v>
          </cell>
        </row>
        <row r="22">
          <cell r="HT22">
            <v>48664</v>
          </cell>
        </row>
        <row r="23">
          <cell r="HT23">
            <v>49688</v>
          </cell>
        </row>
        <row r="27">
          <cell r="HT27">
            <v>958</v>
          </cell>
        </row>
        <row r="28">
          <cell r="HT28">
            <v>1190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R41">
            <v>71394</v>
          </cell>
          <cell r="HS41">
            <v>72168</v>
          </cell>
          <cell r="HT41">
            <v>98352</v>
          </cell>
        </row>
        <row r="47">
          <cell r="HT47">
            <v>32000</v>
          </cell>
        </row>
        <row r="48">
          <cell r="HT48">
            <v>78986</v>
          </cell>
        </row>
        <row r="52">
          <cell r="HT52">
            <v>5188</v>
          </cell>
        </row>
        <row r="53">
          <cell r="HT53">
            <v>11160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R64">
            <v>177370</v>
          </cell>
          <cell r="HS64">
            <v>130511</v>
          </cell>
          <cell r="HT64">
            <v>127334</v>
          </cell>
        </row>
      </sheetData>
      <sheetData sheetId="10"/>
      <sheetData sheetId="11">
        <row r="4">
          <cell r="HT4">
            <v>4681</v>
          </cell>
        </row>
        <row r="5">
          <cell r="HT5">
            <v>4679</v>
          </cell>
        </row>
        <row r="8">
          <cell r="HT8">
            <v>2</v>
          </cell>
        </row>
        <row r="9">
          <cell r="HT9">
            <v>12</v>
          </cell>
        </row>
        <row r="15">
          <cell r="HR15">
            <v>432</v>
          </cell>
          <cell r="HS15">
            <v>415</v>
          </cell>
          <cell r="HT15">
            <v>487</v>
          </cell>
        </row>
        <row r="16">
          <cell r="HR16">
            <v>435</v>
          </cell>
          <cell r="HS16">
            <v>414</v>
          </cell>
          <cell r="HT16">
            <v>488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R19">
            <v>9542</v>
          </cell>
          <cell r="HS19">
            <v>8687</v>
          </cell>
          <cell r="HT19">
            <v>10349</v>
          </cell>
        </row>
        <row r="22">
          <cell r="HT22">
            <v>678579</v>
          </cell>
        </row>
        <row r="23">
          <cell r="HT23">
            <v>692731</v>
          </cell>
        </row>
        <row r="27">
          <cell r="HT27">
            <v>22140</v>
          </cell>
        </row>
        <row r="28">
          <cell r="HT28">
            <v>22480</v>
          </cell>
        </row>
        <row r="32">
          <cell r="HR32">
            <v>50106</v>
          </cell>
          <cell r="HS32">
            <v>50876</v>
          </cell>
          <cell r="HT32">
            <v>71091</v>
          </cell>
        </row>
        <row r="33">
          <cell r="HR33">
            <v>48790</v>
          </cell>
          <cell r="HS33">
            <v>53187</v>
          </cell>
          <cell r="HT33">
            <v>72364</v>
          </cell>
        </row>
        <row r="37">
          <cell r="HR37">
            <v>826</v>
          </cell>
          <cell r="HS37">
            <v>915</v>
          </cell>
          <cell r="HT37">
            <v>1037</v>
          </cell>
        </row>
        <row r="38">
          <cell r="HR38">
            <v>816</v>
          </cell>
          <cell r="HS38">
            <v>907</v>
          </cell>
          <cell r="HT38">
            <v>1104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R41">
            <v>1105204</v>
          </cell>
          <cell r="HS41">
            <v>1137251</v>
          </cell>
          <cell r="HT41">
            <v>1514765</v>
          </cell>
        </row>
        <row r="47">
          <cell r="HT47">
            <v>2023919</v>
          </cell>
        </row>
        <row r="48">
          <cell r="HT48">
            <v>1203744</v>
          </cell>
        </row>
        <row r="52">
          <cell r="HT52">
            <v>1302683</v>
          </cell>
        </row>
        <row r="53">
          <cell r="HT53">
            <v>1164934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R64">
            <v>4786988</v>
          </cell>
          <cell r="HS64">
            <v>5419387</v>
          </cell>
          <cell r="HT64">
            <v>5695280</v>
          </cell>
        </row>
        <row r="70">
          <cell r="HT70">
            <v>480344</v>
          </cell>
        </row>
        <row r="71">
          <cell r="HT71">
            <v>212387</v>
          </cell>
        </row>
        <row r="73">
          <cell r="HT73">
            <v>50178</v>
          </cell>
        </row>
        <row r="74">
          <cell r="HT74">
            <v>22186</v>
          </cell>
        </row>
      </sheetData>
      <sheetData sheetId="12">
        <row r="4">
          <cell r="HT4">
            <v>812</v>
          </cell>
        </row>
        <row r="5">
          <cell r="HT5">
            <v>819</v>
          </cell>
        </row>
        <row r="8">
          <cell r="HT8">
            <v>77</v>
          </cell>
        </row>
        <row r="9">
          <cell r="HT9">
            <v>73</v>
          </cell>
        </row>
        <row r="15">
          <cell r="HR15">
            <v>195</v>
          </cell>
          <cell r="HS15">
            <v>222</v>
          </cell>
          <cell r="HT15">
            <v>275</v>
          </cell>
        </row>
        <row r="16">
          <cell r="HR16">
            <v>189</v>
          </cell>
          <cell r="HS16">
            <v>221</v>
          </cell>
          <cell r="HT16">
            <v>278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R19">
            <v>1843</v>
          </cell>
          <cell r="HS19">
            <v>2009</v>
          </cell>
          <cell r="HT19">
            <v>2334</v>
          </cell>
        </row>
        <row r="22">
          <cell r="HT22">
            <v>136815</v>
          </cell>
        </row>
        <row r="23">
          <cell r="HT23">
            <v>140262</v>
          </cell>
        </row>
        <row r="27">
          <cell r="HT27">
            <v>2116</v>
          </cell>
        </row>
        <row r="28">
          <cell r="HT28">
            <v>2345</v>
          </cell>
        </row>
        <row r="32">
          <cell r="HR32">
            <v>21739</v>
          </cell>
          <cell r="HS32">
            <v>26311</v>
          </cell>
          <cell r="HT32">
            <v>41426</v>
          </cell>
        </row>
        <row r="33">
          <cell r="HR33">
            <v>20135</v>
          </cell>
          <cell r="HS33">
            <v>28201</v>
          </cell>
          <cell r="HT33">
            <v>42109</v>
          </cell>
        </row>
        <row r="37">
          <cell r="HR37">
            <v>364</v>
          </cell>
          <cell r="HS37">
            <v>343</v>
          </cell>
          <cell r="HT37">
            <v>437</v>
          </cell>
        </row>
        <row r="38">
          <cell r="HR38">
            <v>327</v>
          </cell>
          <cell r="HS38">
            <v>373</v>
          </cell>
          <cell r="HT38">
            <v>452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R41">
            <v>228057</v>
          </cell>
          <cell r="HS41">
            <v>274421</v>
          </cell>
          <cell r="HT41">
            <v>360612</v>
          </cell>
        </row>
        <row r="47">
          <cell r="HT47">
            <v>70587</v>
          </cell>
        </row>
        <row r="48">
          <cell r="HT48">
            <v>12225</v>
          </cell>
        </row>
        <row r="53">
          <cell r="HT53">
            <v>152777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R64">
            <v>324080</v>
          </cell>
          <cell r="HS64">
            <v>113145</v>
          </cell>
          <cell r="HT64">
            <v>235589</v>
          </cell>
        </row>
        <row r="70">
          <cell r="HT70">
            <v>140262</v>
          </cell>
        </row>
        <row r="73">
          <cell r="HT73">
            <v>42109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14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15">
        <row r="4">
          <cell r="HT4">
            <v>82</v>
          </cell>
        </row>
        <row r="5">
          <cell r="HT5">
            <v>82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R19">
            <v>164</v>
          </cell>
          <cell r="HS19">
            <v>140</v>
          </cell>
          <cell r="HT19">
            <v>164</v>
          </cell>
        </row>
        <row r="22">
          <cell r="HT22">
            <v>927</v>
          </cell>
        </row>
        <row r="23">
          <cell r="HT23">
            <v>779</v>
          </cell>
        </row>
        <row r="27">
          <cell r="HT27">
            <v>42</v>
          </cell>
        </row>
        <row r="28">
          <cell r="HT28">
            <v>44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R41">
            <v>1348</v>
          </cell>
          <cell r="HS41">
            <v>1311</v>
          </cell>
          <cell r="HT41">
            <v>1706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16">
        <row r="4">
          <cell r="HT4">
            <v>62</v>
          </cell>
        </row>
        <row r="5">
          <cell r="HT5">
            <v>60</v>
          </cell>
        </row>
        <row r="15">
          <cell r="HR15">
            <v>31</v>
          </cell>
          <cell r="HS15">
            <v>28</v>
          </cell>
          <cell r="HT15">
            <v>30</v>
          </cell>
        </row>
        <row r="16">
          <cell r="HR16">
            <v>31</v>
          </cell>
          <cell r="HS16">
            <v>28</v>
          </cell>
          <cell r="HT16">
            <v>30</v>
          </cell>
        </row>
        <row r="19">
          <cell r="HD19">
            <v>51</v>
          </cell>
          <cell r="HE19">
            <v>47</v>
          </cell>
          <cell r="HF19">
            <v>148</v>
          </cell>
          <cell r="HR19">
            <v>170</v>
          </cell>
          <cell r="HS19">
            <v>159</v>
          </cell>
          <cell r="HT19">
            <v>182</v>
          </cell>
        </row>
        <row r="22">
          <cell r="HT22">
            <v>10574</v>
          </cell>
        </row>
        <row r="23">
          <cell r="HT23">
            <v>9424</v>
          </cell>
        </row>
        <row r="27">
          <cell r="HT27">
            <v>111</v>
          </cell>
        </row>
        <row r="28">
          <cell r="HT28">
            <v>84</v>
          </cell>
        </row>
        <row r="32">
          <cell r="HR32">
            <v>2942</v>
          </cell>
          <cell r="HS32">
            <v>333</v>
          </cell>
          <cell r="HT32">
            <v>4628</v>
          </cell>
        </row>
        <row r="33">
          <cell r="HR33">
            <v>2442</v>
          </cell>
          <cell r="HS33">
            <v>3504</v>
          </cell>
          <cell r="HT33">
            <v>4921</v>
          </cell>
        </row>
        <row r="37">
          <cell r="HR37">
            <v>7</v>
          </cell>
          <cell r="HS37">
            <v>12</v>
          </cell>
          <cell r="HT37">
            <v>0</v>
          </cell>
        </row>
        <row r="38">
          <cell r="HR38">
            <v>3</v>
          </cell>
          <cell r="HS38">
            <v>2</v>
          </cell>
          <cell r="HT38">
            <v>2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R41">
            <v>18270</v>
          </cell>
          <cell r="HS41">
            <v>19192</v>
          </cell>
          <cell r="HT41">
            <v>29547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17"/>
      <sheetData sheetId="18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19">
        <row r="4">
          <cell r="HT4">
            <v>60</v>
          </cell>
        </row>
        <row r="5">
          <cell r="HT5">
            <v>60</v>
          </cell>
        </row>
        <row r="19">
          <cell r="HD19">
            <v>26</v>
          </cell>
          <cell r="HE19">
            <v>4</v>
          </cell>
          <cell r="HF19">
            <v>0</v>
          </cell>
          <cell r="HR19">
            <v>96</v>
          </cell>
          <cell r="HS19">
            <v>104</v>
          </cell>
          <cell r="HT19">
            <v>120</v>
          </cell>
        </row>
        <row r="22">
          <cell r="HT22">
            <v>5122</v>
          </cell>
        </row>
        <row r="23">
          <cell r="HT23">
            <v>4836</v>
          </cell>
        </row>
        <row r="27">
          <cell r="HT27">
            <v>177</v>
          </cell>
        </row>
        <row r="28">
          <cell r="HT28">
            <v>197</v>
          </cell>
        </row>
        <row r="41">
          <cell r="HD41">
            <v>1058</v>
          </cell>
          <cell r="HE41">
            <v>89</v>
          </cell>
          <cell r="HF41">
            <v>0</v>
          </cell>
          <cell r="HR41">
            <v>3762</v>
          </cell>
          <cell r="HS41">
            <v>4525</v>
          </cell>
          <cell r="HT41">
            <v>9958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20">
        <row r="4">
          <cell r="HT4">
            <v>313</v>
          </cell>
        </row>
        <row r="5">
          <cell r="HT5">
            <v>312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R19">
            <v>527</v>
          </cell>
          <cell r="HS19">
            <v>526</v>
          </cell>
          <cell r="HT19">
            <v>625</v>
          </cell>
        </row>
        <row r="22">
          <cell r="HT22">
            <v>42455</v>
          </cell>
        </row>
        <row r="23">
          <cell r="HT23">
            <v>42874</v>
          </cell>
        </row>
        <row r="27">
          <cell r="HT27">
            <v>1124</v>
          </cell>
        </row>
        <row r="28">
          <cell r="HT28">
            <v>1173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R41">
            <v>57743</v>
          </cell>
          <cell r="HS41">
            <v>61710</v>
          </cell>
          <cell r="HT41">
            <v>85329</v>
          </cell>
        </row>
        <row r="47">
          <cell r="HT47">
            <v>30633</v>
          </cell>
        </row>
        <row r="48">
          <cell r="HT48">
            <v>30877</v>
          </cell>
        </row>
        <row r="52">
          <cell r="HT52">
            <v>3760</v>
          </cell>
        </row>
        <row r="53">
          <cell r="HT53">
            <v>18841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R64">
            <v>89966</v>
          </cell>
          <cell r="HS64">
            <v>104017</v>
          </cell>
          <cell r="HT64">
            <v>84111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</row>
        <row r="16">
          <cell r="HR16">
            <v>14</v>
          </cell>
          <cell r="HS16">
            <v>11</v>
          </cell>
          <cell r="HT16">
            <v>14</v>
          </cell>
        </row>
        <row r="19">
          <cell r="HD19">
            <v>0</v>
          </cell>
          <cell r="HE19">
            <v>0</v>
          </cell>
          <cell r="HF19">
            <v>0</v>
          </cell>
          <cell r="HR19">
            <v>28</v>
          </cell>
          <cell r="HS19">
            <v>22</v>
          </cell>
          <cell r="HT19">
            <v>28</v>
          </cell>
        </row>
        <row r="32">
          <cell r="HR32">
            <v>2461</v>
          </cell>
          <cell r="HS32">
            <v>1608</v>
          </cell>
          <cell r="HT32">
            <v>3142</v>
          </cell>
        </row>
        <row r="33">
          <cell r="HR33">
            <v>2013</v>
          </cell>
          <cell r="HS33">
            <v>1227</v>
          </cell>
          <cell r="HT33">
            <v>2587</v>
          </cell>
        </row>
        <row r="37">
          <cell r="HR37">
            <v>5</v>
          </cell>
          <cell r="HS37">
            <v>4</v>
          </cell>
          <cell r="HT37">
            <v>5</v>
          </cell>
        </row>
        <row r="38">
          <cell r="HR38">
            <v>2</v>
          </cell>
          <cell r="HS38">
            <v>1</v>
          </cell>
          <cell r="HT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4474</v>
          </cell>
          <cell r="HS41">
            <v>2835</v>
          </cell>
          <cell r="HT41">
            <v>5729</v>
          </cell>
        </row>
        <row r="47">
          <cell r="HT47">
            <v>576945</v>
          </cell>
        </row>
        <row r="52">
          <cell r="HT52">
            <v>298382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527865</v>
          </cell>
          <cell r="HS64">
            <v>276838</v>
          </cell>
          <cell r="HT64">
            <v>875327</v>
          </cell>
        </row>
      </sheetData>
      <sheetData sheetId="22"/>
      <sheetData sheetId="23"/>
      <sheetData sheetId="24">
        <row r="4">
          <cell r="HT4">
            <v>394</v>
          </cell>
        </row>
        <row r="5">
          <cell r="HT5">
            <v>392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R19">
            <v>641</v>
          </cell>
          <cell r="HS19">
            <v>604</v>
          </cell>
          <cell r="HT19">
            <v>786</v>
          </cell>
        </row>
        <row r="22">
          <cell r="HT22">
            <v>50593</v>
          </cell>
        </row>
        <row r="23">
          <cell r="HT23">
            <v>51647</v>
          </cell>
        </row>
        <row r="27">
          <cell r="HT27">
            <v>889</v>
          </cell>
        </row>
        <row r="28">
          <cell r="HT28">
            <v>1008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R41">
            <v>67384</v>
          </cell>
          <cell r="HS41">
            <v>67824</v>
          </cell>
          <cell r="HT41">
            <v>102240</v>
          </cell>
        </row>
        <row r="47">
          <cell r="HT47">
            <v>177558</v>
          </cell>
        </row>
        <row r="52">
          <cell r="HT52">
            <v>39515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R64">
            <v>192369</v>
          </cell>
          <cell r="HS64">
            <v>181835</v>
          </cell>
          <cell r="HT64">
            <v>217073</v>
          </cell>
        </row>
        <row r="70">
          <cell r="HT70">
            <v>51425</v>
          </cell>
        </row>
        <row r="71">
          <cell r="HT71">
            <v>222</v>
          </cell>
        </row>
      </sheetData>
      <sheetData sheetId="25">
        <row r="4">
          <cell r="HT4">
            <v>219</v>
          </cell>
        </row>
        <row r="5">
          <cell r="HT5">
            <v>221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R19">
            <v>291</v>
          </cell>
          <cell r="HS19">
            <v>318</v>
          </cell>
          <cell r="HT19">
            <v>440</v>
          </cell>
        </row>
        <row r="22">
          <cell r="HT22">
            <v>35042</v>
          </cell>
        </row>
        <row r="23">
          <cell r="HT23">
            <v>35859</v>
          </cell>
        </row>
        <row r="27">
          <cell r="HT27">
            <v>160</v>
          </cell>
        </row>
        <row r="28">
          <cell r="HT28">
            <v>144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R41">
            <v>37272</v>
          </cell>
          <cell r="HS41">
            <v>46423</v>
          </cell>
          <cell r="HT41">
            <v>70901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29">
        <row r="4">
          <cell r="HT4">
            <v>6</v>
          </cell>
        </row>
        <row r="5">
          <cell r="HT5">
            <v>6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R19">
            <v>66</v>
          </cell>
          <cell r="HS19">
            <v>30</v>
          </cell>
          <cell r="HT19">
            <v>12</v>
          </cell>
        </row>
        <row r="22">
          <cell r="HT22">
            <v>354</v>
          </cell>
        </row>
        <row r="23">
          <cell r="HT23">
            <v>379</v>
          </cell>
        </row>
        <row r="27">
          <cell r="HT27">
            <v>19</v>
          </cell>
        </row>
        <row r="28">
          <cell r="HT28">
            <v>13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R41">
            <v>2289</v>
          </cell>
          <cell r="HS41">
            <v>1097</v>
          </cell>
          <cell r="HT41">
            <v>733</v>
          </cell>
        </row>
        <row r="47">
          <cell r="HT47">
            <v>100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R64">
            <v>650</v>
          </cell>
          <cell r="HS64">
            <v>395</v>
          </cell>
          <cell r="HT64">
            <v>100</v>
          </cell>
        </row>
      </sheetData>
      <sheetData sheetId="30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R19">
            <v>4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273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549</v>
          </cell>
          <cell r="HS64">
            <v>0</v>
          </cell>
          <cell r="HT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42">
        <row r="4">
          <cell r="HT4">
            <v>6</v>
          </cell>
        </row>
        <row r="5">
          <cell r="HT5">
            <v>6</v>
          </cell>
        </row>
        <row r="19">
          <cell r="HD19">
            <v>80</v>
          </cell>
          <cell r="HE19">
            <v>29</v>
          </cell>
          <cell r="HF19">
            <v>52</v>
          </cell>
          <cell r="HR19">
            <v>76</v>
          </cell>
          <cell r="HS19">
            <v>28</v>
          </cell>
          <cell r="HT19">
            <v>12</v>
          </cell>
        </row>
        <row r="22">
          <cell r="HT22">
            <v>420</v>
          </cell>
        </row>
        <row r="23">
          <cell r="HT23">
            <v>409</v>
          </cell>
        </row>
        <row r="27">
          <cell r="HT27">
            <v>13</v>
          </cell>
        </row>
        <row r="28">
          <cell r="HT28">
            <v>14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R41">
            <v>4722</v>
          </cell>
          <cell r="HS41">
            <v>1752</v>
          </cell>
          <cell r="HT41">
            <v>829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43">
        <row r="15">
          <cell r="HT15">
            <v>57</v>
          </cell>
        </row>
        <row r="16">
          <cell r="HT16">
            <v>57</v>
          </cell>
        </row>
        <row r="19">
          <cell r="HD19">
            <v>0</v>
          </cell>
          <cell r="HE19">
            <v>0</v>
          </cell>
          <cell r="HF19">
            <v>0</v>
          </cell>
          <cell r="HR19">
            <v>54</v>
          </cell>
          <cell r="HS19">
            <v>42</v>
          </cell>
          <cell r="HT19">
            <v>114</v>
          </cell>
        </row>
        <row r="32">
          <cell r="HT32">
            <v>2269</v>
          </cell>
        </row>
        <row r="33">
          <cell r="HT33">
            <v>2204</v>
          </cell>
        </row>
        <row r="37">
          <cell r="HT37">
            <v>23</v>
          </cell>
        </row>
        <row r="38">
          <cell r="HT38">
            <v>23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1712</v>
          </cell>
          <cell r="HS41">
            <v>1304</v>
          </cell>
          <cell r="HT41">
            <v>4473</v>
          </cell>
        </row>
        <row r="47">
          <cell r="HT47">
            <v>1636</v>
          </cell>
        </row>
        <row r="52">
          <cell r="HT52">
            <v>1636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3272</v>
          </cell>
        </row>
      </sheetData>
      <sheetData sheetId="44">
        <row r="4">
          <cell r="HT4">
            <v>32</v>
          </cell>
        </row>
        <row r="5">
          <cell r="HT5">
            <v>33</v>
          </cell>
        </row>
        <row r="19">
          <cell r="HD19">
            <v>124</v>
          </cell>
          <cell r="HE19">
            <v>92</v>
          </cell>
          <cell r="HF19">
            <v>45</v>
          </cell>
          <cell r="HR19">
            <v>150</v>
          </cell>
          <cell r="HS19">
            <v>165</v>
          </cell>
          <cell r="HT19">
            <v>65</v>
          </cell>
        </row>
        <row r="22">
          <cell r="HT22">
            <v>2250</v>
          </cell>
        </row>
        <row r="23">
          <cell r="HT23">
            <v>2405</v>
          </cell>
        </row>
        <row r="27">
          <cell r="HT27">
            <v>57</v>
          </cell>
        </row>
        <row r="28">
          <cell r="HT28">
            <v>52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R41">
            <v>8779</v>
          </cell>
          <cell r="HS41">
            <v>10900</v>
          </cell>
          <cell r="HT41">
            <v>4655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45"/>
      <sheetData sheetId="46"/>
      <sheetData sheetId="47">
        <row r="4">
          <cell r="HT4">
            <v>921</v>
          </cell>
        </row>
        <row r="5">
          <cell r="HT5">
            <v>920</v>
          </cell>
        </row>
        <row r="9">
          <cell r="HT9">
            <v>1</v>
          </cell>
        </row>
        <row r="15">
          <cell r="HR15">
            <v>19</v>
          </cell>
          <cell r="HS15">
            <v>28</v>
          </cell>
          <cell r="HT15">
            <v>31</v>
          </cell>
        </row>
        <row r="16">
          <cell r="HR16">
            <v>20</v>
          </cell>
          <cell r="HS16">
            <v>28</v>
          </cell>
          <cell r="HT16">
            <v>31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R19">
            <v>1941</v>
          </cell>
          <cell r="HS19">
            <v>1239</v>
          </cell>
          <cell r="HT19">
            <v>1904</v>
          </cell>
        </row>
        <row r="22">
          <cell r="HT22">
            <v>45268</v>
          </cell>
        </row>
        <row r="23">
          <cell r="HT23">
            <v>45436</v>
          </cell>
        </row>
        <row r="27">
          <cell r="HT27">
            <v>1746</v>
          </cell>
        </row>
        <row r="28">
          <cell r="HT28">
            <v>1679</v>
          </cell>
        </row>
        <row r="32">
          <cell r="HR32">
            <v>409</v>
          </cell>
          <cell r="HS32">
            <v>1005</v>
          </cell>
          <cell r="HT32">
            <v>1447</v>
          </cell>
        </row>
        <row r="33">
          <cell r="HR33">
            <v>358</v>
          </cell>
          <cell r="HS33">
            <v>826</v>
          </cell>
          <cell r="HT33">
            <v>1437</v>
          </cell>
        </row>
        <row r="37">
          <cell r="HR37">
            <v>7</v>
          </cell>
          <cell r="HS37">
            <v>28</v>
          </cell>
          <cell r="HT37">
            <v>34</v>
          </cell>
        </row>
        <row r="38">
          <cell r="HR38">
            <v>2</v>
          </cell>
          <cell r="HS38">
            <v>27</v>
          </cell>
          <cell r="HT38">
            <v>28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R41">
            <v>75124</v>
          </cell>
          <cell r="HS41">
            <v>54113</v>
          </cell>
          <cell r="HT41">
            <v>93588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  <row r="70">
          <cell r="HT70">
            <v>15427</v>
          </cell>
        </row>
        <row r="71">
          <cell r="HT71">
            <v>30009</v>
          </cell>
        </row>
        <row r="73">
          <cell r="HT73">
            <v>488</v>
          </cell>
        </row>
        <row r="74">
          <cell r="HT74">
            <v>949</v>
          </cell>
        </row>
      </sheetData>
      <sheetData sheetId="48">
        <row r="4">
          <cell r="HT4">
            <v>88</v>
          </cell>
        </row>
        <row r="5">
          <cell r="HT5">
            <v>87</v>
          </cell>
        </row>
        <row r="19">
          <cell r="HD19">
            <v>2</v>
          </cell>
          <cell r="HE19">
            <v>0</v>
          </cell>
          <cell r="HF19">
            <v>0</v>
          </cell>
          <cell r="HR19">
            <v>104</v>
          </cell>
          <cell r="HS19">
            <v>112</v>
          </cell>
          <cell r="HT19">
            <v>175</v>
          </cell>
        </row>
        <row r="22">
          <cell r="HT22">
            <v>5673</v>
          </cell>
        </row>
        <row r="23">
          <cell r="HT23">
            <v>6108</v>
          </cell>
        </row>
        <row r="27">
          <cell r="HT27">
            <v>123</v>
          </cell>
        </row>
        <row r="28">
          <cell r="HT28">
            <v>142</v>
          </cell>
        </row>
        <row r="41">
          <cell r="HD41">
            <v>32</v>
          </cell>
          <cell r="HE41">
            <v>0</v>
          </cell>
          <cell r="HF41">
            <v>0</v>
          </cell>
          <cell r="HR41">
            <v>4747</v>
          </cell>
          <cell r="HS41">
            <v>6184</v>
          </cell>
          <cell r="HT41">
            <v>11781</v>
          </cell>
        </row>
        <row r="47">
          <cell r="HT47">
            <v>10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524</v>
          </cell>
          <cell r="HS64">
            <v>261</v>
          </cell>
          <cell r="HT64">
            <v>10</v>
          </cell>
        </row>
      </sheetData>
      <sheetData sheetId="49">
        <row r="4">
          <cell r="HT4">
            <v>91</v>
          </cell>
        </row>
        <row r="5">
          <cell r="HT5">
            <v>91</v>
          </cell>
        </row>
        <row r="19">
          <cell r="HD19">
            <v>41</v>
          </cell>
          <cell r="HE19">
            <v>38</v>
          </cell>
          <cell r="HF19">
            <v>66</v>
          </cell>
          <cell r="HR19">
            <v>170</v>
          </cell>
          <cell r="HS19">
            <v>166</v>
          </cell>
          <cell r="HT19">
            <v>182</v>
          </cell>
        </row>
        <row r="22">
          <cell r="HT22">
            <v>5304</v>
          </cell>
        </row>
        <row r="23">
          <cell r="HT23">
            <v>5677</v>
          </cell>
        </row>
        <row r="27">
          <cell r="HT27">
            <v>132</v>
          </cell>
        </row>
        <row r="28">
          <cell r="HT28">
            <v>142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R41">
            <v>5118</v>
          </cell>
          <cell r="HS41">
            <v>6225</v>
          </cell>
          <cell r="HT41">
            <v>10981</v>
          </cell>
        </row>
        <row r="47">
          <cell r="HT47">
            <v>339</v>
          </cell>
        </row>
        <row r="64">
          <cell r="HD64">
            <v>38</v>
          </cell>
          <cell r="HE64">
            <v>0</v>
          </cell>
          <cell r="HF64">
            <v>65</v>
          </cell>
          <cell r="HR64">
            <v>0</v>
          </cell>
          <cell r="HS64">
            <v>0</v>
          </cell>
          <cell r="HT64">
            <v>339</v>
          </cell>
        </row>
      </sheetData>
      <sheetData sheetId="50">
        <row r="4">
          <cell r="HT4">
            <v>108</v>
          </cell>
        </row>
        <row r="5">
          <cell r="HT5">
            <v>109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R19">
            <v>77</v>
          </cell>
          <cell r="HS19">
            <v>111</v>
          </cell>
          <cell r="HT19">
            <v>217</v>
          </cell>
        </row>
        <row r="22">
          <cell r="HT22">
            <v>6640</v>
          </cell>
        </row>
        <row r="23">
          <cell r="HT23">
            <v>6933</v>
          </cell>
        </row>
        <row r="27">
          <cell r="HT27">
            <v>155</v>
          </cell>
        </row>
        <row r="28">
          <cell r="HT28">
            <v>182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R41">
            <v>3915</v>
          </cell>
          <cell r="HS41">
            <v>5507</v>
          </cell>
          <cell r="HT41">
            <v>13573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52">
        <row r="4">
          <cell r="HT4">
            <v>2890</v>
          </cell>
        </row>
        <row r="5">
          <cell r="HT5">
            <v>2885</v>
          </cell>
        </row>
        <row r="15">
          <cell r="HR15">
            <v>6</v>
          </cell>
          <cell r="HT15">
            <v>3</v>
          </cell>
        </row>
        <row r="16">
          <cell r="HR16">
            <v>5</v>
          </cell>
          <cell r="HT16">
            <v>3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R19">
            <v>5239</v>
          </cell>
          <cell r="HS19">
            <v>5219</v>
          </cell>
          <cell r="HT19">
            <v>5781</v>
          </cell>
        </row>
        <row r="22">
          <cell r="HT22">
            <v>146065</v>
          </cell>
        </row>
        <row r="23">
          <cell r="HT23">
            <v>147514</v>
          </cell>
        </row>
        <row r="27">
          <cell r="HT27">
            <v>4114</v>
          </cell>
        </row>
        <row r="28">
          <cell r="HT28">
            <v>4184</v>
          </cell>
        </row>
        <row r="32">
          <cell r="HR32">
            <v>364</v>
          </cell>
          <cell r="HT32">
            <v>194</v>
          </cell>
        </row>
        <row r="33">
          <cell r="HR33">
            <v>191</v>
          </cell>
          <cell r="HT33">
            <v>163</v>
          </cell>
        </row>
        <row r="37">
          <cell r="HR37">
            <v>0</v>
          </cell>
          <cell r="HT37">
            <v>1</v>
          </cell>
        </row>
        <row r="38">
          <cell r="HR38">
            <v>5</v>
          </cell>
          <cell r="HT38">
            <v>2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R41">
            <v>209737</v>
          </cell>
          <cell r="HS41">
            <v>231038</v>
          </cell>
          <cell r="HT41">
            <v>293936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  <row r="70">
          <cell r="HT70">
            <v>54089</v>
          </cell>
        </row>
        <row r="71">
          <cell r="HT71">
            <v>93425</v>
          </cell>
        </row>
        <row r="73">
          <cell r="HT73">
            <v>60</v>
          </cell>
        </row>
        <row r="74">
          <cell r="HT74">
            <v>103</v>
          </cell>
        </row>
      </sheetData>
      <sheetData sheetId="53"/>
      <sheetData sheetId="54">
        <row r="4">
          <cell r="HT4">
            <v>65</v>
          </cell>
        </row>
        <row r="5">
          <cell r="HT5">
            <v>65</v>
          </cell>
        </row>
        <row r="19">
          <cell r="HD19">
            <v>0</v>
          </cell>
          <cell r="HE19">
            <v>0</v>
          </cell>
          <cell r="HF19">
            <v>56</v>
          </cell>
          <cell r="HR19">
            <v>86</v>
          </cell>
          <cell r="HS19">
            <v>94</v>
          </cell>
          <cell r="HT19">
            <v>130</v>
          </cell>
        </row>
        <row r="22">
          <cell r="HT22">
            <v>3573</v>
          </cell>
        </row>
        <row r="23">
          <cell r="HT23">
            <v>3949</v>
          </cell>
        </row>
        <row r="27">
          <cell r="HT27">
            <v>144</v>
          </cell>
        </row>
        <row r="28">
          <cell r="HT28">
            <v>142</v>
          </cell>
        </row>
        <row r="41">
          <cell r="HD41">
            <v>0</v>
          </cell>
          <cell r="HE41">
            <v>0</v>
          </cell>
          <cell r="HF41">
            <v>3221</v>
          </cell>
          <cell r="HR41">
            <v>4301</v>
          </cell>
          <cell r="HS41">
            <v>5253</v>
          </cell>
          <cell r="HT41">
            <v>7522</v>
          </cell>
        </row>
        <row r="47">
          <cell r="HT47">
            <v>598</v>
          </cell>
        </row>
        <row r="52">
          <cell r="HT52">
            <v>13</v>
          </cell>
        </row>
        <row r="64">
          <cell r="HD64">
            <v>0</v>
          </cell>
          <cell r="HE64">
            <v>0</v>
          </cell>
          <cell r="HF64">
            <v>768</v>
          </cell>
          <cell r="HR64">
            <v>17</v>
          </cell>
          <cell r="HS64">
            <v>808</v>
          </cell>
          <cell r="HT64">
            <v>611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R19">
            <v>54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2767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4924</v>
          </cell>
          <cell r="HS64">
            <v>0</v>
          </cell>
          <cell r="HT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R41">
            <v>0</v>
          </cell>
          <cell r="HS41">
            <v>0</v>
          </cell>
          <cell r="HT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15">
          <cell r="HS15">
            <v>1</v>
          </cell>
        </row>
        <row r="16">
          <cell r="HS16">
            <v>1</v>
          </cell>
        </row>
        <row r="32">
          <cell r="HS32">
            <v>105</v>
          </cell>
        </row>
        <row r="33">
          <cell r="HS33">
            <v>103</v>
          </cell>
        </row>
      </sheetData>
      <sheetData sheetId="64">
        <row r="4">
          <cell r="HT4">
            <v>2</v>
          </cell>
        </row>
        <row r="5">
          <cell r="HT5">
            <v>1</v>
          </cell>
        </row>
        <row r="15">
          <cell r="HT15">
            <v>1</v>
          </cell>
        </row>
        <row r="22">
          <cell r="HT22">
            <v>232</v>
          </cell>
        </row>
        <row r="23">
          <cell r="HT23">
            <v>82</v>
          </cell>
        </row>
        <row r="32">
          <cell r="HT32">
            <v>55</v>
          </cell>
        </row>
      </sheetData>
      <sheetData sheetId="65">
        <row r="4">
          <cell r="HT4">
            <v>32</v>
          </cell>
        </row>
        <row r="5">
          <cell r="HT5">
            <v>32</v>
          </cell>
        </row>
        <row r="19">
          <cell r="HD19">
            <v>0</v>
          </cell>
          <cell r="HE19">
            <v>0</v>
          </cell>
          <cell r="HF19">
            <v>29</v>
          </cell>
          <cell r="HR19">
            <v>58</v>
          </cell>
          <cell r="HS19">
            <v>56</v>
          </cell>
          <cell r="HT19">
            <v>64</v>
          </cell>
        </row>
        <row r="47">
          <cell r="HT47">
            <v>2164873</v>
          </cell>
        </row>
        <row r="52">
          <cell r="HT52">
            <v>820889</v>
          </cell>
        </row>
        <row r="64">
          <cell r="HD64">
            <v>0</v>
          </cell>
          <cell r="HE64">
            <v>0</v>
          </cell>
          <cell r="HF64">
            <v>758208</v>
          </cell>
          <cell r="HR64">
            <v>3133988</v>
          </cell>
          <cell r="HS64">
            <v>2717180</v>
          </cell>
          <cell r="HT64">
            <v>2985762</v>
          </cell>
        </row>
      </sheetData>
      <sheetData sheetId="66">
        <row r="4">
          <cell r="HT4">
            <v>60</v>
          </cell>
        </row>
        <row r="5">
          <cell r="HT5">
            <v>60</v>
          </cell>
        </row>
        <row r="8">
          <cell r="HT8">
            <v>7</v>
          </cell>
        </row>
        <row r="9">
          <cell r="HT9">
            <v>7</v>
          </cell>
        </row>
        <row r="19">
          <cell r="HD19">
            <v>60</v>
          </cell>
          <cell r="HE19">
            <v>63</v>
          </cell>
          <cell r="HF19">
            <v>91</v>
          </cell>
          <cell r="HR19">
            <v>120</v>
          </cell>
          <cell r="HS19">
            <v>117</v>
          </cell>
          <cell r="HT19">
            <v>134</v>
          </cell>
        </row>
        <row r="47">
          <cell r="HT47">
            <v>2046383</v>
          </cell>
        </row>
        <row r="52">
          <cell r="HT52">
            <v>1031009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R64">
            <v>3247875</v>
          </cell>
          <cell r="HS64">
            <v>2787652</v>
          </cell>
          <cell r="HT64">
            <v>3077392</v>
          </cell>
        </row>
      </sheetData>
      <sheetData sheetId="67">
        <row r="4">
          <cell r="HT4">
            <v>3</v>
          </cell>
        </row>
        <row r="5">
          <cell r="HT5">
            <v>3</v>
          </cell>
        </row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6</v>
          </cell>
        </row>
        <row r="47">
          <cell r="HT47">
            <v>98082</v>
          </cell>
        </row>
        <row r="52">
          <cell r="HT52">
            <v>71352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169434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R19">
            <v>0</v>
          </cell>
          <cell r="HS19">
            <v>0</v>
          </cell>
          <cell r="HT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R64">
            <v>0</v>
          </cell>
          <cell r="HS64">
            <v>0</v>
          </cell>
          <cell r="HT64">
            <v>0</v>
          </cell>
        </row>
      </sheetData>
      <sheetData sheetId="70">
        <row r="4">
          <cell r="HT4">
            <v>45</v>
          </cell>
        </row>
        <row r="5">
          <cell r="HT5">
            <v>45</v>
          </cell>
        </row>
        <row r="19">
          <cell r="HD19">
            <v>0</v>
          </cell>
          <cell r="HE19">
            <v>0</v>
          </cell>
          <cell r="HF19">
            <v>0</v>
          </cell>
          <cell r="HR19">
            <v>78</v>
          </cell>
          <cell r="HS19">
            <v>62</v>
          </cell>
          <cell r="HT19">
            <v>90</v>
          </cell>
        </row>
        <row r="47">
          <cell r="HT47">
            <v>70028</v>
          </cell>
        </row>
        <row r="52">
          <cell r="HT52">
            <v>62689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116692</v>
          </cell>
          <cell r="HS64">
            <v>89616</v>
          </cell>
          <cell r="HT64">
            <v>132717</v>
          </cell>
        </row>
      </sheetData>
      <sheetData sheetId="71">
        <row r="12">
          <cell r="HT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R19">
            <v>0</v>
          </cell>
          <cell r="HS19">
            <v>0</v>
          </cell>
          <cell r="HT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R64">
            <v>0</v>
          </cell>
          <cell r="HS64">
            <v>0</v>
          </cell>
          <cell r="HT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R19">
            <v>0</v>
          </cell>
          <cell r="HS19">
            <v>2</v>
          </cell>
          <cell r="HT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R64">
            <v>0</v>
          </cell>
          <cell r="HS64">
            <v>43161</v>
          </cell>
          <cell r="HT64">
            <v>0</v>
          </cell>
        </row>
      </sheetData>
      <sheetData sheetId="73"/>
      <sheetData sheetId="74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75">
        <row r="4">
          <cell r="HT4">
            <v>35</v>
          </cell>
        </row>
        <row r="5">
          <cell r="HT5">
            <v>35</v>
          </cell>
        </row>
        <row r="19">
          <cell r="HD19">
            <v>36</v>
          </cell>
          <cell r="HE19">
            <v>40</v>
          </cell>
          <cell r="HF19">
            <v>8</v>
          </cell>
          <cell r="HR19">
            <v>64</v>
          </cell>
          <cell r="HS19">
            <v>46</v>
          </cell>
          <cell r="HT19">
            <v>70</v>
          </cell>
        </row>
        <row r="47">
          <cell r="HT47">
            <v>1028538</v>
          </cell>
        </row>
        <row r="52">
          <cell r="HT52">
            <v>479900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R64">
            <v>1328239</v>
          </cell>
          <cell r="HS64">
            <v>1157195</v>
          </cell>
          <cell r="HT64">
            <v>1508438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77"/>
      <sheetData sheetId="78">
        <row r="4">
          <cell r="HT4">
            <v>145</v>
          </cell>
        </row>
        <row r="5">
          <cell r="HT5">
            <v>145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R19">
            <v>252</v>
          </cell>
          <cell r="HS19">
            <v>232</v>
          </cell>
          <cell r="HT19">
            <v>290</v>
          </cell>
        </row>
        <row r="47">
          <cell r="HT47">
            <v>8665279</v>
          </cell>
        </row>
        <row r="52">
          <cell r="HT52">
            <v>7719515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R64">
            <v>13200492</v>
          </cell>
          <cell r="HS64">
            <v>13409370</v>
          </cell>
          <cell r="HT64">
            <v>16384794</v>
          </cell>
        </row>
      </sheetData>
      <sheetData sheetId="79">
        <row r="4">
          <cell r="HT4">
            <v>22</v>
          </cell>
        </row>
        <row r="5">
          <cell r="HT5">
            <v>22</v>
          </cell>
        </row>
        <row r="19">
          <cell r="HD19">
            <v>42</v>
          </cell>
          <cell r="HE19">
            <v>40</v>
          </cell>
          <cell r="HF19">
            <v>44</v>
          </cell>
          <cell r="HR19">
            <v>34</v>
          </cell>
          <cell r="HS19">
            <v>40</v>
          </cell>
          <cell r="HT19">
            <v>44</v>
          </cell>
        </row>
        <row r="48">
          <cell r="HT48">
            <v>50917</v>
          </cell>
        </row>
        <row r="53">
          <cell r="HT53">
            <v>88368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R64">
            <v>130028</v>
          </cell>
          <cell r="HS64">
            <v>106889</v>
          </cell>
          <cell r="HT64">
            <v>139285</v>
          </cell>
        </row>
      </sheetData>
      <sheetData sheetId="80">
        <row r="4">
          <cell r="HT4">
            <v>19</v>
          </cell>
        </row>
        <row r="5">
          <cell r="HT5">
            <v>19</v>
          </cell>
        </row>
        <row r="19">
          <cell r="HD19">
            <v>30</v>
          </cell>
          <cell r="HE19">
            <v>18</v>
          </cell>
          <cell r="HF19">
            <v>38</v>
          </cell>
          <cell r="HR19">
            <v>24</v>
          </cell>
          <cell r="HS19">
            <v>20</v>
          </cell>
          <cell r="HT19">
            <v>38</v>
          </cell>
        </row>
        <row r="47">
          <cell r="HT47">
            <v>72458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R64">
            <v>40577</v>
          </cell>
          <cell r="HS64">
            <v>35590</v>
          </cell>
          <cell r="HT64">
            <v>72458</v>
          </cell>
        </row>
      </sheetData>
      <sheetData sheetId="81">
        <row r="4">
          <cell r="HT4">
            <v>142</v>
          </cell>
        </row>
        <row r="5">
          <cell r="HT5">
            <v>138</v>
          </cell>
        </row>
        <row r="15">
          <cell r="HT15">
            <v>16</v>
          </cell>
        </row>
        <row r="16">
          <cell r="HT16">
            <v>19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R19">
            <v>287</v>
          </cell>
          <cell r="HS19">
            <v>263</v>
          </cell>
          <cell r="HT19">
            <v>315</v>
          </cell>
        </row>
        <row r="47">
          <cell r="HT47">
            <v>6650608</v>
          </cell>
        </row>
        <row r="48">
          <cell r="HT48">
            <v>1061969</v>
          </cell>
        </row>
        <row r="52">
          <cell r="HT52">
            <v>5804231</v>
          </cell>
        </row>
        <row r="53">
          <cell r="HT53">
            <v>601215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R64">
            <v>12127523</v>
          </cell>
          <cell r="HS64">
            <v>11471129</v>
          </cell>
          <cell r="HT64">
            <v>14118023</v>
          </cell>
        </row>
      </sheetData>
      <sheetData sheetId="82"/>
      <sheetData sheetId="83"/>
      <sheetData sheetId="84"/>
      <sheetData sheetId="85">
        <row r="4">
          <cell r="HT4">
            <v>205</v>
          </cell>
        </row>
        <row r="5">
          <cell r="HT5">
            <v>205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R19">
            <v>402</v>
          </cell>
          <cell r="HS19">
            <v>352</v>
          </cell>
          <cell r="HT19">
            <v>410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R19">
            <v>0</v>
          </cell>
          <cell r="HS19">
            <v>0</v>
          </cell>
          <cell r="HT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R19">
            <v>2</v>
          </cell>
          <cell r="HS19">
            <v>0</v>
          </cell>
          <cell r="HT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R64">
            <v>0</v>
          </cell>
          <cell r="HS64">
            <v>0</v>
          </cell>
          <cell r="HT64">
            <v>0</v>
          </cell>
        </row>
      </sheetData>
      <sheetData sheetId="88">
        <row r="4">
          <cell r="HT4">
            <v>48</v>
          </cell>
        </row>
        <row r="5">
          <cell r="HT5">
            <v>49</v>
          </cell>
        </row>
      </sheetData>
      <sheetData sheetId="89">
        <row r="4">
          <cell r="HT4">
            <v>656</v>
          </cell>
        </row>
        <row r="5">
          <cell r="HT5">
            <v>656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C20" sqref="C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3">
        <v>44621</v>
      </c>
      <c r="B2" s="10"/>
      <c r="C2" s="10"/>
      <c r="D2" s="455" t="s">
        <v>238</v>
      </c>
      <c r="E2" s="455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6"/>
      <c r="E3" s="457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1146400</v>
      </c>
      <c r="C5" s="10">
        <f>'Major Airline Stats'!K5</f>
        <v>1167150</v>
      </c>
      <c r="D5" s="2">
        <f>'Major Airline Stats'!K6</f>
        <v>2313550</v>
      </c>
      <c r="E5" s="2">
        <f>'[1]Monthly Summary'!D5</f>
        <v>1306894</v>
      </c>
      <c r="F5" s="3">
        <f>(D5-E5)/E5</f>
        <v>0.77026598943755198</v>
      </c>
      <c r="G5" s="2">
        <f>+'[2]Monthly Summary'!G5+D5</f>
        <v>5636256</v>
      </c>
      <c r="H5" s="2">
        <f>+'[1]Monthly Summary'!G5</f>
        <v>2919594</v>
      </c>
      <c r="I5" s="66">
        <f>(G5-H5)/H5</f>
        <v>0.93049307540706006</v>
      </c>
      <c r="J5" s="2"/>
    </row>
    <row r="6" spans="1:14" x14ac:dyDescent="0.2">
      <c r="A6" s="51" t="s">
        <v>5</v>
      </c>
      <c r="B6" s="231">
        <f>'Regional Major'!M5</f>
        <v>219457</v>
      </c>
      <c r="C6" s="231">
        <f>'Regional Major'!M6</f>
        <v>222614</v>
      </c>
      <c r="D6" s="2">
        <f>B6+C6</f>
        <v>442071</v>
      </c>
      <c r="E6" s="2">
        <f>'[1]Monthly Summary'!D6</f>
        <v>359126</v>
      </c>
      <c r="F6" s="3">
        <f>(D6-E6)/E6</f>
        <v>0.23096350584474529</v>
      </c>
      <c r="G6" s="2">
        <f>+'[2]Monthly Summary'!G6+D6</f>
        <v>1088928</v>
      </c>
      <c r="H6" s="2">
        <f>+'[1]Monthly Summary'!G6</f>
        <v>885842</v>
      </c>
      <c r="I6" s="66">
        <f>(G6-H6)/H6</f>
        <v>0.22925758769622573</v>
      </c>
      <c r="K6" s="2"/>
    </row>
    <row r="7" spans="1:14" x14ac:dyDescent="0.2">
      <c r="A7" s="51" t="s">
        <v>6</v>
      </c>
      <c r="B7" s="2">
        <f>Charter!G5</f>
        <v>287</v>
      </c>
      <c r="C7" s="231">
        <f>Charter!G6</f>
        <v>82</v>
      </c>
      <c r="D7" s="2">
        <f>B7+C7</f>
        <v>369</v>
      </c>
      <c r="E7" s="2">
        <f>'[1]Monthly Summary'!D7</f>
        <v>0</v>
      </c>
      <c r="F7" s="3" t="e">
        <f>(D7-E7)/E7</f>
        <v>#DIV/0!</v>
      </c>
      <c r="G7" s="2">
        <f>+'[2]Monthly Summary'!G7+D7</f>
        <v>3392</v>
      </c>
      <c r="H7" s="2">
        <f>+'[1]Monthly Summary'!G7</f>
        <v>388</v>
      </c>
      <c r="I7" s="66">
        <f>(G7-H7)/H7</f>
        <v>7.7422680412371134</v>
      </c>
      <c r="K7" s="2"/>
    </row>
    <row r="8" spans="1:14" x14ac:dyDescent="0.2">
      <c r="A8" s="53" t="s">
        <v>7</v>
      </c>
      <c r="B8" s="120">
        <f>SUM(B5:B7)</f>
        <v>1366144</v>
      </c>
      <c r="C8" s="120">
        <f>SUM(C5:C7)</f>
        <v>1389846</v>
      </c>
      <c r="D8" s="120">
        <f>SUM(D5:D7)</f>
        <v>2755990</v>
      </c>
      <c r="E8" s="120">
        <f>SUM(E5:E7)</f>
        <v>1666020</v>
      </c>
      <c r="F8" s="72">
        <f>(D8-E8)/E8</f>
        <v>0.65423584350728081</v>
      </c>
      <c r="G8" s="120">
        <f>SUM(G5:G7)</f>
        <v>6728576</v>
      </c>
      <c r="H8" s="120">
        <f>SUM(H5:H7)</f>
        <v>3805824</v>
      </c>
      <c r="I8" s="71">
        <f>(G8-H8)/H8</f>
        <v>0.76796825076514308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35931</v>
      </c>
      <c r="C10" s="232">
        <f>'Major Airline Stats'!K10+'Regional Major'!M11</f>
        <v>37047</v>
      </c>
      <c r="D10" s="97">
        <f>SUM(B10:C10)</f>
        <v>72978</v>
      </c>
      <c r="E10" s="97">
        <f>'[1]Monthly Summary'!D10</f>
        <v>54875</v>
      </c>
      <c r="F10" s="73">
        <f>(D10-E10)/E10</f>
        <v>0.32989521640091118</v>
      </c>
      <c r="G10" s="449">
        <f>+'[2]Monthly Summary'!G10+D10</f>
        <v>192565</v>
      </c>
      <c r="H10" s="449">
        <f>+'[1]Monthly Summary'!G10</f>
        <v>148874</v>
      </c>
      <c r="I10" s="76">
        <f>(G10-H10)/H10</f>
        <v>0.29347636256162929</v>
      </c>
      <c r="J10" s="170"/>
    </row>
    <row r="11" spans="1:14" ht="15.75" thickBot="1" x14ac:dyDescent="0.3">
      <c r="A11" s="52" t="s">
        <v>13</v>
      </c>
      <c r="B11" s="211">
        <f>B10+B8</f>
        <v>1402075</v>
      </c>
      <c r="C11" s="211">
        <f>C10+C8</f>
        <v>1426893</v>
      </c>
      <c r="D11" s="211">
        <f>D10+D8</f>
        <v>2828968</v>
      </c>
      <c r="E11" s="211">
        <f>E10+E8</f>
        <v>1720895</v>
      </c>
      <c r="F11" s="74">
        <f>(D11-E11)/E11</f>
        <v>0.64389343916973441</v>
      </c>
      <c r="G11" s="211">
        <f>G8+G10</f>
        <v>6921141</v>
      </c>
      <c r="H11" s="211">
        <f>H8+H10</f>
        <v>3954698</v>
      </c>
      <c r="I11" s="77">
        <f>(G11-H11)/H11</f>
        <v>0.75010607636790472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5" t="s">
        <v>238</v>
      </c>
      <c r="E13" s="455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6"/>
      <c r="E14" s="457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7947</v>
      </c>
      <c r="C16" s="240">
        <f>'Major Airline Stats'!K16+'Major Airline Stats'!K20</f>
        <v>7962</v>
      </c>
      <c r="D16" s="32">
        <f t="shared" ref="D16:D21" si="0">SUM(B16:C16)</f>
        <v>15909</v>
      </c>
      <c r="E16" s="2">
        <f>'[1]Monthly Summary'!D16</f>
        <v>11728</v>
      </c>
      <c r="F16" s="75">
        <f t="shared" ref="F16:F22" si="1">(D16-E16)/E16</f>
        <v>0.35649727148703958</v>
      </c>
      <c r="G16" s="2">
        <f>+'[2]Monthly Summary'!G16+D16</f>
        <v>43202</v>
      </c>
      <c r="H16" s="2">
        <f>+'[1]Monthly Summary'!G16</f>
        <v>30422</v>
      </c>
      <c r="I16" s="202">
        <f t="shared" ref="I16:I22" si="2">(G16-H16)/H16</f>
        <v>0.42009072381828938</v>
      </c>
      <c r="N16" s="96"/>
    </row>
    <row r="17" spans="1:12" x14ac:dyDescent="0.2">
      <c r="A17" s="51" t="s">
        <v>5</v>
      </c>
      <c r="B17" s="32">
        <f>'Regional Major'!M15+'Regional Major'!M18</f>
        <v>4298</v>
      </c>
      <c r="C17" s="32">
        <f>'Regional Major'!M16+'Regional Major'!M19</f>
        <v>4294</v>
      </c>
      <c r="D17" s="32">
        <f>SUM(B17:C17)</f>
        <v>8592</v>
      </c>
      <c r="E17" s="2">
        <f>'[1]Monthly Summary'!D17</f>
        <v>9564</v>
      </c>
      <c r="F17" s="75">
        <f t="shared" si="1"/>
        <v>-0.10163111668757842</v>
      </c>
      <c r="G17" s="2">
        <f>+'[2]Monthly Summary'!G17+D17</f>
        <v>23819</v>
      </c>
      <c r="H17" s="2">
        <f>+'[1]Monthly Summary'!G17</f>
        <v>26559</v>
      </c>
      <c r="I17" s="202">
        <f t="shared" si="2"/>
        <v>-0.10316653488459655</v>
      </c>
      <c r="L17" s="2"/>
    </row>
    <row r="18" spans="1:12" x14ac:dyDescent="0.2">
      <c r="A18" s="51" t="s">
        <v>10</v>
      </c>
      <c r="B18" s="32">
        <f>Charter!G10</f>
        <v>3</v>
      </c>
      <c r="C18" s="32">
        <f>Charter!G11</f>
        <v>1</v>
      </c>
      <c r="D18" s="32">
        <f t="shared" si="0"/>
        <v>4</v>
      </c>
      <c r="E18" s="2">
        <f>'[1]Monthly Summary'!D18</f>
        <v>0</v>
      </c>
      <c r="F18" s="75" t="e">
        <f t="shared" si="1"/>
        <v>#DIV/0!</v>
      </c>
      <c r="G18" s="2">
        <f>+'[2]Monthly Summary'!G18+D18</f>
        <v>29</v>
      </c>
      <c r="H18" s="2">
        <f>+'[1]Monthly Summary'!G18</f>
        <v>4</v>
      </c>
      <c r="I18" s="202">
        <f t="shared" si="2"/>
        <v>6.25</v>
      </c>
    </row>
    <row r="19" spans="1:12" x14ac:dyDescent="0.2">
      <c r="A19" s="51" t="s">
        <v>11</v>
      </c>
      <c r="B19" s="32">
        <f>Cargo!R4+Cargo!R8</f>
        <v>731</v>
      </c>
      <c r="C19" s="32">
        <f>Cargo!R5+Cargo!R9</f>
        <v>730</v>
      </c>
      <c r="D19" s="32">
        <f t="shared" si="0"/>
        <v>1461</v>
      </c>
      <c r="E19" s="2">
        <f>'[1]Monthly Summary'!D19</f>
        <v>1398</v>
      </c>
      <c r="F19" s="75">
        <f t="shared" si="1"/>
        <v>4.5064377682403435E-2</v>
      </c>
      <c r="G19" s="2">
        <f>+'[2]Monthly Summary'!G19+D19</f>
        <v>3972</v>
      </c>
      <c r="H19" s="2">
        <f>+'[1]Monthly Summary'!G19</f>
        <v>3781</v>
      </c>
      <c r="I19" s="202">
        <f t="shared" si="2"/>
        <v>5.0515736577624967E-2</v>
      </c>
    </row>
    <row r="20" spans="1:12" x14ac:dyDescent="0.2">
      <c r="A20" s="51" t="s">
        <v>148</v>
      </c>
      <c r="B20" s="32">
        <f>'[3]General Avation'!$HT$4</f>
        <v>656</v>
      </c>
      <c r="C20" s="32">
        <f>'[3]General Avation'!$HT$5</f>
        <v>656</v>
      </c>
      <c r="D20" s="32">
        <f t="shared" si="0"/>
        <v>1312</v>
      </c>
      <c r="E20" s="2">
        <f>'[1]Monthly Summary'!D20</f>
        <v>1017</v>
      </c>
      <c r="F20" s="75">
        <f t="shared" si="1"/>
        <v>0.29006882989183874</v>
      </c>
      <c r="G20" s="2">
        <f>+'[2]Monthly Summary'!G20+D20</f>
        <v>3531</v>
      </c>
      <c r="H20" s="2">
        <f>+'[1]Monthly Summary'!G20</f>
        <v>2824</v>
      </c>
      <c r="I20" s="202">
        <f t="shared" si="2"/>
        <v>0.25035410764872523</v>
      </c>
    </row>
    <row r="21" spans="1:12" ht="12.75" customHeight="1" x14ac:dyDescent="0.2">
      <c r="A21" s="51" t="s">
        <v>12</v>
      </c>
      <c r="B21" s="11">
        <f>'[3]Military '!$HT$4</f>
        <v>48</v>
      </c>
      <c r="C21" s="11">
        <f>'[3]Military '!$HT$5</f>
        <v>49</v>
      </c>
      <c r="D21" s="11">
        <f t="shared" si="0"/>
        <v>97</v>
      </c>
      <c r="E21" s="97">
        <f>'[1]Monthly Summary'!D21</f>
        <v>133</v>
      </c>
      <c r="F21" s="200">
        <f t="shared" si="1"/>
        <v>-0.27067669172932329</v>
      </c>
      <c r="G21" s="449">
        <f>+'[2]Monthly Summary'!G21+D21</f>
        <v>263</v>
      </c>
      <c r="H21" s="449">
        <f>+'[1]Monthly Summary'!G21</f>
        <v>327</v>
      </c>
      <c r="I21" s="203">
        <f t="shared" si="2"/>
        <v>-0.19571865443425077</v>
      </c>
    </row>
    <row r="22" spans="1:12" ht="15.75" thickBot="1" x14ac:dyDescent="0.3">
      <c r="A22" s="52" t="s">
        <v>28</v>
      </c>
      <c r="B22" s="212">
        <f>SUM(B16:B21)</f>
        <v>13683</v>
      </c>
      <c r="C22" s="212">
        <f>SUM(C16:C21)</f>
        <v>13692</v>
      </c>
      <c r="D22" s="212">
        <f>SUM(D16:D21)</f>
        <v>27375</v>
      </c>
      <c r="E22" s="212">
        <f>SUM(E16:E21)</f>
        <v>23840</v>
      </c>
      <c r="F22" s="209">
        <f t="shared" si="1"/>
        <v>0.14828020134228187</v>
      </c>
      <c r="G22" s="212">
        <f>SUM(G16:G21)</f>
        <v>74816</v>
      </c>
      <c r="H22" s="212">
        <f>SUM(H16:H21)</f>
        <v>63917</v>
      </c>
      <c r="I22" s="210">
        <f t="shared" si="2"/>
        <v>0.17051801555141824</v>
      </c>
    </row>
    <row r="23" spans="1:12" x14ac:dyDescent="0.2">
      <c r="B23" s="96"/>
      <c r="C23" s="96"/>
      <c r="L23" s="2"/>
    </row>
    <row r="24" spans="1:12" ht="12.75" customHeight="1" x14ac:dyDescent="0.2">
      <c r="B24" s="10"/>
      <c r="C24" s="10"/>
      <c r="D24" s="455" t="s">
        <v>238</v>
      </c>
      <c r="E24" s="455" t="s">
        <v>220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6"/>
      <c r="E25" s="457"/>
      <c r="F25" s="5" t="s">
        <v>2</v>
      </c>
      <c r="G25" s="5" t="s">
        <v>239</v>
      </c>
      <c r="H25" s="5" t="s">
        <v>219</v>
      </c>
      <c r="I25" s="5" t="s">
        <v>2</v>
      </c>
    </row>
    <row r="26" spans="1:12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6" t="s">
        <v>15</v>
      </c>
      <c r="B27" s="14">
        <f>(Cargo!R16+'Major Airline Stats'!K28+'Regional Major'!M25)*0.00045359237</f>
        <v>10758.297481366819</v>
      </c>
      <c r="C27" s="14">
        <f>(Cargo!R21+'Major Airline Stats'!K33+'Regional Major'!M30)*0.00045359237</f>
        <v>8004.9881667278596</v>
      </c>
      <c r="D27" s="14">
        <f>(SUM(B27:C27)+('Cargo Summary'!E17*0.00045359237))</f>
        <v>18763.285648094679</v>
      </c>
      <c r="E27" s="2">
        <f>'[1]Monthly Summary'!D27</f>
        <v>17442.081750822959</v>
      </c>
      <c r="F27" s="78">
        <f>(D27-E27)/E27</f>
        <v>7.5748062424336612E-2</v>
      </c>
      <c r="G27" s="2">
        <f>+'[2]Monthly Summary'!G27+D27</f>
        <v>50242.033671555881</v>
      </c>
      <c r="H27" s="2">
        <f>+'[1]Monthly Summary'!G27</f>
        <v>44322.077634338348</v>
      </c>
      <c r="I27" s="80">
        <f>(G27-H27)/H27</f>
        <v>0.13356675393373418</v>
      </c>
    </row>
    <row r="28" spans="1:12" x14ac:dyDescent="0.2">
      <c r="A28" s="46" t="s">
        <v>16</v>
      </c>
      <c r="B28" s="14">
        <f>(Cargo!R17+'Major Airline Stats'!K29+'Regional Major'!M26)*0.00045359237</f>
        <v>1106.1838773816601</v>
      </c>
      <c r="C28" s="14">
        <f>(Cargo!R22+'Major Airline Stats'!K34+'Regional Major'!M31)*0.00045359237</f>
        <v>930.54202550078003</v>
      </c>
      <c r="D28" s="14">
        <f>SUM(B28:C28)</f>
        <v>2036.7259028824401</v>
      </c>
      <c r="E28" s="2">
        <f>'[1]Monthly Summary'!D28</f>
        <v>1527.9884940920601</v>
      </c>
      <c r="F28" s="78">
        <f>(D28-E28)/E28</f>
        <v>0.33294583745715622</v>
      </c>
      <c r="G28" s="2">
        <f>+'[2]Monthly Summary'!G28+D28</f>
        <v>5712.08372589393</v>
      </c>
      <c r="H28" s="2">
        <f>+'[1]Monthly Summary'!G28</f>
        <v>4866.1661609021994</v>
      </c>
      <c r="I28" s="80">
        <f>(G28-H28)/H28</f>
        <v>0.17383655572396142</v>
      </c>
    </row>
    <row r="29" spans="1:12" ht="15.75" thickBot="1" x14ac:dyDescent="0.3">
      <c r="A29" s="47" t="s">
        <v>62</v>
      </c>
      <c r="B29" s="39">
        <f>SUM(B27:B28)</f>
        <v>11864.481358748479</v>
      </c>
      <c r="C29" s="39">
        <f>SUM(C27:C28)</f>
        <v>8935.5301922286399</v>
      </c>
      <c r="D29" s="39">
        <f>SUM(D27:D28)</f>
        <v>20800.01155097712</v>
      </c>
      <c r="E29" s="39">
        <f>SUM(E27:E28)</f>
        <v>18970.070244915019</v>
      </c>
      <c r="F29" s="79">
        <f>(D29-E29)/E29</f>
        <v>9.6464656294703063E-2</v>
      </c>
      <c r="G29" s="39">
        <f>SUM(G27:G28)</f>
        <v>55954.117397449809</v>
      </c>
      <c r="H29" s="39">
        <f>SUM(H27:H28)</f>
        <v>49188.243795240545</v>
      </c>
      <c r="I29" s="81">
        <f>(G29-H29)/H29</f>
        <v>0.13755062348584865</v>
      </c>
    </row>
    <row r="30" spans="1:12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2" ht="13.5" thickBot="1" x14ac:dyDescent="0.25">
      <c r="B31" s="454" t="s">
        <v>144</v>
      </c>
      <c r="C31" s="453"/>
      <c r="D31" s="454" t="s">
        <v>151</v>
      </c>
      <c r="E31" s="453"/>
      <c r="F31" s="333"/>
      <c r="G31" s="334"/>
    </row>
    <row r="32" spans="1:12" x14ac:dyDescent="0.2">
      <c r="A32" s="315" t="s">
        <v>145</v>
      </c>
      <c r="B32" s="316">
        <f>C8-B33</f>
        <v>1030565</v>
      </c>
      <c r="C32" s="317">
        <f>B32/C8</f>
        <v>0.74149582040024575</v>
      </c>
      <c r="D32" s="318">
        <f>+B32+'[2]Monthly Summary'!D32</f>
        <v>2446849</v>
      </c>
      <c r="E32" s="319">
        <f>+D32/D34</f>
        <v>0.71970994516983644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359281</v>
      </c>
      <c r="C33" s="322">
        <f>+B33/C8</f>
        <v>0.25850417959975419</v>
      </c>
      <c r="D33" s="323">
        <f>+B33+'[2]Monthly Summary'!D33</f>
        <v>952922</v>
      </c>
      <c r="E33" s="324">
        <f>+D33/D34</f>
        <v>0.28029005483016356</v>
      </c>
      <c r="I33" s="332"/>
    </row>
    <row r="34" spans="1:14" ht="13.5" thickBot="1" x14ac:dyDescent="0.25">
      <c r="B34" s="244"/>
      <c r="D34" s="325">
        <f>SUM(D32:D33)</f>
        <v>3399771</v>
      </c>
    </row>
    <row r="35" spans="1:14" ht="13.5" thickBot="1" x14ac:dyDescent="0.25">
      <c r="B35" s="452" t="s">
        <v>248</v>
      </c>
      <c r="C35" s="453"/>
      <c r="D35" s="454" t="s">
        <v>240</v>
      </c>
      <c r="E35" s="453"/>
    </row>
    <row r="36" spans="1:14" x14ac:dyDescent="0.2">
      <c r="A36" s="315" t="s">
        <v>145</v>
      </c>
      <c r="B36" s="316">
        <f>'[1]Monthly Summary'!$B$32</f>
        <v>650501</v>
      </c>
      <c r="C36" s="317">
        <f>+B36/B38</f>
        <v>0.76036455362402866</v>
      </c>
      <c r="D36" s="318">
        <f>+'[1]Monthly Summary'!D32</f>
        <v>1407434</v>
      </c>
      <c r="E36" s="319">
        <f>+D36/D38</f>
        <v>0.72797268590811548</v>
      </c>
    </row>
    <row r="37" spans="1:14" ht="13.5" thickBot="1" x14ac:dyDescent="0.25">
      <c r="A37" s="320" t="s">
        <v>146</v>
      </c>
      <c r="B37" s="321">
        <f>'[1]Monthly Summary'!$B$33</f>
        <v>205011</v>
      </c>
      <c r="C37" s="324">
        <f>+B37/B38</f>
        <v>0.23963544637597134</v>
      </c>
      <c r="D37" s="323">
        <f>+'[1]Monthly Summary'!D33</f>
        <v>525927</v>
      </c>
      <c r="E37" s="324">
        <f>+D37/D38</f>
        <v>0.27202731409188452</v>
      </c>
      <c r="M37" s="1"/>
    </row>
    <row r="38" spans="1:14" x14ac:dyDescent="0.2">
      <c r="B38" s="337">
        <f>+SUM(B36:B37)</f>
        <v>855512</v>
      </c>
      <c r="D38" s="325">
        <f>SUM(D36:D37)</f>
        <v>1933361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Q11" sqref="Q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3">
        <v>44621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[3]Delta!$HT$32</f>
        <v>71091</v>
      </c>
      <c r="C4" s="13">
        <f>'[3]Atlantic Southeast'!$HT$32</f>
        <v>0</v>
      </c>
      <c r="D4" s="13">
        <f>[3]Pinnacle!$HT$32</f>
        <v>1447</v>
      </c>
      <c r="E4" s="13">
        <f>'[3]Sky West'!$HT$32</f>
        <v>194</v>
      </c>
      <c r="F4" s="13">
        <f>'[3]Go Jet'!$HT$32</f>
        <v>0</v>
      </c>
      <c r="G4" s="13">
        <f>'[3]Sun Country'!$HT$32</f>
        <v>41426</v>
      </c>
      <c r="H4" s="13">
        <f>[3]Icelandair!$HT$32</f>
        <v>0</v>
      </c>
      <c r="I4" s="13">
        <f>[3]KLM!$HT$32</f>
        <v>3142</v>
      </c>
      <c r="J4" s="13">
        <f>'[3]Air Georgian'!$HT$32</f>
        <v>0</v>
      </c>
      <c r="K4" s="13">
        <f>'[3]Sky Regional'!$HT$32</f>
        <v>0</v>
      </c>
      <c r="L4" s="13">
        <f>[3]Condor!$HT$32</f>
        <v>0</v>
      </c>
      <c r="M4" s="13">
        <f>'[3]Aer Lingus'!$HT$32</f>
        <v>0</v>
      </c>
      <c r="N4" s="13">
        <f>'[3]Air France'!$HT$32</f>
        <v>0</v>
      </c>
      <c r="O4" s="13">
        <f>[3]Frontier!$HT$32</f>
        <v>4628</v>
      </c>
      <c r="P4" s="13">
        <f>'[3]Charter Misc'!$HT$32+[3]Ryan!$HT$32+[3]Omni!$HT$32</f>
        <v>55</v>
      </c>
      <c r="Q4" s="219">
        <f>SUM(B4:P4)</f>
        <v>121983</v>
      </c>
    </row>
    <row r="5" spans="1:17" x14ac:dyDescent="0.2">
      <c r="A5" s="46" t="s">
        <v>31</v>
      </c>
      <c r="B5" s="7">
        <f>[3]Delta!$HT$33</f>
        <v>72364</v>
      </c>
      <c r="C5" s="7">
        <f>'[3]Atlantic Southeast'!$HT$33</f>
        <v>0</v>
      </c>
      <c r="D5" s="7">
        <f>[3]Pinnacle!$HT$33</f>
        <v>1437</v>
      </c>
      <c r="E5" s="7">
        <f>'[3]Sky West'!$HT$33</f>
        <v>163</v>
      </c>
      <c r="F5" s="7">
        <f>'[3]Go Jet'!$HT$33</f>
        <v>0</v>
      </c>
      <c r="G5" s="7">
        <f>'[3]Sun Country'!$HT$33</f>
        <v>42109</v>
      </c>
      <c r="H5" s="7">
        <f>[3]Icelandair!$HT$33</f>
        <v>0</v>
      </c>
      <c r="I5" s="7">
        <f>[3]KLM!$HT$33</f>
        <v>2587</v>
      </c>
      <c r="J5" s="7">
        <f>'[3]Air Georgian'!$HT$33</f>
        <v>0</v>
      </c>
      <c r="K5" s="7">
        <f>'[3]Sky Regional'!$HT$33</f>
        <v>0</v>
      </c>
      <c r="L5" s="7">
        <f>[3]Condor!$HT$33</f>
        <v>0</v>
      </c>
      <c r="M5" s="7">
        <f>'[3]Aer Lingus'!$HT$33</f>
        <v>0</v>
      </c>
      <c r="N5" s="7">
        <f>'[3]Air France'!$HT$33</f>
        <v>0</v>
      </c>
      <c r="O5" s="7">
        <f>[3]Frontier!$HT$33</f>
        <v>4921</v>
      </c>
      <c r="P5" s="7">
        <f>'[3]Charter Misc'!$HT$33++[3]Ryan!$HT$33+[3]Omni!$HT$33</f>
        <v>0</v>
      </c>
      <c r="Q5" s="220">
        <f>SUM(B5:P5)</f>
        <v>123581</v>
      </c>
    </row>
    <row r="6" spans="1:17" ht="15" x14ac:dyDescent="0.25">
      <c r="A6" s="44" t="s">
        <v>7</v>
      </c>
      <c r="B6" s="25">
        <f t="shared" ref="B6:P6" si="0">SUM(B4:B5)</f>
        <v>143455</v>
      </c>
      <c r="C6" s="25">
        <f t="shared" si="0"/>
        <v>0</v>
      </c>
      <c r="D6" s="25">
        <f t="shared" si="0"/>
        <v>2884</v>
      </c>
      <c r="E6" s="25">
        <f t="shared" si="0"/>
        <v>357</v>
      </c>
      <c r="F6" s="25">
        <f t="shared" ref="F6" si="1">SUM(F4:F5)</f>
        <v>0</v>
      </c>
      <c r="G6" s="25">
        <f t="shared" si="0"/>
        <v>83535</v>
      </c>
      <c r="H6" s="25">
        <f t="shared" si="0"/>
        <v>0</v>
      </c>
      <c r="I6" s="25">
        <f t="shared" ref="I6" si="2">SUM(I4:I5)</f>
        <v>5729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9549</v>
      </c>
      <c r="P6" s="25">
        <f t="shared" si="0"/>
        <v>55</v>
      </c>
      <c r="Q6" s="221">
        <f>SUM(B6:P6)</f>
        <v>245564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[3]Delta!$HT$37</f>
        <v>1037</v>
      </c>
      <c r="C9" s="13">
        <f>'[3]Atlantic Southeast'!$HT$37</f>
        <v>0</v>
      </c>
      <c r="D9" s="13">
        <f>[3]Pinnacle!$HT$37</f>
        <v>34</v>
      </c>
      <c r="E9" s="13">
        <f>'[3]Sky West'!$HT$37</f>
        <v>1</v>
      </c>
      <c r="F9" s="13">
        <f>'[3]Go Jet'!$HT$37</f>
        <v>0</v>
      </c>
      <c r="G9" s="13">
        <f>'[3]Sun Country'!$HT$37</f>
        <v>437</v>
      </c>
      <c r="H9" s="13">
        <f>[3]Icelandair!$HT$37</f>
        <v>0</v>
      </c>
      <c r="I9" s="13">
        <f>[3]KLM!$HT$37</f>
        <v>5</v>
      </c>
      <c r="J9" s="13">
        <f>'[3]Air Georgian'!$HT$37</f>
        <v>0</v>
      </c>
      <c r="K9" s="13">
        <f>'[3]Sky Regional'!$HT$37</f>
        <v>0</v>
      </c>
      <c r="L9" s="13">
        <f>[3]Condor!$HT$37</f>
        <v>0</v>
      </c>
      <c r="M9" s="13">
        <f>'[3]Aer Lingus'!$HT$37</f>
        <v>0</v>
      </c>
      <c r="N9" s="13">
        <f>'[3]Air France'!$HT$37</f>
        <v>0</v>
      </c>
      <c r="O9" s="13">
        <f>[3]Frontier!$HT$37</f>
        <v>0</v>
      </c>
      <c r="P9" s="13">
        <f>'[3]Charter Misc'!$HT$37+[3]Ryan!$HT$37+[3]Omni!$HT$37</f>
        <v>0</v>
      </c>
      <c r="Q9" s="219">
        <f>SUM(B9:P9)</f>
        <v>1514</v>
      </c>
    </row>
    <row r="10" spans="1:17" x14ac:dyDescent="0.2">
      <c r="A10" s="46" t="s">
        <v>33</v>
      </c>
      <c r="B10" s="7">
        <f>[3]Delta!$HT$38</f>
        <v>1104</v>
      </c>
      <c r="C10" s="7">
        <f>'[3]Atlantic Southeast'!$HT$38</f>
        <v>0</v>
      </c>
      <c r="D10" s="7">
        <f>[3]Pinnacle!$HT$38</f>
        <v>28</v>
      </c>
      <c r="E10" s="7">
        <f>'[3]Sky West'!$HT$38</f>
        <v>2</v>
      </c>
      <c r="F10" s="7">
        <f>'[3]Go Jet'!$HT$38</f>
        <v>0</v>
      </c>
      <c r="G10" s="7">
        <f>'[3]Sun Country'!$HT$38</f>
        <v>452</v>
      </c>
      <c r="H10" s="7">
        <f>[3]Icelandair!$HT$38</f>
        <v>0</v>
      </c>
      <c r="I10" s="7">
        <f>[3]KLM!$HT$38</f>
        <v>0</v>
      </c>
      <c r="J10" s="7">
        <f>'[3]Air Georgian'!$HT$38</f>
        <v>0</v>
      </c>
      <c r="K10" s="7">
        <f>'[3]Sky Regional'!$HT$38</f>
        <v>0</v>
      </c>
      <c r="L10" s="7">
        <f>[3]Condor!$HT$38</f>
        <v>0</v>
      </c>
      <c r="M10" s="7">
        <f>'[3]Aer Lingus'!$HT$38</f>
        <v>0</v>
      </c>
      <c r="N10" s="7">
        <f>'[3]Air France'!$HT$38</f>
        <v>0</v>
      </c>
      <c r="O10" s="7">
        <f>[3]Frontier!$HT$38</f>
        <v>2</v>
      </c>
      <c r="P10" s="7">
        <f>'[3]Charter Misc'!$HT$38+[3]Ryan!$HT$38+[3]Omni!$HT$38</f>
        <v>0</v>
      </c>
      <c r="Q10" s="220">
        <f>SUM(B10:P10)</f>
        <v>1588</v>
      </c>
    </row>
    <row r="11" spans="1:17" ht="15.75" thickBot="1" x14ac:dyDescent="0.3">
      <c r="A11" s="47" t="s">
        <v>34</v>
      </c>
      <c r="B11" s="222">
        <f t="shared" ref="B11:G11" si="5">SUM(B9:B10)</f>
        <v>2141</v>
      </c>
      <c r="C11" s="222">
        <f t="shared" si="5"/>
        <v>0</v>
      </c>
      <c r="D11" s="222">
        <f t="shared" si="5"/>
        <v>62</v>
      </c>
      <c r="E11" s="222">
        <f t="shared" si="5"/>
        <v>3</v>
      </c>
      <c r="F11" s="222">
        <f t="shared" ref="F11" si="6">SUM(F9:F10)</f>
        <v>0</v>
      </c>
      <c r="G11" s="222">
        <f t="shared" si="5"/>
        <v>889</v>
      </c>
      <c r="H11" s="222">
        <f t="shared" ref="H11:P11" si="7">SUM(H9:H10)</f>
        <v>0</v>
      </c>
      <c r="I11" s="222">
        <f t="shared" ref="I11" si="8">SUM(I9:I10)</f>
        <v>5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2</v>
      </c>
      <c r="P11" s="222">
        <f t="shared" si="7"/>
        <v>0</v>
      </c>
      <c r="Q11" s="223">
        <f>SUM(B11:P11)</f>
        <v>3102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SUM([3]Delta!$HR$32:$HT$32)</f>
        <v>172073</v>
      </c>
      <c r="C16" s="13">
        <f>SUM('[3]Atlantic Southeast'!$HR$32:$HT$32)</f>
        <v>0</v>
      </c>
      <c r="D16" s="13">
        <f>SUM([3]Pinnacle!$HR$32:$HT$32)</f>
        <v>2861</v>
      </c>
      <c r="E16" s="13">
        <f>SUM('[3]Sky West'!$HR$32:$HT$32)</f>
        <v>558</v>
      </c>
      <c r="F16" s="13">
        <f>SUM('[3]Go Jet'!$HR$32:$HT$32)</f>
        <v>0</v>
      </c>
      <c r="G16" s="13">
        <f>SUM('[3]Sun Country'!$HR$32:$HT$32)</f>
        <v>89476</v>
      </c>
      <c r="H16" s="13">
        <f>SUM([3]Icelandair!$HR$32:$HT$32)</f>
        <v>0</v>
      </c>
      <c r="I16" s="13">
        <f>SUM([3]KLM!$HR$32:$HT$32)</f>
        <v>7211</v>
      </c>
      <c r="J16" s="13">
        <f>SUM('[3]Air Georgian'!$HR$32:$HT$32)</f>
        <v>0</v>
      </c>
      <c r="K16" s="13">
        <f>SUM('[3]Sky Regional'!$HR$32:$HT$32)</f>
        <v>0</v>
      </c>
      <c r="L16" s="13">
        <f>SUM([3]Condor!$HR$32:$HT$32)</f>
        <v>0</v>
      </c>
      <c r="M16" s="13">
        <f>SUM('[3]Aer Lingus'!$HR$32:$HT$32)</f>
        <v>0</v>
      </c>
      <c r="N16" s="13">
        <f>SUM('[3]Air France'!$HR$32:$HT$32)</f>
        <v>0</v>
      </c>
      <c r="O16" s="13">
        <f>SUM([3]Frontier!$HR$32:$HT$32)</f>
        <v>7903</v>
      </c>
      <c r="P16" s="13">
        <f>SUM('[3]Charter Misc'!$HR$32:$HT$32)+SUM([3]Ryan!$HR$32:$HT$32)+SUM([3]Omni!$HR$32:$HT$32)</f>
        <v>160</v>
      </c>
      <c r="Q16" s="219">
        <f>SUM(B16:P16)</f>
        <v>280242</v>
      </c>
    </row>
    <row r="17" spans="1:20" x14ac:dyDescent="0.2">
      <c r="A17" s="46" t="s">
        <v>31</v>
      </c>
      <c r="B17" s="7">
        <f>SUM([3]Delta!$HR$33:$HT$33)</f>
        <v>174341</v>
      </c>
      <c r="C17" s="7">
        <f>SUM('[3]Atlantic Southeast'!$HR$33:$HT$33)</f>
        <v>0</v>
      </c>
      <c r="D17" s="7">
        <f>SUM([3]Pinnacle!$HR$33:$HT$33)</f>
        <v>2621</v>
      </c>
      <c r="E17" s="7">
        <f>SUM('[3]Sky West'!$HR$33:$HT$33)</f>
        <v>354</v>
      </c>
      <c r="F17" s="7">
        <f>SUM('[3]Go Jet'!$HR$33:$HT$33)</f>
        <v>0</v>
      </c>
      <c r="G17" s="7">
        <f>SUM('[3]Sun Country'!$HR$33:$HT$33)</f>
        <v>90445</v>
      </c>
      <c r="H17" s="7">
        <f>SUM([3]Icelandair!$HR$33:$HT$33)</f>
        <v>0</v>
      </c>
      <c r="I17" s="7">
        <f>SUM([3]KLM!$HR$33:$HT$33)</f>
        <v>5827</v>
      </c>
      <c r="J17" s="7">
        <f>SUM('[3]Air Georgian'!$HR$33:$HT$33)</f>
        <v>0</v>
      </c>
      <c r="K17" s="7">
        <f>SUM('[3]Sky Regional'!$HR$33:$HT$33)</f>
        <v>0</v>
      </c>
      <c r="L17" s="7">
        <f>SUM([3]Condor!$HR$33:$HT$33)</f>
        <v>0</v>
      </c>
      <c r="M17" s="7">
        <f>SUM('[3]Aer Lingus'!$HR$33:$HT$33)</f>
        <v>0</v>
      </c>
      <c r="N17" s="7">
        <f>SUM('[3]Air France'!$HR$33:$HT$33)</f>
        <v>0</v>
      </c>
      <c r="O17" s="7">
        <f>SUM([3]Frontier!$HR$33:$HT$33)</f>
        <v>10867</v>
      </c>
      <c r="P17" s="7">
        <f>SUM('[3]Charter Misc'!$HR$33:$HT$33)++SUM([3]Ryan!$HR$33:$HT$33)+SUM([3]Omni!$HR$33:$HT$33)</f>
        <v>103</v>
      </c>
      <c r="Q17" s="220">
        <f>SUM(B17:P17)</f>
        <v>284558</v>
      </c>
    </row>
    <row r="18" spans="1:20" ht="15" x14ac:dyDescent="0.25">
      <c r="A18" s="44" t="s">
        <v>7</v>
      </c>
      <c r="B18" s="25">
        <f t="shared" ref="B18:P18" si="11">SUM(B16:B17)</f>
        <v>346414</v>
      </c>
      <c r="C18" s="25">
        <f t="shared" si="11"/>
        <v>0</v>
      </c>
      <c r="D18" s="25">
        <f t="shared" si="11"/>
        <v>5482</v>
      </c>
      <c r="E18" s="25">
        <f t="shared" si="11"/>
        <v>912</v>
      </c>
      <c r="F18" s="25">
        <f t="shared" ref="F18" si="12">SUM(F16:F17)</f>
        <v>0</v>
      </c>
      <c r="G18" s="25">
        <f t="shared" si="11"/>
        <v>179921</v>
      </c>
      <c r="H18" s="25">
        <f t="shared" si="11"/>
        <v>0</v>
      </c>
      <c r="I18" s="25">
        <f t="shared" ref="I18" si="13">SUM(I16:I17)</f>
        <v>13038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0</v>
      </c>
      <c r="M18" s="25">
        <f t="shared" si="15"/>
        <v>0</v>
      </c>
      <c r="N18" s="25">
        <f t="shared" si="11"/>
        <v>0</v>
      </c>
      <c r="O18" s="25">
        <f t="shared" si="11"/>
        <v>18770</v>
      </c>
      <c r="P18" s="25">
        <f t="shared" si="11"/>
        <v>263</v>
      </c>
      <c r="Q18" s="221">
        <f>SUM(B18:P18)</f>
        <v>564800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SUM([3]Delta!$HR$37:$HT$37)</f>
        <v>2778</v>
      </c>
      <c r="C21" s="13">
        <f>SUM('[3]Atlantic Southeast'!$HR$37:$HT$37)</f>
        <v>0</v>
      </c>
      <c r="D21" s="13">
        <f>SUM([3]Pinnacle!$HR$37:$HT$37)</f>
        <v>69</v>
      </c>
      <c r="E21" s="13">
        <f>SUM('[3]Sky West'!$HR$37:$HT$37)</f>
        <v>1</v>
      </c>
      <c r="F21" s="13">
        <f>SUM('[3]Go Jet'!$HR$37:$HT$37)</f>
        <v>0</v>
      </c>
      <c r="G21" s="13">
        <f>SUM('[3]Sun Country'!$HR$37:$HT$37)</f>
        <v>1144</v>
      </c>
      <c r="H21" s="13">
        <f>SUM([3]Icelandair!$HR$37:$HT$37)</f>
        <v>0</v>
      </c>
      <c r="I21" s="13">
        <f>SUM([3]KLM!$HR$37:$HT$37)</f>
        <v>14</v>
      </c>
      <c r="J21" s="13">
        <f>SUM('[3]Air Georgian'!$HR$37:$HT$37)</f>
        <v>0</v>
      </c>
      <c r="K21" s="13">
        <f>SUM('[3]Sky Regional'!$HR$37:$HT$37)</f>
        <v>0</v>
      </c>
      <c r="L21" s="13">
        <f>SUM([3]Condor!$HR$37:$HT$37)</f>
        <v>0</v>
      </c>
      <c r="M21" s="13">
        <f>SUM('[3]Aer Lingus'!$HR$37:$HT$37)</f>
        <v>0</v>
      </c>
      <c r="N21" s="13">
        <f>SUM('[3]Air France'!$HR$37:$HT$37)</f>
        <v>0</v>
      </c>
      <c r="O21" s="13">
        <f>SUM([3]Frontier!$HR$37:$HT$37)</f>
        <v>19</v>
      </c>
      <c r="P21" s="13">
        <f>SUM('[3]Charter Misc'!$HR$37:$HT$37)++SUM([3]Ryan!$HR$37:$HT$37)+SUM([3]Omni!$HR$37:$HT$37)</f>
        <v>0</v>
      </c>
      <c r="Q21" s="219">
        <f>SUM(B21:P21)</f>
        <v>4025</v>
      </c>
    </row>
    <row r="22" spans="1:20" x14ac:dyDescent="0.2">
      <c r="A22" s="46" t="s">
        <v>33</v>
      </c>
      <c r="B22" s="7">
        <f>SUM([3]Delta!$HR$38:$HT$38)</f>
        <v>2827</v>
      </c>
      <c r="C22" s="7">
        <f>SUM('[3]Atlantic Southeast'!$HR$38:$HT$38)</f>
        <v>0</v>
      </c>
      <c r="D22" s="7">
        <f>SUM([3]Pinnacle!$HR$38:$HT$38)</f>
        <v>57</v>
      </c>
      <c r="E22" s="7">
        <f>SUM('[3]Sky West'!$HR$38:$HT$38)</f>
        <v>7</v>
      </c>
      <c r="F22" s="7">
        <f>SUM('[3]Go Jet'!$HR$38:$HT$38)</f>
        <v>0</v>
      </c>
      <c r="G22" s="7">
        <f>SUM('[3]Sun Country'!$HR$38:$HT$38)</f>
        <v>1152</v>
      </c>
      <c r="H22" s="7">
        <f>SUM([3]Icelandair!$HR$38:$HT$38)</f>
        <v>0</v>
      </c>
      <c r="I22" s="7">
        <f>SUM([3]KLM!$HR$38:$HT$38)</f>
        <v>3</v>
      </c>
      <c r="J22" s="7">
        <f>SUM('[3]Air Georgian'!$HR$38:$HT$38)</f>
        <v>0</v>
      </c>
      <c r="K22" s="7">
        <f>SUM('[3]Sky Regional'!$HR$38:$HT$38)</f>
        <v>0</v>
      </c>
      <c r="L22" s="7">
        <f>SUM([3]Condor!$HR$38:$HT$38)</f>
        <v>0</v>
      </c>
      <c r="M22" s="7">
        <f>SUM('[3]Aer Lingus'!$HR$38:$HT$38)</f>
        <v>0</v>
      </c>
      <c r="N22" s="7">
        <f>SUM('[3]Air France'!$HR$38:$HT$38)</f>
        <v>0</v>
      </c>
      <c r="O22" s="7">
        <f>SUM([3]Frontier!$HR$38:$HT$38)</f>
        <v>7</v>
      </c>
      <c r="P22" s="7">
        <f>SUM('[3]Charter Misc'!$HR$38:$HT$38)++SUM([3]Ryan!$HR$38:$HT$38)+SUM([3]Omni!$HR$38:$HT$38)</f>
        <v>0</v>
      </c>
      <c r="Q22" s="220">
        <f>SUM(B22:P22)</f>
        <v>4053</v>
      </c>
    </row>
    <row r="23" spans="1:20" ht="15.75" thickBot="1" x14ac:dyDescent="0.3">
      <c r="A23" s="47" t="s">
        <v>34</v>
      </c>
      <c r="B23" s="222">
        <f t="shared" ref="B23:P23" si="16">SUM(B21:B22)</f>
        <v>5605</v>
      </c>
      <c r="C23" s="222">
        <f t="shared" si="16"/>
        <v>0</v>
      </c>
      <c r="D23" s="222">
        <f t="shared" si="16"/>
        <v>126</v>
      </c>
      <c r="E23" s="222">
        <f t="shared" si="16"/>
        <v>8</v>
      </c>
      <c r="F23" s="222">
        <f t="shared" ref="F23" si="17">SUM(F21:F22)</f>
        <v>0</v>
      </c>
      <c r="G23" s="222">
        <f t="shared" si="16"/>
        <v>2296</v>
      </c>
      <c r="H23" s="222">
        <f t="shared" si="16"/>
        <v>0</v>
      </c>
      <c r="I23" s="222">
        <f t="shared" ref="I23" si="18">SUM(I21:I22)</f>
        <v>17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0</v>
      </c>
      <c r="M23" s="222">
        <f t="shared" si="20"/>
        <v>0</v>
      </c>
      <c r="N23" s="222">
        <f t="shared" si="16"/>
        <v>0</v>
      </c>
      <c r="O23" s="222">
        <f t="shared" si="16"/>
        <v>26</v>
      </c>
      <c r="P23" s="222">
        <f t="shared" si="16"/>
        <v>0</v>
      </c>
      <c r="Q23" s="223">
        <f>SUM(B23:P23)</f>
        <v>8078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[3]Delta!$HT$15</f>
        <v>487</v>
      </c>
      <c r="C27" s="13">
        <f>'[3]Atlantic Southeast'!$HT$15</f>
        <v>0</v>
      </c>
      <c r="D27" s="13">
        <f>[3]Pinnacle!$HT$15</f>
        <v>31</v>
      </c>
      <c r="E27" s="13">
        <f>'[3]Sky West'!$HT$15</f>
        <v>3</v>
      </c>
      <c r="F27" s="13">
        <f>'[3]Go Jet'!$HT$15</f>
        <v>0</v>
      </c>
      <c r="G27" s="13">
        <f>'[3]Sun Country'!$HT$15</f>
        <v>275</v>
      </c>
      <c r="H27" s="13">
        <f>[3]Icelandair!$HT$15</f>
        <v>0</v>
      </c>
      <c r="I27" s="13">
        <f>[3]KLM!$HT$15</f>
        <v>14</v>
      </c>
      <c r="J27" s="13">
        <f>'[3]Air Georgian'!$HT$15</f>
        <v>0</v>
      </c>
      <c r="K27" s="13">
        <f>'[3]Sky Regional'!$HT$15</f>
        <v>0</v>
      </c>
      <c r="L27" s="13">
        <f>[3]Condor!$HT$15</f>
        <v>0</v>
      </c>
      <c r="M27" s="13">
        <f>'[3]Aer Lingus'!$HT$15</f>
        <v>0</v>
      </c>
      <c r="N27" s="13">
        <f>'[3]Air France'!$HT$15</f>
        <v>0</v>
      </c>
      <c r="O27" s="13">
        <f>[3]Frontier!$HT$15</f>
        <v>30</v>
      </c>
      <c r="P27" s="13">
        <f>'[3]Charter Misc'!$HT$15+[3]Ryan!$HT$15+[3]Omni!$HT$15</f>
        <v>1</v>
      </c>
      <c r="Q27" s="219">
        <f>SUM(B27:P27)</f>
        <v>841</v>
      </c>
    </row>
    <row r="28" spans="1:20" x14ac:dyDescent="0.2">
      <c r="A28" s="46" t="s">
        <v>23</v>
      </c>
      <c r="B28" s="13">
        <f>[3]Delta!$HT$16</f>
        <v>488</v>
      </c>
      <c r="C28" s="13">
        <f>'[3]Atlantic Southeast'!$HT$16</f>
        <v>0</v>
      </c>
      <c r="D28" s="13">
        <f>[3]Pinnacle!$HT$16</f>
        <v>31</v>
      </c>
      <c r="E28" s="13">
        <f>'[3]Sky West'!$HT$16</f>
        <v>3</v>
      </c>
      <c r="F28" s="13">
        <f>'[3]Go Jet'!$HT$16</f>
        <v>0</v>
      </c>
      <c r="G28" s="13">
        <f>'[3]Sun Country'!$HT$16</f>
        <v>278</v>
      </c>
      <c r="H28" s="13">
        <f>[3]Icelandair!$HT$16</f>
        <v>0</v>
      </c>
      <c r="I28" s="13">
        <f>[3]KLM!$HT$16</f>
        <v>14</v>
      </c>
      <c r="J28" s="13">
        <f>'[3]Air Georgian'!$HT$16</f>
        <v>0</v>
      </c>
      <c r="K28" s="13">
        <f>'[3]Sky Regional'!$HT$16</f>
        <v>0</v>
      </c>
      <c r="L28" s="13">
        <f>[3]Condor!$HT$16</f>
        <v>0</v>
      </c>
      <c r="M28" s="13">
        <f>'[3]Aer Lingus'!$HT$16</f>
        <v>0</v>
      </c>
      <c r="N28" s="13">
        <f>'[3]Air France'!$HT$16</f>
        <v>0</v>
      </c>
      <c r="O28" s="13">
        <f>[3]Frontier!$HT$16</f>
        <v>30</v>
      </c>
      <c r="P28" s="13">
        <f>'[3]Charter Misc'!$HT$16+[3]Ryan!$HT$16+[3]Omni!$HT$16</f>
        <v>0</v>
      </c>
      <c r="Q28" s="219">
        <f>SUM(B28:P28)</f>
        <v>844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975</v>
      </c>
      <c r="C30" s="307">
        <f t="shared" si="21"/>
        <v>0</v>
      </c>
      <c r="D30" s="307">
        <f t="shared" si="21"/>
        <v>62</v>
      </c>
      <c r="E30" s="307">
        <f>SUM(E27:E28)</f>
        <v>6</v>
      </c>
      <c r="F30" s="307">
        <f>SUM(F27:F28)</f>
        <v>0</v>
      </c>
      <c r="G30" s="307">
        <f t="shared" si="21"/>
        <v>553</v>
      </c>
      <c r="H30" s="307">
        <f t="shared" si="21"/>
        <v>0</v>
      </c>
      <c r="I30" s="307">
        <f t="shared" ref="I30" si="22">SUM(I27:I28)</f>
        <v>28</v>
      </c>
      <c r="J30" s="307">
        <f t="shared" si="21"/>
        <v>0</v>
      </c>
      <c r="K30" s="307">
        <f t="shared" ref="K30" si="23">SUM(K27:K28)</f>
        <v>0</v>
      </c>
      <c r="L30" s="307">
        <f>SUM(L27:L28)</f>
        <v>0</v>
      </c>
      <c r="M30" s="307">
        <f>SUM(M27:M28)</f>
        <v>0</v>
      </c>
      <c r="N30" s="307">
        <f>SUM(N27:N28)</f>
        <v>0</v>
      </c>
      <c r="O30" s="307">
        <f t="shared" ref="O30" si="24">SUM(O27:O28)</f>
        <v>60</v>
      </c>
      <c r="P30" s="307">
        <f>SUM(P27:P28)</f>
        <v>1</v>
      </c>
      <c r="Q30" s="308">
        <f>SUM(B30:P30)</f>
        <v>1685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SUM([3]Delta!$HR$15:$HT$15)</f>
        <v>1334</v>
      </c>
      <c r="C34" s="13">
        <f>SUM('[3]Atlantic Southeast'!$HR$15:$HT$15)</f>
        <v>0</v>
      </c>
      <c r="D34" s="13">
        <f>SUM([3]Pinnacle!$HR$15:$HT$15)</f>
        <v>78</v>
      </c>
      <c r="E34" s="13">
        <f>SUM('[3]Sky West'!$HR$15:$HT$15)</f>
        <v>9</v>
      </c>
      <c r="F34" s="13">
        <f>SUM('[3]Go Jet'!$HR$15:$HT$15)</f>
        <v>0</v>
      </c>
      <c r="G34" s="13">
        <f>SUM('[3]Sun Country'!$HR$15:$HT$15)</f>
        <v>692</v>
      </c>
      <c r="H34" s="13">
        <f>SUM([3]Icelandair!$HR$15:$HT$15)</f>
        <v>0</v>
      </c>
      <c r="I34" s="13">
        <f>SUM([3]KLM!$HR$15:$HT$15)</f>
        <v>39</v>
      </c>
      <c r="J34" s="13">
        <f>SUM('[3]Air Georgian'!$HR$15:$HT$15)</f>
        <v>0</v>
      </c>
      <c r="K34" s="13">
        <f>SUM('[3]Sky Regional'!$HR$15:$HT$15)</f>
        <v>0</v>
      </c>
      <c r="L34" s="13">
        <f>SUM([3]Condor!$HR$15:$HT$15)</f>
        <v>0</v>
      </c>
      <c r="M34" s="13">
        <f>SUM('[3]Aer Lingus'!$HR$15:$HT$15)</f>
        <v>0</v>
      </c>
      <c r="N34" s="13">
        <f>SUM('[3]Air France'!$HR$15:$HT$15)</f>
        <v>0</v>
      </c>
      <c r="O34" s="13">
        <f>SUM([3]Frontier!$HR$15:$HT$15)</f>
        <v>89</v>
      </c>
      <c r="P34" s="13">
        <f>SUM('[3]Charter Misc'!$HR$15:$HT$15)+SUM([3]Ryan!$HR$15:$HT$15)+SUM([3]Omni!$HR$15:$HT$15)</f>
        <v>2</v>
      </c>
      <c r="Q34" s="219">
        <f>SUM(B34:P34)</f>
        <v>2243</v>
      </c>
    </row>
    <row r="35" spans="1:17" x14ac:dyDescent="0.2">
      <c r="A35" s="46" t="s">
        <v>23</v>
      </c>
      <c r="B35" s="13">
        <f>SUM([3]Delta!$HR$16:$HT$16)</f>
        <v>1337</v>
      </c>
      <c r="C35" s="13">
        <f>SUM('[3]Atlantic Southeast'!$HR$16:$HT$16)</f>
        <v>0</v>
      </c>
      <c r="D35" s="13">
        <f>SUM([3]Pinnacle!$HR$16:$HT$16)</f>
        <v>79</v>
      </c>
      <c r="E35" s="13">
        <f>SUM('[3]Sky West'!$HR$16:$HT$16)</f>
        <v>8</v>
      </c>
      <c r="F35" s="13">
        <f>SUM('[3]Go Jet'!$HR$16:$HT$16)</f>
        <v>0</v>
      </c>
      <c r="G35" s="13">
        <f>SUM('[3]Sun Country'!$HR$16:$HT$16)</f>
        <v>688</v>
      </c>
      <c r="H35" s="13">
        <f>SUM([3]Icelandair!$HR$16:$HT$16)</f>
        <v>0</v>
      </c>
      <c r="I35" s="13">
        <f>SUM([3]KLM!$HR$16:$HT$16)</f>
        <v>39</v>
      </c>
      <c r="J35" s="13">
        <f>SUM('[3]Air Georgian'!$HR$16:$HT$16)</f>
        <v>0</v>
      </c>
      <c r="K35" s="13">
        <f>SUM('[3]Sky Regional'!$HR$16:$HT$16)</f>
        <v>0</v>
      </c>
      <c r="L35" s="13">
        <f>SUM([3]Condor!$HR$16:$HT$16)</f>
        <v>0</v>
      </c>
      <c r="M35" s="13">
        <f>SUM('[3]Aer Lingus'!$HR$16:$HT$16)</f>
        <v>0</v>
      </c>
      <c r="N35" s="13">
        <f>SUM('[3]Air France'!$HR$16:$HT$16)</f>
        <v>0</v>
      </c>
      <c r="O35" s="13">
        <f>SUM([3]Frontier!$HR$16:$HT$16)</f>
        <v>89</v>
      </c>
      <c r="P35" s="13">
        <f>SUM('[3]Charter Misc'!$HR$16:$HT$16)+SUM([3]Ryan!$HR$16:$HT$16)+SUM([3]Omni!$HR$16:$HT$16)</f>
        <v>1</v>
      </c>
      <c r="Q35" s="219">
        <f>SUM(B35:P35)</f>
        <v>2241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2671</v>
      </c>
      <c r="C37" s="307">
        <f t="shared" si="25"/>
        <v>0</v>
      </c>
      <c r="D37" s="307">
        <f t="shared" si="25"/>
        <v>157</v>
      </c>
      <c r="E37" s="307">
        <f>+SUM(E34:E35)</f>
        <v>17</v>
      </c>
      <c r="F37" s="307">
        <f>+SUM(F34:F35)</f>
        <v>0</v>
      </c>
      <c r="G37" s="307">
        <f t="shared" si="25"/>
        <v>1380</v>
      </c>
      <c r="H37" s="307">
        <f t="shared" si="25"/>
        <v>0</v>
      </c>
      <c r="I37" s="307">
        <f t="shared" ref="I37" si="26">+SUM(I34:I35)</f>
        <v>78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0</v>
      </c>
      <c r="M37" s="307">
        <f>+SUM(M34:M35)</f>
        <v>0</v>
      </c>
      <c r="N37" s="307">
        <f>+SUM(N34:N35)</f>
        <v>0</v>
      </c>
      <c r="O37" s="307">
        <f t="shared" ref="O37" si="28">+SUM(O34:O35)</f>
        <v>178</v>
      </c>
      <c r="P37" s="307">
        <f>+SUM(P34:P35)</f>
        <v>3</v>
      </c>
      <c r="Q37" s="308">
        <f>SUM(B37:P37)</f>
        <v>4484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&amp;"Arial,Bold"March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ySplit="2" topLeftCell="A3" activePane="bottomLeft" state="frozen"/>
      <selection pane="bottomLeft" activeCell="C81" sqref="C81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8.85546875" style="3" bestFit="1" customWidth="1"/>
    <col min="15" max="16" width="9.855468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3" width="9.85546875" bestFit="1" customWidth="1"/>
    <col min="24" max="25" width="10.85546875" bestFit="1" customWidth="1"/>
    <col min="26" max="26" width="8.710937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7" t="s">
        <v>246</v>
      </c>
      <c r="V1" s="428" t="s">
        <v>225</v>
      </c>
      <c r="W1" s="429" t="s">
        <v>96</v>
      </c>
      <c r="X1" s="430" t="s">
        <v>247</v>
      </c>
      <c r="Y1" s="431" t="s">
        <v>226</v>
      </c>
      <c r="Z1" s="432" t="s">
        <v>96</v>
      </c>
      <c r="AA1" s="433" t="s">
        <v>245</v>
      </c>
    </row>
    <row r="2" spans="1:27" s="9" customFormat="1" ht="13.5" customHeight="1" thickBot="1" x14ac:dyDescent="0.25">
      <c r="A2" s="510">
        <v>44621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44621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44621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Lingus'!$HT$19</f>
        <v>0</v>
      </c>
      <c r="D4" s="286">
        <f>'[3]Aer Lingus'!$HF$19</f>
        <v>0</v>
      </c>
      <c r="E4" s="287" t="e">
        <f>(C4-D4)/D4</f>
        <v>#DIV/0!</v>
      </c>
      <c r="F4" s="286">
        <f>SUM('[3]Aer Lingus'!$HR$19:$HT$19)</f>
        <v>0</v>
      </c>
      <c r="G4" s="286">
        <f>SUM('[3]Aer Lingus'!$HD$19:$HF$19)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Lingus'!$HT$41</f>
        <v>0</v>
      </c>
      <c r="M4" s="286">
        <f>'[3]Aer Lingus'!$HF$41</f>
        <v>0</v>
      </c>
      <c r="N4" s="287" t="e">
        <f>(L4-M4)/M4</f>
        <v>#DIV/0!</v>
      </c>
      <c r="O4" s="284">
        <f>SUM('[3]Aer Lingus'!$HR$41:$HT$41)</f>
        <v>0</v>
      </c>
      <c r="P4" s="286">
        <f>SUM('[3]Aer Lingus'!$HD$41:$HF$41)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Lingus'!$HT$64</f>
        <v>0</v>
      </c>
      <c r="V4" s="286">
        <f>'[3]Aer Lingus'!$HF$64</f>
        <v>0</v>
      </c>
      <c r="W4" s="287" t="e">
        <f>(U4-V4)/V4</f>
        <v>#DIV/0!</v>
      </c>
      <c r="X4" s="284">
        <f>SUM('[3]Aer Lingus'!$HR$64:$HT$64)</f>
        <v>0</v>
      </c>
      <c r="Y4" s="286">
        <f>SUM('[3]Aer Lingus'!$HD$64:$HF$64)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114</v>
      </c>
      <c r="D6" s="286">
        <f>SUM(D7:D10)</f>
        <v>0</v>
      </c>
      <c r="E6" s="287" t="e">
        <f>(C6-D6)/D6</f>
        <v>#DIV/0!</v>
      </c>
      <c r="F6" s="284">
        <f>SUM(F7:F10)</f>
        <v>210</v>
      </c>
      <c r="G6" s="286">
        <f>SUM(G7:G10)</f>
        <v>0</v>
      </c>
      <c r="H6" s="285" t="e">
        <f>(F6-G6)/G6</f>
        <v>#DIV/0!</v>
      </c>
      <c r="I6" s="287">
        <f>F6/$F$73</f>
        <v>3.1333462646036315E-3</v>
      </c>
      <c r="J6" s="283" t="s">
        <v>98</v>
      </c>
      <c r="K6" s="40"/>
      <c r="L6" s="284">
        <f>SUM(L7:L10)</f>
        <v>4473</v>
      </c>
      <c r="M6" s="286">
        <f>SUM(M7:M10)</f>
        <v>0</v>
      </c>
      <c r="N6" s="287" t="e">
        <f>(L6-M6)/M6</f>
        <v>#DIV/0!</v>
      </c>
      <c r="O6" s="284">
        <f>SUM(O7:O10)</f>
        <v>7489</v>
      </c>
      <c r="P6" s="286">
        <f>SUM(P7:P10)</f>
        <v>0</v>
      </c>
      <c r="Q6" s="285" t="e">
        <f>(O6-P6)/P6</f>
        <v>#DIV/0!</v>
      </c>
      <c r="R6" s="287">
        <f>O6/$O$73</f>
        <v>1.1135754798679114E-3</v>
      </c>
      <c r="S6" s="283" t="s">
        <v>98</v>
      </c>
      <c r="T6" s="40"/>
      <c r="U6" s="284">
        <f>SUM(U7:U10)</f>
        <v>3272</v>
      </c>
      <c r="V6" s="286">
        <f>SUM(V7:V10)</f>
        <v>0</v>
      </c>
      <c r="W6" s="287" t="e">
        <f>(U6-V6)/V6</f>
        <v>#DIV/0!</v>
      </c>
      <c r="X6" s="284">
        <f>SUM(X7:X10)</f>
        <v>3272</v>
      </c>
      <c r="Y6" s="286">
        <f>SUM(Y7:Y10)</f>
        <v>0</v>
      </c>
      <c r="Z6" s="285" t="e">
        <f>(X6-Y6)/Y6</f>
        <v>#DIV/0!</v>
      </c>
      <c r="AA6" s="287">
        <f>X6/$X$73</f>
        <v>1.667158016314303E-4</v>
      </c>
    </row>
    <row r="7" spans="1:27" ht="14.1" customHeight="1" x14ac:dyDescent="0.2">
      <c r="A7" s="283"/>
      <c r="B7" s="343" t="s">
        <v>98</v>
      </c>
      <c r="C7" s="288">
        <f>+[3]AirCanada!$HT$19</f>
        <v>0</v>
      </c>
      <c r="D7" s="2">
        <f>+[3]AirCanada!$HF$19</f>
        <v>0</v>
      </c>
      <c r="E7" s="66" t="e">
        <f>(C7-D7)/D7</f>
        <v>#DIV/0!</v>
      </c>
      <c r="F7" s="231">
        <f>SUM([3]AirCanada!$HR$19:$HT$19)</f>
        <v>0</v>
      </c>
      <c r="G7" s="231">
        <f>SUM([3]AirCanada!$HD$19:$HF$19)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+[3]AirCanada!$HT$41</f>
        <v>0</v>
      </c>
      <c r="M7" s="231">
        <f>+[3]AirCanada!$HF$41</f>
        <v>0</v>
      </c>
      <c r="N7" s="349" t="e">
        <f>(L7-M7)/M7</f>
        <v>#DIV/0!</v>
      </c>
      <c r="O7" s="347">
        <f>SUM([3]AirCanada!$HR$41:$HT$41)</f>
        <v>0</v>
      </c>
      <c r="P7" s="231">
        <f>SUM([3]AirCanada!$HD$41:$HF$41)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+[3]AirCanada!$HT$64</f>
        <v>0</v>
      </c>
      <c r="V7" s="231">
        <f>+[3]AirCanada!$HF$64</f>
        <v>0</v>
      </c>
      <c r="W7" s="349" t="e">
        <f>(U7-V7)/V7</f>
        <v>#DIV/0!</v>
      </c>
      <c r="X7" s="347">
        <f>SUM([3]AirCanada!$HR$64:$HT$64)</f>
        <v>0</v>
      </c>
      <c r="Y7" s="231">
        <f>SUM([3]AirCanada!$HD$64:$HF$64)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Georgian'!$HT$19</f>
        <v>0</v>
      </c>
      <c r="D8" s="2">
        <f>'[3]Air Georgian'!$HF$19</f>
        <v>0</v>
      </c>
      <c r="E8" s="66" t="e">
        <f>(C8-D8)/D8</f>
        <v>#DIV/0!</v>
      </c>
      <c r="F8" s="231">
        <f>SUM('[3]Air Georgian'!$HR$19:$HT$19)</f>
        <v>0</v>
      </c>
      <c r="G8" s="231">
        <f>SUM('[3]Air Georgian'!$HD$19:$HF$19)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Georgian'!$HT$41</f>
        <v>0</v>
      </c>
      <c r="M8" s="2">
        <f>'[3]Air Georgian'!$HF$41</f>
        <v>0</v>
      </c>
      <c r="N8" s="66" t="e">
        <f>(L8-M8)/M8</f>
        <v>#DIV/0!</v>
      </c>
      <c r="O8" s="288">
        <f>SUM('[3]Air Georgian'!$HR$41:$HT$41)</f>
        <v>0</v>
      </c>
      <c r="P8" s="2">
        <f>SUM('[3]Air Georgian'!$HD$41:$HF$41)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Georgian'!$HT$64</f>
        <v>0</v>
      </c>
      <c r="V8" s="2">
        <f>'[3]Air Georgian'!$HF$64</f>
        <v>0</v>
      </c>
      <c r="W8" s="66" t="e">
        <f>(U8-V8)/V8</f>
        <v>#DIV/0!</v>
      </c>
      <c r="X8" s="288">
        <f>SUM('[3]Air Georgian'!$HR$64:$HT$64)</f>
        <v>0</v>
      </c>
      <c r="Y8" s="2">
        <f>SUM('[3]Air Georgian'!$HD$64:$HF$64)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[3]Jazz_AC!$HT$19</f>
        <v>114</v>
      </c>
      <c r="D9" s="2">
        <f>[3]Jazz_AC!$HF$19</f>
        <v>0</v>
      </c>
      <c r="E9" s="66" t="e">
        <f t="shared" ref="E9" si="0">(C9-D9)/D9</f>
        <v>#DIV/0!</v>
      </c>
      <c r="F9" s="2">
        <f>SUM([3]Jazz_AC!$HR$19:$HT$19)</f>
        <v>210</v>
      </c>
      <c r="G9" s="2">
        <f>SUM([3]Jazz_AC!$HD$19:$HF$19)</f>
        <v>0</v>
      </c>
      <c r="H9" s="3" t="e">
        <f t="shared" ref="H9" si="1">(F9-G9)/G9</f>
        <v>#DIV/0!</v>
      </c>
      <c r="I9" s="66">
        <f t="shared" ref="I9" si="2">F9/$F$73</f>
        <v>3.1333462646036315E-3</v>
      </c>
      <c r="J9" s="283"/>
      <c r="K9" s="343" t="s">
        <v>236</v>
      </c>
      <c r="L9" s="288">
        <f>[3]Jazz_AC!$HT$41</f>
        <v>4473</v>
      </c>
      <c r="M9" s="2">
        <f>[3]Jazz_AC!$HF$41</f>
        <v>0</v>
      </c>
      <c r="N9" s="66" t="e">
        <f t="shared" ref="N9" si="3">(L9-M9)/M9</f>
        <v>#DIV/0!</v>
      </c>
      <c r="O9" s="288">
        <f>SUM([3]Jazz_AC!$HR$41:$HT$41)</f>
        <v>7489</v>
      </c>
      <c r="P9" s="2">
        <f>SUM([3]Jazz_AC!$HD$41:$HF$41)</f>
        <v>0</v>
      </c>
      <c r="Q9" s="3" t="e">
        <f t="shared" ref="Q9" si="4">(O9-P9)/P9</f>
        <v>#DIV/0!</v>
      </c>
      <c r="R9" s="66">
        <f t="shared" ref="R9" si="5">O9/$O$73</f>
        <v>1.1135754798679114E-3</v>
      </c>
      <c r="S9" s="283"/>
      <c r="T9" s="343" t="s">
        <v>236</v>
      </c>
      <c r="U9" s="288">
        <f>[3]Jazz_AC!$HT$64</f>
        <v>3272</v>
      </c>
      <c r="V9" s="2">
        <f>[3]Jazz_AC!$HF$64</f>
        <v>0</v>
      </c>
      <c r="W9" s="66" t="e">
        <f t="shared" ref="W9" si="6">(U9-V9)/V9</f>
        <v>#DIV/0!</v>
      </c>
      <c r="X9" s="288">
        <f>SUM([3]Jazz_AC!$HR$64:$HT$64)</f>
        <v>3272</v>
      </c>
      <c r="Y9" s="2">
        <f>SUM([3]Jazz_AC!$HD$64:$HF$64)</f>
        <v>0</v>
      </c>
      <c r="Z9" s="3" t="e">
        <f t="shared" ref="Z9" si="7">(X9-Y9)/Y9</f>
        <v>#DIV/0!</v>
      </c>
      <c r="AA9" s="66">
        <f t="shared" ref="AA9" si="8">X9/$X$73</f>
        <v>1.667158016314303E-4</v>
      </c>
    </row>
    <row r="10" spans="1:27" ht="14.1" customHeight="1" x14ac:dyDescent="0.2">
      <c r="A10" s="283"/>
      <c r="B10" s="343" t="s">
        <v>192</v>
      </c>
      <c r="C10" s="288">
        <f>'[3]Sky Regional'!$HT$19</f>
        <v>0</v>
      </c>
      <c r="D10" s="2">
        <f>'[3]Sky Regional'!$HF$19</f>
        <v>0</v>
      </c>
      <c r="E10" s="66" t="e">
        <f>(C10-D10)/D10</f>
        <v>#DIV/0!</v>
      </c>
      <c r="F10" s="231">
        <f>SUM('[3]Sky Regional'!$HR$19:$HT$19)</f>
        <v>0</v>
      </c>
      <c r="G10" s="231">
        <f>SUM('[3]Sky Regional'!$HD$19:$HF$19)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Regional'!$HT$41</f>
        <v>0</v>
      </c>
      <c r="M10" s="2">
        <f>'[3]Sky Regional'!$HF$41</f>
        <v>0</v>
      </c>
      <c r="N10" s="66" t="e">
        <f>(L10-M10)/M10</f>
        <v>#DIV/0!</v>
      </c>
      <c r="O10" s="288">
        <f>SUM('[3]Sky Regional'!$HR$41:$HT$41)</f>
        <v>0</v>
      </c>
      <c r="P10" s="2">
        <f>SUM('[3]Sky Regional'!$HD$41:$HF$41)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Regional'!$HT$64</f>
        <v>0</v>
      </c>
      <c r="V10" s="2">
        <f>'[3]Sky Regional'!$HF$64</f>
        <v>0</v>
      </c>
      <c r="W10" s="66" t="e">
        <f>(U10-V10)/V10</f>
        <v>#DIV/0!</v>
      </c>
      <c r="X10" s="288">
        <f>SUM('[3]Sky Regional'!$HR$64:$HT$64)</f>
        <v>0</v>
      </c>
      <c r="Y10" s="2">
        <f>SUM('[3]Sky Regional'!$HD$64:$HF$64)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One'!$HT$19</f>
        <v>0</v>
      </c>
      <c r="D12" s="286">
        <f>'[3]Air Choice One'!$HF$19</f>
        <v>0</v>
      </c>
      <c r="E12" s="287" t="e">
        <f>(C12-D12)/D12</f>
        <v>#DIV/0!</v>
      </c>
      <c r="F12" s="286">
        <f>SUM('[3]Air Choice One'!$HR$19:$HT$19)</f>
        <v>0</v>
      </c>
      <c r="G12" s="286">
        <f>SUM('[3]Air Choice One'!$HD$19:$HF$19)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One'!$HT$41</f>
        <v>0</v>
      </c>
      <c r="M12" s="286">
        <f>'[3]Air Choice One'!$HF$41</f>
        <v>0</v>
      </c>
      <c r="N12" s="287" t="e">
        <f>(L12-M12)/M12</f>
        <v>#DIV/0!</v>
      </c>
      <c r="O12" s="284">
        <f>SUM('[3]Air Choice One'!$HR$41:$HT$41)</f>
        <v>0</v>
      </c>
      <c r="P12" s="286">
        <f>SUM('[3]Air Choice One'!$HD$41:$HF$41)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One'!$HT$64</f>
        <v>0</v>
      </c>
      <c r="V12" s="286">
        <f>'[3]Air Choice One'!$HF$64</f>
        <v>0</v>
      </c>
      <c r="W12" s="287" t="e">
        <f>(U12-V12)/V12</f>
        <v>#DIV/0!</v>
      </c>
      <c r="X12" s="284">
        <f>SUM('[3]Air Choice One'!$HR$64:$HT$64)</f>
        <v>0</v>
      </c>
      <c r="Y12" s="286">
        <f>SUM('[3]Air Choice One'!$HD$64:$HF$64)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France'!$HT$19</f>
        <v>0</v>
      </c>
      <c r="D14" s="286">
        <f>'[3]Air France'!$HF$19</f>
        <v>0</v>
      </c>
      <c r="E14" s="287" t="e">
        <f>(C14-D14)/D14</f>
        <v>#DIV/0!</v>
      </c>
      <c r="F14" s="286">
        <f>SUM('[3]Air France'!$HR$19:$HT$19)</f>
        <v>0</v>
      </c>
      <c r="G14" s="286">
        <f>SUM('[3]Air France'!$HD$19:$HF$19)</f>
        <v>0</v>
      </c>
      <c r="H14" s="285" t="e">
        <f>(F14-G14)/G14</f>
        <v>#DIV/0!</v>
      </c>
      <c r="I14" s="287">
        <f>F14/$F$73</f>
        <v>0</v>
      </c>
      <c r="J14" s="283" t="s">
        <v>156</v>
      </c>
      <c r="K14" s="40"/>
      <c r="L14" s="284">
        <f>'[3]Air France'!$HT$41</f>
        <v>0</v>
      </c>
      <c r="M14" s="286">
        <f>'[3]Air France'!$HF$41</f>
        <v>0</v>
      </c>
      <c r="N14" s="287" t="e">
        <f>(L14-M14)/M14</f>
        <v>#DIV/0!</v>
      </c>
      <c r="O14" s="284">
        <f>SUM('[3]Air France'!$HR$41:$HT$41)</f>
        <v>0</v>
      </c>
      <c r="P14" s="286">
        <f>SUM('[3]Air France'!$HD$41:$HF$41)</f>
        <v>0</v>
      </c>
      <c r="Q14" s="285" t="e">
        <f>(O14-P14)/P14</f>
        <v>#DIV/0!</v>
      </c>
      <c r="R14" s="287">
        <f>O14/$O$73</f>
        <v>0</v>
      </c>
      <c r="S14" s="283" t="s">
        <v>156</v>
      </c>
      <c r="T14" s="40"/>
      <c r="U14" s="284">
        <f>'[3]Air France'!$HT$64</f>
        <v>0</v>
      </c>
      <c r="V14" s="286">
        <f>'[3]Air France'!$HF$64</f>
        <v>0</v>
      </c>
      <c r="W14" s="287" t="e">
        <f>(U14-V14)/V14</f>
        <v>#DIV/0!</v>
      </c>
      <c r="X14" s="284">
        <f>SUM('[3]Air France'!$HR$64:$HT$64)</f>
        <v>0</v>
      </c>
      <c r="Y14" s="286">
        <f>SUM('[3]Air France'!$HD$64:$HF$64)</f>
        <v>0</v>
      </c>
      <c r="Z14" s="285" t="e">
        <f>(X14-Y14)/Y14</f>
        <v>#DIV/0!</v>
      </c>
      <c r="AA14" s="287">
        <f>X14/$X$73</f>
        <v>0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'!$HT$19</f>
        <v>116</v>
      </c>
      <c r="D16" s="2">
        <f>'[3]Allegiant '!$HF$19</f>
        <v>0</v>
      </c>
      <c r="E16" s="66" t="e">
        <f t="shared" ref="E16" si="9">(C16-D16)/D16</f>
        <v>#DIV/0!</v>
      </c>
      <c r="F16" s="2">
        <f>SUM('[3]Allegiant '!$HR$19:$HT$19)</f>
        <v>292</v>
      </c>
      <c r="G16" s="2">
        <f>SUM('[3]Allegiant '!$HD$19:$HF$19)</f>
        <v>0</v>
      </c>
      <c r="H16" s="3" t="e">
        <f t="shared" ref="H16" si="10">(F16-G16)/G16</f>
        <v>#DIV/0!</v>
      </c>
      <c r="I16" s="66">
        <f t="shared" ref="I16" si="11">F16/$F$73</f>
        <v>4.3568433774488595E-3</v>
      </c>
      <c r="J16" s="283" t="s">
        <v>237</v>
      </c>
      <c r="K16" s="40"/>
      <c r="L16" s="288">
        <f>'[3]Allegiant '!$HT$41</f>
        <v>17318</v>
      </c>
      <c r="M16" s="2">
        <f>'[3]Allegiant '!$HF$41</f>
        <v>0</v>
      </c>
      <c r="N16" s="66" t="e">
        <f t="shared" ref="N16" si="12">(L16-M16)/M16</f>
        <v>#DIV/0!</v>
      </c>
      <c r="O16" s="288">
        <f>SUM('[3]Allegiant '!$HR$41:$HT$41)</f>
        <v>36636</v>
      </c>
      <c r="P16" s="2">
        <f>SUM('[3]Allegiant '!$HD$41:$HF$41)</f>
        <v>0</v>
      </c>
      <c r="Q16" s="3" t="e">
        <f t="shared" ref="Q16" si="13">(O16-P16)/P16</f>
        <v>#DIV/0!</v>
      </c>
      <c r="R16" s="66">
        <f t="shared" ref="R16" si="14">O16/$O$73</f>
        <v>5.4475832928883436E-3</v>
      </c>
      <c r="S16" s="283" t="s">
        <v>237</v>
      </c>
      <c r="T16" s="40"/>
      <c r="U16" s="288">
        <f>'[3]Allegiant '!$HT$64</f>
        <v>0</v>
      </c>
      <c r="V16" s="2">
        <f>'[3]Allegiant '!$HF$64</f>
        <v>0</v>
      </c>
      <c r="W16" s="66" t="e">
        <f t="shared" ref="W16" si="15">(U16-V16)/V16</f>
        <v>#DIV/0!</v>
      </c>
      <c r="X16" s="288">
        <f>SUM('[3]Allegiant '!$HR$64:$HT$64)</f>
        <v>0</v>
      </c>
      <c r="Y16" s="2">
        <f>SUM('[3]Allegiant '!$HD$64:$HF$64)</f>
        <v>0</v>
      </c>
      <c r="Z16" s="3" t="e">
        <f t="shared" ref="Z16" si="16">(X16-Y16)/Y16</f>
        <v>#DIV/0!</v>
      </c>
      <c r="AA16" s="66">
        <f t="shared" ref="AA16" si="17"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123</v>
      </c>
      <c r="D18" s="286">
        <f>SUM(D19:D21)</f>
        <v>120</v>
      </c>
      <c r="E18" s="287">
        <f>(C18-D18)/D18</f>
        <v>2.5000000000000001E-2</v>
      </c>
      <c r="F18" s="286">
        <f>SUM(F19:F21)</f>
        <v>369</v>
      </c>
      <c r="G18" s="286">
        <f>SUM(G19:G21)</f>
        <v>269</v>
      </c>
      <c r="H18" s="285">
        <f>(F18-G18)/G18</f>
        <v>0.37174721189591076</v>
      </c>
      <c r="I18" s="287">
        <f>F18/$F$73</f>
        <v>5.5057370078035245E-3</v>
      </c>
      <c r="J18" s="283" t="s">
        <v>128</v>
      </c>
      <c r="K18" s="40"/>
      <c r="L18" s="284">
        <f>SUM(L19:L21)</f>
        <v>17093</v>
      </c>
      <c r="M18" s="286">
        <f>SUM(M19:M21)</f>
        <v>12937</v>
      </c>
      <c r="N18" s="287">
        <f>(L18-M18)/M18</f>
        <v>0.32124913040117492</v>
      </c>
      <c r="O18" s="284">
        <f>SUM(O19:O21)</f>
        <v>40953</v>
      </c>
      <c r="P18" s="286">
        <f>SUM(P19:P21)</f>
        <v>23678</v>
      </c>
      <c r="Q18" s="285">
        <f>(O18-P18)/P18</f>
        <v>0.72958020103049248</v>
      </c>
      <c r="R18" s="287">
        <f>O18/$O$73</f>
        <v>6.0894988151997034E-3</v>
      </c>
      <c r="S18" s="283" t="s">
        <v>128</v>
      </c>
      <c r="T18" s="40"/>
      <c r="U18" s="284">
        <f>SUM(U19:U21)</f>
        <v>28827</v>
      </c>
      <c r="V18" s="286">
        <f>SUM(V19:V21)</f>
        <v>38881</v>
      </c>
      <c r="W18" s="287">
        <f>(U18-V18)/V18</f>
        <v>-0.25858388415935807</v>
      </c>
      <c r="X18" s="284">
        <f>SUM(X19:X21)</f>
        <v>60142</v>
      </c>
      <c r="Y18" s="286">
        <f>SUM(Y19:Y21)</f>
        <v>67001</v>
      </c>
      <c r="Z18" s="285">
        <f>(X18-Y18)/Y18</f>
        <v>-0.10237160639393442</v>
      </c>
      <c r="AA18" s="287">
        <f>X18/$X$73</f>
        <v>3.0643709479576653E-3</v>
      </c>
    </row>
    <row r="19" spans="1:27" ht="14.1" customHeight="1" x14ac:dyDescent="0.2">
      <c r="A19" s="283"/>
      <c r="B19" s="343" t="s">
        <v>128</v>
      </c>
      <c r="C19" s="347">
        <f>[3]Alaska!$HT$19</f>
        <v>123</v>
      </c>
      <c r="D19" s="231">
        <f>[3]Alaska!$HF$19</f>
        <v>120</v>
      </c>
      <c r="E19" s="349">
        <f>(C19-D19)/D19</f>
        <v>2.5000000000000001E-2</v>
      </c>
      <c r="F19" s="231">
        <f>SUM([3]Alaska!$HR$19:$HT$19)</f>
        <v>311</v>
      </c>
      <c r="G19" s="231">
        <f>SUM([3]Alaska!$HD$19:$HF$19)</f>
        <v>269</v>
      </c>
      <c r="H19" s="348">
        <f>(F19-G19)/G19</f>
        <v>0.15613382899628253</v>
      </c>
      <c r="I19" s="349">
        <f>F19/$F$73</f>
        <v>4.6403366109129974E-3</v>
      </c>
      <c r="J19" s="283"/>
      <c r="K19" s="343" t="s">
        <v>128</v>
      </c>
      <c r="L19" s="347">
        <f>[3]Alaska!$HT$41</f>
        <v>17093</v>
      </c>
      <c r="M19" s="231">
        <f>[3]Alaska!$HF$41</f>
        <v>12937</v>
      </c>
      <c r="N19" s="349">
        <f>(L19-M19)/M19</f>
        <v>0.32124913040117492</v>
      </c>
      <c r="O19" s="347">
        <f>SUM([3]Alaska!$HR$41:$HT$41)</f>
        <v>37913</v>
      </c>
      <c r="P19" s="231">
        <f>SUM([3]Alaska!$HD$41:$HF$41)</f>
        <v>23678</v>
      </c>
      <c r="Q19" s="348">
        <f>(O19-P19)/P19</f>
        <v>0.60119097896781826</v>
      </c>
      <c r="R19" s="349">
        <f>O19/$O$73</f>
        <v>5.637466573405278E-3</v>
      </c>
      <c r="S19" s="283"/>
      <c r="T19" s="343" t="s">
        <v>128</v>
      </c>
      <c r="U19" s="347">
        <f>[3]Alaska!$HT$64</f>
        <v>28827</v>
      </c>
      <c r="V19" s="231">
        <f>[3]Alaska!$HF$64</f>
        <v>38881</v>
      </c>
      <c r="W19" s="349">
        <f>(U19-V19)/V19</f>
        <v>-0.25858388415935807</v>
      </c>
      <c r="X19" s="347">
        <f>SUM([3]Alaska!$HR$64:$HT$64)</f>
        <v>54669</v>
      </c>
      <c r="Y19" s="231">
        <f>SUM([3]Alaska!$HD$64:$HF$64)</f>
        <v>67001</v>
      </c>
      <c r="Z19" s="348">
        <f>(X19-Y19)/Y19</f>
        <v>-0.18405695437381531</v>
      </c>
      <c r="AA19" s="349">
        <f>X19/$X$73</f>
        <v>2.7855092174170729E-3</v>
      </c>
    </row>
    <row r="20" spans="1:27" ht="14.1" customHeight="1" x14ac:dyDescent="0.2">
      <c r="A20" s="283"/>
      <c r="B20" s="343" t="s">
        <v>97</v>
      </c>
      <c r="C20" s="288">
        <f>'[3]Sky West_AS'!$HT$19</f>
        <v>0</v>
      </c>
      <c r="D20" s="2">
        <f>'[3]Sky West_AS'!$HF$19</f>
        <v>0</v>
      </c>
      <c r="E20" s="66" t="e">
        <f>(C20-D20)/D20</f>
        <v>#DIV/0!</v>
      </c>
      <c r="F20" s="2">
        <f>SUM('[3]Sky West_AS'!$HR$19:$HT$19)</f>
        <v>54</v>
      </c>
      <c r="G20" s="2">
        <f>SUM('[3]Sky West_AS'!$HD$19:$HF$19)</f>
        <v>0</v>
      </c>
      <c r="H20" s="3" t="e">
        <f>(F20-G20)/G20</f>
        <v>#DIV/0!</v>
      </c>
      <c r="I20" s="66">
        <f>F20/$F$73</f>
        <v>8.0571761089807676E-4</v>
      </c>
      <c r="J20" s="283"/>
      <c r="K20" s="343" t="s">
        <v>97</v>
      </c>
      <c r="L20" s="288">
        <f>'[3]Sky West_AS'!$HT$41</f>
        <v>0</v>
      </c>
      <c r="M20" s="2">
        <f>'[3]Sky West_AS'!$HF$41</f>
        <v>0</v>
      </c>
      <c r="N20" s="66" t="e">
        <f>(L20-M20)/M20</f>
        <v>#DIV/0!</v>
      </c>
      <c r="O20" s="288">
        <f>SUM('[3]Sky West_AS'!$HR$41:$HT$41)</f>
        <v>2767</v>
      </c>
      <c r="P20" s="2">
        <f>SUM('[3]Sky West_AS'!$HD$41:$HF$41)</f>
        <v>0</v>
      </c>
      <c r="Q20" s="3" t="e">
        <f>(O20-P20)/P20</f>
        <v>#DIV/0!</v>
      </c>
      <c r="R20" s="349">
        <f>O20/$O$73</f>
        <v>4.1143855692275485E-4</v>
      </c>
      <c r="S20" s="283"/>
      <c r="T20" s="343" t="s">
        <v>97</v>
      </c>
      <c r="U20" s="288">
        <f>'[3]Sky West_AS'!$HT$64</f>
        <v>0</v>
      </c>
      <c r="V20" s="2">
        <f>'[3]Sky West_AS'!$HF$64</f>
        <v>0</v>
      </c>
      <c r="W20" s="66" t="e">
        <f>(U20-V20)/V20</f>
        <v>#DIV/0!</v>
      </c>
      <c r="X20" s="288">
        <f>SUM('[3]Sky West_AS'!$HR$64:$HT$64)</f>
        <v>4924</v>
      </c>
      <c r="Y20" s="2">
        <f>SUM('[3]Sky West_AS'!$HD$64:$HF$64)</f>
        <v>0</v>
      </c>
      <c r="Z20" s="3" t="e">
        <f>(X20-Y20)/Y20</f>
        <v>#DIV/0!</v>
      </c>
      <c r="AA20" s="349">
        <f>X20/$X$73</f>
        <v>2.5088893864094215E-4</v>
      </c>
    </row>
    <row r="21" spans="1:27" ht="14.1" customHeight="1" x14ac:dyDescent="0.2">
      <c r="A21" s="283"/>
      <c r="B21" s="343" t="s">
        <v>193</v>
      </c>
      <c r="C21" s="288">
        <f>[3]Horizon_AS!$HT$19</f>
        <v>0</v>
      </c>
      <c r="D21" s="2">
        <f>[3]Horizon_AS!$HF$19</f>
        <v>0</v>
      </c>
      <c r="E21" s="66" t="e">
        <f>(C21-D21)/D21</f>
        <v>#DIV/0!</v>
      </c>
      <c r="F21" s="2">
        <f>SUM([3]Horizon_AS!$HR$19:$HT$19)</f>
        <v>4</v>
      </c>
      <c r="G21" s="2">
        <f>SUM([3]Horizon_AS!$HD$19:$HF$19)</f>
        <v>0</v>
      </c>
      <c r="H21" s="3" t="e">
        <f>(F21-G21)/G21</f>
        <v>#DIV/0!</v>
      </c>
      <c r="I21" s="66">
        <f>F21/$F$73</f>
        <v>5.968278599245013E-5</v>
      </c>
      <c r="J21" s="283"/>
      <c r="K21" s="343" t="s">
        <v>193</v>
      </c>
      <c r="L21" s="288">
        <f>[3]Horizon_AS!$HT$41</f>
        <v>0</v>
      </c>
      <c r="M21" s="2">
        <f>[3]Horizon_AS!$HF$41</f>
        <v>0</v>
      </c>
      <c r="N21" s="66" t="e">
        <f>(L21-M21)/M21</f>
        <v>#DIV/0!</v>
      </c>
      <c r="O21" s="288">
        <f>SUM([3]Horizon_AS!$HR$41:$HT$41)</f>
        <v>273</v>
      </c>
      <c r="P21" s="2">
        <f>SUM([3]Horizon_AS!$HD$41:$HF$41)</f>
        <v>0</v>
      </c>
      <c r="Q21" s="3" t="e">
        <f>(O21-P21)/P21</f>
        <v>#DIV/0!</v>
      </c>
      <c r="R21" s="349">
        <f>O21/$O$73</f>
        <v>4.0593684871670425E-5</v>
      </c>
      <c r="S21" s="283"/>
      <c r="T21" s="343" t="s">
        <v>193</v>
      </c>
      <c r="U21" s="288">
        <f>[3]Horizon_AS!$HT$64</f>
        <v>0</v>
      </c>
      <c r="V21" s="2">
        <f>[3]Horizon_AS!$HF$64</f>
        <v>0</v>
      </c>
      <c r="W21" s="66" t="e">
        <f>(U21-V21)/V21</f>
        <v>#DIV/0!</v>
      </c>
      <c r="X21" s="288">
        <f>SUM([3]Horizon_AS!$HR$64:$HT$64)</f>
        <v>549</v>
      </c>
      <c r="Y21" s="2">
        <f>SUM([3]Horizon_AS!$HD$64:$HF$64)</f>
        <v>0</v>
      </c>
      <c r="Z21" s="3" t="e">
        <f>(X21-Y21)/Y21</f>
        <v>#DIV/0!</v>
      </c>
      <c r="AA21" s="349">
        <f>X21/$X$73</f>
        <v>2.7972791899650132E-5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SUM(C24:C30)</f>
        <v>1141</v>
      </c>
      <c r="D23" s="286">
        <f>SUM(D24:D30)</f>
        <v>862</v>
      </c>
      <c r="E23" s="287">
        <f t="shared" ref="E23:E30" si="18">(C23-D23)/D23</f>
        <v>0.32366589327146172</v>
      </c>
      <c r="F23" s="284">
        <f>SUM(F24:F30)</f>
        <v>3027</v>
      </c>
      <c r="G23" s="286">
        <f>SUM(G24:G30)</f>
        <v>2137</v>
      </c>
      <c r="H23" s="285">
        <f t="shared" ref="H23:H30" si="19">(F23-G23)/G23</f>
        <v>0.41647168928404305</v>
      </c>
      <c r="I23" s="287">
        <f t="shared" ref="I23:I30" si="20">F23/$F$73</f>
        <v>4.5164948299786636E-2</v>
      </c>
      <c r="J23" s="283" t="s">
        <v>17</v>
      </c>
      <c r="K23" s="290"/>
      <c r="L23" s="284">
        <f>SUM(L24:L30)</f>
        <v>129369</v>
      </c>
      <c r="M23" s="286">
        <f>SUM(M24:M30)</f>
        <v>87508</v>
      </c>
      <c r="N23" s="287">
        <f t="shared" ref="N23:N30" si="21">(L23-M23)/M23</f>
        <v>0.47836769209672259</v>
      </c>
      <c r="O23" s="284">
        <f>SUM(O24:O30)</f>
        <v>308145</v>
      </c>
      <c r="P23" s="286">
        <f>SUM(P24:P30)</f>
        <v>198910</v>
      </c>
      <c r="Q23" s="285">
        <f t="shared" ref="Q23:Q30" si="22">(O23-P23)/P23</f>
        <v>0.5491679654114926</v>
      </c>
      <c r="R23" s="287">
        <f t="shared" ref="R23:R30" si="23">O23/$O$73</f>
        <v>4.5819564193336569E-2</v>
      </c>
      <c r="S23" s="283" t="s">
        <v>17</v>
      </c>
      <c r="T23" s="290"/>
      <c r="U23" s="284">
        <f>SUM(U24:U30)</f>
        <v>128394</v>
      </c>
      <c r="V23" s="286">
        <f>SUM(V24:V30)</f>
        <v>161516</v>
      </c>
      <c r="W23" s="287">
        <f t="shared" ref="W23:W27" si="24">(U23-V23)/V23</f>
        <v>-0.20506946680205057</v>
      </c>
      <c r="X23" s="284">
        <f>SUM(X24:X30)</f>
        <v>438930</v>
      </c>
      <c r="Y23" s="286">
        <f>SUM(Y24:Y30)</f>
        <v>427690</v>
      </c>
      <c r="Z23" s="285">
        <f t="shared" ref="Z23:Z27" si="25">(X23-Y23)/Y23</f>
        <v>2.6280717342000048E-2</v>
      </c>
      <c r="AA23" s="287">
        <f t="shared" ref="AA23:AA30" si="26">X23/$X$73</f>
        <v>2.2364476408949785E-2</v>
      </c>
    </row>
    <row r="24" spans="1:27" ht="14.1" customHeight="1" x14ac:dyDescent="0.2">
      <c r="A24" s="38"/>
      <c r="B24" s="40" t="s">
        <v>17</v>
      </c>
      <c r="C24" s="288">
        <f>[3]American!$HT$19</f>
        <v>642</v>
      </c>
      <c r="D24" s="2">
        <f>[3]American!$HF$19</f>
        <v>471</v>
      </c>
      <c r="E24" s="66">
        <f t="shared" si="18"/>
        <v>0.36305732484076431</v>
      </c>
      <c r="F24" s="2">
        <f>SUM([3]American!$HR$19:$HT$19)</f>
        <v>1700</v>
      </c>
      <c r="G24" s="2">
        <f>SUM([3]American!$HD$19:$HF$19)</f>
        <v>1252</v>
      </c>
      <c r="H24" s="3">
        <f t="shared" si="19"/>
        <v>0.35782747603833864</v>
      </c>
      <c r="I24" s="66">
        <f t="shared" si="20"/>
        <v>2.5365184046791306E-2</v>
      </c>
      <c r="J24" s="38"/>
      <c r="K24" s="40" t="s">
        <v>17</v>
      </c>
      <c r="L24" s="288">
        <f>[3]American!$HT$41</f>
        <v>98352</v>
      </c>
      <c r="M24" s="2">
        <f>[3]American!$HF$41</f>
        <v>62950</v>
      </c>
      <c r="N24" s="66">
        <f t="shared" si="21"/>
        <v>0.56238284352660839</v>
      </c>
      <c r="O24" s="288">
        <f>SUM([3]American!$HR$41:$HT$41)</f>
        <v>241914</v>
      </c>
      <c r="P24" s="2">
        <f>SUM([3]American!$HD$41:$HF$41)</f>
        <v>147070</v>
      </c>
      <c r="Q24" s="3">
        <f t="shared" si="22"/>
        <v>0.64489018834568568</v>
      </c>
      <c r="R24" s="66">
        <f t="shared" si="23"/>
        <v>3.5971357809689665E-2</v>
      </c>
      <c r="S24" s="38"/>
      <c r="T24" s="40" t="s">
        <v>17</v>
      </c>
      <c r="U24" s="288">
        <f>[3]American!$HT$64</f>
        <v>127334</v>
      </c>
      <c r="V24" s="2">
        <f>[3]American!$HF$64</f>
        <v>158474</v>
      </c>
      <c r="W24" s="66">
        <f t="shared" si="24"/>
        <v>-0.19649911026414427</v>
      </c>
      <c r="X24" s="288">
        <f>SUM([3]American!$HR$64:$HT$64)</f>
        <v>435215</v>
      </c>
      <c r="Y24" s="2">
        <f>SUM([3]American!$HD$64:$HF$64)</f>
        <v>422882</v>
      </c>
      <c r="Z24" s="3">
        <f t="shared" si="25"/>
        <v>2.9164163998467659E-2</v>
      </c>
      <c r="AA24" s="66">
        <f t="shared" si="26"/>
        <v>2.2175188755202607E-2</v>
      </c>
    </row>
    <row r="25" spans="1:27" ht="14.1" customHeight="1" x14ac:dyDescent="0.2">
      <c r="A25" s="38"/>
      <c r="B25" s="343" t="s">
        <v>165</v>
      </c>
      <c r="C25" s="288">
        <f>'[3]American Eagle'!$HT$19</f>
        <v>12</v>
      </c>
      <c r="D25" s="2">
        <f>'[3]American Eagle'!$HF$19</f>
        <v>269</v>
      </c>
      <c r="E25" s="66">
        <f t="shared" si="18"/>
        <v>-0.95539033457249067</v>
      </c>
      <c r="F25" s="2">
        <f>SUM('[3]American Eagle'!$HR$19:$HT$19)</f>
        <v>108</v>
      </c>
      <c r="G25" s="2">
        <f>SUM('[3]American Eagle'!$HD$19:$HF$19)</f>
        <v>682</v>
      </c>
      <c r="H25" s="3">
        <f t="shared" si="19"/>
        <v>-0.84164222873900296</v>
      </c>
      <c r="I25" s="66">
        <f t="shared" si="20"/>
        <v>1.6114352217961535E-3</v>
      </c>
      <c r="J25" s="38"/>
      <c r="K25" s="343" t="s">
        <v>165</v>
      </c>
      <c r="L25" s="288">
        <f>'[3]American Eagle'!$HT$41</f>
        <v>733</v>
      </c>
      <c r="M25" s="2">
        <f>'[3]American Eagle'!$HF$41</f>
        <v>17867</v>
      </c>
      <c r="N25" s="66">
        <f t="shared" si="21"/>
        <v>-0.95897464599541049</v>
      </c>
      <c r="O25" s="288">
        <f>SUM('[3]American Eagle'!$HR$41:$HT$41)</f>
        <v>4119</v>
      </c>
      <c r="P25" s="2">
        <f>SUM('[3]American Eagle'!$HD$41:$HF$41)</f>
        <v>42478</v>
      </c>
      <c r="Q25" s="3">
        <f t="shared" si="22"/>
        <v>-0.90303215782287305</v>
      </c>
      <c r="R25" s="66">
        <f t="shared" si="23"/>
        <v>6.1247394866817027E-4</v>
      </c>
      <c r="S25" s="38"/>
      <c r="T25" s="343" t="s">
        <v>165</v>
      </c>
      <c r="U25" s="288">
        <f>'[3]American Eagle'!$HT$64</f>
        <v>100</v>
      </c>
      <c r="V25" s="2">
        <f>'[3]American Eagle'!$HF$64</f>
        <v>2209</v>
      </c>
      <c r="W25" s="66">
        <f t="shared" si="24"/>
        <v>-0.95473064735174284</v>
      </c>
      <c r="X25" s="288">
        <f>SUM('[3]American Eagle'!$HR$64:$HT$64)</f>
        <v>1145</v>
      </c>
      <c r="Y25" s="2">
        <f>SUM('[3]American Eagle'!$HD$64:$HF$64)</f>
        <v>3937</v>
      </c>
      <c r="Z25" s="3">
        <f t="shared" si="25"/>
        <v>-0.70916941833883673</v>
      </c>
      <c r="AA25" s="66">
        <f t="shared" si="26"/>
        <v>5.8340340118578145E-5</v>
      </c>
    </row>
    <row r="26" spans="1:27" ht="14.1" customHeight="1" x14ac:dyDescent="0.2">
      <c r="A26" s="38"/>
      <c r="B26" s="343" t="s">
        <v>52</v>
      </c>
      <c r="C26" s="288">
        <f>[3]Republic!$HT$19</f>
        <v>182</v>
      </c>
      <c r="D26" s="2">
        <f>[3]Republic!$HF$19</f>
        <v>66</v>
      </c>
      <c r="E26" s="66">
        <f t="shared" si="18"/>
        <v>1.7575757575757576</v>
      </c>
      <c r="F26" s="2">
        <f>SUM([3]Republic!$HR$19:$HT$19)</f>
        <v>518</v>
      </c>
      <c r="G26" s="2">
        <f>SUM([3]Republic!$HD$19:$HF$19)</f>
        <v>145</v>
      </c>
      <c r="H26" s="3">
        <f t="shared" si="19"/>
        <v>2.5724137931034483</v>
      </c>
      <c r="I26" s="66">
        <f t="shared" si="20"/>
        <v>7.7289207860222918E-3</v>
      </c>
      <c r="J26" s="38"/>
      <c r="K26" s="291" t="s">
        <v>52</v>
      </c>
      <c r="L26" s="288">
        <f>[3]Republic!$HT$41</f>
        <v>10981</v>
      </c>
      <c r="M26" s="2">
        <f>[3]Republic!$HF$41</f>
        <v>3470</v>
      </c>
      <c r="N26" s="66">
        <f t="shared" si="21"/>
        <v>2.1645533141210374</v>
      </c>
      <c r="O26" s="288">
        <f>SUM([3]Republic!$HR$41:$HT$41)</f>
        <v>22324</v>
      </c>
      <c r="P26" s="2">
        <f>SUM([3]Republic!$HD$41:$HF$41)</f>
        <v>6109</v>
      </c>
      <c r="Q26" s="3">
        <f t="shared" si="22"/>
        <v>2.6542805696513341</v>
      </c>
      <c r="R26" s="66">
        <f t="shared" si="23"/>
        <v>3.3194630808614308E-3</v>
      </c>
      <c r="S26" s="38"/>
      <c r="T26" s="291" t="s">
        <v>52</v>
      </c>
      <c r="U26" s="288">
        <f>[3]Republic!$HT$64</f>
        <v>339</v>
      </c>
      <c r="V26" s="2">
        <f>[3]Republic!$HF$64</f>
        <v>65</v>
      </c>
      <c r="W26" s="66">
        <f t="shared" si="24"/>
        <v>4.2153846153846155</v>
      </c>
      <c r="X26" s="288">
        <f>SUM([3]Republic!$HR$64:$HT$64)</f>
        <v>339</v>
      </c>
      <c r="Y26" s="2">
        <f>SUM([3]Republic!$HD$64:$HF$64)</f>
        <v>103</v>
      </c>
      <c r="Z26" s="3">
        <f t="shared" si="25"/>
        <v>2.29126213592233</v>
      </c>
      <c r="AA26" s="66">
        <f t="shared" si="26"/>
        <v>1.7272816856068114E-5</v>
      </c>
    </row>
    <row r="27" spans="1:27" ht="14.1" customHeight="1" x14ac:dyDescent="0.2">
      <c r="A27" s="38"/>
      <c r="B27" s="343" t="s">
        <v>182</v>
      </c>
      <c r="C27" s="288">
        <f>[3]PSA!$HT$19</f>
        <v>175</v>
      </c>
      <c r="D27" s="2">
        <f>[3]PSA!$HF$19</f>
        <v>0</v>
      </c>
      <c r="E27" s="66" t="e">
        <f t="shared" si="18"/>
        <v>#DIV/0!</v>
      </c>
      <c r="F27" s="2">
        <f>SUM([3]PSA!$HR$19:$HT$19)</f>
        <v>391</v>
      </c>
      <c r="G27" s="2">
        <f>SUM([3]PSA!$HD$19:$HF$19)</f>
        <v>2</v>
      </c>
      <c r="H27" s="3">
        <f t="shared" si="19"/>
        <v>194.5</v>
      </c>
      <c r="I27" s="66">
        <f t="shared" si="20"/>
        <v>5.8339923307619999E-3</v>
      </c>
      <c r="J27" s="38"/>
      <c r="K27" s="343" t="s">
        <v>182</v>
      </c>
      <c r="L27" s="288">
        <f>[3]PSA!$HT$41</f>
        <v>11781</v>
      </c>
      <c r="M27" s="2">
        <f>[3]PSA!$HF$41</f>
        <v>0</v>
      </c>
      <c r="N27" s="66" t="e">
        <f t="shared" si="21"/>
        <v>#DIV/0!</v>
      </c>
      <c r="O27" s="288">
        <f>SUM([3]PSA!$HR$41:$HT$41)</f>
        <v>22712</v>
      </c>
      <c r="P27" s="2">
        <f>SUM([3]PSA!$HD$41:$HF$41)</f>
        <v>32</v>
      </c>
      <c r="Q27" s="3">
        <f t="shared" si="22"/>
        <v>708.75</v>
      </c>
      <c r="R27" s="66">
        <f t="shared" si="23"/>
        <v>3.3771566696167718E-3</v>
      </c>
      <c r="S27" s="38"/>
      <c r="T27" s="343" t="s">
        <v>182</v>
      </c>
      <c r="U27" s="288">
        <f>[3]PSA!$HT$64</f>
        <v>10</v>
      </c>
      <c r="V27" s="2">
        <f>[3]PSA!$HF$64</f>
        <v>0</v>
      </c>
      <c r="W27" s="66" t="e">
        <f t="shared" si="24"/>
        <v>#DIV/0!</v>
      </c>
      <c r="X27" s="288">
        <f>SUM([3]PSA!$HR$64:$HT$64)</f>
        <v>795</v>
      </c>
      <c r="Y27" s="2">
        <f>SUM([3]PSA!$HD$64:$HF$64)</f>
        <v>0</v>
      </c>
      <c r="Z27" s="3" t="e">
        <f t="shared" si="25"/>
        <v>#DIV/0!</v>
      </c>
      <c r="AA27" s="66">
        <f t="shared" si="26"/>
        <v>4.0507048379274779E-5</v>
      </c>
    </row>
    <row r="28" spans="1:27" ht="14.1" customHeight="1" x14ac:dyDescent="0.2">
      <c r="A28" s="38"/>
      <c r="B28" s="343" t="s">
        <v>97</v>
      </c>
      <c r="C28" s="288">
        <f>'[3]Sky West_AA'!$HT$19</f>
        <v>130</v>
      </c>
      <c r="D28" s="2">
        <f>'[3]Sky West_AA'!$HF$19</f>
        <v>56</v>
      </c>
      <c r="E28" s="66">
        <f>(C28-D28)/D28</f>
        <v>1.3214285714285714</v>
      </c>
      <c r="F28" s="2">
        <f>SUM('[3]Sky West_AA'!$HR$19:$HT$19)</f>
        <v>310</v>
      </c>
      <c r="G28" s="2">
        <f>SUM('[3]Sky West_AA'!$HD$19:$HF$19)</f>
        <v>56</v>
      </c>
      <c r="H28" s="3">
        <f>(F28-G28)/G28</f>
        <v>4.5357142857142856</v>
      </c>
      <c r="I28" s="66">
        <f t="shared" si="20"/>
        <v>4.6254159144148849E-3</v>
      </c>
      <c r="J28" s="38"/>
      <c r="K28" s="343" t="s">
        <v>97</v>
      </c>
      <c r="L28" s="288">
        <f>'[3]Sky West_AA'!$HT$41</f>
        <v>7522</v>
      </c>
      <c r="M28" s="2">
        <f>'[3]Sky West_AA'!$HF$41</f>
        <v>3221</v>
      </c>
      <c r="N28" s="66">
        <f>(L28-M28)/M28</f>
        <v>1.335299596398634</v>
      </c>
      <c r="O28" s="288">
        <f>SUM('[3]Sky West_AA'!$HR$41:$HT$41)</f>
        <v>17076</v>
      </c>
      <c r="P28" s="2">
        <f>SUM('[3]Sky West_AA'!$HD$41:$HF$41)</f>
        <v>3221</v>
      </c>
      <c r="Q28" s="3">
        <f>(O28-P28)/P28</f>
        <v>4.301459174169513</v>
      </c>
      <c r="R28" s="349">
        <f t="shared" si="23"/>
        <v>2.5391126845005284E-3</v>
      </c>
      <c r="S28" s="38"/>
      <c r="T28" s="343" t="s">
        <v>97</v>
      </c>
      <c r="U28" s="288">
        <f>'[3]Sky West_AA'!$HT$64</f>
        <v>611</v>
      </c>
      <c r="V28" s="2">
        <f>'[3]Sky West_AA'!$HF$64</f>
        <v>768</v>
      </c>
      <c r="W28" s="66">
        <f>(U28-V28)/V28</f>
        <v>-0.20442708333333334</v>
      </c>
      <c r="X28" s="288">
        <f>SUM('[3]Sky West_AA'!$HR$64:$HT$64)</f>
        <v>1436</v>
      </c>
      <c r="Y28" s="2">
        <f>SUM('[3]Sky West_AA'!$HD$64:$HF$64)</f>
        <v>768</v>
      </c>
      <c r="Z28" s="3">
        <f>(X28-Y28)/Y28</f>
        <v>0.86979166666666663</v>
      </c>
      <c r="AA28" s="349">
        <f t="shared" si="26"/>
        <v>7.3167448393256077E-5</v>
      </c>
    </row>
    <row r="29" spans="1:27" ht="14.1" customHeight="1" x14ac:dyDescent="0.2">
      <c r="A29" s="38"/>
      <c r="B29" s="343" t="s">
        <v>51</v>
      </c>
      <c r="C29" s="288">
        <f>[3]MESA!$HT$19</f>
        <v>0</v>
      </c>
      <c r="D29" s="2">
        <f>[3]MESA!$HF$19</f>
        <v>0</v>
      </c>
      <c r="E29" s="66" t="e">
        <f t="shared" si="18"/>
        <v>#DIV/0!</v>
      </c>
      <c r="F29" s="2">
        <f>SUM([3]MESA!$HR$19:$HT$19)</f>
        <v>0</v>
      </c>
      <c r="G29" s="2">
        <f>SUM([3]MESA!$HD$19:$HF$19)</f>
        <v>0</v>
      </c>
      <c r="H29" s="3" t="e">
        <f t="shared" si="19"/>
        <v>#DIV/0!</v>
      </c>
      <c r="I29" s="66">
        <f t="shared" si="20"/>
        <v>0</v>
      </c>
      <c r="J29" s="38"/>
      <c r="K29" s="343" t="s">
        <v>51</v>
      </c>
      <c r="L29" s="288">
        <f>[3]MESA!$HT$41</f>
        <v>0</v>
      </c>
      <c r="M29" s="2">
        <f>[3]MESA!$HF$41</f>
        <v>0</v>
      </c>
      <c r="N29" s="66" t="e">
        <f t="shared" si="21"/>
        <v>#DIV/0!</v>
      </c>
      <c r="O29" s="288">
        <f>SUM([3]MESA!$HR$41:$HT$41)</f>
        <v>0</v>
      </c>
      <c r="P29" s="2">
        <f>SUM([3]MESA!$HD$41:$HF$41)</f>
        <v>0</v>
      </c>
      <c r="Q29" s="3" t="e">
        <f t="shared" si="22"/>
        <v>#DIV/0!</v>
      </c>
      <c r="R29" s="66">
        <f t="shared" si="23"/>
        <v>0</v>
      </c>
      <c r="S29" s="38"/>
      <c r="T29" s="343" t="s">
        <v>51</v>
      </c>
      <c r="U29" s="288">
        <f>[3]MESA!$HT$64</f>
        <v>0</v>
      </c>
      <c r="V29" s="2">
        <f>[3]MESA!$HF$64</f>
        <v>0</v>
      </c>
      <c r="W29" s="66" t="e">
        <f t="shared" ref="W29:W30" si="27">(U29-V29)/V29</f>
        <v>#DIV/0!</v>
      </c>
      <c r="X29" s="288">
        <f>SUM([3]MESA!$HR$64:$HT$64)</f>
        <v>0</v>
      </c>
      <c r="Y29" s="2">
        <f>SUM([3]MESA!$HD$64:$HF$64)</f>
        <v>0</v>
      </c>
      <c r="Z29" s="3" t="e">
        <f t="shared" ref="Z29:Z30" si="28">(X29-Y29)/Y29</f>
        <v>#DIV/0!</v>
      </c>
      <c r="AA29" s="66">
        <f t="shared" si="26"/>
        <v>0</v>
      </c>
    </row>
    <row r="30" spans="1:27" ht="14.1" customHeight="1" x14ac:dyDescent="0.2">
      <c r="A30" s="38"/>
      <c r="B30" s="343" t="s">
        <v>50</v>
      </c>
      <c r="C30" s="288">
        <f>'[3]Air Wisconsin'!$HT$19</f>
        <v>0</v>
      </c>
      <c r="D30" s="2">
        <f>'[3]Air Wisconsin'!$HF$19</f>
        <v>0</v>
      </c>
      <c r="E30" s="66" t="e">
        <f t="shared" si="18"/>
        <v>#DIV/0!</v>
      </c>
      <c r="F30" s="2">
        <f>SUM('[3]Air Wisconsin'!$HR$19:$HT$19)</f>
        <v>0</v>
      </c>
      <c r="G30" s="2">
        <f>SUM('[3]Air Wisconsin'!$HD$19:$HF$19)</f>
        <v>0</v>
      </c>
      <c r="H30" s="379" t="e">
        <f t="shared" si="19"/>
        <v>#DIV/0!</v>
      </c>
      <c r="I30" s="66">
        <f t="shared" si="20"/>
        <v>0</v>
      </c>
      <c r="J30" s="38"/>
      <c r="K30" s="291" t="s">
        <v>50</v>
      </c>
      <c r="L30" s="288">
        <f>'[3]Air Wisconsin'!$HT$41</f>
        <v>0</v>
      </c>
      <c r="M30" s="2">
        <f>'[3]Air Wisconsin'!$HF$41</f>
        <v>0</v>
      </c>
      <c r="N30" s="66" t="e">
        <f t="shared" si="21"/>
        <v>#DIV/0!</v>
      </c>
      <c r="O30" s="288">
        <f>SUM('[3]Air Wisconsin'!$HR$41:$HT$41)</f>
        <v>0</v>
      </c>
      <c r="P30" s="2">
        <f>SUM('[3]Air Wisconsin'!$HD$41:$HF$41)</f>
        <v>0</v>
      </c>
      <c r="Q30" s="3" t="e">
        <f t="shared" si="22"/>
        <v>#DIV/0!</v>
      </c>
      <c r="R30" s="66">
        <f t="shared" si="23"/>
        <v>0</v>
      </c>
      <c r="S30" s="38"/>
      <c r="T30" s="291" t="s">
        <v>50</v>
      </c>
      <c r="U30" s="288">
        <f>'[3]Air Wisconsin'!$HT$64</f>
        <v>0</v>
      </c>
      <c r="V30" s="2">
        <f>'[3]Air Wisconsin'!$HF$64</f>
        <v>0</v>
      </c>
      <c r="W30" s="66" t="e">
        <f t="shared" si="27"/>
        <v>#DIV/0!</v>
      </c>
      <c r="X30" s="288">
        <f>SUM('[3]Air Wisconsin'!$HR$64:$HT$64)</f>
        <v>0</v>
      </c>
      <c r="Y30" s="2">
        <f>SUM('[3]Air Wisconsin'!$HD$64:$HF$64)</f>
        <v>0</v>
      </c>
      <c r="Z30" s="3" t="e">
        <f t="shared" si="28"/>
        <v>#DIV/0!</v>
      </c>
      <c r="AA30" s="66">
        <f t="shared" si="26"/>
        <v>0</v>
      </c>
    </row>
    <row r="31" spans="1:27" ht="14.1" customHeight="1" x14ac:dyDescent="0.2">
      <c r="A31" s="38"/>
      <c r="B31" s="40"/>
      <c r="C31" s="288"/>
      <c r="E31" s="66"/>
      <c r="F31" s="2"/>
      <c r="I31" s="66"/>
      <c r="J31" s="38"/>
      <c r="K31" s="40"/>
      <c r="L31" s="288"/>
      <c r="N31" s="66"/>
      <c r="O31" s="288"/>
      <c r="P31" s="2"/>
      <c r="Q31" s="3"/>
      <c r="R31" s="66"/>
      <c r="S31" s="38"/>
      <c r="T31" s="40"/>
      <c r="U31" s="288"/>
      <c r="V31" s="2"/>
      <c r="W31" s="66"/>
      <c r="X31" s="288"/>
      <c r="Y31" s="2"/>
      <c r="Z31" s="3"/>
      <c r="AA31" s="66"/>
    </row>
    <row r="32" spans="1:27" ht="14.1" customHeight="1" x14ac:dyDescent="0.2">
      <c r="A32" s="283" t="s">
        <v>179</v>
      </c>
      <c r="B32" s="40"/>
      <c r="C32" s="284">
        <f>'[3]Boutique Air'!$HT$19</f>
        <v>0</v>
      </c>
      <c r="D32" s="286">
        <f>'[3]Boutique Air'!$HF$19</f>
        <v>54</v>
      </c>
      <c r="E32" s="287">
        <f>(C32-D32)/D32</f>
        <v>-1</v>
      </c>
      <c r="F32" s="286">
        <f>SUM('[3]Boutique Air'!$HR$19:$HT$19)</f>
        <v>0</v>
      </c>
      <c r="G32" s="286">
        <f>SUM('[3]Boutique Air'!$HD$19:$HF$19)</f>
        <v>133</v>
      </c>
      <c r="H32" s="285">
        <f>(F32-G32)/G32</f>
        <v>-1</v>
      </c>
      <c r="I32" s="287">
        <f>F32/$F$73</f>
        <v>0</v>
      </c>
      <c r="J32" s="283" t="s">
        <v>179</v>
      </c>
      <c r="K32" s="40"/>
      <c r="L32" s="284">
        <f>'[3]Boutique Air'!$HT$41</f>
        <v>0</v>
      </c>
      <c r="M32" s="286">
        <f>'[3]Boutique Air'!$HF$41</f>
        <v>266</v>
      </c>
      <c r="N32" s="287">
        <f>(L32-M32)/M32</f>
        <v>-1</v>
      </c>
      <c r="O32" s="284">
        <f>SUM('[3]Boutique Air'!$HR$41:$HT$41)</f>
        <v>0</v>
      </c>
      <c r="P32" s="286">
        <f>SUM('[3]Boutique Air'!$HD$41:$HF$41)</f>
        <v>580</v>
      </c>
      <c r="Q32" s="285">
        <f>(O32-P32)/P32</f>
        <v>-1</v>
      </c>
      <c r="R32" s="287">
        <f>O32/$O$73</f>
        <v>0</v>
      </c>
      <c r="S32" s="283" t="s">
        <v>179</v>
      </c>
      <c r="T32" s="40"/>
      <c r="U32" s="284">
        <f>'[3]Boutique Air'!$HT$64</f>
        <v>0</v>
      </c>
      <c r="V32" s="286">
        <f>'[3]Boutique Air'!$HF$64</f>
        <v>0</v>
      </c>
      <c r="W32" s="287" t="e">
        <f>(U32-V32)/V32</f>
        <v>#DIV/0!</v>
      </c>
      <c r="X32" s="284">
        <f>SUM('[3]Boutique Air'!$HR$64:$HT$64)</f>
        <v>0</v>
      </c>
      <c r="Y32" s="286">
        <f>SUM('[3]Boutique Air'!$HD$64:$HF$64)</f>
        <v>0</v>
      </c>
      <c r="Z32" s="285" t="e">
        <f>(X32-Y32)/Y32</f>
        <v>#DIV/0!</v>
      </c>
      <c r="AA32" s="287">
        <f>X32/$X$73</f>
        <v>0</v>
      </c>
    </row>
    <row r="33" spans="1:27" ht="14.1" customHeight="1" x14ac:dyDescent="0.2">
      <c r="A33" s="38"/>
      <c r="B33" s="40"/>
      <c r="C33" s="288"/>
      <c r="E33" s="66"/>
      <c r="F33" s="2"/>
      <c r="I33" s="66"/>
      <c r="J33" s="38"/>
      <c r="K33" s="40"/>
      <c r="L33" s="288"/>
      <c r="N33" s="66"/>
      <c r="O33" s="288"/>
      <c r="P33" s="2"/>
      <c r="Q33" s="3"/>
      <c r="R33" s="66"/>
      <c r="S33" s="38"/>
      <c r="T33" s="40"/>
      <c r="U33" s="288"/>
      <c r="V33" s="2"/>
      <c r="W33" s="66"/>
      <c r="X33" s="288"/>
      <c r="Y33" s="2"/>
      <c r="Z33" s="3"/>
      <c r="AA33" s="66"/>
    </row>
    <row r="34" spans="1:27" ht="14.1" customHeight="1" x14ac:dyDescent="0.2">
      <c r="A34" s="283" t="s">
        <v>161</v>
      </c>
      <c r="B34" s="40"/>
      <c r="C34" s="284">
        <f>[3]Condor!$HT$19</f>
        <v>0</v>
      </c>
      <c r="D34" s="286">
        <f>[3]Condor!$HF$19</f>
        <v>0</v>
      </c>
      <c r="E34" s="287" t="e">
        <f>(C34-D34)/D34</f>
        <v>#DIV/0!</v>
      </c>
      <c r="F34" s="286">
        <f>SUM([3]Condor!$HR$19:$HT$19)</f>
        <v>0</v>
      </c>
      <c r="G34" s="286">
        <f>SUM([3]Condor!$HD$19:$HF$19)</f>
        <v>0</v>
      </c>
      <c r="H34" s="285" t="e">
        <f>(F34-G34)/G34</f>
        <v>#DIV/0!</v>
      </c>
      <c r="I34" s="287">
        <f>F34/$F$73</f>
        <v>0</v>
      </c>
      <c r="J34" s="283" t="s">
        <v>161</v>
      </c>
      <c r="K34" s="40"/>
      <c r="L34" s="284">
        <f>[3]Condor!$HT$41</f>
        <v>0</v>
      </c>
      <c r="M34" s="286">
        <f>[3]Condor!$HF$41</f>
        <v>0</v>
      </c>
      <c r="N34" s="287" t="e">
        <f>(L34-M34)/M34</f>
        <v>#DIV/0!</v>
      </c>
      <c r="O34" s="284">
        <f>SUM([3]Condor!$HR$41:$HT$41)</f>
        <v>0</v>
      </c>
      <c r="P34" s="286">
        <f>SUM([3]Condor!$HD$41:$HF$41)</f>
        <v>0</v>
      </c>
      <c r="Q34" s="285" t="e">
        <f>(O34-P34)/P34</f>
        <v>#DIV/0!</v>
      </c>
      <c r="R34" s="287">
        <f>O34/$O$73</f>
        <v>0</v>
      </c>
      <c r="S34" s="283" t="s">
        <v>161</v>
      </c>
      <c r="T34" s="40"/>
      <c r="U34" s="284">
        <f>[3]Condor!$HT$64</f>
        <v>0</v>
      </c>
      <c r="V34" s="286">
        <f>[3]Condor!$HF$64</f>
        <v>0</v>
      </c>
      <c r="W34" s="287" t="e">
        <f>(U34-V34)/V34</f>
        <v>#DIV/0!</v>
      </c>
      <c r="X34" s="284">
        <f>SUM([3]Condor!$HR$64:$HT$64)</f>
        <v>0</v>
      </c>
      <c r="Y34" s="286">
        <f>SUM([3]Condor!$HD$64:$HF$64)</f>
        <v>0</v>
      </c>
      <c r="Z34" s="285" t="e">
        <f>(X34-Y34)/Y34</f>
        <v>#DIV/0!</v>
      </c>
      <c r="AA34" s="287">
        <f>X34/$X$73</f>
        <v>0</v>
      </c>
    </row>
    <row r="35" spans="1:27" ht="14.1" customHeight="1" x14ac:dyDescent="0.2">
      <c r="A35" s="38"/>
      <c r="B35" s="40"/>
      <c r="C35" s="288"/>
      <c r="E35" s="66"/>
      <c r="F35" s="2"/>
      <c r="I35" s="66"/>
      <c r="J35" s="38"/>
      <c r="K35" s="40"/>
      <c r="L35" s="288"/>
      <c r="N35" s="66"/>
      <c r="O35" s="288"/>
      <c r="P35" s="2"/>
      <c r="Q35" s="3"/>
      <c r="R35" s="66"/>
      <c r="S35" s="38"/>
      <c r="T35" s="40"/>
      <c r="U35" s="288"/>
      <c r="V35" s="2"/>
      <c r="W35" s="66"/>
      <c r="X35" s="288"/>
      <c r="Y35" s="2"/>
      <c r="Z35" s="3"/>
      <c r="AA35" s="66"/>
    </row>
    <row r="36" spans="1:27" ht="14.1" customHeight="1" x14ac:dyDescent="0.2">
      <c r="A36" s="283" t="s">
        <v>229</v>
      </c>
      <c r="B36" s="40"/>
      <c r="C36" s="284">
        <f>'[3]Denver Air'!$HT$19</f>
        <v>164</v>
      </c>
      <c r="D36" s="286">
        <f>'[3]Denver Air'!$HF$19</f>
        <v>122</v>
      </c>
      <c r="E36" s="287">
        <f>(C36-D36)/D36</f>
        <v>0.34426229508196721</v>
      </c>
      <c r="F36" s="286">
        <f>SUM('[3]Denver Air'!$HR$19:$HT$19)</f>
        <v>468</v>
      </c>
      <c r="G36" s="286">
        <f>SUM('[3]Denver Air'!$HD$19:$HF$19)</f>
        <v>332</v>
      </c>
      <c r="H36" s="285">
        <f>(F36-G36)/G36</f>
        <v>0.40963855421686746</v>
      </c>
      <c r="I36" s="287">
        <f>F36/$F$73</f>
        <v>6.9828859611166649E-3</v>
      </c>
      <c r="J36" s="283" t="s">
        <v>229</v>
      </c>
      <c r="K36" s="40"/>
      <c r="L36" s="284">
        <f>'[3]Denver Air'!$HT$41</f>
        <v>1706</v>
      </c>
      <c r="M36" s="286">
        <f>'[3]Denver Air'!$HF$41</f>
        <v>522</v>
      </c>
      <c r="N36" s="287">
        <f>(L36-M36)/M36</f>
        <v>2.2681992337164751</v>
      </c>
      <c r="O36" s="284">
        <f>SUM('[3]Denver Air'!$HR$41:$HT$41)</f>
        <v>4365</v>
      </c>
      <c r="P36" s="286">
        <f>SUM('[3]Denver Air'!$HD$41:$HF$41)</f>
        <v>1210</v>
      </c>
      <c r="Q36" s="285">
        <f>(O36-P36)/P36</f>
        <v>2.6074380165289255</v>
      </c>
      <c r="R36" s="287">
        <f>O36/$O$73</f>
        <v>6.4905287349758753E-4</v>
      </c>
      <c r="S36" s="283" t="s">
        <v>229</v>
      </c>
      <c r="T36" s="40"/>
      <c r="U36" s="284">
        <f>'[3]Denver Air'!$HT$64</f>
        <v>0</v>
      </c>
      <c r="V36" s="286">
        <f>'[3]Denver Air'!$HF$64</f>
        <v>0</v>
      </c>
      <c r="W36" s="287" t="e">
        <f>(U36-V36)/V36</f>
        <v>#DIV/0!</v>
      </c>
      <c r="X36" s="284">
        <f>SUM('[3]Denver Air'!$HR$64:$HT$64)</f>
        <v>0</v>
      </c>
      <c r="Y36" s="286">
        <f>SUM('[3]Denver Air'!$HD$64:$HF$64)</f>
        <v>0</v>
      </c>
      <c r="Z36" s="285" t="e">
        <f>(X36-Y36)/Y36</f>
        <v>#DIV/0!</v>
      </c>
      <c r="AA36" s="287">
        <f>X36/$X$71</f>
        <v>0</v>
      </c>
    </row>
    <row r="37" spans="1:27" ht="14.1" customHeight="1" x14ac:dyDescent="0.2">
      <c r="A37" s="38"/>
      <c r="B37" s="40"/>
      <c r="C37" s="288"/>
      <c r="E37" s="66"/>
      <c r="F37" s="2"/>
      <c r="I37" s="66"/>
      <c r="J37" s="38"/>
      <c r="K37" s="40"/>
      <c r="L37" s="288"/>
      <c r="N37" s="66"/>
      <c r="O37" s="288"/>
      <c r="P37" s="2"/>
      <c r="Q37" s="3"/>
      <c r="R37" s="66"/>
      <c r="S37" s="38"/>
      <c r="T37" s="40"/>
      <c r="U37" s="288"/>
      <c r="V37" s="2"/>
      <c r="W37" s="66"/>
      <c r="X37" s="288"/>
      <c r="Y37" s="2"/>
      <c r="Z37" s="3"/>
      <c r="AA37" s="66"/>
    </row>
    <row r="38" spans="1:27" ht="14.1" customHeight="1" x14ac:dyDescent="0.2">
      <c r="A38" s="283" t="s">
        <v>18</v>
      </c>
      <c r="B38" s="290"/>
      <c r="C38" s="284">
        <f>SUM(C39:C45)</f>
        <v>18034</v>
      </c>
      <c r="D38" s="286">
        <f>SUM(D39:D45)</f>
        <v>16428</v>
      </c>
      <c r="E38" s="287">
        <f t="shared" ref="E38:E45" si="29">(C38-D38)/D38</f>
        <v>9.7759922084246414E-2</v>
      </c>
      <c r="F38" s="289">
        <f>SUM(F39:F45)</f>
        <v>49901</v>
      </c>
      <c r="G38" s="289">
        <f>SUM(G39:G45)</f>
        <v>44844</v>
      </c>
      <c r="H38" s="285">
        <f>(F38-G38)/G38</f>
        <v>0.11276870930336277</v>
      </c>
      <c r="I38" s="287">
        <f t="shared" ref="I38:I45" si="30">F38/$F$73</f>
        <v>0.74455767595231348</v>
      </c>
      <c r="J38" s="283" t="s">
        <v>18</v>
      </c>
      <c r="K38" s="290"/>
      <c r="L38" s="284">
        <f>SUM(L39:L45)</f>
        <v>1902289</v>
      </c>
      <c r="M38" s="286">
        <f>SUM(M39:M45)</f>
        <v>1085111</v>
      </c>
      <c r="N38" s="287">
        <f t="shared" ref="N38:N45" si="31">(L38-M38)/M38</f>
        <v>0.75308240355134171</v>
      </c>
      <c r="O38" s="284">
        <f>SUM(O39:O45)</f>
        <v>4714756</v>
      </c>
      <c r="P38" s="286">
        <f>SUM(P39:P45)</f>
        <v>2572521</v>
      </c>
      <c r="Q38" s="285">
        <f t="shared" ref="Q38:Q45" si="32">(O38-P38)/P38</f>
        <v>0.83273761419245951</v>
      </c>
      <c r="R38" s="287">
        <f t="shared" ref="R38:R45" si="33">O38/$O$73</f>
        <v>0.7010597776953017</v>
      </c>
      <c r="S38" s="283" t="s">
        <v>18</v>
      </c>
      <c r="T38" s="290"/>
      <c r="U38" s="284">
        <f>SUM(U39:U45)</f>
        <v>5695280</v>
      </c>
      <c r="V38" s="286">
        <f>SUM(V39:V45)</f>
        <v>3250251</v>
      </c>
      <c r="W38" s="287">
        <f t="shared" ref="W38:W45" si="34">(U38-V38)/V38</f>
        <v>0.75225851788061904</v>
      </c>
      <c r="X38" s="284">
        <f>SUM(X39:X45)</f>
        <v>15901655</v>
      </c>
      <c r="Y38" s="286">
        <f>SUM(Y39:Y45)</f>
        <v>7954692</v>
      </c>
      <c r="Z38" s="285">
        <f t="shared" ref="Z38:Z41" si="35">(X38-Y38)/Y38</f>
        <v>0.9990283721858747</v>
      </c>
      <c r="AA38" s="287">
        <f t="shared" ref="AA38:AA45" si="36">X38/$X$73</f>
        <v>0.81022529357929141</v>
      </c>
    </row>
    <row r="39" spans="1:27" ht="14.1" customHeight="1" x14ac:dyDescent="0.2">
      <c r="A39" s="38"/>
      <c r="B39" s="40" t="s">
        <v>18</v>
      </c>
      <c r="C39" s="288">
        <f>[3]Delta!$HT$19</f>
        <v>10349</v>
      </c>
      <c r="D39" s="2">
        <f>[3]Delta!$HF$19</f>
        <v>7516</v>
      </c>
      <c r="E39" s="66">
        <f t="shared" si="29"/>
        <v>0.37692921766897286</v>
      </c>
      <c r="F39" s="2">
        <f>SUM([3]Delta!$HR$19:$HT$19)</f>
        <v>28578</v>
      </c>
      <c r="G39" s="2">
        <f>SUM([3]Delta!$HD$19:$HF$19)</f>
        <v>20017</v>
      </c>
      <c r="H39" s="3">
        <f t="shared" ref="H39:H45" si="37">(F39-G39)/G39</f>
        <v>0.42768646650347203</v>
      </c>
      <c r="I39" s="66">
        <f t="shared" si="30"/>
        <v>0.42640366452305994</v>
      </c>
      <c r="J39" s="38"/>
      <c r="K39" s="40" t="s">
        <v>18</v>
      </c>
      <c r="L39" s="288">
        <f>[3]Delta!$HT$41</f>
        <v>1514765</v>
      </c>
      <c r="M39" s="2">
        <f>[3]Delta!$HF$41</f>
        <v>765531</v>
      </c>
      <c r="N39" s="66">
        <f t="shared" si="31"/>
        <v>0.97871150874360413</v>
      </c>
      <c r="O39" s="288">
        <f>SUM([3]Delta!$HR$41:$HT$41)</f>
        <v>3757220</v>
      </c>
      <c r="P39" s="2">
        <f>SUM([3]Delta!$HD$41:$HF$41)</f>
        <v>1781431</v>
      </c>
      <c r="Q39" s="3">
        <f t="shared" si="32"/>
        <v>1.1091021768454685</v>
      </c>
      <c r="R39" s="66">
        <f t="shared" si="33"/>
        <v>0.55867913799830604</v>
      </c>
      <c r="S39" s="38"/>
      <c r="T39" s="40" t="s">
        <v>18</v>
      </c>
      <c r="U39" s="288">
        <f>[3]Delta!$HT$64</f>
        <v>5695280</v>
      </c>
      <c r="V39" s="2">
        <f>[3]Delta!$HF$64</f>
        <v>3250251</v>
      </c>
      <c r="W39" s="66">
        <f t="shared" si="34"/>
        <v>0.75225851788061904</v>
      </c>
      <c r="X39" s="288">
        <f>SUM([3]Delta!$HR$64:$HT$64)</f>
        <v>15901655</v>
      </c>
      <c r="Y39" s="2">
        <f>SUM([3]Delta!$HD$64:$HF$64)</f>
        <v>7954692</v>
      </c>
      <c r="Z39" s="3">
        <f t="shared" si="35"/>
        <v>0.9990283721858747</v>
      </c>
      <c r="AA39" s="66">
        <f t="shared" si="36"/>
        <v>0.81022529357929141</v>
      </c>
    </row>
    <row r="40" spans="1:27" ht="14.1" customHeight="1" x14ac:dyDescent="0.2">
      <c r="A40" s="38"/>
      <c r="B40" s="291" t="s">
        <v>117</v>
      </c>
      <c r="C40" s="288">
        <f>[3]Compass!$HT$19</f>
        <v>0</v>
      </c>
      <c r="D40" s="2">
        <f>[3]Compass!$HF$19</f>
        <v>0</v>
      </c>
      <c r="E40" s="66" t="e">
        <f t="shared" si="29"/>
        <v>#DIV/0!</v>
      </c>
      <c r="F40" s="2">
        <f>SUM([3]Compass!$HR$19:$HT$19)</f>
        <v>0</v>
      </c>
      <c r="G40" s="2">
        <f>SUM([3]Compass!$HD$19:$HF$19)</f>
        <v>0</v>
      </c>
      <c r="H40" s="3" t="e">
        <f t="shared" si="37"/>
        <v>#DIV/0!</v>
      </c>
      <c r="I40" s="66">
        <f t="shared" si="30"/>
        <v>0</v>
      </c>
      <c r="J40" s="38"/>
      <c r="K40" s="291" t="s">
        <v>117</v>
      </c>
      <c r="L40" s="288">
        <f>[3]Compass!$HT$41</f>
        <v>0</v>
      </c>
      <c r="M40" s="2">
        <f>[3]Compass!$HF$41</f>
        <v>0</v>
      </c>
      <c r="N40" s="66" t="e">
        <f t="shared" si="31"/>
        <v>#DIV/0!</v>
      </c>
      <c r="O40" s="288">
        <f>SUM([3]Compass!$HR$41:$HT$41)</f>
        <v>0</v>
      </c>
      <c r="P40" s="2">
        <f>SUM([3]Compass!$HD$41:$HF$41)</f>
        <v>0</v>
      </c>
      <c r="Q40" s="3" t="e">
        <f t="shared" si="32"/>
        <v>#DIV/0!</v>
      </c>
      <c r="R40" s="66">
        <f t="shared" si="33"/>
        <v>0</v>
      </c>
      <c r="S40" s="38"/>
      <c r="T40" s="291" t="s">
        <v>117</v>
      </c>
      <c r="U40" s="288">
        <f>[3]Compass!$HT$64</f>
        <v>0</v>
      </c>
      <c r="V40" s="2">
        <f>[3]Compass!$HF$64</f>
        <v>0</v>
      </c>
      <c r="W40" s="66" t="e">
        <f t="shared" si="34"/>
        <v>#DIV/0!</v>
      </c>
      <c r="X40" s="288">
        <f>SUM([3]Compass!$HR$64:$HT$64)</f>
        <v>0</v>
      </c>
      <c r="Y40" s="2">
        <f>SUM([3]Compass!$HD$64:$HF$64)</f>
        <v>0</v>
      </c>
      <c r="Z40" s="3" t="e">
        <f t="shared" si="35"/>
        <v>#DIV/0!</v>
      </c>
      <c r="AA40" s="66">
        <f t="shared" si="36"/>
        <v>0</v>
      </c>
    </row>
    <row r="41" spans="1:27" ht="14.1" customHeight="1" x14ac:dyDescent="0.2">
      <c r="A41" s="38"/>
      <c r="B41" s="40" t="s">
        <v>158</v>
      </c>
      <c r="C41" s="288">
        <f>[3]Pinnacle!$HT$19</f>
        <v>1904</v>
      </c>
      <c r="D41" s="2">
        <f>[3]Pinnacle!$HF$19</f>
        <v>3146</v>
      </c>
      <c r="E41" s="66">
        <f t="shared" si="29"/>
        <v>-0.39478703115066749</v>
      </c>
      <c r="F41" s="2">
        <f>SUM([3]Pinnacle!$HR$19:$HT$19)</f>
        <v>5084</v>
      </c>
      <c r="G41" s="2">
        <f>SUM([3]Pinnacle!$HD$19:$HF$19)</f>
        <v>9059</v>
      </c>
      <c r="H41" s="3">
        <f t="shared" si="37"/>
        <v>-0.43879015343856936</v>
      </c>
      <c r="I41" s="66">
        <f t="shared" si="30"/>
        <v>7.5856820996404117E-2</v>
      </c>
      <c r="J41" s="38"/>
      <c r="K41" s="40" t="s">
        <v>158</v>
      </c>
      <c r="L41" s="288">
        <f>[3]Pinnacle!$HT$41</f>
        <v>93588</v>
      </c>
      <c r="M41" s="2">
        <f>[3]Pinnacle!$HF$41</f>
        <v>105946</v>
      </c>
      <c r="N41" s="66">
        <f t="shared" si="31"/>
        <v>-0.11664432824268967</v>
      </c>
      <c r="O41" s="288">
        <f>SUM([3]Pinnacle!$HR$41:$HT$41)</f>
        <v>222825</v>
      </c>
      <c r="P41" s="2">
        <f>SUM([3]Pinnacle!$HD$41:$HF$41)</f>
        <v>289045</v>
      </c>
      <c r="Q41" s="3">
        <f t="shared" si="32"/>
        <v>-0.22909927519936343</v>
      </c>
      <c r="R41" s="66">
        <f t="shared" si="33"/>
        <v>3.3132922459816715E-2</v>
      </c>
      <c r="S41" s="38"/>
      <c r="T41" s="40" t="s">
        <v>158</v>
      </c>
      <c r="U41" s="288">
        <f>[3]Pinnacle!$HT$64</f>
        <v>0</v>
      </c>
      <c r="V41" s="2">
        <f>[3]Pinnacle!$HF$64</f>
        <v>0</v>
      </c>
      <c r="W41" s="66" t="e">
        <f t="shared" si="34"/>
        <v>#DIV/0!</v>
      </c>
      <c r="X41" s="288">
        <f>SUM([3]Pinnacle!$HR$64:$HT$64)</f>
        <v>0</v>
      </c>
      <c r="Y41" s="2">
        <f>SUM([3]Pinnacle!$HD$64:$HF$64)</f>
        <v>0</v>
      </c>
      <c r="Z41" s="3" t="e">
        <f t="shared" si="35"/>
        <v>#DIV/0!</v>
      </c>
      <c r="AA41" s="66">
        <f t="shared" si="36"/>
        <v>0</v>
      </c>
    </row>
    <row r="42" spans="1:27" ht="14.1" customHeight="1" x14ac:dyDescent="0.2">
      <c r="A42" s="38"/>
      <c r="B42" s="40" t="s">
        <v>154</v>
      </c>
      <c r="C42" s="288">
        <f>'[3]Go Jet'!$HT$19</f>
        <v>0</v>
      </c>
      <c r="D42" s="2">
        <f>'[3]Go Jet'!$HF$19</f>
        <v>0</v>
      </c>
      <c r="E42" s="66" t="e">
        <f t="shared" si="29"/>
        <v>#DIV/0!</v>
      </c>
      <c r="F42" s="2">
        <f>SUM('[3]Go Jet'!$HR$19:$HT$19)</f>
        <v>0</v>
      </c>
      <c r="G42" s="2">
        <f>SUM('[3]Go Jet'!$HD$19:$HF$19)</f>
        <v>0</v>
      </c>
      <c r="H42" s="3" t="e">
        <f>(F42-G42)/G42</f>
        <v>#DIV/0!</v>
      </c>
      <c r="I42" s="66">
        <f t="shared" si="30"/>
        <v>0</v>
      </c>
      <c r="J42" s="38"/>
      <c r="K42" s="40" t="s">
        <v>154</v>
      </c>
      <c r="L42" s="288">
        <f>'[3]Go Jet'!$HT$41</f>
        <v>0</v>
      </c>
      <c r="M42" s="2">
        <f>'[3]Go Jet'!$HF$41</f>
        <v>0</v>
      </c>
      <c r="N42" s="66" t="e">
        <f t="shared" si="31"/>
        <v>#DIV/0!</v>
      </c>
      <c r="O42" s="288">
        <f>SUM('[3]Go Jet'!$HR$41:$HT$41)</f>
        <v>0</v>
      </c>
      <c r="P42" s="2">
        <f>SUM('[3]Go Jet'!$HD$41:$HF$41)</f>
        <v>0</v>
      </c>
      <c r="Q42" s="3" t="e">
        <f>(O42-P42)/P42</f>
        <v>#DIV/0!</v>
      </c>
      <c r="R42" s="66">
        <f t="shared" si="33"/>
        <v>0</v>
      </c>
      <c r="S42" s="38"/>
      <c r="T42" s="40" t="s">
        <v>154</v>
      </c>
      <c r="U42" s="288">
        <f>'[3]Go Jet'!$HT$64</f>
        <v>0</v>
      </c>
      <c r="V42" s="2">
        <f>'[3]Go Jet'!$HF$64</f>
        <v>0</v>
      </c>
      <c r="W42" s="66" t="e">
        <f t="shared" si="34"/>
        <v>#DIV/0!</v>
      </c>
      <c r="X42" s="288">
        <f>SUM('[3]Go Jet'!$HR$64:$HT$64)</f>
        <v>0</v>
      </c>
      <c r="Y42" s="2">
        <f>SUM('[3]Go Jet'!$HD$64:$HF$64)</f>
        <v>0</v>
      </c>
      <c r="Z42" s="3" t="e">
        <f>(X42-Y42)/Y42</f>
        <v>#DIV/0!</v>
      </c>
      <c r="AA42" s="66">
        <f t="shared" si="36"/>
        <v>0</v>
      </c>
    </row>
    <row r="43" spans="1:27" ht="14.1" customHeight="1" x14ac:dyDescent="0.2">
      <c r="A43" s="38"/>
      <c r="B43" s="40" t="s">
        <v>97</v>
      </c>
      <c r="C43" s="288">
        <f>'[3]Sky West'!$HT$19</f>
        <v>5781</v>
      </c>
      <c r="D43" s="2">
        <f>'[3]Sky West'!$HF$19</f>
        <v>5766</v>
      </c>
      <c r="E43" s="66">
        <f t="shared" si="29"/>
        <v>2.6014568158168575E-3</v>
      </c>
      <c r="F43" s="2">
        <f>SUM('[3]Sky West'!$HR$19:$HT$19)</f>
        <v>16239</v>
      </c>
      <c r="G43" s="2">
        <f>SUM('[3]Sky West'!$HD$19:$HF$19)</f>
        <v>15768</v>
      </c>
      <c r="H43" s="3">
        <f t="shared" si="37"/>
        <v>2.9870624048706239E-2</v>
      </c>
      <c r="I43" s="66">
        <f t="shared" si="30"/>
        <v>0.24229719043284942</v>
      </c>
      <c r="J43" s="38"/>
      <c r="K43" s="40" t="s">
        <v>97</v>
      </c>
      <c r="L43" s="288">
        <f>'[3]Sky West'!$HT$41</f>
        <v>293936</v>
      </c>
      <c r="M43" s="2">
        <f>'[3]Sky West'!$HF$41</f>
        <v>213634</v>
      </c>
      <c r="N43" s="66">
        <f t="shared" si="31"/>
        <v>0.3758858608648436</v>
      </c>
      <c r="O43" s="288">
        <f>SUM('[3]Sky West'!$HR$41:$HT$41)</f>
        <v>734711</v>
      </c>
      <c r="P43" s="2">
        <f>SUM('[3]Sky West'!$HD$41:$HF$41)</f>
        <v>502045</v>
      </c>
      <c r="Q43" s="3">
        <f t="shared" si="32"/>
        <v>0.46343654453286059</v>
      </c>
      <c r="R43" s="66">
        <f t="shared" si="33"/>
        <v>0.10924771723717894</v>
      </c>
      <c r="S43" s="38"/>
      <c r="T43" s="40" t="s">
        <v>97</v>
      </c>
      <c r="U43" s="288">
        <f>'[3]Sky West'!$HT$64</f>
        <v>0</v>
      </c>
      <c r="V43" s="2">
        <f>'[3]Sky West'!$HF$64</f>
        <v>0</v>
      </c>
      <c r="W43" s="66" t="e">
        <f t="shared" si="34"/>
        <v>#DIV/0!</v>
      </c>
      <c r="X43" s="288">
        <f>SUM('[3]Sky West'!$HR$64:$HT$64)</f>
        <v>0</v>
      </c>
      <c r="Y43" s="2">
        <f>SUM('[3]Sky West'!$HD$64:$HF$64)</f>
        <v>0</v>
      </c>
      <c r="Z43" s="3" t="e">
        <f t="shared" ref="Z43:Z45" si="38">(X43-Y43)/Y43</f>
        <v>#DIV/0!</v>
      </c>
      <c r="AA43" s="66">
        <f t="shared" si="36"/>
        <v>0</v>
      </c>
    </row>
    <row r="44" spans="1:27" ht="14.1" customHeight="1" x14ac:dyDescent="0.2">
      <c r="A44" s="38"/>
      <c r="B44" s="40" t="s">
        <v>131</v>
      </c>
      <c r="C44" s="288">
        <f>'[3]Shuttle America_Delta'!$HT$19</f>
        <v>0</v>
      </c>
      <c r="D44" s="2">
        <f>'[3]Shuttle America_Delta'!$HF$19</f>
        <v>0</v>
      </c>
      <c r="E44" s="66" t="e">
        <f t="shared" si="29"/>
        <v>#DIV/0!</v>
      </c>
      <c r="F44" s="2">
        <f>SUM('[3]Shuttle America_Delta'!$HR$19:$HT$19)</f>
        <v>0</v>
      </c>
      <c r="G44" s="2">
        <f>SUM('[3]Shuttle America_Delta'!$HD$19:$HF$19)</f>
        <v>0</v>
      </c>
      <c r="H44" s="3" t="e">
        <f t="shared" si="37"/>
        <v>#DIV/0!</v>
      </c>
      <c r="I44" s="66">
        <f t="shared" si="30"/>
        <v>0</v>
      </c>
      <c r="J44" s="38"/>
      <c r="K44" s="40" t="s">
        <v>131</v>
      </c>
      <c r="L44" s="288">
        <f>'[3]Shuttle America_Delta'!$HT$41</f>
        <v>0</v>
      </c>
      <c r="M44" s="2">
        <f>'[3]Shuttle America_Delta'!$HF$41</f>
        <v>0</v>
      </c>
      <c r="N44" s="66" t="e">
        <f t="shared" si="31"/>
        <v>#DIV/0!</v>
      </c>
      <c r="O44" s="288">
        <f>SUM('[3]Shuttle America_Delta'!$HR$41:$HT$41)</f>
        <v>0</v>
      </c>
      <c r="P44" s="2">
        <f>SUM('[3]Shuttle America_Delta'!$HD$41:$HF$41)</f>
        <v>0</v>
      </c>
      <c r="Q44" s="3" t="e">
        <f t="shared" si="32"/>
        <v>#DIV/0!</v>
      </c>
      <c r="R44" s="66">
        <f t="shared" si="33"/>
        <v>0</v>
      </c>
      <c r="S44" s="38"/>
      <c r="T44" s="40" t="s">
        <v>131</v>
      </c>
      <c r="U44" s="288">
        <f>'[3]Shuttle America_Delta'!$HT$64</f>
        <v>0</v>
      </c>
      <c r="V44" s="2">
        <f>'[3]Shuttle America_Delta'!$HF$64</f>
        <v>0</v>
      </c>
      <c r="W44" s="66" t="e">
        <f t="shared" si="34"/>
        <v>#DIV/0!</v>
      </c>
      <c r="X44" s="288">
        <f>SUM('[3]Shuttle America_Delta'!$HR$64:$HT$64)</f>
        <v>0</v>
      </c>
      <c r="Y44" s="2">
        <f>SUM('[3]Shuttle America_Delta'!$HD$64:$HF$64)</f>
        <v>0</v>
      </c>
      <c r="Z44" s="3" t="e">
        <f t="shared" si="38"/>
        <v>#DIV/0!</v>
      </c>
      <c r="AA44" s="66">
        <f t="shared" si="36"/>
        <v>0</v>
      </c>
    </row>
    <row r="45" spans="1:27" ht="14.1" customHeight="1" x14ac:dyDescent="0.2">
      <c r="A45" s="38"/>
      <c r="B45" s="343" t="s">
        <v>166</v>
      </c>
      <c r="C45" s="288">
        <f>'[3]Atlantic Southeast'!$HT$19</f>
        <v>0</v>
      </c>
      <c r="D45" s="2">
        <f>'[3]Atlantic Southeast'!$HF$19</f>
        <v>0</v>
      </c>
      <c r="E45" s="66" t="e">
        <f t="shared" si="29"/>
        <v>#DIV/0!</v>
      </c>
      <c r="F45" s="2">
        <f>SUM('[3]Atlantic Southeast'!$HR$19:$HT$19)</f>
        <v>0</v>
      </c>
      <c r="G45" s="2">
        <f>SUM('[3]Atlantic Southeast'!$HD$19:$HF$19)</f>
        <v>0</v>
      </c>
      <c r="H45" s="3" t="e">
        <f t="shared" si="37"/>
        <v>#DIV/0!</v>
      </c>
      <c r="I45" s="66">
        <f t="shared" si="30"/>
        <v>0</v>
      </c>
      <c r="J45" s="38"/>
      <c r="K45" s="343" t="s">
        <v>166</v>
      </c>
      <c r="L45" s="288">
        <f>'[3]Atlantic Southeast'!$HT$41</f>
        <v>0</v>
      </c>
      <c r="M45" s="2">
        <f>'[3]Atlantic Southeast'!$HF$41</f>
        <v>0</v>
      </c>
      <c r="N45" s="66" t="e">
        <f t="shared" si="31"/>
        <v>#DIV/0!</v>
      </c>
      <c r="O45" s="288">
        <f>SUM('[3]Atlantic Southeast'!$HR$41:$HT$41)</f>
        <v>0</v>
      </c>
      <c r="P45" s="2">
        <f>SUM('[3]Atlantic Southeast'!$HD$41:$HF$41)</f>
        <v>0</v>
      </c>
      <c r="Q45" s="3" t="e">
        <f t="shared" si="32"/>
        <v>#DIV/0!</v>
      </c>
      <c r="R45" s="66">
        <f t="shared" si="33"/>
        <v>0</v>
      </c>
      <c r="S45" s="38"/>
      <c r="T45" s="343" t="s">
        <v>166</v>
      </c>
      <c r="U45" s="288">
        <f>'[3]Atlantic Southeast'!$HT$64</f>
        <v>0</v>
      </c>
      <c r="V45" s="2">
        <f>'[3]Atlantic Southeast'!$HF$64</f>
        <v>0</v>
      </c>
      <c r="W45" s="66" t="e">
        <f t="shared" si="34"/>
        <v>#DIV/0!</v>
      </c>
      <c r="X45" s="288">
        <f>SUM('[3]Atlantic Southeast'!$HR$64:$HT$64)</f>
        <v>0</v>
      </c>
      <c r="Y45" s="2">
        <f>SUM('[3]Atlantic Southeast'!$HD$64:$HF$64)</f>
        <v>0</v>
      </c>
      <c r="Z45" s="3" t="e">
        <f t="shared" si="38"/>
        <v>#DIV/0!</v>
      </c>
      <c r="AA45" s="66">
        <f t="shared" si="36"/>
        <v>0</v>
      </c>
    </row>
    <row r="46" spans="1:27" ht="14.1" customHeight="1" x14ac:dyDescent="0.2">
      <c r="A46" s="38"/>
      <c r="B46" s="343"/>
      <c r="C46" s="288"/>
      <c r="E46" s="66"/>
      <c r="F46" s="2"/>
      <c r="I46" s="66"/>
      <c r="J46" s="38"/>
      <c r="K46" s="343"/>
      <c r="L46" s="288"/>
      <c r="N46" s="66"/>
      <c r="O46" s="288"/>
      <c r="P46" s="2"/>
      <c r="Q46" s="3"/>
      <c r="R46" s="66"/>
      <c r="S46" s="38"/>
      <c r="T46" s="343"/>
      <c r="U46" s="288"/>
      <c r="V46" s="2"/>
      <c r="W46" s="66"/>
      <c r="X46" s="288"/>
      <c r="Y46" s="2"/>
      <c r="Z46" s="3"/>
      <c r="AA46" s="66"/>
    </row>
    <row r="47" spans="1:27" ht="14.1" customHeight="1" x14ac:dyDescent="0.2">
      <c r="A47" s="283" t="s">
        <v>47</v>
      </c>
      <c r="B47" s="40"/>
      <c r="C47" s="284">
        <f>[3]Frontier!$HT$19</f>
        <v>182</v>
      </c>
      <c r="D47" s="286">
        <f>[3]Frontier!$HF$19</f>
        <v>148</v>
      </c>
      <c r="E47" s="287">
        <f>(C47-D47)/D47</f>
        <v>0.22972972972972974</v>
      </c>
      <c r="F47" s="286">
        <f>SUM([3]Frontier!$HR$19:$HT$19)</f>
        <v>511</v>
      </c>
      <c r="G47" s="286">
        <f>SUM([3]Frontier!$HD$19:$HF$19)</f>
        <v>246</v>
      </c>
      <c r="H47" s="285">
        <f>(F47-G47)/G47</f>
        <v>1.0772357723577235</v>
      </c>
      <c r="I47" s="287">
        <f>F47/$F$73</f>
        <v>7.6244759105355041E-3</v>
      </c>
      <c r="J47" s="283" t="s">
        <v>47</v>
      </c>
      <c r="K47" s="40"/>
      <c r="L47" s="284">
        <f>[3]Frontier!$HT$41</f>
        <v>29547</v>
      </c>
      <c r="M47" s="286">
        <f>[3]Frontier!$HF$41</f>
        <v>23416</v>
      </c>
      <c r="N47" s="287">
        <f>(L47-M47)/M47</f>
        <v>0.26182951827810047</v>
      </c>
      <c r="O47" s="284">
        <f>SUM([3]Frontier!$HR$41:$HT$41)</f>
        <v>67009</v>
      </c>
      <c r="P47" s="286">
        <f>SUM([3]Frontier!$HD$41:$HF$41)</f>
        <v>36916</v>
      </c>
      <c r="Q47" s="285">
        <f>(O47-P47)/P47</f>
        <v>0.81517499187344244</v>
      </c>
      <c r="R47" s="287">
        <f>O47/$O$73</f>
        <v>9.9638909507903418E-3</v>
      </c>
      <c r="S47" s="283" t="s">
        <v>47</v>
      </c>
      <c r="T47" s="40"/>
      <c r="U47" s="284">
        <f>[3]Frontier!$HT$64</f>
        <v>0</v>
      </c>
      <c r="V47" s="286">
        <f>[3]Frontier!$HF$64</f>
        <v>0</v>
      </c>
      <c r="W47" s="287" t="e">
        <f>(U47-V47)/V47</f>
        <v>#DIV/0!</v>
      </c>
      <c r="X47" s="284">
        <f>SUM([3]Frontier!$HR$64:$HT$64)</f>
        <v>0</v>
      </c>
      <c r="Y47" s="286">
        <f>SUM([3]Frontier!$HD$64:$HF$64)</f>
        <v>0</v>
      </c>
      <c r="Z47" s="285" t="e">
        <f>(X47-Y47)/Y47</f>
        <v>#DIV/0!</v>
      </c>
      <c r="AA47" s="287">
        <f>X47/$X$73</f>
        <v>0</v>
      </c>
    </row>
    <row r="48" spans="1:27" ht="14.1" customHeight="1" x14ac:dyDescent="0.2">
      <c r="A48" s="283"/>
      <c r="B48" s="40"/>
      <c r="C48" s="284"/>
      <c r="D48" s="286"/>
      <c r="E48" s="287"/>
      <c r="F48" s="286"/>
      <c r="G48" s="286"/>
      <c r="H48" s="285"/>
      <c r="I48" s="287"/>
      <c r="J48" s="283"/>
      <c r="K48" s="40"/>
      <c r="L48" s="288"/>
      <c r="N48" s="66"/>
      <c r="O48" s="288"/>
      <c r="P48" s="2"/>
      <c r="Q48" s="3"/>
      <c r="R48" s="66"/>
      <c r="S48" s="283"/>
      <c r="T48" s="40"/>
      <c r="U48" s="288"/>
      <c r="V48" s="2"/>
      <c r="W48" s="66"/>
      <c r="X48" s="288"/>
      <c r="Y48" s="2"/>
      <c r="Z48" s="3"/>
      <c r="AA48" s="66"/>
    </row>
    <row r="49" spans="1:27" ht="14.1" customHeight="1" x14ac:dyDescent="0.2">
      <c r="A49" s="283" t="s">
        <v>48</v>
      </c>
      <c r="B49" s="40"/>
      <c r="C49" s="284">
        <f>[3]Icelandair!$HT$19</f>
        <v>0</v>
      </c>
      <c r="D49" s="286">
        <f>[3]Icelandair!$HF$19</f>
        <v>0</v>
      </c>
      <c r="E49" s="287" t="e">
        <f>(C49-D49)/D49</f>
        <v>#DIV/0!</v>
      </c>
      <c r="F49" s="286">
        <f>SUM([3]Icelandair!$HR$19:$HT$19)</f>
        <v>0</v>
      </c>
      <c r="G49" s="286">
        <f>SUM([3]Icelandair!$HD$19:$HF$19)</f>
        <v>0</v>
      </c>
      <c r="H49" s="285" t="e">
        <f>(F49-G49)/G49</f>
        <v>#DIV/0!</v>
      </c>
      <c r="I49" s="287">
        <f>F49/$F$73</f>
        <v>0</v>
      </c>
      <c r="J49" s="283" t="s">
        <v>48</v>
      </c>
      <c r="K49" s="40"/>
      <c r="L49" s="284">
        <f>[3]Icelandair!$HT$41</f>
        <v>0</v>
      </c>
      <c r="M49" s="286">
        <f>[3]Icelandair!$HF$41</f>
        <v>0</v>
      </c>
      <c r="N49" s="287" t="e">
        <f>(L49-M49)/M49</f>
        <v>#DIV/0!</v>
      </c>
      <c r="O49" s="284">
        <f>SUM([3]Icelandair!$HR$41:$HT$41)</f>
        <v>0</v>
      </c>
      <c r="P49" s="286">
        <f>SUM([3]Icelandair!$HD$41:$HF$41)</f>
        <v>0</v>
      </c>
      <c r="Q49" s="285" t="e">
        <f>(O49-P49)/P49</f>
        <v>#DIV/0!</v>
      </c>
      <c r="R49" s="287">
        <f>O49/$O$73</f>
        <v>0</v>
      </c>
      <c r="S49" s="283" t="s">
        <v>48</v>
      </c>
      <c r="T49" s="40"/>
      <c r="U49" s="284">
        <f>[3]Icelandair!$HT$64</f>
        <v>0</v>
      </c>
      <c r="V49" s="286">
        <f>[3]Icelandair!$HF$64</f>
        <v>0</v>
      </c>
      <c r="W49" s="287" t="e">
        <f>(U49-V49)/V49</f>
        <v>#DIV/0!</v>
      </c>
      <c r="X49" s="284">
        <f>SUM([3]Icelandair!$HR$64:$HT$64)</f>
        <v>0</v>
      </c>
      <c r="Y49" s="286">
        <f>SUM([3]Icelandair!$HD$64:$HF$64)</f>
        <v>0</v>
      </c>
      <c r="Z49" s="285" t="e">
        <f>(X49-Y49)/Y49</f>
        <v>#DIV/0!</v>
      </c>
      <c r="AA49" s="287">
        <f>X49/$X$73</f>
        <v>0</v>
      </c>
    </row>
    <row r="50" spans="1:27" ht="14.1" customHeight="1" x14ac:dyDescent="0.2">
      <c r="A50" s="283"/>
      <c r="B50" s="40"/>
      <c r="C50" s="284"/>
      <c r="D50" s="286"/>
      <c r="E50" s="287"/>
      <c r="F50" s="286"/>
      <c r="G50" s="286"/>
      <c r="H50" s="285"/>
      <c r="I50" s="287"/>
      <c r="J50" s="283"/>
      <c r="K50" s="40"/>
      <c r="L50" s="288"/>
      <c r="N50" s="66"/>
      <c r="O50" s="288"/>
      <c r="P50" s="2"/>
      <c r="Q50" s="3"/>
      <c r="R50" s="66"/>
      <c r="S50" s="283"/>
      <c r="T50" s="40"/>
      <c r="U50" s="288"/>
      <c r="V50" s="2"/>
      <c r="W50" s="66"/>
      <c r="X50" s="288"/>
      <c r="Y50" s="2"/>
      <c r="Z50" s="3"/>
      <c r="AA50" s="66"/>
    </row>
    <row r="51" spans="1:27" ht="14.1" customHeight="1" x14ac:dyDescent="0.2">
      <c r="A51" s="283" t="s">
        <v>199</v>
      </c>
      <c r="B51" s="40"/>
      <c r="C51" s="284">
        <f>'[3]Jet Blue'!$HT$19</f>
        <v>120</v>
      </c>
      <c r="D51" s="286">
        <f>'[3]Jet Blue'!$HF$19</f>
        <v>0</v>
      </c>
      <c r="E51" s="287" t="e">
        <f>(C51-D51)/D51</f>
        <v>#DIV/0!</v>
      </c>
      <c r="F51" s="286">
        <f>SUM('[3]Jet Blue'!$HR$19:$HT$19)</f>
        <v>320</v>
      </c>
      <c r="G51" s="286">
        <f>SUM('[3]Jet Blue'!$HD$19:$HF$19)</f>
        <v>30</v>
      </c>
      <c r="H51" s="285">
        <f>(F51-G51)/G51</f>
        <v>9.6666666666666661</v>
      </c>
      <c r="I51" s="287">
        <f>F51/$F$73</f>
        <v>4.7746228793960101E-3</v>
      </c>
      <c r="J51" s="283" t="s">
        <v>199</v>
      </c>
      <c r="K51" s="40"/>
      <c r="L51" s="284">
        <f>'[3]Jet Blue'!$HT$41</f>
        <v>9958</v>
      </c>
      <c r="M51" s="286">
        <f>'[3]Jet Blue'!$HF$41</f>
        <v>0</v>
      </c>
      <c r="N51" s="287" t="e">
        <f>(L51-M51)/M51</f>
        <v>#DIV/0!</v>
      </c>
      <c r="O51" s="284">
        <f>SUM('[3]Jet Blue'!$HR$41:$HT$41)</f>
        <v>18245</v>
      </c>
      <c r="P51" s="286">
        <f>SUM('[3]Jet Blue'!$HD$41:$HF$41)</f>
        <v>1147</v>
      </c>
      <c r="Q51" s="285">
        <f>(O51-P51)/P51</f>
        <v>14.906713164777681</v>
      </c>
      <c r="R51" s="287">
        <f>O51/$O$73</f>
        <v>2.7129369248484504E-3</v>
      </c>
      <c r="S51" s="283" t="s">
        <v>199</v>
      </c>
      <c r="T51" s="40"/>
      <c r="U51" s="284">
        <f>'[3]Jet Blue'!$HT$64</f>
        <v>0</v>
      </c>
      <c r="V51" s="286">
        <f>'[3]Jet Blue'!$HF$64</f>
        <v>0</v>
      </c>
      <c r="W51" s="287" t="e">
        <f>(U51-V51)/V51</f>
        <v>#DIV/0!</v>
      </c>
      <c r="X51" s="284">
        <f>SUM('[3]Jet Blue'!$HR$64:$HT$64)</f>
        <v>0</v>
      </c>
      <c r="Y51" s="286">
        <f>SUM('[3]Jet Blue'!$HD$64:$HF$64)</f>
        <v>0</v>
      </c>
      <c r="Z51" s="285" t="e">
        <f>(X51-Y51)/Y51</f>
        <v>#DIV/0!</v>
      </c>
      <c r="AA51" s="287">
        <f>X51/$X$73</f>
        <v>0</v>
      </c>
    </row>
    <row r="52" spans="1:27" ht="14.1" customHeight="1" x14ac:dyDescent="0.2">
      <c r="A52" s="283"/>
      <c r="B52" s="40"/>
      <c r="C52" s="284"/>
      <c r="D52" s="286"/>
      <c r="E52" s="287"/>
      <c r="F52" s="286"/>
      <c r="G52" s="286"/>
      <c r="H52" s="285"/>
      <c r="I52" s="287"/>
      <c r="J52" s="283"/>
      <c r="K52" s="40"/>
      <c r="L52" s="288"/>
      <c r="N52" s="66"/>
      <c r="O52" s="288"/>
      <c r="P52" s="2"/>
      <c r="Q52" s="3"/>
      <c r="R52" s="66"/>
      <c r="S52" s="283"/>
      <c r="T52" s="40"/>
      <c r="U52" s="288"/>
      <c r="V52" s="2"/>
      <c r="W52" s="66"/>
      <c r="X52" s="288"/>
      <c r="Y52" s="2"/>
      <c r="Z52" s="3"/>
      <c r="AA52" s="66"/>
    </row>
    <row r="53" spans="1:27" ht="14.1" customHeight="1" x14ac:dyDescent="0.2">
      <c r="A53" s="283" t="s">
        <v>194</v>
      </c>
      <c r="B53" s="40"/>
      <c r="C53" s="284">
        <f>[3]KLM!$HT$19</f>
        <v>28</v>
      </c>
      <c r="D53" s="286">
        <f>[3]KLM!$HF$19</f>
        <v>0</v>
      </c>
      <c r="E53" s="287" t="e">
        <f>(C53-D53)/D53</f>
        <v>#DIV/0!</v>
      </c>
      <c r="F53" s="286">
        <f>SUM([3]KLM!$HR$19:$HT$19)</f>
        <v>78</v>
      </c>
      <c r="G53" s="286">
        <f>SUM([3]KLM!$HD$19:$HF$19)</f>
        <v>0</v>
      </c>
      <c r="H53" s="285" t="e">
        <f>(F53-G53)/G53</f>
        <v>#DIV/0!</v>
      </c>
      <c r="I53" s="287">
        <f>F53/$F$73</f>
        <v>1.1638143268527775E-3</v>
      </c>
      <c r="J53" s="283" t="s">
        <v>194</v>
      </c>
      <c r="K53" s="40"/>
      <c r="L53" s="284">
        <f>[3]KLM!$HT$41</f>
        <v>5729</v>
      </c>
      <c r="M53" s="286">
        <f>[3]KLM!$HF$41</f>
        <v>0</v>
      </c>
      <c r="N53" s="287" t="e">
        <f>(L53-M53)/M53</f>
        <v>#DIV/0!</v>
      </c>
      <c r="O53" s="284">
        <f>SUM([3]KLM!$HR$41:$HT$41)</f>
        <v>13038</v>
      </c>
      <c r="P53" s="286">
        <f>SUM([3]KLM!$HD$41:$HF$41)</f>
        <v>0</v>
      </c>
      <c r="Q53" s="285" t="e">
        <f>(O53-P53)/P53</f>
        <v>#DIV/0!</v>
      </c>
      <c r="R53" s="287">
        <f>O53/$O$73</f>
        <v>1.9386830159591173E-3</v>
      </c>
      <c r="S53" s="283" t="s">
        <v>194</v>
      </c>
      <c r="T53" s="40"/>
      <c r="U53" s="284">
        <f>[3]KLM!$HT$64</f>
        <v>875327</v>
      </c>
      <c r="V53" s="286">
        <f>[3]KLM!$HF$64</f>
        <v>0</v>
      </c>
      <c r="W53" s="287" t="e">
        <f>(U53-V53)/V53</f>
        <v>#DIV/0!</v>
      </c>
      <c r="X53" s="284">
        <f>SUM([3]KLM!$HR$64:$HT$64)</f>
        <v>1680030</v>
      </c>
      <c r="Y53" s="286">
        <f>SUM([3]KLM!$HD$64:$HF$64)</f>
        <v>0</v>
      </c>
      <c r="Z53" s="285" t="e">
        <f>(X53-Y53)/Y53</f>
        <v>#DIV/0!</v>
      </c>
      <c r="AA53" s="287">
        <f>X53/$X$73</f>
        <v>8.5601328916519503E-2</v>
      </c>
    </row>
    <row r="54" spans="1:27" ht="14.1" customHeight="1" x14ac:dyDescent="0.2">
      <c r="A54" s="283"/>
      <c r="B54" s="40"/>
      <c r="C54" s="284"/>
      <c r="D54" s="286"/>
      <c r="E54" s="287"/>
      <c r="F54" s="286"/>
      <c r="G54" s="286"/>
      <c r="H54" s="285"/>
      <c r="I54" s="287"/>
      <c r="J54" s="283"/>
      <c r="K54" s="40"/>
      <c r="L54" s="288"/>
      <c r="N54" s="66"/>
      <c r="O54" s="288"/>
      <c r="P54" s="2"/>
      <c r="Q54" s="3"/>
      <c r="R54" s="66"/>
      <c r="S54" s="283"/>
      <c r="T54" s="40"/>
      <c r="U54" s="288"/>
      <c r="V54" s="2"/>
      <c r="W54" s="66"/>
      <c r="X54" s="288"/>
      <c r="Y54" s="2"/>
      <c r="Z54" s="3"/>
      <c r="AA54" s="66"/>
    </row>
    <row r="55" spans="1:27" ht="14.1" customHeight="1" x14ac:dyDescent="0.2">
      <c r="A55" s="283" t="s">
        <v>129</v>
      </c>
      <c r="B55" s="40"/>
      <c r="C55" s="284">
        <f>[3]Southwest!$HT$19</f>
        <v>786</v>
      </c>
      <c r="D55" s="286">
        <f>[3]Southwest!$HF$19</f>
        <v>748</v>
      </c>
      <c r="E55" s="287">
        <f>(C55-D55)/D55</f>
        <v>5.0802139037433157E-2</v>
      </c>
      <c r="F55" s="286">
        <f>SUM([3]Southwest!$HR$19:$HT$19)</f>
        <v>2031</v>
      </c>
      <c r="G55" s="286">
        <f>SUM([3]Southwest!$HD$19:$HF$19)</f>
        <v>1729</v>
      </c>
      <c r="H55" s="285">
        <f>(F55-G55)/G55</f>
        <v>0.17466743782533256</v>
      </c>
      <c r="I55" s="287">
        <f>F55/$F$73</f>
        <v>3.0303934587666552E-2</v>
      </c>
      <c r="J55" s="283" t="s">
        <v>129</v>
      </c>
      <c r="K55" s="40"/>
      <c r="L55" s="284">
        <f>[3]Southwest!$HT$41</f>
        <v>102240</v>
      </c>
      <c r="M55" s="286">
        <f>[3]Southwest!$HF$41</f>
        <v>94944</v>
      </c>
      <c r="N55" s="287">
        <f>(L55-M55)/M55</f>
        <v>7.6845298281092017E-2</v>
      </c>
      <c r="O55" s="284">
        <f>SUM([3]Southwest!$HR$41:$HT$41)</f>
        <v>237448</v>
      </c>
      <c r="P55" s="286">
        <f>SUM([3]Southwest!$HD$41:$HF$41)</f>
        <v>191385</v>
      </c>
      <c r="Q55" s="285">
        <f>(O55-P55)/P55</f>
        <v>0.24068239412702144</v>
      </c>
      <c r="R55" s="287">
        <f>O55/$O$73</f>
        <v>3.5307286759737724E-2</v>
      </c>
      <c r="S55" s="283" t="s">
        <v>129</v>
      </c>
      <c r="T55" s="40"/>
      <c r="U55" s="284">
        <f>[3]Southwest!$HT$64</f>
        <v>217073</v>
      </c>
      <c r="V55" s="286">
        <f>[3]Southwest!$HF$64</f>
        <v>252690</v>
      </c>
      <c r="W55" s="287">
        <f>(U55-V55)/V55</f>
        <v>-0.14095136333056313</v>
      </c>
      <c r="X55" s="284">
        <f>SUM([3]Southwest!$HR$64:$HT$64)</f>
        <v>591277</v>
      </c>
      <c r="Y55" s="286">
        <f>SUM([3]Southwest!$HD$64:$HF$64)</f>
        <v>764886</v>
      </c>
      <c r="Z55" s="285">
        <f>(X55-Y55)/Y55</f>
        <v>-0.22697369281173926</v>
      </c>
      <c r="AA55" s="287">
        <f>X55/$X$73</f>
        <v>3.012690068497164E-2</v>
      </c>
    </row>
    <row r="56" spans="1:27" ht="14.1" customHeight="1" x14ac:dyDescent="0.2">
      <c r="A56" s="283"/>
      <c r="B56" s="40"/>
      <c r="C56" s="284"/>
      <c r="D56" s="286"/>
      <c r="E56" s="287"/>
      <c r="F56" s="286"/>
      <c r="G56" s="286"/>
      <c r="H56" s="285"/>
      <c r="I56" s="287"/>
      <c r="J56" s="283"/>
      <c r="K56" s="40"/>
      <c r="L56" s="288"/>
      <c r="N56" s="66"/>
      <c r="O56" s="288"/>
      <c r="P56" s="2"/>
      <c r="Q56" s="3"/>
      <c r="R56" s="66"/>
      <c r="S56" s="283"/>
      <c r="T56" s="40"/>
      <c r="U56" s="288"/>
      <c r="V56" s="2"/>
      <c r="W56" s="66"/>
      <c r="X56" s="288"/>
      <c r="Y56" s="2"/>
      <c r="Z56" s="3"/>
      <c r="AA56" s="66"/>
    </row>
    <row r="57" spans="1:27" ht="14.1" customHeight="1" x14ac:dyDescent="0.2">
      <c r="A57" s="283" t="s">
        <v>155</v>
      </c>
      <c r="B57" s="40"/>
      <c r="C57" s="284">
        <f>[3]Spirit!$HT$19</f>
        <v>440</v>
      </c>
      <c r="D57" s="286">
        <f>[3]Spirit!$HF$19</f>
        <v>390</v>
      </c>
      <c r="E57" s="287">
        <f>(C57-D57)/D57</f>
        <v>0.12820512820512819</v>
      </c>
      <c r="F57" s="286">
        <f>SUM([3]Spirit!$HR$19:$HT$19)</f>
        <v>1049</v>
      </c>
      <c r="G57" s="286">
        <f>SUM([3]Spirit!$HD$19:$HF$19)</f>
        <v>794</v>
      </c>
      <c r="H57" s="285">
        <f>(F57-G57)/G57</f>
        <v>0.32115869017632243</v>
      </c>
      <c r="I57" s="287">
        <f>F57/$F$73</f>
        <v>1.5651810626520046E-2</v>
      </c>
      <c r="J57" s="283" t="s">
        <v>155</v>
      </c>
      <c r="K57" s="40"/>
      <c r="L57" s="284">
        <f>[3]Spirit!$HT$41</f>
        <v>70901</v>
      </c>
      <c r="M57" s="286">
        <f>[3]Spirit!$HF$41</f>
        <v>64851</v>
      </c>
      <c r="N57" s="287">
        <f>(L57-M57)/M57</f>
        <v>9.3290774236326354E-2</v>
      </c>
      <c r="O57" s="284">
        <f>SUM([3]Spirit!$HR$41:$HT$41)</f>
        <v>154596</v>
      </c>
      <c r="P57" s="286">
        <f>SUM([3]Spirit!$HD$41:$HF$41)</f>
        <v>118829</v>
      </c>
      <c r="Q57" s="285">
        <f>(O57-P57)/P57</f>
        <v>0.30099554822475993</v>
      </c>
      <c r="R57" s="287">
        <f>O57/$O$73</f>
        <v>2.2987623833043081E-2</v>
      </c>
      <c r="S57" s="283" t="s">
        <v>155</v>
      </c>
      <c r="T57" s="40"/>
      <c r="U57" s="284">
        <f>[3]Spirit!$HT$64</f>
        <v>0</v>
      </c>
      <c r="V57" s="286">
        <f>[3]Spirit!$HF$64</f>
        <v>0</v>
      </c>
      <c r="W57" s="287" t="e">
        <f>(U57-V57)/V57</f>
        <v>#DIV/0!</v>
      </c>
      <c r="X57" s="284">
        <f>SUM([3]Spirit!$HR$64:$HT$64)</f>
        <v>0</v>
      </c>
      <c r="Y57" s="286">
        <f>SUM([3]Spirit!$HD$64:$HF$64)</f>
        <v>0</v>
      </c>
      <c r="Z57" s="285" t="e">
        <f>(X57-Y57)/Y57</f>
        <v>#DIV/0!</v>
      </c>
      <c r="AA57" s="287">
        <f>X57/$X$73</f>
        <v>0</v>
      </c>
    </row>
    <row r="58" spans="1:27" ht="14.1" customHeight="1" x14ac:dyDescent="0.2">
      <c r="A58" s="283"/>
      <c r="B58" s="40"/>
      <c r="C58" s="284"/>
      <c r="D58" s="286"/>
      <c r="E58" s="287"/>
      <c r="F58" s="286"/>
      <c r="G58" s="286"/>
      <c r="H58" s="285"/>
      <c r="I58" s="287"/>
      <c r="J58" s="283"/>
      <c r="K58" s="40"/>
      <c r="L58" s="288"/>
      <c r="N58" s="66"/>
      <c r="O58" s="288"/>
      <c r="P58" s="2"/>
      <c r="Q58" s="3"/>
      <c r="R58" s="66">
        <f>O58/$O$73</f>
        <v>0</v>
      </c>
      <c r="S58" s="283"/>
      <c r="T58" s="40"/>
      <c r="U58" s="288"/>
      <c r="V58" s="2"/>
      <c r="W58" s="66"/>
      <c r="X58" s="288"/>
      <c r="Y58" s="2"/>
      <c r="Z58" s="3"/>
      <c r="AA58" s="66">
        <f>X58/$X$73</f>
        <v>0</v>
      </c>
    </row>
    <row r="59" spans="1:27" ht="14.1" customHeight="1" x14ac:dyDescent="0.2">
      <c r="A59" s="283" t="s">
        <v>49</v>
      </c>
      <c r="B59" s="40"/>
      <c r="C59" s="284">
        <f>'[3]Sun Country'!$HT$19</f>
        <v>2334</v>
      </c>
      <c r="D59" s="286">
        <f>'[3]Sun Country'!$HF$19</f>
        <v>1831</v>
      </c>
      <c r="E59" s="287">
        <f>(C59-D59)/D59</f>
        <v>0.27471327143637359</v>
      </c>
      <c r="F59" s="286">
        <f>SUM('[3]Sun Country'!$HR$19:$HT$19)</f>
        <v>6186</v>
      </c>
      <c r="G59" s="286">
        <f>SUM('[3]Sun Country'!$HD$19:$HF$19)</f>
        <v>4522</v>
      </c>
      <c r="H59" s="285">
        <f>(F59-G59)/G59</f>
        <v>0.36797877045555066</v>
      </c>
      <c r="I59" s="287">
        <f>F59/$F$73</f>
        <v>9.2299428537324119E-2</v>
      </c>
      <c r="J59" s="283" t="s">
        <v>49</v>
      </c>
      <c r="K59" s="40"/>
      <c r="L59" s="284">
        <f>'[3]Sun Country'!$HT$41</f>
        <v>360612</v>
      </c>
      <c r="M59" s="286">
        <f>'[3]Sun Country'!$HF$41</f>
        <v>239598</v>
      </c>
      <c r="N59" s="287">
        <f>(L59-M59)/M59</f>
        <v>0.50507099391480725</v>
      </c>
      <c r="O59" s="284">
        <f>SUM('[3]Sun Country'!$HR$41:$HT$41)</f>
        <v>863090</v>
      </c>
      <c r="P59" s="286">
        <f>SUM('[3]Sun Country'!$HD$41:$HF$41)</f>
        <v>526001</v>
      </c>
      <c r="Q59" s="285">
        <f>(O59-P59)/P59</f>
        <v>0.64085239381674175</v>
      </c>
      <c r="R59" s="287">
        <f>O59/$O$73</f>
        <v>0.12833700906919424</v>
      </c>
      <c r="S59" s="283" t="s">
        <v>49</v>
      </c>
      <c r="T59" s="40"/>
      <c r="U59" s="284">
        <f>'[3]Sun Country'!$HT$64</f>
        <v>235589</v>
      </c>
      <c r="V59" s="286">
        <f>'[3]Sun Country'!$HF$64</f>
        <v>349778</v>
      </c>
      <c r="W59" s="287">
        <f>(U59-V59)/V59</f>
        <v>-0.32646135548833832</v>
      </c>
      <c r="X59" s="284">
        <f>SUM('[3]Sun Country'!$HR$64:$HT$64)</f>
        <v>672814</v>
      </c>
      <c r="Y59" s="286">
        <f>SUM('[3]Sun Country'!$HD$64:$HF$64)</f>
        <v>1114208</v>
      </c>
      <c r="Z59" s="285">
        <f>(X59-Y59)/Y59</f>
        <v>-0.39615044946724487</v>
      </c>
      <c r="AA59" s="287">
        <f>X59/$X$73</f>
        <v>3.4281395280821865E-2</v>
      </c>
    </row>
    <row r="60" spans="1:27" ht="14.1" customHeight="1" x14ac:dyDescent="0.2">
      <c r="A60" s="283"/>
      <c r="B60" s="40"/>
      <c r="C60" s="284"/>
      <c r="D60" s="286"/>
      <c r="E60" s="287"/>
      <c r="F60" s="286"/>
      <c r="G60" s="286"/>
      <c r="H60" s="285"/>
      <c r="I60" s="287"/>
      <c r="J60" s="283"/>
      <c r="K60" s="40"/>
      <c r="L60" s="288"/>
      <c r="N60" s="66"/>
      <c r="O60" s="288"/>
      <c r="P60" s="2"/>
      <c r="Q60" s="3"/>
      <c r="R60" s="66"/>
      <c r="S60" s="283"/>
      <c r="T60" s="40"/>
      <c r="U60" s="288"/>
      <c r="V60" s="2"/>
      <c r="W60" s="66"/>
      <c r="X60" s="288"/>
      <c r="Y60" s="2"/>
      <c r="Z60" s="3"/>
      <c r="AA60" s="66"/>
    </row>
    <row r="61" spans="1:27" ht="14.1" customHeight="1" x14ac:dyDescent="0.2">
      <c r="A61" s="283" t="s">
        <v>19</v>
      </c>
      <c r="B61" s="290"/>
      <c r="C61" s="284">
        <f>SUM(C62:C68)</f>
        <v>919</v>
      </c>
      <c r="D61" s="286">
        <f>SUM(D62:D68)</f>
        <v>589</v>
      </c>
      <c r="E61" s="287">
        <f t="shared" ref="E61:E68" si="39">(C61-D61)/D61</f>
        <v>0.56027164685908315</v>
      </c>
      <c r="F61" s="286">
        <f>SUM(F62:F68)</f>
        <v>2579</v>
      </c>
      <c r="G61" s="286">
        <f>SUM(G62:G68)</f>
        <v>1681</v>
      </c>
      <c r="H61" s="285">
        <f t="shared" ref="H61:H68" si="40">(F61-G61)/G61</f>
        <v>0.53420582986317666</v>
      </c>
      <c r="I61" s="287">
        <f t="shared" ref="I61:I68" si="41">F61/$F$73</f>
        <v>3.848047626863222E-2</v>
      </c>
      <c r="J61" s="283" t="s">
        <v>19</v>
      </c>
      <c r="K61" s="290"/>
      <c r="L61" s="284">
        <f>SUM(L62:L68)</f>
        <v>104386</v>
      </c>
      <c r="M61" s="286">
        <f>SUM(M62:M68)</f>
        <v>56867</v>
      </c>
      <c r="N61" s="287">
        <f t="shared" ref="N61:N68" si="42">(L61-M61)/M61</f>
        <v>0.83561643835616439</v>
      </c>
      <c r="O61" s="284">
        <f>SUM(O62:O68)</f>
        <v>259414</v>
      </c>
      <c r="P61" s="286">
        <f>SUM(P62:P68)</f>
        <v>133788</v>
      </c>
      <c r="Q61" s="285">
        <f t="shared" ref="Q61:Q68" si="43">(O61-P61)/P61</f>
        <v>0.93899303375489585</v>
      </c>
      <c r="R61" s="287">
        <f t="shared" ref="R61:R68" si="44">O61/$O$73</f>
        <v>3.8573517096335205E-2</v>
      </c>
      <c r="S61" s="283" t="s">
        <v>19</v>
      </c>
      <c r="T61" s="290"/>
      <c r="U61" s="284">
        <f>SUM(U62:U68)</f>
        <v>84111</v>
      </c>
      <c r="V61" s="286">
        <f>SUM(V62:V68)</f>
        <v>73435</v>
      </c>
      <c r="W61" s="287">
        <f t="shared" ref="W61:W68" si="45">(U61-V61)/V61</f>
        <v>0.14538026826445155</v>
      </c>
      <c r="X61" s="284">
        <f>SUM(X62:X68)</f>
        <v>278094</v>
      </c>
      <c r="Y61" s="286">
        <f>SUM(Y62:Y68)</f>
        <v>207723</v>
      </c>
      <c r="Z61" s="285">
        <f t="shared" ref="Z61:Z68" si="46">(X61-Y61)/Y61</f>
        <v>0.33877327017229675</v>
      </c>
      <c r="AA61" s="287">
        <f t="shared" ref="AA61:AA68" si="47">X61/$X$73</f>
        <v>1.4169518379856656E-2</v>
      </c>
    </row>
    <row r="62" spans="1:27" ht="14.1" customHeight="1" x14ac:dyDescent="0.2">
      <c r="A62" s="38"/>
      <c r="B62" s="343" t="s">
        <v>19</v>
      </c>
      <c r="C62" s="288">
        <f>[3]United!$HT$19</f>
        <v>625</v>
      </c>
      <c r="D62" s="2">
        <f>[3]United!$HF$19+[3]Continental!$HF$19</f>
        <v>328</v>
      </c>
      <c r="E62" s="66">
        <f t="shared" si="39"/>
        <v>0.90548780487804881</v>
      </c>
      <c r="F62" s="2">
        <f>SUM([3]United!$HR$19:$HT$19)</f>
        <v>1678</v>
      </c>
      <c r="G62" s="2">
        <f>SUM([3]United!$HD$19:$HF$19)+SUM([3]Continental!$HD$19:$HF$19)</f>
        <v>834</v>
      </c>
      <c r="H62" s="3">
        <f t="shared" si="40"/>
        <v>1.0119904076738608</v>
      </c>
      <c r="I62" s="66">
        <f t="shared" si="41"/>
        <v>2.5036928723832827E-2</v>
      </c>
      <c r="J62" s="38"/>
      <c r="K62" s="343" t="s">
        <v>19</v>
      </c>
      <c r="L62" s="288">
        <f>[3]United!$HT$41</f>
        <v>85329</v>
      </c>
      <c r="M62" s="2">
        <f>[3]United!$HF$41+[3]Continental!$HF$41</f>
        <v>41879</v>
      </c>
      <c r="N62" s="66">
        <f t="shared" si="42"/>
        <v>1.0375128345949043</v>
      </c>
      <c r="O62" s="288">
        <f>SUM([3]United!$HR$41:$HT$41)</f>
        <v>204782</v>
      </c>
      <c r="P62" s="2">
        <f>SUM([3]United!$HD$41:$HF$41)+SUM([3]Continental!$HD$41:$HF$41)</f>
        <v>90876</v>
      </c>
      <c r="Q62" s="3">
        <f t="shared" si="43"/>
        <v>1.2534222456974338</v>
      </c>
      <c r="R62" s="66">
        <f t="shared" si="44"/>
        <v>3.0450021887876971E-2</v>
      </c>
      <c r="S62" s="38"/>
      <c r="T62" s="343" t="s">
        <v>19</v>
      </c>
      <c r="U62" s="288">
        <f>[3]United!$HT$64</f>
        <v>84111</v>
      </c>
      <c r="V62" s="2">
        <f>[3]United!$HF$64+[3]Continental!$HF$64</f>
        <v>73435</v>
      </c>
      <c r="W62" s="66">
        <f t="shared" si="45"/>
        <v>0.14538026826445155</v>
      </c>
      <c r="X62" s="288">
        <f>SUM([3]United!$HR$64:$HT$64)</f>
        <v>278094</v>
      </c>
      <c r="Y62" s="2">
        <f>SUM([3]United!$HD$64:$HF$64)+SUM([3]Continental!$HD$64:$HF$64)</f>
        <v>207723</v>
      </c>
      <c r="Z62" s="3">
        <f t="shared" si="46"/>
        <v>0.33877327017229675</v>
      </c>
      <c r="AA62" s="66">
        <f t="shared" si="47"/>
        <v>1.4169518379856656E-2</v>
      </c>
    </row>
    <row r="63" spans="1:27" ht="14.1" customHeight="1" x14ac:dyDescent="0.2">
      <c r="A63" s="38"/>
      <c r="B63" s="343" t="s">
        <v>166</v>
      </c>
      <c r="C63" s="288">
        <f>'[3]Continental Express'!$HT$19</f>
        <v>0</v>
      </c>
      <c r="D63" s="2">
        <f>'[3]Continental Express'!$HF$19</f>
        <v>0</v>
      </c>
      <c r="E63" s="66" t="e">
        <f t="shared" si="39"/>
        <v>#DIV/0!</v>
      </c>
      <c r="F63" s="2">
        <f>SUM('[3]Continental Express'!$HR$19:$HT$19)</f>
        <v>0</v>
      </c>
      <c r="G63" s="2">
        <f>SUM('[3]Continental Express'!$HD$19:$HF$19)</f>
        <v>0</v>
      </c>
      <c r="H63" s="3" t="e">
        <f t="shared" si="40"/>
        <v>#DIV/0!</v>
      </c>
      <c r="I63" s="66">
        <f t="shared" si="41"/>
        <v>0</v>
      </c>
      <c r="J63" s="38"/>
      <c r="K63" s="343" t="s">
        <v>166</v>
      </c>
      <c r="L63" s="288">
        <f>'[3]Continental Express'!$HT$41</f>
        <v>0</v>
      </c>
      <c r="M63" s="2">
        <f>'[3]Continental Express'!$HF$41</f>
        <v>0</v>
      </c>
      <c r="N63" s="66" t="e">
        <f t="shared" si="42"/>
        <v>#DIV/0!</v>
      </c>
      <c r="O63" s="288">
        <f>SUM('[3]Continental Express'!$HR$41:$HT$41)</f>
        <v>0</v>
      </c>
      <c r="P63" s="2">
        <f>SUM('[3]Continental Express'!$HD$41:$HF$41)</f>
        <v>0</v>
      </c>
      <c r="Q63" s="3" t="e">
        <f t="shared" si="43"/>
        <v>#DIV/0!</v>
      </c>
      <c r="R63" s="66">
        <f t="shared" si="44"/>
        <v>0</v>
      </c>
      <c r="S63" s="38"/>
      <c r="T63" s="343" t="s">
        <v>166</v>
      </c>
      <c r="U63" s="288">
        <f>'[3]Continental Express'!$HT$64</f>
        <v>0</v>
      </c>
      <c r="V63" s="2">
        <f>'[3]Continental Express'!$HF$64</f>
        <v>0</v>
      </c>
      <c r="W63" s="66" t="e">
        <f t="shared" si="45"/>
        <v>#DIV/0!</v>
      </c>
      <c r="X63" s="288">
        <f>SUM('[3]Continental Express'!$HR$64:$HT$64)</f>
        <v>0</v>
      </c>
      <c r="Y63" s="2">
        <f>SUM('[3]Continental Express'!$HD$64:$HF$64)</f>
        <v>0</v>
      </c>
      <c r="Z63" s="3" t="e">
        <f t="shared" si="46"/>
        <v>#DIV/0!</v>
      </c>
      <c r="AA63" s="66">
        <f t="shared" si="47"/>
        <v>0</v>
      </c>
    </row>
    <row r="64" spans="1:27" ht="14.1" customHeight="1" x14ac:dyDescent="0.2">
      <c r="A64" s="38"/>
      <c r="B64" s="40" t="s">
        <v>154</v>
      </c>
      <c r="C64" s="288">
        <f>'[3]Go Jet_UA'!$HT$19</f>
        <v>0</v>
      </c>
      <c r="D64" s="2">
        <f>'[3]Go Jet_UA'!$HF$19</f>
        <v>0</v>
      </c>
      <c r="E64" s="66" t="e">
        <f t="shared" si="39"/>
        <v>#DIV/0!</v>
      </c>
      <c r="F64" s="2">
        <f>SUM('[3]Go Jet_UA'!$HR$19:$HT$19)</f>
        <v>0</v>
      </c>
      <c r="G64" s="2">
        <f>SUM('[3]Go Jet_UA'!$HD$19:$HF$19)</f>
        <v>0</v>
      </c>
      <c r="H64" s="3" t="e">
        <f t="shared" si="40"/>
        <v>#DIV/0!</v>
      </c>
      <c r="I64" s="66">
        <f t="shared" si="41"/>
        <v>0</v>
      </c>
      <c r="J64" s="38"/>
      <c r="K64" s="40" t="s">
        <v>154</v>
      </c>
      <c r="L64" s="288">
        <f>'[3]Go Jet_UA'!$HT$41</f>
        <v>0</v>
      </c>
      <c r="M64" s="2">
        <f>'[3]Go Jet_UA'!$HF$41</f>
        <v>0</v>
      </c>
      <c r="N64" s="66" t="e">
        <f t="shared" si="42"/>
        <v>#DIV/0!</v>
      </c>
      <c r="O64" s="288">
        <f>SUM('[3]Go Jet_UA'!$HR$41:$HT$41)</f>
        <v>0</v>
      </c>
      <c r="P64" s="2">
        <f>SUM('[3]Go Jet_UA'!$HD$41:$HF$41)</f>
        <v>0</v>
      </c>
      <c r="Q64" s="3" t="e">
        <f t="shared" si="43"/>
        <v>#DIV/0!</v>
      </c>
      <c r="R64" s="66">
        <f t="shared" si="44"/>
        <v>0</v>
      </c>
      <c r="S64" s="38"/>
      <c r="T64" s="40" t="s">
        <v>154</v>
      </c>
      <c r="U64" s="288">
        <f>'[3]Go Jet_UA'!$HT$64</f>
        <v>0</v>
      </c>
      <c r="V64" s="2">
        <f>'[3]Go Jet_UA'!$HF$64</f>
        <v>0</v>
      </c>
      <c r="W64" s="66" t="e">
        <f t="shared" si="45"/>
        <v>#DIV/0!</v>
      </c>
      <c r="X64" s="288">
        <f>SUM('[3]Go Jet_UA'!$HR$64:$HT$64)</f>
        <v>0</v>
      </c>
      <c r="Y64" s="2">
        <f>SUM('[3]Go Jet_UA'!$HD$64:$HF$64)</f>
        <v>0</v>
      </c>
      <c r="Z64" s="3" t="e">
        <f t="shared" si="46"/>
        <v>#DIV/0!</v>
      </c>
      <c r="AA64" s="66">
        <f t="shared" si="47"/>
        <v>0</v>
      </c>
    </row>
    <row r="65" spans="1:27" ht="14.1" customHeight="1" x14ac:dyDescent="0.2">
      <c r="A65" s="38"/>
      <c r="B65" s="40" t="s">
        <v>51</v>
      </c>
      <c r="C65" s="288">
        <f>[3]MESA_UA!$HT$19</f>
        <v>65</v>
      </c>
      <c r="D65" s="2">
        <f>[3]MESA_UA!$HF$19</f>
        <v>45</v>
      </c>
      <c r="E65" s="66">
        <f t="shared" si="39"/>
        <v>0.44444444444444442</v>
      </c>
      <c r="F65" s="2">
        <f>SUM([3]MESA_UA!$HR$19:$HT$19)</f>
        <v>380</v>
      </c>
      <c r="G65" s="2">
        <f>SUM([3]MESA_UA!$HD$19:$HF$19)</f>
        <v>261</v>
      </c>
      <c r="H65" s="3">
        <f>(F65-G65)/G65</f>
        <v>0.45593869731800768</v>
      </c>
      <c r="I65" s="66">
        <f t="shared" si="41"/>
        <v>5.6698646692827622E-3</v>
      </c>
      <c r="J65" s="38"/>
      <c r="K65" s="40" t="s">
        <v>51</v>
      </c>
      <c r="L65" s="288">
        <f>[3]MESA_UA!$HT$41</f>
        <v>4655</v>
      </c>
      <c r="M65" s="2">
        <f>[3]MESA_UA!$HF$41</f>
        <v>2517</v>
      </c>
      <c r="N65" s="66">
        <f t="shared" si="42"/>
        <v>0.84942391736193879</v>
      </c>
      <c r="O65" s="288">
        <f>SUM([3]MESA_UA!$HR$41:$HT$41)</f>
        <v>24334</v>
      </c>
      <c r="P65" s="2">
        <f>SUM([3]MESA_UA!$HD$41:$HF$41)</f>
        <v>13139</v>
      </c>
      <c r="Q65" s="3">
        <f t="shared" si="43"/>
        <v>0.85204353451556436</v>
      </c>
      <c r="R65" s="66">
        <f t="shared" si="44"/>
        <v>3.6183396617847185E-3</v>
      </c>
      <c r="S65" s="38"/>
      <c r="T65" s="40" t="s">
        <v>51</v>
      </c>
      <c r="U65" s="288">
        <f>[3]MESA_UA!$HT$64</f>
        <v>0</v>
      </c>
      <c r="V65" s="2">
        <f>[3]MESA_UA!$HF$64</f>
        <v>0</v>
      </c>
      <c r="W65" s="66" t="e">
        <f t="shared" si="45"/>
        <v>#DIV/0!</v>
      </c>
      <c r="X65" s="288">
        <f>SUM([3]MESA_UA!$HR$64:$HT$64)</f>
        <v>0</v>
      </c>
      <c r="Y65" s="2">
        <f>SUM([3]MESA_UA!$HD$64:$HF$64)</f>
        <v>0</v>
      </c>
      <c r="Z65" s="3" t="e">
        <f t="shared" si="46"/>
        <v>#DIV/0!</v>
      </c>
      <c r="AA65" s="66">
        <f t="shared" si="47"/>
        <v>0</v>
      </c>
    </row>
    <row r="66" spans="1:27" ht="14.1" customHeight="1" x14ac:dyDescent="0.2">
      <c r="A66" s="38"/>
      <c r="B66" s="343" t="s">
        <v>52</v>
      </c>
      <c r="C66" s="288">
        <f>[3]Republic_UA!$HT$19</f>
        <v>217</v>
      </c>
      <c r="D66" s="2">
        <f>[3]Republic_UA!$HF$19</f>
        <v>164</v>
      </c>
      <c r="E66" s="66">
        <f t="shared" si="39"/>
        <v>0.32317073170731708</v>
      </c>
      <c r="F66" s="2">
        <f>SUM([3]Republic_UA!$HR$19:$HT$19)</f>
        <v>405</v>
      </c>
      <c r="G66" s="2">
        <f>SUM([3]Republic_UA!$HD$19:$HF$19)</f>
        <v>425</v>
      </c>
      <c r="H66" s="3">
        <f t="shared" ref="H66" si="48">(F66-G66)/G66</f>
        <v>-4.7058823529411764E-2</v>
      </c>
      <c r="I66" s="66">
        <f t="shared" si="41"/>
        <v>6.0428820817355752E-3</v>
      </c>
      <c r="J66" s="38"/>
      <c r="K66" s="343" t="s">
        <v>52</v>
      </c>
      <c r="L66" s="288">
        <f>[3]Republic_UA!$HT$41</f>
        <v>13573</v>
      </c>
      <c r="M66" s="2">
        <f>[3]Republic_UA!$HF$41</f>
        <v>9427</v>
      </c>
      <c r="N66" s="66">
        <f t="shared" si="42"/>
        <v>0.43980057282274321</v>
      </c>
      <c r="O66" s="288">
        <f>SUM([3]Republic_UA!$HR$41:$HT$41)</f>
        <v>22995</v>
      </c>
      <c r="P66" s="2">
        <f>SUM([3]Republic_UA!$HD$41:$HF$41)</f>
        <v>21084</v>
      </c>
      <c r="Q66" s="3">
        <f t="shared" si="43"/>
        <v>9.063745019920319E-2</v>
      </c>
      <c r="R66" s="66">
        <f t="shared" si="44"/>
        <v>3.4192373026522395E-3</v>
      </c>
      <c r="S66" s="38"/>
      <c r="T66" s="343" t="s">
        <v>52</v>
      </c>
      <c r="U66" s="288">
        <f>[3]Republic_UA!$HT$64</f>
        <v>0</v>
      </c>
      <c r="V66" s="2">
        <f>[3]Republic_UA!$HF$64</f>
        <v>0</v>
      </c>
      <c r="W66" s="66" t="e">
        <f t="shared" si="45"/>
        <v>#DIV/0!</v>
      </c>
      <c r="X66" s="288">
        <f>SUM([3]Republic_UA!$HR$64:$HT$64)</f>
        <v>0</v>
      </c>
      <c r="Y66" s="2">
        <f>SUM([3]Republic_UA!$HD$64:$HF$64)</f>
        <v>0</v>
      </c>
      <c r="Z66" s="3" t="e">
        <f t="shared" si="46"/>
        <v>#DIV/0!</v>
      </c>
      <c r="AA66" s="66">
        <f t="shared" si="47"/>
        <v>0</v>
      </c>
    </row>
    <row r="67" spans="1:27" ht="14.1" customHeight="1" x14ac:dyDescent="0.2">
      <c r="A67" s="38"/>
      <c r="B67" s="40" t="s">
        <v>97</v>
      </c>
      <c r="C67" s="288">
        <f>'[3]Sky West_UA'!$HT$19</f>
        <v>12</v>
      </c>
      <c r="D67" s="2">
        <f>'[3]Sky West_UA'!$HF$19+'[3]Sky West_CO'!$HF$19</f>
        <v>52</v>
      </c>
      <c r="E67" s="66">
        <f t="shared" si="39"/>
        <v>-0.76923076923076927</v>
      </c>
      <c r="F67" s="2">
        <f>SUM('[3]Sky West_UA'!$HR$19:$HT$19)</f>
        <v>116</v>
      </c>
      <c r="G67" s="2">
        <f>SUM('[3]Sky West_UA'!$HD$19:$HF$19)+SUM('[3]Sky West_CO'!$HD$19:$HF$19)</f>
        <v>161</v>
      </c>
      <c r="H67" s="3">
        <f t="shared" si="40"/>
        <v>-0.27950310559006208</v>
      </c>
      <c r="I67" s="66">
        <f t="shared" si="41"/>
        <v>1.7308007937810537E-3</v>
      </c>
      <c r="J67" s="38"/>
      <c r="K67" s="40" t="s">
        <v>97</v>
      </c>
      <c r="L67" s="288">
        <f>'[3]Sky West_UA'!$HT$41</f>
        <v>829</v>
      </c>
      <c r="M67" s="2">
        <f>'[3]Sky West_UA'!$HF$41+'[3]Sky West_CO'!$HF$41</f>
        <v>3044</v>
      </c>
      <c r="N67" s="66">
        <f t="shared" si="42"/>
        <v>-0.7276609724047306</v>
      </c>
      <c r="O67" s="288">
        <f>SUM('[3]Sky West_UA'!$HR$41:$HT$41)</f>
        <v>7303</v>
      </c>
      <c r="P67" s="2">
        <f>SUM('[3]Sky West_UA'!$HD$41:$HF$41)+SUM('[3]Sky West_CO'!$HD$41:$HF$41)</f>
        <v>8689</v>
      </c>
      <c r="Q67" s="3">
        <f t="shared" si="43"/>
        <v>-0.15951202670042583</v>
      </c>
      <c r="R67" s="66">
        <f t="shared" si="44"/>
        <v>1.0859182440212788E-3</v>
      </c>
      <c r="S67" s="38"/>
      <c r="T67" s="40" t="s">
        <v>97</v>
      </c>
      <c r="U67" s="288">
        <f>'[3]Sky West_UA'!$HT$64</f>
        <v>0</v>
      </c>
      <c r="V67" s="2">
        <f>'[3]Sky West_UA'!$HF$64+'[3]Sky West_CO'!$HF$64</f>
        <v>0</v>
      </c>
      <c r="W67" s="66" t="e">
        <f t="shared" si="45"/>
        <v>#DIV/0!</v>
      </c>
      <c r="X67" s="288">
        <f>SUM('[3]Sky West_UA'!$HR$64:$HT$64)</f>
        <v>0</v>
      </c>
      <c r="Y67" s="2">
        <f>SUM('[3]Sky West_UA'!$HD$64:$HF$64)+SUM('[3]Sky West_CO'!$HD$64:$HF$64)</f>
        <v>0</v>
      </c>
      <c r="Z67" s="3" t="e">
        <f t="shared" si="46"/>
        <v>#DIV/0!</v>
      </c>
      <c r="AA67" s="66">
        <f t="shared" si="47"/>
        <v>0</v>
      </c>
    </row>
    <row r="68" spans="1:27" ht="14.1" customHeight="1" x14ac:dyDescent="0.2">
      <c r="A68" s="38"/>
      <c r="B68" s="291" t="s">
        <v>131</v>
      </c>
      <c r="C68" s="288">
        <f>'[3]Shuttle America'!$HT$19</f>
        <v>0</v>
      </c>
      <c r="D68" s="2">
        <f>'[3]Shuttle America'!$HF$19</f>
        <v>0</v>
      </c>
      <c r="E68" s="66" t="e">
        <f t="shared" si="39"/>
        <v>#DIV/0!</v>
      </c>
      <c r="F68" s="2">
        <f>SUM('[3]Shuttle America'!$HR$19:$HT$19)</f>
        <v>0</v>
      </c>
      <c r="G68" s="2">
        <f>SUM('[3]Shuttle America'!$HD$19:$HF$19)</f>
        <v>0</v>
      </c>
      <c r="H68" s="3" t="e">
        <f t="shared" si="40"/>
        <v>#DIV/0!</v>
      </c>
      <c r="I68" s="66">
        <f t="shared" si="41"/>
        <v>0</v>
      </c>
      <c r="J68" s="38"/>
      <c r="K68" s="291" t="s">
        <v>131</v>
      </c>
      <c r="L68" s="288">
        <f>'[3]Shuttle America'!$HT$41</f>
        <v>0</v>
      </c>
      <c r="M68" s="2">
        <f>'[3]Shuttle America'!$HF$41</f>
        <v>0</v>
      </c>
      <c r="N68" s="66" t="e">
        <f t="shared" si="42"/>
        <v>#DIV/0!</v>
      </c>
      <c r="O68" s="288">
        <f>SUM('[3]Shuttle America'!$HR$41:$HT$41)</f>
        <v>0</v>
      </c>
      <c r="P68" s="2">
        <f>SUM('[3]Shuttle America'!$HD$41:$HF$41)</f>
        <v>0</v>
      </c>
      <c r="Q68" s="3" t="e">
        <f t="shared" si="43"/>
        <v>#DIV/0!</v>
      </c>
      <c r="R68" s="66">
        <f t="shared" si="44"/>
        <v>0</v>
      </c>
      <c r="S68" s="38"/>
      <c r="T68" s="291" t="s">
        <v>131</v>
      </c>
      <c r="U68" s="288">
        <f>'[3]Shuttle America'!$HT$64</f>
        <v>0</v>
      </c>
      <c r="V68" s="2">
        <f>'[3]Shuttle America'!$HF$64</f>
        <v>0</v>
      </c>
      <c r="W68" s="66" t="e">
        <f t="shared" si="45"/>
        <v>#DIV/0!</v>
      </c>
      <c r="X68" s="288">
        <f>SUM('[3]Shuttle America'!$HR$64:$HT$64)</f>
        <v>0</v>
      </c>
      <c r="Y68" s="2">
        <f>SUM('[3]Shuttle America'!$HD$64:$HF$64)</f>
        <v>0</v>
      </c>
      <c r="Z68" s="3" t="e">
        <f t="shared" si="46"/>
        <v>#DIV/0!</v>
      </c>
      <c r="AA68" s="66">
        <f t="shared" si="47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15909</v>
      </c>
      <c r="D71" s="353">
        <f>+D73-D72</f>
        <v>11728</v>
      </c>
      <c r="E71" s="354">
        <f>(C71-D71)/D71</f>
        <v>0.35649727148703958</v>
      </c>
      <c r="F71" s="353">
        <f>+F73-F72</f>
        <v>43202</v>
      </c>
      <c r="G71" s="353">
        <f>+G73-G72</f>
        <v>30422</v>
      </c>
      <c r="H71" s="354">
        <f>(F71-G71)/G71</f>
        <v>0.42009072381828938</v>
      </c>
      <c r="I71" s="386">
        <f>F71/$F$73</f>
        <v>0.64460393011145756</v>
      </c>
      <c r="K71" s="299" t="s">
        <v>133</v>
      </c>
      <c r="L71" s="353">
        <f>+L73-L72</f>
        <v>2313550</v>
      </c>
      <c r="M71" s="353">
        <f>+M73-M72</f>
        <v>1306894</v>
      </c>
      <c r="N71" s="354">
        <f>(L71-M71)/M71</f>
        <v>0.77026598943755198</v>
      </c>
      <c r="O71" s="353">
        <f>+O73-O72</f>
        <v>5636256</v>
      </c>
      <c r="P71" s="353">
        <f>+P73-P72</f>
        <v>2919594</v>
      </c>
      <c r="Q71" s="382">
        <f>(O71-P71)/P71</f>
        <v>0.93049307540706006</v>
      </c>
      <c r="R71" s="445">
        <f>+O71/O73</f>
        <v>0.83808205098923683</v>
      </c>
      <c r="S71" s="3"/>
      <c r="T71" s="299" t="s">
        <v>133</v>
      </c>
      <c r="U71" s="353">
        <f>+U73-U72</f>
        <v>7263541</v>
      </c>
      <c r="V71" s="353">
        <f>+V73-V72</f>
        <v>4123509</v>
      </c>
      <c r="W71" s="354">
        <f>(U71-V71)/V71</f>
        <v>0.7614951246620294</v>
      </c>
      <c r="X71" s="353">
        <f>+X73-X72</f>
        <v>19613754</v>
      </c>
      <c r="Y71" s="353">
        <f>+Y73-Y72</f>
        <v>10531392</v>
      </c>
      <c r="Z71" s="382">
        <f>(X71-Y71)/Y71</f>
        <v>0.86240850212393572</v>
      </c>
      <c r="AA71" s="445">
        <f>+X71/X73</f>
        <v>0.99936513481408085</v>
      </c>
    </row>
    <row r="72" spans="1:27" ht="14.1" customHeight="1" x14ac:dyDescent="0.2">
      <c r="B72" s="170" t="s">
        <v>134</v>
      </c>
      <c r="C72" s="355">
        <f>C68+C45+C43+C41+C40+C44+C25+C67+C64+C42+C63+C65+C30+C29+C26+C20+C8+C66+C27+C28+C10+C21+C9</f>
        <v>8592</v>
      </c>
      <c r="D72" s="355">
        <f>D68+D45+D43+D41+D40+D44+D25+D67+D64+D42+D63+D65+D30+D29+D26+D20+D8+D66+D27+D28+D10+D21+D9</f>
        <v>9564</v>
      </c>
      <c r="E72" s="300">
        <f>(C72-D72)/D72</f>
        <v>-0.10163111668757842</v>
      </c>
      <c r="F72" s="355">
        <f>F68+F45+F43+F41+F40+F44+F25+F67+F64+F42+F63+F65+F30+F29+F26+F20+F8+F66+F27+F28+F10+F21+F9</f>
        <v>23819</v>
      </c>
      <c r="G72" s="355">
        <f>G68+G45+G43+G41+G40+G44+G25+G67+G64+G42+G63+G65+G30+G29+G26+G20+G8+G66+G27+G28+G10+G21+G9</f>
        <v>26559</v>
      </c>
      <c r="H72" s="300">
        <f>(F72-G72)/G72</f>
        <v>-0.10316653488459655</v>
      </c>
      <c r="I72" s="387">
        <f>F72/$F$73</f>
        <v>0.35539606988854239</v>
      </c>
      <c r="K72" s="170" t="s">
        <v>134</v>
      </c>
      <c r="L72" s="355">
        <f>L68+L45+L43+L41+L40+L44+L25+L67+L64+L42+L63+L65+L30+L29+L26+L20+L8+L66+L27+L28+L10+L21+L9</f>
        <v>442071</v>
      </c>
      <c r="M72" s="355">
        <f>M68+M45+M43+M41+M40+M44+M25+M67+M64+M42+M63+M65+M30+M29+M26+M20+M8+M66+M27+M28+M10+M21+M9</f>
        <v>359126</v>
      </c>
      <c r="N72" s="300">
        <f>(L72-M72)/M72</f>
        <v>0.23096350584474529</v>
      </c>
      <c r="O72" s="355">
        <f>O68+O45+O43+O41+O40+O44+O25+O67+O64+O42+O63+O65+O30+O29+O26+O20+O8+O66+O27+O28+O10+O21+O9</f>
        <v>1088928</v>
      </c>
      <c r="P72" s="355">
        <f>P68+P45+P43+P41+P40+P44+P25+P67+P64+P42+P63+P65+P30+P29+P26+P20+P8+P66+P27+P28+P10+P21+P9</f>
        <v>885842</v>
      </c>
      <c r="Q72" s="380">
        <f>(O72-P72)/P72</f>
        <v>0.22925758769622573</v>
      </c>
      <c r="R72" s="446">
        <f>+O72/O73</f>
        <v>0.16191794901076312</v>
      </c>
      <c r="S72" s="3"/>
      <c r="T72" s="170" t="s">
        <v>134</v>
      </c>
      <c r="U72" s="355">
        <f>U68+U45+U43+U41+U40+U44+U25+U67+U64+U42+U63+U65+U30+U29+U26+U20+U8+U66+U27+U28+U10+U21+U9</f>
        <v>4332</v>
      </c>
      <c r="V72" s="355">
        <f>V68+V45+V43+V41+V40+V44+V25+V67+V64+V42+V63+V65+V30+V29+V26+V20+V8+V66+V27+V28+V10+V21+V9</f>
        <v>3042</v>
      </c>
      <c r="W72" s="300">
        <f>(U72-V72)/V72</f>
        <v>0.42406311637080868</v>
      </c>
      <c r="X72" s="355">
        <f>X68+X45+X43+X41+X40+X44+X25+X67+X64+X42+X63+X65+X30+X29+X26+X20+X8+X66+X27+X28+X10+X21+X9</f>
        <v>12460</v>
      </c>
      <c r="Y72" s="355">
        <f>Y68+Y45+Y43+Y41+Y40+Y44+Y25+Y67+Y64+Y42+Y63+Y65+Y30+Y29+Y26+Y20+Y8+Y66+Y27+Y28+Y10+Y21+Y9</f>
        <v>4808</v>
      </c>
      <c r="Z72" s="380">
        <f>(X72-Y72)/Y72</f>
        <v>1.5915141430948418</v>
      </c>
      <c r="AA72" s="446">
        <f>+X72/X73</f>
        <v>6.3486518591919971E-4</v>
      </c>
    </row>
    <row r="73" spans="1:27" ht="14.1" customHeight="1" thickBot="1" x14ac:dyDescent="0.25">
      <c r="B73" s="170" t="s">
        <v>135</v>
      </c>
      <c r="C73" s="356">
        <f>C61+C59+C55+C49+C47+C38+C23+C18+C6+C57+C34+C32+C12+C53+C14+C51+C4+C36+C16</f>
        <v>24501</v>
      </c>
      <c r="D73" s="356">
        <f>D61+D59+D55+D49+D47+D38+D23+D18+D6+D57+D34+D32+D12+D53+D14+D51+D4+D36+D16</f>
        <v>21292</v>
      </c>
      <c r="E73" s="357">
        <f>(C73-D73)/D73</f>
        <v>0.1507138831486004</v>
      </c>
      <c r="F73" s="356">
        <f>F61+F59+F55+F49+F47+F38+F23+F18+F6+F57+F34+F32+F12+F53+F14+F51+F4+F36+F16</f>
        <v>67021</v>
      </c>
      <c r="G73" s="356">
        <f>G61+G59+G55+G49+G47+G38+G23+G18+G6+G57+G34+G32+G12+G53+G14+G51+G4+G36+G16</f>
        <v>56981</v>
      </c>
      <c r="H73" s="357">
        <f>(F73-G73)/G73</f>
        <v>0.17619908390516137</v>
      </c>
      <c r="I73" s="388">
        <f>+H73/H73</f>
        <v>1</v>
      </c>
      <c r="K73" s="170" t="s">
        <v>135</v>
      </c>
      <c r="L73" s="356">
        <f>L61+L59+L55+L49+L47+L38+L23+L18+L6+L57+L34+L32+L12+L53+L14+L51+L4+L36+L16</f>
        <v>2755621</v>
      </c>
      <c r="M73" s="356">
        <f>M61+M59+M55+M49+M47+M38+M23+M18+M6+M57+M34+M32+M12+M53+M14+M51+M4+M36+M16</f>
        <v>1666020</v>
      </c>
      <c r="N73" s="357">
        <f>(L73-M73)/M73</f>
        <v>0.65401435757073745</v>
      </c>
      <c r="O73" s="356">
        <f>O61+O59+O55+O49+O47+O38+O23+O18+O6+O57+O34+O32+O12+O53+O14+O51+O4+O36+O16</f>
        <v>6725184</v>
      </c>
      <c r="P73" s="356">
        <f>P61+P59+P55+P49+P47+P38+P23+P18+P6+P57+P34+P32+P12+P53+P14+P51+P4+P36+P16</f>
        <v>3805436</v>
      </c>
      <c r="Q73" s="444">
        <f>(O73-P73)/P73</f>
        <v>0.76725715529048444</v>
      </c>
      <c r="R73" s="388">
        <f>+Q73/Q73</f>
        <v>1</v>
      </c>
      <c r="S73" s="3"/>
      <c r="T73" s="170" t="s">
        <v>135</v>
      </c>
      <c r="U73" s="356">
        <f>U61+U59+U55+U49+U47+U38+U23+U18+U6+U57+U34+U32+U12+U53+U14+U51+U4+U36+U16</f>
        <v>7267873</v>
      </c>
      <c r="V73" s="356">
        <f>V61+V59+V55+V49+V47+V38+V23+V18+V6+V57+V34+V32+V12+V53+V14+V51+V4+V36+V16</f>
        <v>4126551</v>
      </c>
      <c r="W73" s="357">
        <f>(U73-V73)/V73</f>
        <v>0.76124637742269508</v>
      </c>
      <c r="X73" s="356">
        <f>X61+X59+X55+X49+X47+X38+X23+X18+X6+X57+X34+X32+X12+X53+X14+X51+X4+X36+X16</f>
        <v>19626214</v>
      </c>
      <c r="Y73" s="356">
        <f>Y61+Y59+Y55+Y49+Y47+Y38+Y23+Y18+Y6+Y57+Y34+Y32+Y12+Y53+Y14+Y51+Y4+Y36+Y16</f>
        <v>10536200</v>
      </c>
      <c r="Z73" s="444">
        <f>(X73-Y73)/Y73</f>
        <v>0.86274121599817766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March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opLeftCell="A10" zoomScaleNormal="100" zoomScaleSheetLayoutView="100" workbookViewId="0">
      <selection activeCell="C9" sqref="C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3">
        <v>44621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[3]American!$HT$22</f>
        <v>48664</v>
      </c>
      <c r="C4" s="13">
        <f>[3]Delta!$HT$22+[3]Delta!$HT$32</f>
        <v>749670</v>
      </c>
      <c r="D4" s="13">
        <f>[3]United!$HT$22</f>
        <v>42455</v>
      </c>
      <c r="E4" s="13">
        <f>[3]Spirit!$HT$22</f>
        <v>35042</v>
      </c>
      <c r="F4" s="13">
        <f>[3]Condor!$HT$22</f>
        <v>0</v>
      </c>
      <c r="G4" s="13">
        <f>'[3]Air France'!$HT$32</f>
        <v>0</v>
      </c>
      <c r="H4" s="13">
        <f>'[3]Jet Blue'!$HT$22</f>
        <v>5122</v>
      </c>
      <c r="I4" s="13">
        <f>[3]KLM!$HT$22+[3]KLM!$HT$32</f>
        <v>3142</v>
      </c>
      <c r="J4" s="13">
        <f>'Other Major Airline Stats'!K5</f>
        <v>262305</v>
      </c>
      <c r="K4" s="219">
        <f>SUM(B4:J4)</f>
        <v>1146400</v>
      </c>
    </row>
    <row r="5" spans="1:20" x14ac:dyDescent="0.2">
      <c r="A5" s="46" t="s">
        <v>31</v>
      </c>
      <c r="B5" s="7">
        <f>[3]American!$HT$23</f>
        <v>49688</v>
      </c>
      <c r="C5" s="7">
        <f>[3]Delta!$HT$23+[3]Delta!$HT$33</f>
        <v>765095</v>
      </c>
      <c r="D5" s="7">
        <f>[3]United!$HT$23</f>
        <v>42874</v>
      </c>
      <c r="E5" s="7">
        <f>[3]Spirit!$HT$23</f>
        <v>35859</v>
      </c>
      <c r="F5" s="7">
        <f>[3]Condor!$HT$23</f>
        <v>0</v>
      </c>
      <c r="G5" s="7">
        <f>'[3]Air France'!$HT$33</f>
        <v>0</v>
      </c>
      <c r="H5" s="7">
        <f>'[3]Jet Blue'!$HT$23</f>
        <v>4836</v>
      </c>
      <c r="I5" s="7">
        <f>[3]KLM!$HT$23+[3]KLM!$HT$33</f>
        <v>2587</v>
      </c>
      <c r="J5" s="7">
        <f>'Other Major Airline Stats'!K6</f>
        <v>266211</v>
      </c>
      <c r="K5" s="220">
        <f>SUM(B5:J5)</f>
        <v>1167150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98352</v>
      </c>
      <c r="C6" s="25">
        <f t="shared" si="0"/>
        <v>1514765</v>
      </c>
      <c r="D6" s="25">
        <f t="shared" si="0"/>
        <v>85329</v>
      </c>
      <c r="E6" s="25">
        <f t="shared" si="0"/>
        <v>70901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9958</v>
      </c>
      <c r="I6" s="25">
        <f t="shared" si="1"/>
        <v>5729</v>
      </c>
      <c r="J6" s="25">
        <f>SUM(J4:J5)</f>
        <v>528516</v>
      </c>
      <c r="K6" s="221">
        <f>SUM(B6:J6)</f>
        <v>2313550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[3]American!$HT$27</f>
        <v>958</v>
      </c>
      <c r="C9" s="13">
        <f>[3]Delta!$HT$27+[3]Delta!$HT$37</f>
        <v>23177</v>
      </c>
      <c r="D9" s="13">
        <f>[3]United!$HT$27</f>
        <v>1124</v>
      </c>
      <c r="E9" s="13">
        <f>[3]Spirit!$HT$27</f>
        <v>160</v>
      </c>
      <c r="F9" s="13">
        <f>[3]Condor!$HT$27</f>
        <v>0</v>
      </c>
      <c r="G9" s="13">
        <f>'[3]Air France'!$HT$37</f>
        <v>0</v>
      </c>
      <c r="H9" s="13">
        <f>'[3]Jet Blue'!$HT$27</f>
        <v>177</v>
      </c>
      <c r="I9" s="13">
        <f>[3]KLM!$HT$27+[3]KLM!$HT$37</f>
        <v>5</v>
      </c>
      <c r="J9" s="13">
        <f>'Other Major Airline Stats'!K10</f>
        <v>3769</v>
      </c>
      <c r="K9" s="219">
        <f>SUM(B9:J9)</f>
        <v>29370</v>
      </c>
      <c r="N9" s="244"/>
    </row>
    <row r="10" spans="1:20" x14ac:dyDescent="0.2">
      <c r="A10" s="46" t="s">
        <v>33</v>
      </c>
      <c r="B10" s="7">
        <f>[3]American!$HT$28</f>
        <v>1190</v>
      </c>
      <c r="C10" s="7">
        <f>[3]Delta!$HT$28+[3]Delta!$HT$38</f>
        <v>23584</v>
      </c>
      <c r="D10" s="7">
        <f>[3]United!$HT$28</f>
        <v>1173</v>
      </c>
      <c r="E10" s="7">
        <f>[3]Spirit!$HT$28</f>
        <v>144</v>
      </c>
      <c r="F10" s="7">
        <f>[3]Condor!$HT$28</f>
        <v>0</v>
      </c>
      <c r="G10" s="7">
        <f>'[3]Air France'!$HT$38</f>
        <v>0</v>
      </c>
      <c r="H10" s="7">
        <f>'[3]Jet Blue'!$HT$28</f>
        <v>197</v>
      </c>
      <c r="I10" s="7">
        <f>[3]KLM!$HT$28+[3]KLM!$HT$38</f>
        <v>0</v>
      </c>
      <c r="J10" s="7">
        <f>'Other Major Airline Stats'!K11</f>
        <v>4156</v>
      </c>
      <c r="K10" s="220">
        <f>SUM(B10:J10)</f>
        <v>30444</v>
      </c>
    </row>
    <row r="11" spans="1:20" ht="15.75" thickBot="1" x14ac:dyDescent="0.3">
      <c r="A11" s="47" t="s">
        <v>34</v>
      </c>
      <c r="B11" s="222">
        <f t="shared" ref="B11:J11" si="3">SUM(B9:B10)</f>
        <v>2148</v>
      </c>
      <c r="C11" s="222">
        <f t="shared" si="3"/>
        <v>46761</v>
      </c>
      <c r="D11" s="222">
        <f t="shared" si="3"/>
        <v>2297</v>
      </c>
      <c r="E11" s="222">
        <f t="shared" si="3"/>
        <v>304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374</v>
      </c>
      <c r="I11" s="222">
        <f t="shared" si="4"/>
        <v>5</v>
      </c>
      <c r="J11" s="222">
        <f t="shared" si="3"/>
        <v>7925</v>
      </c>
      <c r="K11" s="223">
        <f>SUM(B11:J11)</f>
        <v>59814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[3]American!$HT$4</f>
        <v>320</v>
      </c>
      <c r="C15" s="13">
        <f>[3]Delta!$HT$4+[3]Delta!$HT$15</f>
        <v>5168</v>
      </c>
      <c r="D15" s="13">
        <f>[3]United!$HT$4</f>
        <v>313</v>
      </c>
      <c r="E15" s="13">
        <f>[3]Spirit!$HT$4</f>
        <v>219</v>
      </c>
      <c r="F15" s="13">
        <f>[3]Condor!$HT$4</f>
        <v>0</v>
      </c>
      <c r="G15" s="13">
        <f>'[3]Air France'!$HT$15</f>
        <v>0</v>
      </c>
      <c r="H15" s="13">
        <f>'[3]Jet Blue'!$HT$4</f>
        <v>60</v>
      </c>
      <c r="I15" s="13">
        <f>[3]KLM!$HT$4+[3]KLM!$HT$15</f>
        <v>14</v>
      </c>
      <c r="J15" s="13">
        <f>'Other Major Airline Stats'!K16</f>
        <v>1774</v>
      </c>
      <c r="K15" s="18">
        <f>SUM(B15:J15)</f>
        <v>7868</v>
      </c>
    </row>
    <row r="16" spans="1:20" x14ac:dyDescent="0.2">
      <c r="A16" s="46" t="s">
        <v>23</v>
      </c>
      <c r="B16" s="7">
        <f>[3]American!$HT$5</f>
        <v>322</v>
      </c>
      <c r="C16" s="7">
        <f>[3]Delta!$HT$5+[3]Delta!$HT$16</f>
        <v>5167</v>
      </c>
      <c r="D16" s="7">
        <f>[3]United!$HT$5</f>
        <v>312</v>
      </c>
      <c r="E16" s="7">
        <f>[3]Spirit!$HT$5</f>
        <v>221</v>
      </c>
      <c r="F16" s="7">
        <f>[3]Condor!$HT$5</f>
        <v>0</v>
      </c>
      <c r="G16" s="7">
        <f>'[3]Air France'!$HT$16</f>
        <v>0</v>
      </c>
      <c r="H16" s="7">
        <f>'[3]Jet Blue'!$HT$5</f>
        <v>60</v>
      </c>
      <c r="I16" s="7">
        <f>[3]KLM!$HT$5+[3]KLM!$HT$16</f>
        <v>14</v>
      </c>
      <c r="J16" s="7">
        <f>'Other Major Airline Stats'!K17</f>
        <v>1781</v>
      </c>
      <c r="K16" s="24">
        <f>SUM(B16:J16)</f>
        <v>7877</v>
      </c>
    </row>
    <row r="17" spans="1:11" x14ac:dyDescent="0.2">
      <c r="A17" s="46" t="s">
        <v>24</v>
      </c>
      <c r="B17" s="226">
        <f t="shared" ref="B17:J17" si="6">SUM(B15:B16)</f>
        <v>642</v>
      </c>
      <c r="C17" s="224">
        <f t="shared" si="6"/>
        <v>10335</v>
      </c>
      <c r="D17" s="224">
        <f t="shared" si="6"/>
        <v>625</v>
      </c>
      <c r="E17" s="224">
        <f t="shared" si="6"/>
        <v>440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120</v>
      </c>
      <c r="I17" s="224">
        <f t="shared" si="7"/>
        <v>28</v>
      </c>
      <c r="J17" s="224">
        <f t="shared" si="6"/>
        <v>3555</v>
      </c>
      <c r="K17" s="225">
        <f>SUM(B17:J17)</f>
        <v>15745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[3]American!$HT$8</f>
        <v>0</v>
      </c>
      <c r="C19" s="13">
        <f>[3]Delta!$HT$8</f>
        <v>2</v>
      </c>
      <c r="D19" s="13">
        <f>[3]United!$HT$8</f>
        <v>0</v>
      </c>
      <c r="E19" s="13">
        <f>[3]Spirit!$HT$8</f>
        <v>0</v>
      </c>
      <c r="F19" s="13">
        <f>[3]Condor!$HT$8</f>
        <v>0</v>
      </c>
      <c r="G19" s="13">
        <f>'[3]Air France'!$HT$8</f>
        <v>0</v>
      </c>
      <c r="H19" s="13">
        <f>'[3]Jet Blue'!$HT$8</f>
        <v>0</v>
      </c>
      <c r="I19" s="13">
        <f>[3]KLM!$HT$8</f>
        <v>0</v>
      </c>
      <c r="J19" s="13">
        <f>'Other Major Airline Stats'!K20</f>
        <v>77</v>
      </c>
      <c r="K19" s="18">
        <f>SUM(B19:J19)</f>
        <v>79</v>
      </c>
    </row>
    <row r="20" spans="1:11" x14ac:dyDescent="0.2">
      <c r="A20" s="46" t="s">
        <v>26</v>
      </c>
      <c r="B20" s="7">
        <f>[3]American!$HT$9</f>
        <v>0</v>
      </c>
      <c r="C20" s="7">
        <f>[3]Delta!$HT$9</f>
        <v>12</v>
      </c>
      <c r="D20" s="7">
        <f>[3]United!$HT$9</f>
        <v>0</v>
      </c>
      <c r="E20" s="7">
        <f>[3]Spirit!$HT$9</f>
        <v>0</v>
      </c>
      <c r="F20" s="7">
        <f>[3]Condor!$HT$9</f>
        <v>0</v>
      </c>
      <c r="G20" s="7">
        <f>'[3]Air France'!$HT$9</f>
        <v>0</v>
      </c>
      <c r="H20" s="7">
        <f>'[3]Jet Blue'!$HT$9</f>
        <v>0</v>
      </c>
      <c r="I20" s="7">
        <f>[3]KLM!$HT$9</f>
        <v>0</v>
      </c>
      <c r="J20" s="7">
        <f>'Other Major Airline Stats'!K21</f>
        <v>73</v>
      </c>
      <c r="K20" s="24">
        <f>SUM(B20:J20)</f>
        <v>85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14</v>
      </c>
      <c r="D21" s="224">
        <f t="shared" si="9"/>
        <v>0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150</v>
      </c>
      <c r="K21" s="146">
        <f>SUM(B21:J21)</f>
        <v>164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642</v>
      </c>
      <c r="C23" s="19">
        <f t="shared" si="12"/>
        <v>10349</v>
      </c>
      <c r="D23" s="19">
        <f t="shared" si="12"/>
        <v>625</v>
      </c>
      <c r="E23" s="19">
        <f>E17+E21</f>
        <v>440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120</v>
      </c>
      <c r="I23" s="19">
        <f t="shared" si="13"/>
        <v>28</v>
      </c>
      <c r="J23" s="19">
        <f t="shared" si="12"/>
        <v>3705</v>
      </c>
      <c r="K23" s="20">
        <f>SUM(B23:J23)</f>
        <v>15909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[3]American!$HT$47</f>
        <v>32000</v>
      </c>
      <c r="C28" s="13">
        <f>[3]Delta!$HT$47</f>
        <v>2023919</v>
      </c>
      <c r="D28" s="13">
        <f>[3]United!$HT$47</f>
        <v>30633</v>
      </c>
      <c r="E28" s="13">
        <f>[3]Spirit!$HT$47</f>
        <v>0</v>
      </c>
      <c r="F28" s="13">
        <f>[3]Condor!$HT$47</f>
        <v>0</v>
      </c>
      <c r="G28" s="13">
        <f>'[3]Air France'!$HT$47</f>
        <v>0</v>
      </c>
      <c r="H28" s="13">
        <f>'[3]Jet Blue'!$HT$47</f>
        <v>0</v>
      </c>
      <c r="I28" s="13">
        <f>[3]KLM!$HT$47</f>
        <v>576945</v>
      </c>
      <c r="J28" s="13">
        <f>'Other Major Airline Stats'!K28</f>
        <v>255557</v>
      </c>
      <c r="K28" s="18">
        <f>SUM(B28:J28)</f>
        <v>2919054</v>
      </c>
    </row>
    <row r="29" spans="1:11" x14ac:dyDescent="0.2">
      <c r="A29" s="46" t="s">
        <v>38</v>
      </c>
      <c r="B29" s="7">
        <f>[3]American!$HT$48</f>
        <v>78986</v>
      </c>
      <c r="C29" s="7">
        <f>[3]Delta!$HT$48</f>
        <v>1203744</v>
      </c>
      <c r="D29" s="7">
        <f>[3]United!$HT$48</f>
        <v>30877</v>
      </c>
      <c r="E29" s="7">
        <f>[3]Spirit!$HT$48</f>
        <v>0</v>
      </c>
      <c r="F29" s="7">
        <f>[3]Condor!$HT$48</f>
        <v>0</v>
      </c>
      <c r="G29" s="7">
        <f>'[3]Air France'!$HT$48</f>
        <v>0</v>
      </c>
      <c r="H29" s="7">
        <f>'[3]Jet Blue'!$HT$48</f>
        <v>0</v>
      </c>
      <c r="I29" s="7">
        <f>[3]KLM!$HT$48</f>
        <v>0</v>
      </c>
      <c r="J29" s="7">
        <f>'Other Major Airline Stats'!K29</f>
        <v>12225</v>
      </c>
      <c r="K29" s="24">
        <f>SUM(B29:J29)</f>
        <v>1325832</v>
      </c>
    </row>
    <row r="30" spans="1:11" x14ac:dyDescent="0.2">
      <c r="A30" s="50" t="s">
        <v>39</v>
      </c>
      <c r="B30" s="226">
        <f t="shared" ref="B30:J30" si="15">SUM(B28:B29)</f>
        <v>110986</v>
      </c>
      <c r="C30" s="226">
        <f t="shared" si="15"/>
        <v>3227663</v>
      </c>
      <c r="D30" s="226">
        <f t="shared" si="15"/>
        <v>61510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576945</v>
      </c>
      <c r="J30" s="226">
        <f t="shared" si="15"/>
        <v>267782</v>
      </c>
      <c r="K30" s="18">
        <f>SUM(B30:J30)</f>
        <v>4244886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[3]American!$HT$52</f>
        <v>5188</v>
      </c>
      <c r="C33" s="13">
        <f>[3]Delta!$HT$52</f>
        <v>1302683</v>
      </c>
      <c r="D33" s="13">
        <f>[3]United!$HT$52</f>
        <v>3760</v>
      </c>
      <c r="E33" s="13">
        <f>[3]Spirit!$HT$52</f>
        <v>0</v>
      </c>
      <c r="F33" s="13">
        <f>[3]Condor!$HT$52</f>
        <v>0</v>
      </c>
      <c r="G33" s="13">
        <f>'[3]Air France'!$HT$52</f>
        <v>0</v>
      </c>
      <c r="H33" s="13">
        <f>'[3]Jet Blue'!$HT$52</f>
        <v>0</v>
      </c>
      <c r="I33" s="13">
        <f>[3]KLM!$HT$52</f>
        <v>298382</v>
      </c>
      <c r="J33" s="13">
        <f>'Other Major Airline Stats'!K33</f>
        <v>46731</v>
      </c>
      <c r="K33" s="18">
        <f t="shared" si="18"/>
        <v>1656744</v>
      </c>
    </row>
    <row r="34" spans="1:11" x14ac:dyDescent="0.2">
      <c r="A34" s="46" t="s">
        <v>38</v>
      </c>
      <c r="B34" s="7">
        <f>[3]American!$HT$53</f>
        <v>11160</v>
      </c>
      <c r="C34" s="7">
        <f>[3]Delta!$HT$53</f>
        <v>1164934</v>
      </c>
      <c r="D34" s="7">
        <f>[3]United!$HT$53</f>
        <v>18841</v>
      </c>
      <c r="E34" s="7">
        <f>[3]Spirit!$HT$53</f>
        <v>0</v>
      </c>
      <c r="F34" s="7">
        <f>[3]Condor!$HT$53</f>
        <v>0</v>
      </c>
      <c r="G34" s="7">
        <f>'[3]Air France'!$HT$53</f>
        <v>0</v>
      </c>
      <c r="H34" s="7">
        <f>'[3]Jet Blue'!$HT$53</f>
        <v>0</v>
      </c>
      <c r="I34" s="7">
        <f>[3]KLM!$HT$53</f>
        <v>0</v>
      </c>
      <c r="J34" s="7">
        <f>'Other Major Airline Stats'!K34</f>
        <v>166976</v>
      </c>
      <c r="K34" s="24">
        <f t="shared" si="18"/>
        <v>1361911</v>
      </c>
    </row>
    <row r="35" spans="1:11" x14ac:dyDescent="0.2">
      <c r="A35" s="50" t="s">
        <v>41</v>
      </c>
      <c r="B35" s="226">
        <f t="shared" ref="B35:J35" si="19">SUM(B33:B34)</f>
        <v>16348</v>
      </c>
      <c r="C35" s="226">
        <f t="shared" si="19"/>
        <v>2467617</v>
      </c>
      <c r="D35" s="226">
        <f t="shared" si="19"/>
        <v>22601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298382</v>
      </c>
      <c r="J35" s="226">
        <f t="shared" si="19"/>
        <v>213707</v>
      </c>
      <c r="K35" s="18">
        <f t="shared" si="18"/>
        <v>3018655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[3]American!$HT$57</f>
        <v>0</v>
      </c>
      <c r="C38" s="13">
        <f>[3]Delta!$HT$57</f>
        <v>0</v>
      </c>
      <c r="D38" s="13">
        <f>[3]United!$HT$57</f>
        <v>0</v>
      </c>
      <c r="E38" s="13">
        <f>[3]Spirit!$HT$57</f>
        <v>0</v>
      </c>
      <c r="F38" s="13">
        <f>[3]Condor!$HT$57</f>
        <v>0</v>
      </c>
      <c r="G38" s="13">
        <f>'[3]Air France'!$HT$57</f>
        <v>0</v>
      </c>
      <c r="H38" s="13">
        <f>'[3]Jet Blue'!$HT$57</f>
        <v>0</v>
      </c>
      <c r="I38" s="13">
        <f>[3]KLM!$HT$57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[3]American!$HT$58</f>
        <v>0</v>
      </c>
      <c r="C39" s="7">
        <f>[3]Delta!$HT$58</f>
        <v>0</v>
      </c>
      <c r="D39" s="7">
        <f>[3]United!$HT$58</f>
        <v>0</v>
      </c>
      <c r="E39" s="7">
        <f>[3]Spirit!$HT$58</f>
        <v>0</v>
      </c>
      <c r="F39" s="7">
        <f>[3]Condor!$HT$58</f>
        <v>0</v>
      </c>
      <c r="G39" s="7">
        <f>'[3]Air France'!$HT$58</f>
        <v>0</v>
      </c>
      <c r="H39" s="7">
        <f>'[3]Jet Blue'!$HT$58</f>
        <v>0</v>
      </c>
      <c r="I39" s="7">
        <f>[3]KLM!$HT$58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37188</v>
      </c>
      <c r="C43" s="13">
        <f t="shared" si="25"/>
        <v>3326602</v>
      </c>
      <c r="D43" s="13">
        <f t="shared" si="25"/>
        <v>34393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875327</v>
      </c>
      <c r="J43" s="13">
        <f t="shared" si="25"/>
        <v>302288</v>
      </c>
      <c r="K43" s="18">
        <f>SUM(B43:J43)</f>
        <v>4575798</v>
      </c>
    </row>
    <row r="44" spans="1:11" x14ac:dyDescent="0.2">
      <c r="A44" s="46" t="s">
        <v>38</v>
      </c>
      <c r="B44" s="7">
        <f t="shared" si="25"/>
        <v>90146</v>
      </c>
      <c r="C44" s="7">
        <f t="shared" si="25"/>
        <v>2368678</v>
      </c>
      <c r="D44" s="7">
        <f t="shared" si="25"/>
        <v>49718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179201</v>
      </c>
      <c r="K44" s="18">
        <f>SUM(B44:J44)</f>
        <v>2687743</v>
      </c>
    </row>
    <row r="45" spans="1:11" ht="15.75" thickBot="1" x14ac:dyDescent="0.3">
      <c r="A45" s="47" t="s">
        <v>46</v>
      </c>
      <c r="B45" s="227">
        <f t="shared" ref="B45:J45" si="30">SUM(B43:B44)</f>
        <v>127334</v>
      </c>
      <c r="C45" s="227">
        <f t="shared" si="30"/>
        <v>5695280</v>
      </c>
      <c r="D45" s="227">
        <f t="shared" si="30"/>
        <v>84111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875327</v>
      </c>
      <c r="J45" s="227">
        <f t="shared" si="30"/>
        <v>481489</v>
      </c>
      <c r="K45" s="228">
        <f>SUM(B45:J45)</f>
        <v>7263541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[3]Delta!$HT$70+[3]Delta!$HT$73</f>
        <v>530522</v>
      </c>
      <c r="D47" s="241"/>
      <c r="E47" s="241"/>
      <c r="F47" s="241"/>
      <c r="G47" s="241"/>
      <c r="H47" s="241"/>
      <c r="I47" s="241"/>
      <c r="J47" s="241"/>
      <c r="K47" s="242">
        <f>SUM(B47:J47)</f>
        <v>530522</v>
      </c>
    </row>
    <row r="48" spans="1:11" hidden="1" x14ac:dyDescent="0.2">
      <c r="A48" s="302" t="s">
        <v>122</v>
      </c>
      <c r="C48" s="253">
        <f>[3]Delta!$HT$71+[3]Delta!$HT$74</f>
        <v>234573</v>
      </c>
      <c r="D48" s="241"/>
      <c r="E48" s="241"/>
      <c r="F48" s="241"/>
      <c r="G48" s="241"/>
      <c r="H48" s="241"/>
      <c r="I48" s="241"/>
      <c r="J48" s="241"/>
      <c r="K48" s="242">
        <f>SUM(B48:J48)</f>
        <v>234573</v>
      </c>
    </row>
    <row r="49" spans="1:11" hidden="1" x14ac:dyDescent="0.2">
      <c r="A49" s="303" t="s">
        <v>123</v>
      </c>
      <c r="C49" s="254">
        <f>SUM(C47:C48)</f>
        <v>765095</v>
      </c>
      <c r="K49" s="242">
        <f>SUM(B49:J49)</f>
        <v>765095</v>
      </c>
    </row>
    <row r="50" spans="1:11" x14ac:dyDescent="0.2">
      <c r="A50" s="301" t="s">
        <v>121</v>
      </c>
      <c r="B50" s="312"/>
      <c r="C50" s="256">
        <f>[3]Delta!$HT$70+[3]Delta!$HT$73</f>
        <v>530522</v>
      </c>
      <c r="D50" s="312"/>
      <c r="E50" s="256">
        <f>[3]Spirit!$HT$70+[3]Spirit!$HT$73</f>
        <v>0</v>
      </c>
      <c r="F50" s="312"/>
      <c r="G50" s="312"/>
      <c r="H50" s="312"/>
      <c r="I50" s="312"/>
      <c r="J50" s="255">
        <f>'Other Major Airline Stats'!K48</f>
        <v>233796</v>
      </c>
      <c r="K50" s="245">
        <f>SUM(B50:J50)</f>
        <v>764318</v>
      </c>
    </row>
    <row r="51" spans="1:11" x14ac:dyDescent="0.2">
      <c r="A51" s="314" t="s">
        <v>122</v>
      </c>
      <c r="B51" s="312"/>
      <c r="C51" s="256">
        <f>[3]Delta!$HT$71+[3]Delta!$HT$74</f>
        <v>234573</v>
      </c>
      <c r="D51" s="312"/>
      <c r="E51" s="256">
        <f>[3]Spirit!$HT$71+[3]Spirit!$HT$74</f>
        <v>0</v>
      </c>
      <c r="F51" s="312"/>
      <c r="G51" s="312"/>
      <c r="H51" s="312"/>
      <c r="I51" s="312"/>
      <c r="J51" s="255">
        <f>+'Other Major Airline Stats'!K49</f>
        <v>222</v>
      </c>
      <c r="K51" s="245">
        <f>SUM(B51:J51)</f>
        <v>234795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topLeftCell="A7" zoomScaleNormal="100" workbookViewId="0">
      <selection activeCell="I35" sqref="I3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3">
        <v>44621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[3]Frontier!$HT$22+[3]Frontier!$HT$32</f>
        <v>15202</v>
      </c>
      <c r="C5" s="96">
        <f>'[3]Allegiant '!$HT$22</f>
        <v>8912</v>
      </c>
      <c r="D5" s="96">
        <f>'[3]Aer Lingus'!$HT$22+'[3]Aer Lingus'!$HT$32</f>
        <v>0</v>
      </c>
      <c r="E5" s="96">
        <f>'[3]Denver Air'!$HT$22+'[3]Denver Air'!$HT$32</f>
        <v>927</v>
      </c>
      <c r="F5" s="96">
        <f>'[3]Boutique Air'!$HT$22</f>
        <v>0</v>
      </c>
      <c r="G5" s="96">
        <f>[3]Icelandair!$HT$32</f>
        <v>0</v>
      </c>
      <c r="H5" s="96">
        <f>[3]Southwest!$HT$22</f>
        <v>50593</v>
      </c>
      <c r="I5" s="96">
        <f>'[3]Sun Country'!$HT$22+'[3]Sun Country'!$HT$32</f>
        <v>178241</v>
      </c>
      <c r="J5" s="96">
        <f>[3]Alaska!$HT$22</f>
        <v>8430</v>
      </c>
      <c r="K5" s="119">
        <f>SUM(B5:J5)</f>
        <v>262305</v>
      </c>
      <c r="N5" s="96"/>
    </row>
    <row r="6" spans="1:14" x14ac:dyDescent="0.2">
      <c r="A6" s="46" t="s">
        <v>31</v>
      </c>
      <c r="B6" s="96">
        <f>[3]Frontier!$HT$23+[3]Frontier!$HT$33</f>
        <v>14345</v>
      </c>
      <c r="C6" s="96">
        <f>'[3]Allegiant '!$HT$23</f>
        <v>8406</v>
      </c>
      <c r="D6" s="96">
        <f>'[3]Aer Lingus'!$HT$23+'[3]Aer Lingus'!$HT$33</f>
        <v>0</v>
      </c>
      <c r="E6" s="96">
        <f>'[3]Denver Air'!$HT$23+'[3]Denver Air'!$HT$33</f>
        <v>779</v>
      </c>
      <c r="F6" s="96">
        <f>'[3]Boutique Air'!$HT$23</f>
        <v>0</v>
      </c>
      <c r="G6" s="96">
        <f>[3]Icelandair!$HT$33</f>
        <v>0</v>
      </c>
      <c r="H6" s="96">
        <f>[3]Southwest!$HT$23</f>
        <v>51647</v>
      </c>
      <c r="I6" s="96">
        <f>'[3]Sun Country'!$HT$23+'[3]Sun Country'!$HT$33</f>
        <v>182371</v>
      </c>
      <c r="J6" s="96">
        <f>[3]Alaska!$HT$23</f>
        <v>8663</v>
      </c>
      <c r="K6" s="119">
        <f>SUM(B6:J6)</f>
        <v>266211</v>
      </c>
    </row>
    <row r="7" spans="1:14" ht="15" x14ac:dyDescent="0.25">
      <c r="A7" s="44" t="s">
        <v>7</v>
      </c>
      <c r="B7" s="127">
        <f>SUM(B5:B6)</f>
        <v>29547</v>
      </c>
      <c r="C7" s="127">
        <f t="shared" ref="C7:F7" si="0">SUM(C5:C6)</f>
        <v>17318</v>
      </c>
      <c r="D7" s="127">
        <f>SUM(D5:D6)</f>
        <v>0</v>
      </c>
      <c r="E7" s="127">
        <f>SUM(E5:E6)</f>
        <v>1706</v>
      </c>
      <c r="F7" s="127">
        <f t="shared" si="0"/>
        <v>0</v>
      </c>
      <c r="G7" s="127">
        <f t="shared" ref="G7:J7" si="1">SUM(G5:G6)</f>
        <v>0</v>
      </c>
      <c r="H7" s="127">
        <f t="shared" si="1"/>
        <v>102240</v>
      </c>
      <c r="I7" s="127">
        <f>SUM(I5:I6)</f>
        <v>360612</v>
      </c>
      <c r="J7" s="127">
        <f t="shared" si="1"/>
        <v>17093</v>
      </c>
      <c r="K7" s="128">
        <f>SUM(B7:J7)</f>
        <v>528516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[3]Frontier!$HT$27+[3]Frontier!$HT$37</f>
        <v>111</v>
      </c>
      <c r="C10" s="126">
        <f>'[3]Allegiant '!$HT$27</f>
        <v>0</v>
      </c>
      <c r="D10" s="395">
        <f>'[3]Aer Lingus'!$HT$27+'[3]Aer Lingus'!$HT$37</f>
        <v>0</v>
      </c>
      <c r="E10" s="126">
        <f>'[3]Denver Air'!$HT$27+'[3]Denver Air'!$HT$37</f>
        <v>42</v>
      </c>
      <c r="F10" s="126">
        <f>'[3]Boutique Air'!$HT$27</f>
        <v>0</v>
      </c>
      <c r="G10" s="126">
        <f>[3]Icelandair!$HT$37</f>
        <v>0</v>
      </c>
      <c r="H10" s="126">
        <f>[3]Southwest!$HT$27</f>
        <v>889</v>
      </c>
      <c r="I10" s="126">
        <f>'[3]Sun Country'!$HT$27+'[3]Sun Country'!$HT$37</f>
        <v>2553</v>
      </c>
      <c r="J10" s="126">
        <f>[3]Alaska!$HT$27</f>
        <v>174</v>
      </c>
      <c r="K10" s="119">
        <f>SUM(B10:J10)</f>
        <v>3769</v>
      </c>
    </row>
    <row r="11" spans="1:14" x14ac:dyDescent="0.2">
      <c r="A11" s="46" t="s">
        <v>33</v>
      </c>
      <c r="B11" s="129">
        <f>[3]Frontier!$HT$28+[3]Frontier!$HT$38</f>
        <v>86</v>
      </c>
      <c r="C11" s="129">
        <f>'[3]Allegiant '!$HT$28</f>
        <v>0</v>
      </c>
      <c r="D11" s="129">
        <f>'[3]Aer Lingus'!$HT$28+'[3]Aer Lingus'!$HT$38</f>
        <v>0</v>
      </c>
      <c r="E11" s="129">
        <f>'[3]Denver Air'!$HT$28+'[3]Denver Air'!$HT$38</f>
        <v>44</v>
      </c>
      <c r="F11" s="129">
        <f>'[3]Boutique Air'!$HT$28</f>
        <v>0</v>
      </c>
      <c r="G11" s="129">
        <f>[3]Icelandair!$HT$38</f>
        <v>0</v>
      </c>
      <c r="H11" s="129">
        <f>[3]Southwest!$HT$28</f>
        <v>1008</v>
      </c>
      <c r="I11" s="129">
        <f>'[3]Sun Country'!$HT$28+'[3]Sun Country'!$HT$38</f>
        <v>2797</v>
      </c>
      <c r="J11" s="129">
        <f>[3]Alaska!$HT$28</f>
        <v>221</v>
      </c>
      <c r="K11" s="119">
        <f>SUM(B11:J11)</f>
        <v>4156</v>
      </c>
    </row>
    <row r="12" spans="1:14" ht="15.75" thickBot="1" x14ac:dyDescent="0.3">
      <c r="A12" s="47" t="s">
        <v>34</v>
      </c>
      <c r="B12" s="122">
        <f>SUM(B10:B11)</f>
        <v>197</v>
      </c>
      <c r="C12" s="122">
        <f t="shared" ref="C12:F12" si="2">SUM(C10:C11)</f>
        <v>0</v>
      </c>
      <c r="D12" s="122">
        <f>SUM(D10:D11)</f>
        <v>0</v>
      </c>
      <c r="E12" s="122">
        <f>SUM(E10:E11)</f>
        <v>86</v>
      </c>
      <c r="F12" s="122">
        <f t="shared" si="2"/>
        <v>0</v>
      </c>
      <c r="G12" s="122">
        <f t="shared" ref="G12:J12" si="3">SUM(G10:G11)</f>
        <v>0</v>
      </c>
      <c r="H12" s="122">
        <f t="shared" si="3"/>
        <v>1897</v>
      </c>
      <c r="I12" s="122">
        <f>SUM(I10:I11)</f>
        <v>5350</v>
      </c>
      <c r="J12" s="122">
        <f t="shared" si="3"/>
        <v>395</v>
      </c>
      <c r="K12" s="130">
        <f>SUM(B12:J12)</f>
        <v>7925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[3]Frontier!$HT$4+[3]Frontier!$HT$15</f>
        <v>92</v>
      </c>
      <c r="C16" s="86">
        <f>'[3]Allegiant '!$HT$4</f>
        <v>58</v>
      </c>
      <c r="D16" s="96">
        <f>'[3]Aer Lingus'!$HT$4+'[3]Aer Lingus'!$HT$15</f>
        <v>0</v>
      </c>
      <c r="E16" s="96">
        <f>'[3]Denver Air'!$HT$4+'[3]Denver Air'!$HT$15</f>
        <v>82</v>
      </c>
      <c r="F16" s="86">
        <f>'[3]Boutique Air'!$HT$4</f>
        <v>0</v>
      </c>
      <c r="G16" s="96">
        <f>[3]Icelandair!$HT$15</f>
        <v>0</v>
      </c>
      <c r="H16" s="86">
        <f>[3]Southwest!$HT$4</f>
        <v>394</v>
      </c>
      <c r="I16" s="96">
        <f>'[3]Sun Country'!$HT$4+'[3]Sun Country'!$HT$15</f>
        <v>1087</v>
      </c>
      <c r="J16" s="96">
        <f>[3]Alaska!$HT$4</f>
        <v>61</v>
      </c>
      <c r="K16" s="119">
        <f>SUM(B16:J16)</f>
        <v>1774</v>
      </c>
    </row>
    <row r="17" spans="1:258" x14ac:dyDescent="0.2">
      <c r="A17" s="46" t="s">
        <v>23</v>
      </c>
      <c r="B17" s="96">
        <f>[3]Frontier!$HT$5+[3]Frontier!$HT$16</f>
        <v>90</v>
      </c>
      <c r="C17" s="86">
        <f>'[3]Allegiant '!$HT$5</f>
        <v>58</v>
      </c>
      <c r="D17" s="96">
        <f>'[3]Aer Lingus'!$HT$5+'[3]Aer Lingus'!$HT$16</f>
        <v>0</v>
      </c>
      <c r="E17" s="96">
        <f>'[3]Denver Air'!$HT$5+'[3]Denver Air'!$HT$16</f>
        <v>82</v>
      </c>
      <c r="F17" s="86">
        <f>'[3]Boutique Air'!$HT$5</f>
        <v>0</v>
      </c>
      <c r="G17" s="96">
        <f>[3]Icelandair!$HT$16</f>
        <v>0</v>
      </c>
      <c r="H17" s="86">
        <f>[3]Southwest!$HT$5</f>
        <v>392</v>
      </c>
      <c r="I17" s="96">
        <f>'[3]Sun Country'!$HT$5+'[3]Sun Country'!$HT$16</f>
        <v>1097</v>
      </c>
      <c r="J17" s="96">
        <f>[3]Alaska!$HT$5</f>
        <v>62</v>
      </c>
      <c r="K17" s="119">
        <f>SUM(B17:J17)</f>
        <v>1781</v>
      </c>
    </row>
    <row r="18" spans="1:258" x14ac:dyDescent="0.2">
      <c r="A18" s="50" t="s">
        <v>24</v>
      </c>
      <c r="B18" s="120">
        <f t="shared" ref="B18" si="4">SUM(B16:B17)</f>
        <v>182</v>
      </c>
      <c r="C18" s="120">
        <f t="shared" ref="C18:F18" si="5">SUM(C16:C17)</f>
        <v>116</v>
      </c>
      <c r="D18" s="120">
        <f t="shared" si="5"/>
        <v>0</v>
      </c>
      <c r="E18" s="120">
        <f t="shared" si="5"/>
        <v>164</v>
      </c>
      <c r="F18" s="120">
        <f t="shared" si="5"/>
        <v>0</v>
      </c>
      <c r="G18" s="120">
        <f t="shared" ref="G18:J18" si="6">SUM(G16:G17)</f>
        <v>0</v>
      </c>
      <c r="H18" s="120">
        <f t="shared" si="6"/>
        <v>786</v>
      </c>
      <c r="I18" s="120">
        <f t="shared" si="6"/>
        <v>2184</v>
      </c>
      <c r="J18" s="120">
        <f t="shared" si="6"/>
        <v>123</v>
      </c>
      <c r="K18" s="121">
        <f>SUM(B18:J18)</f>
        <v>3555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[3]Frontier!$HT$8</f>
        <v>0</v>
      </c>
      <c r="C20" s="96">
        <f>'[3]Allegiant '!$HT$8</f>
        <v>0</v>
      </c>
      <c r="D20" s="96">
        <f>'[3]Aer Lingus'!$HT$8</f>
        <v>0</v>
      </c>
      <c r="E20" s="96">
        <f>'[3]Denver Air'!$HT$8</f>
        <v>0</v>
      </c>
      <c r="F20" s="96">
        <f>'[3]Boutique Air'!$HT$8</f>
        <v>0</v>
      </c>
      <c r="G20" s="96">
        <f>[3]Icelandair!$HT$8</f>
        <v>0</v>
      </c>
      <c r="H20" s="96">
        <f>[3]Southwest!$HT$8</f>
        <v>0</v>
      </c>
      <c r="I20" s="96">
        <f>'[3]Sun Country'!$HT$8</f>
        <v>77</v>
      </c>
      <c r="J20" s="96">
        <f>[3]Alaska!$HT$8</f>
        <v>0</v>
      </c>
      <c r="K20" s="119">
        <f>SUM(B20:J20)</f>
        <v>77</v>
      </c>
    </row>
    <row r="21" spans="1:258" x14ac:dyDescent="0.2">
      <c r="A21" s="46" t="s">
        <v>26</v>
      </c>
      <c r="B21" s="96">
        <f>[3]Frontier!$HT$9</f>
        <v>0</v>
      </c>
      <c r="C21" s="96">
        <f>'[3]Allegiant '!$HT$9</f>
        <v>0</v>
      </c>
      <c r="D21" s="96">
        <f>'[3]Aer Lingus'!$HT$9</f>
        <v>0</v>
      </c>
      <c r="E21" s="96">
        <f>'[3]Denver Air'!$HT$9</f>
        <v>0</v>
      </c>
      <c r="F21" s="96">
        <f>'[3]Boutique Air'!$HT$9</f>
        <v>0</v>
      </c>
      <c r="G21" s="96">
        <f>[3]Icelandair!$HT$9</f>
        <v>0</v>
      </c>
      <c r="H21" s="96">
        <f>[3]Southwest!$HT$9</f>
        <v>0</v>
      </c>
      <c r="I21" s="96">
        <f>'[3]Sun Country'!$HT$9</f>
        <v>73</v>
      </c>
      <c r="J21" s="96">
        <f>[3]Alaska!$HT$9</f>
        <v>0</v>
      </c>
      <c r="K21" s="119">
        <f>SUM(B21:J21)</f>
        <v>73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0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150</v>
      </c>
      <c r="J22" s="120">
        <f t="shared" si="9"/>
        <v>0</v>
      </c>
      <c r="K22" s="121">
        <f>SUM(B22:J22)</f>
        <v>150</v>
      </c>
    </row>
    <row r="23" spans="1:258" ht="15.75" thickBot="1" x14ac:dyDescent="0.3">
      <c r="A23" s="47" t="s">
        <v>28</v>
      </c>
      <c r="B23" s="122">
        <f t="shared" ref="B23" si="10">B22+B18</f>
        <v>182</v>
      </c>
      <c r="C23" s="122">
        <f t="shared" ref="C23:F23" si="11">C22+C18</f>
        <v>116</v>
      </c>
      <c r="D23" s="122">
        <f t="shared" si="11"/>
        <v>0</v>
      </c>
      <c r="E23" s="122">
        <f t="shared" si="11"/>
        <v>164</v>
      </c>
      <c r="F23" s="122">
        <f t="shared" si="11"/>
        <v>0</v>
      </c>
      <c r="G23" s="122">
        <f t="shared" ref="G23:J23" si="12">G22+G18</f>
        <v>0</v>
      </c>
      <c r="H23" s="122">
        <f t="shared" si="12"/>
        <v>786</v>
      </c>
      <c r="I23" s="122">
        <f t="shared" si="12"/>
        <v>2334</v>
      </c>
      <c r="J23" s="122">
        <f t="shared" si="12"/>
        <v>123</v>
      </c>
      <c r="K23" s="123">
        <f>SUM(B23:J23)</f>
        <v>3705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[3]Frontier!$HT$47</f>
        <v>0</v>
      </c>
      <c r="C28" s="96">
        <f>'[3]Allegiant '!$HT$47</f>
        <v>0</v>
      </c>
      <c r="D28" s="96">
        <f>'[3]Aer Lingus'!$HT$47</f>
        <v>0</v>
      </c>
      <c r="E28" s="96">
        <f>'[3]Denver Air'!$HT$47</f>
        <v>0</v>
      </c>
      <c r="F28" s="96">
        <f>'[3]Boutique Air'!$HT$47</f>
        <v>0</v>
      </c>
      <c r="G28" s="96">
        <f>[3]Icelandair!$HT$47</f>
        <v>0</v>
      </c>
      <c r="H28" s="96">
        <f>[3]Southwest!$HT$47</f>
        <v>177558</v>
      </c>
      <c r="I28" s="96">
        <f>'[3]Sun Country'!$HT$47</f>
        <v>70587</v>
      </c>
      <c r="J28" s="96">
        <f>[3]Alaska!$HT$47</f>
        <v>7412</v>
      </c>
      <c r="K28" s="119">
        <f>SUM(B28:J28)</f>
        <v>255557</v>
      </c>
    </row>
    <row r="29" spans="1:258" x14ac:dyDescent="0.2">
      <c r="A29" s="46" t="s">
        <v>38</v>
      </c>
      <c r="B29" s="96">
        <f>[3]Frontier!$HT$48</f>
        <v>0</v>
      </c>
      <c r="C29" s="96">
        <f>'[3]Allegiant '!$HT$48</f>
        <v>0</v>
      </c>
      <c r="D29" s="96">
        <f>'[3]Aer Lingus'!$HT$48</f>
        <v>0</v>
      </c>
      <c r="E29" s="96">
        <f>'[3]Denver Air'!$HT$48</f>
        <v>0</v>
      </c>
      <c r="F29" s="96">
        <f>'[3]Boutique Air'!$HT$48</f>
        <v>0</v>
      </c>
      <c r="G29" s="96">
        <f>[3]Icelandair!$HT$48</f>
        <v>0</v>
      </c>
      <c r="H29" s="96">
        <f>[3]Southwest!$HT$48</f>
        <v>0</v>
      </c>
      <c r="I29" s="96">
        <f>'[3]Sun Country'!$HT$48</f>
        <v>12225</v>
      </c>
      <c r="J29" s="96">
        <f>[3]Alaska!$HT$48</f>
        <v>0</v>
      </c>
      <c r="K29" s="119">
        <f>SUM(B29:J29)</f>
        <v>12225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0</v>
      </c>
      <c r="H30" s="134">
        <f t="shared" si="15"/>
        <v>177558</v>
      </c>
      <c r="I30" s="134">
        <f t="shared" si="15"/>
        <v>82812</v>
      </c>
      <c r="J30" s="134">
        <f t="shared" si="15"/>
        <v>7412</v>
      </c>
      <c r="K30" s="136">
        <f>SUM(B30:J30)</f>
        <v>267782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[3]Frontier!$HT$52</f>
        <v>0</v>
      </c>
      <c r="C33" s="96">
        <f>'[3]Allegiant '!$HT$52</f>
        <v>0</v>
      </c>
      <c r="D33" s="96">
        <f>'[3]Aer Lingus'!$HT$52</f>
        <v>0</v>
      </c>
      <c r="E33" s="96">
        <f>'[3]Denver Air'!$HT$52</f>
        <v>0</v>
      </c>
      <c r="F33" s="96">
        <f>'[3]Boutique Air'!$HT$52</f>
        <v>0</v>
      </c>
      <c r="G33" s="96">
        <f>[3]Icelandair!$HT$52</f>
        <v>0</v>
      </c>
      <c r="H33" s="96">
        <f>[3]Southwest!$HT$52</f>
        <v>39515</v>
      </c>
      <c r="I33" s="96">
        <f>'[3]Sun Country'!$HT$52</f>
        <v>0</v>
      </c>
      <c r="J33" s="96">
        <f>[3]Alaska!$HT$52</f>
        <v>7216</v>
      </c>
      <c r="K33" s="119">
        <f>SUM(B33:J33)</f>
        <v>46731</v>
      </c>
    </row>
    <row r="34" spans="1:11" x14ac:dyDescent="0.2">
      <c r="A34" s="46" t="s">
        <v>38</v>
      </c>
      <c r="B34" s="96">
        <f>[3]Frontier!$HT$53</f>
        <v>0</v>
      </c>
      <c r="C34" s="96">
        <f>'[3]Allegiant '!$HT$53</f>
        <v>0</v>
      </c>
      <c r="D34" s="96">
        <f>'[3]Aer Lingus'!$HT$53</f>
        <v>0</v>
      </c>
      <c r="E34" s="96">
        <f>'[3]Denver Air'!$HT$53</f>
        <v>0</v>
      </c>
      <c r="F34" s="96">
        <f>'[3]Boutique Air'!$HT$53</f>
        <v>0</v>
      </c>
      <c r="G34" s="96">
        <f>[3]Icelandair!$HT$53</f>
        <v>0</v>
      </c>
      <c r="H34" s="96">
        <f>[3]Southwest!$HT$53</f>
        <v>0</v>
      </c>
      <c r="I34" s="96">
        <f>'[3]Sun Country'!$HT$53</f>
        <v>152777</v>
      </c>
      <c r="J34" s="96">
        <f>[3]Alaska!$HT$53</f>
        <v>14199</v>
      </c>
      <c r="K34" s="135">
        <f>SUM(B34:J34)</f>
        <v>166976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0</v>
      </c>
      <c r="H35" s="120">
        <f t="shared" si="18"/>
        <v>39515</v>
      </c>
      <c r="I35" s="120">
        <f t="shared" si="18"/>
        <v>152777</v>
      </c>
      <c r="J35" s="120">
        <f t="shared" si="18"/>
        <v>21415</v>
      </c>
      <c r="K35" s="136">
        <f>SUM(B35:J35)</f>
        <v>213707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[3]Frontier!$HT$57</f>
        <v>0</v>
      </c>
      <c r="C38" s="126">
        <f>'[3]Allegiant '!$HT$57</f>
        <v>0</v>
      </c>
      <c r="D38" s="395">
        <f>'[3]Aer Lingus'!$HT$57</f>
        <v>0</v>
      </c>
      <c r="E38" s="126">
        <f>'[3]Denver Air'!$HT$57</f>
        <v>0</v>
      </c>
      <c r="F38" s="126">
        <f>'[3]Boutique Air'!$HT$57</f>
        <v>0</v>
      </c>
      <c r="G38" s="126">
        <f>[3]Icelandair!$HT$57</f>
        <v>0</v>
      </c>
      <c r="H38" s="126">
        <f>[3]Southwest!$HT$57</f>
        <v>0</v>
      </c>
      <c r="I38" s="126">
        <f>'[3]Sun Country'!$HT$57</f>
        <v>0</v>
      </c>
      <c r="J38" s="126">
        <f>[3]Alaska!$HT$57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[3]Frontier!$HT$58</f>
        <v>0</v>
      </c>
      <c r="C39" s="129">
        <f>'[3]Allegiant '!$HT$58</f>
        <v>0</v>
      </c>
      <c r="D39" s="129">
        <f>'[3]Aer Lingus'!$HT$58</f>
        <v>0</v>
      </c>
      <c r="E39" s="129">
        <f>'[3]Denver Air'!$HT$58</f>
        <v>0</v>
      </c>
      <c r="F39" s="129">
        <f>'[3]Boutique Air'!$HT$58</f>
        <v>0</v>
      </c>
      <c r="G39" s="129">
        <f>[3]Icelandair!$HT$58</f>
        <v>0</v>
      </c>
      <c r="H39" s="129">
        <f>[3]Southwest!$HT$58</f>
        <v>0</v>
      </c>
      <c r="I39" s="129">
        <f>'[3]Sun Country'!$HT$58</f>
        <v>0</v>
      </c>
      <c r="J39" s="129">
        <f>[3]Alaska!$HT$58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0</v>
      </c>
      <c r="H43" s="126">
        <f t="shared" si="24"/>
        <v>217073</v>
      </c>
      <c r="I43" s="126">
        <f t="shared" si="24"/>
        <v>70587</v>
      </c>
      <c r="J43" s="126">
        <f t="shared" si="24"/>
        <v>14628</v>
      </c>
      <c r="K43" s="119">
        <f>SUM(B43:J43)</f>
        <v>302288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165002</v>
      </c>
      <c r="J44" s="129">
        <f t="shared" si="27"/>
        <v>14199</v>
      </c>
      <c r="K44" s="119">
        <f>SUM(B44:J44)</f>
        <v>179201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0</v>
      </c>
      <c r="H45" s="138">
        <f t="shared" si="30"/>
        <v>217073</v>
      </c>
      <c r="I45" s="138">
        <f t="shared" si="30"/>
        <v>235589</v>
      </c>
      <c r="J45" s="138">
        <f t="shared" si="30"/>
        <v>28827</v>
      </c>
      <c r="K45" s="139">
        <f>SUM(B45:J45)</f>
        <v>481489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[3]Southwest!$HT$70+[3]Southwest!$HT$73</f>
        <v>51425</v>
      </c>
      <c r="I48" s="256">
        <f>'[3]Sun Country'!$HT$70+'[3]Sun Country'!$HT$73</f>
        <v>182371</v>
      </c>
      <c r="J48" s="312"/>
      <c r="K48" s="245">
        <f>SUM(B48:J48)</f>
        <v>233796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[3]Southwest!$HT$71+[3]Southwest!$HT$74</f>
        <v>222</v>
      </c>
      <c r="I49" s="256">
        <f>'[3]Sun Country'!$HT$71+'[3]Sun Country'!$HT$74</f>
        <v>0</v>
      </c>
      <c r="J49" s="312"/>
      <c r="K49" s="245">
        <f>SUM(B49:J49)</f>
        <v>222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March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topLeftCell="A4" zoomScaleNormal="100" zoomScaleSheetLayoutView="115" workbookViewId="0">
      <selection activeCell="G16" sqref="G1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3">
        <v>44621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[3]Pinnacle!$HT$22+[3]Pinnacle!$HT$32</f>
        <v>46715</v>
      </c>
      <c r="C5" s="88">
        <f>[3]MESA_UA!$HT$22</f>
        <v>2250</v>
      </c>
      <c r="D5" s="96">
        <f>'[3]Sky West'!$HT$22+'[3]Sky West'!$HT$32</f>
        <v>146259</v>
      </c>
      <c r="E5" s="96">
        <f>'[3]Sky West_UA'!$HT$22</f>
        <v>420</v>
      </c>
      <c r="F5" s="96">
        <f>'[3]Sky West_AS'!$HT$22</f>
        <v>0</v>
      </c>
      <c r="G5" s="96">
        <f>'[3]Sky West_AA'!$HT$22</f>
        <v>3573</v>
      </c>
      <c r="H5" s="96">
        <f>[3]Republic!$HT$22</f>
        <v>5304</v>
      </c>
      <c r="I5" s="96">
        <f>[3]Republic_UA!$HT$22</f>
        <v>6640</v>
      </c>
      <c r="J5" s="96">
        <f>'[3]Sky Regional'!$HT$32</f>
        <v>0</v>
      </c>
      <c r="K5" s="96">
        <f>'[3]American Eagle'!$HT$22</f>
        <v>354</v>
      </c>
      <c r="L5" s="96">
        <f>'Other Regional'!L5</f>
        <v>7942</v>
      </c>
      <c r="M5" s="89">
        <f>SUM(B5:L5)</f>
        <v>219457</v>
      </c>
    </row>
    <row r="6" spans="1:16" s="6" customFormat="1" x14ac:dyDescent="0.2">
      <c r="A6" s="46" t="s">
        <v>31</v>
      </c>
      <c r="B6" s="88">
        <f>[3]Pinnacle!$HT$23+[3]Pinnacle!$HT$33</f>
        <v>46873</v>
      </c>
      <c r="C6" s="88">
        <f>[3]MESA_UA!$HT$23</f>
        <v>2405</v>
      </c>
      <c r="D6" s="96">
        <f>'[3]Sky West'!$HT$23+'[3]Sky West'!$HT$33</f>
        <v>147677</v>
      </c>
      <c r="E6" s="96">
        <f>'[3]Sky West_UA'!$HT$23</f>
        <v>409</v>
      </c>
      <c r="F6" s="96">
        <f>'[3]Sky West_AS'!$HT$23</f>
        <v>0</v>
      </c>
      <c r="G6" s="96">
        <f>'[3]Sky West_AA'!$HT$23</f>
        <v>3949</v>
      </c>
      <c r="H6" s="96">
        <f>[3]Republic!$HT$23</f>
        <v>5677</v>
      </c>
      <c r="I6" s="96">
        <f>[3]Republic_UA!$HT$23</f>
        <v>6933</v>
      </c>
      <c r="J6" s="96">
        <f>'[3]Sky Regional'!$HT$33</f>
        <v>0</v>
      </c>
      <c r="K6" s="96">
        <f>'[3]American Eagle'!$HT$23</f>
        <v>379</v>
      </c>
      <c r="L6" s="96">
        <f>'Other Regional'!L6</f>
        <v>8312</v>
      </c>
      <c r="M6" s="93">
        <f>SUM(B6:L6)</f>
        <v>222614</v>
      </c>
    </row>
    <row r="7" spans="1:16" ht="15" thickBot="1" x14ac:dyDescent="0.25">
      <c r="A7" s="55" t="s">
        <v>7</v>
      </c>
      <c r="B7" s="106">
        <f>SUM(B5:B6)</f>
        <v>93588</v>
      </c>
      <c r="C7" s="106">
        <f t="shared" ref="C7:L7" si="0">SUM(C5:C6)</f>
        <v>4655</v>
      </c>
      <c r="D7" s="106">
        <f t="shared" si="0"/>
        <v>293936</v>
      </c>
      <c r="E7" s="106">
        <f t="shared" si="0"/>
        <v>829</v>
      </c>
      <c r="F7" s="106">
        <f t="shared" ref="F7:G7" si="1">SUM(F5:F6)</f>
        <v>0</v>
      </c>
      <c r="G7" s="106">
        <f t="shared" si="1"/>
        <v>7522</v>
      </c>
      <c r="H7" s="106">
        <f t="shared" si="0"/>
        <v>10981</v>
      </c>
      <c r="I7" s="106">
        <f t="shared" si="0"/>
        <v>13573</v>
      </c>
      <c r="J7" s="106">
        <f t="shared" si="0"/>
        <v>0</v>
      </c>
      <c r="K7" s="106">
        <f t="shared" si="0"/>
        <v>733</v>
      </c>
      <c r="L7" s="106">
        <f t="shared" si="0"/>
        <v>16254</v>
      </c>
      <c r="M7" s="107">
        <f>SUM(B7:L7)</f>
        <v>442071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[3]Pinnacle!$HT$27+[3]Pinnacle!$HT$37</f>
        <v>1780</v>
      </c>
      <c r="C10" s="88">
        <f>[3]MESA_UA!$HT$27</f>
        <v>57</v>
      </c>
      <c r="D10" s="96">
        <f>'[3]Sky West'!$HT$27+'[3]Sky West'!$HT$37</f>
        <v>4115</v>
      </c>
      <c r="E10" s="96">
        <f>'[3]Sky West_UA'!$HT$27</f>
        <v>13</v>
      </c>
      <c r="F10" s="96">
        <f>'[3]Sky West_AS'!$HT$27</f>
        <v>0</v>
      </c>
      <c r="G10" s="96">
        <f>'[3]Sky West_AA'!$HT$27</f>
        <v>144</v>
      </c>
      <c r="H10" s="96">
        <f>[3]Republic!$HT$27</f>
        <v>132</v>
      </c>
      <c r="I10" s="96">
        <f>[3]Republic_UA!$HT$27</f>
        <v>155</v>
      </c>
      <c r="J10" s="96">
        <f>'[3]Sky Regional'!$HT$37</f>
        <v>0</v>
      </c>
      <c r="K10" s="96">
        <f>'[3]American Eagle'!$HT$27</f>
        <v>19</v>
      </c>
      <c r="L10" s="96">
        <f>'Other Regional'!L10</f>
        <v>146</v>
      </c>
      <c r="M10" s="89">
        <f>SUM(B10:L10)</f>
        <v>6561</v>
      </c>
    </row>
    <row r="11" spans="1:16" x14ac:dyDescent="0.2">
      <c r="A11" s="46" t="s">
        <v>33</v>
      </c>
      <c r="B11" s="88">
        <f>[3]Pinnacle!$HT$28+[3]Pinnacle!$HT$38</f>
        <v>1707</v>
      </c>
      <c r="C11" s="88">
        <f>[3]MESA_UA!$HT$28</f>
        <v>52</v>
      </c>
      <c r="D11" s="96">
        <f>'[3]Sky West'!$HT$28+'[3]Sky West'!$HT$38</f>
        <v>4186</v>
      </c>
      <c r="E11" s="96">
        <f>'[3]Sky West_UA'!$HT$28</f>
        <v>14</v>
      </c>
      <c r="F11" s="96">
        <f>'[3]Sky West_AS'!$HT$28</f>
        <v>0</v>
      </c>
      <c r="G11" s="96">
        <f>'[3]Sky West_AA'!$HT$28</f>
        <v>142</v>
      </c>
      <c r="H11" s="96">
        <f>[3]Republic!$HT$28</f>
        <v>142</v>
      </c>
      <c r="I11" s="96">
        <f>[3]Republic_UA!$HT$28</f>
        <v>182</v>
      </c>
      <c r="J11" s="96">
        <f>'[3]Sky Regional'!$HT$38</f>
        <v>0</v>
      </c>
      <c r="K11" s="96">
        <f>'[3]American Eagle'!$HT$28</f>
        <v>13</v>
      </c>
      <c r="L11" s="96">
        <f>'Other Regional'!L11</f>
        <v>165</v>
      </c>
      <c r="M11" s="93">
        <f>SUM(B11:L11)</f>
        <v>6603</v>
      </c>
    </row>
    <row r="12" spans="1:16" ht="15" thickBot="1" x14ac:dyDescent="0.25">
      <c r="A12" s="56" t="s">
        <v>34</v>
      </c>
      <c r="B12" s="109">
        <f t="shared" ref="B12:L12" si="2">SUM(B10:B11)</f>
        <v>3487</v>
      </c>
      <c r="C12" s="109">
        <f t="shared" si="2"/>
        <v>109</v>
      </c>
      <c r="D12" s="109">
        <f t="shared" si="2"/>
        <v>8301</v>
      </c>
      <c r="E12" s="109">
        <f t="shared" si="2"/>
        <v>27</v>
      </c>
      <c r="F12" s="109">
        <f t="shared" ref="F12:G12" si="3">SUM(F10:F11)</f>
        <v>0</v>
      </c>
      <c r="G12" s="109">
        <f t="shared" si="3"/>
        <v>286</v>
      </c>
      <c r="H12" s="109">
        <f t="shared" si="2"/>
        <v>274</v>
      </c>
      <c r="I12" s="109">
        <f t="shared" si="2"/>
        <v>337</v>
      </c>
      <c r="J12" s="109">
        <f t="shared" si="2"/>
        <v>0</v>
      </c>
      <c r="K12" s="109">
        <f t="shared" si="2"/>
        <v>32</v>
      </c>
      <c r="L12" s="109">
        <f t="shared" si="2"/>
        <v>311</v>
      </c>
      <c r="M12" s="110">
        <f>SUM(B12:L12)</f>
        <v>13164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[3]Pinnacle!$HT$4+[3]Pinnacle!$HT$15</f>
        <v>952</v>
      </c>
      <c r="C15" s="87">
        <f>[3]MESA_UA!$HT$4</f>
        <v>32</v>
      </c>
      <c r="D15" s="86">
        <f>'[3]Sky West'!$HT$4+'[3]Sky West'!$HT$15</f>
        <v>2893</v>
      </c>
      <c r="E15" s="86">
        <f>'[3]Sky West_UA'!$HT$4</f>
        <v>6</v>
      </c>
      <c r="F15" s="86">
        <f>'[3]Sky West_AS'!$HT$4</f>
        <v>0</v>
      </c>
      <c r="G15" s="86">
        <f>'[3]Sky West_AA'!$HT$4</f>
        <v>65</v>
      </c>
      <c r="H15" s="88">
        <f>[3]Republic!$HT$4</f>
        <v>91</v>
      </c>
      <c r="I15" s="363">
        <f>[3]Republic_UA!$HT$4</f>
        <v>108</v>
      </c>
      <c r="J15" s="363">
        <f>'[3]Sky Regional'!$HT$15</f>
        <v>0</v>
      </c>
      <c r="K15" s="88">
        <f>'[3]American Eagle'!$HT$4</f>
        <v>6</v>
      </c>
      <c r="L15" s="87">
        <f>'Other Regional'!L15</f>
        <v>145</v>
      </c>
      <c r="M15" s="89">
        <f t="shared" ref="M15:M21" si="5">SUM(B15:L15)</f>
        <v>4298</v>
      </c>
    </row>
    <row r="16" spans="1:16" x14ac:dyDescent="0.2">
      <c r="A16" s="46" t="s">
        <v>54</v>
      </c>
      <c r="B16" s="7">
        <f>[3]Pinnacle!$HT$5+[3]Pinnacle!$HT$16</f>
        <v>951</v>
      </c>
      <c r="C16" s="91">
        <f>[3]MESA_UA!$HT$5</f>
        <v>33</v>
      </c>
      <c r="D16" s="90">
        <f>'[3]Sky West'!$HT$5+'[3]Sky West'!$HT$16</f>
        <v>2888</v>
      </c>
      <c r="E16" s="90">
        <f>'[3]Sky West_UA'!$HT$5</f>
        <v>6</v>
      </c>
      <c r="F16" s="90">
        <f>'[3]Sky West_AS'!$HT$5</f>
        <v>0</v>
      </c>
      <c r="G16" s="90">
        <f>'[3]Sky West_AA'!$HT$5</f>
        <v>65</v>
      </c>
      <c r="H16" s="92">
        <f>[3]Republic!$HT$5</f>
        <v>91</v>
      </c>
      <c r="I16" s="232">
        <f>[3]Republic_UA!$HT$5</f>
        <v>109</v>
      </c>
      <c r="J16" s="232">
        <f>'[3]Sky Regional'!$HT$16</f>
        <v>0</v>
      </c>
      <c r="K16" s="92">
        <f>'[3]American Eagle'!$HT$5</f>
        <v>6</v>
      </c>
      <c r="L16" s="91">
        <f>'Other Regional'!L16</f>
        <v>144</v>
      </c>
      <c r="M16" s="93">
        <f t="shared" si="5"/>
        <v>4293</v>
      </c>
      <c r="O16" s="96"/>
      <c r="P16" s="96"/>
    </row>
    <row r="17" spans="1:13" x14ac:dyDescent="0.2">
      <c r="A17" s="50" t="s">
        <v>55</v>
      </c>
      <c r="B17" s="94">
        <f t="shared" ref="B17:E17" si="6">SUM(B15:B16)</f>
        <v>1903</v>
      </c>
      <c r="C17" s="94">
        <f t="shared" si="6"/>
        <v>65</v>
      </c>
      <c r="D17" s="94">
        <f t="shared" si="6"/>
        <v>5781</v>
      </c>
      <c r="E17" s="94">
        <f t="shared" si="6"/>
        <v>12</v>
      </c>
      <c r="F17" s="94">
        <f t="shared" ref="F17:G17" si="7">SUM(F15:F16)</f>
        <v>0</v>
      </c>
      <c r="G17" s="94">
        <f t="shared" si="7"/>
        <v>130</v>
      </c>
      <c r="H17" s="94">
        <f>SUM(H15:H16)</f>
        <v>182</v>
      </c>
      <c r="I17" s="94">
        <f t="shared" ref="I17:J17" si="8">SUM(I15:I16)</f>
        <v>217</v>
      </c>
      <c r="J17" s="94">
        <f t="shared" si="8"/>
        <v>0</v>
      </c>
      <c r="K17" s="94">
        <f>SUM(K15:K16)</f>
        <v>12</v>
      </c>
      <c r="L17" s="94">
        <f>SUM(L15:L16)</f>
        <v>289</v>
      </c>
      <c r="M17" s="95">
        <f t="shared" si="5"/>
        <v>8591</v>
      </c>
    </row>
    <row r="18" spans="1:13" x14ac:dyDescent="0.2">
      <c r="A18" s="46" t="s">
        <v>56</v>
      </c>
      <c r="B18" s="96">
        <f>[3]Pinnacle!$HT$8</f>
        <v>0</v>
      </c>
      <c r="C18" s="88">
        <f>[3]MESA_UA!$HT$8</f>
        <v>0</v>
      </c>
      <c r="D18" s="96">
        <f>'[3]Sky West'!$HT$8</f>
        <v>0</v>
      </c>
      <c r="E18" s="96">
        <f>'[3]Sky West_UA'!$HT$8</f>
        <v>0</v>
      </c>
      <c r="F18" s="96">
        <f>'[3]Sky West_AS'!$HT$8</f>
        <v>0</v>
      </c>
      <c r="G18" s="96">
        <f>'[3]Sky West_AA'!$HT$8</f>
        <v>0</v>
      </c>
      <c r="H18" s="96">
        <f>[3]Republic!$HT$8</f>
        <v>0</v>
      </c>
      <c r="I18" s="96">
        <f>[3]Republic_UA!$HT$8</f>
        <v>0</v>
      </c>
      <c r="J18" s="96">
        <f>'[3]Sky Regional'!$HT$8</f>
        <v>0</v>
      </c>
      <c r="K18" s="96">
        <f>'[3]American Eagle'!$HT$8</f>
        <v>0</v>
      </c>
      <c r="L18" s="96">
        <f>'Other Regional'!L18</f>
        <v>0</v>
      </c>
      <c r="M18" s="89">
        <f t="shared" si="5"/>
        <v>0</v>
      </c>
    </row>
    <row r="19" spans="1:13" x14ac:dyDescent="0.2">
      <c r="A19" s="46" t="s">
        <v>57</v>
      </c>
      <c r="B19" s="97">
        <f>[3]Pinnacle!$HT$9</f>
        <v>1</v>
      </c>
      <c r="C19" s="92">
        <f>[3]MESA_UA!$HT$9</f>
        <v>0</v>
      </c>
      <c r="D19" s="97">
        <f>'[3]Sky West'!$HT$9</f>
        <v>0</v>
      </c>
      <c r="E19" s="97">
        <f>'[3]Sky West_UA'!$HT$9</f>
        <v>0</v>
      </c>
      <c r="F19" s="97">
        <f>'[3]Sky West_AS'!$HT$9</f>
        <v>0</v>
      </c>
      <c r="G19" s="97">
        <f>'[3]Sky West_AA'!$HT$9</f>
        <v>0</v>
      </c>
      <c r="H19" s="97">
        <f>[3]Republic!$HT$9</f>
        <v>0</v>
      </c>
      <c r="I19" s="97">
        <f>[3]Republic_UA!$HT$9</f>
        <v>0</v>
      </c>
      <c r="J19" s="97">
        <f>'[3]Sky Regional'!$HT$9</f>
        <v>0</v>
      </c>
      <c r="K19" s="97">
        <f>'[3]American Eagle'!$HT$9</f>
        <v>0</v>
      </c>
      <c r="L19" s="97">
        <f>'Other Regional'!L19</f>
        <v>0</v>
      </c>
      <c r="M19" s="93">
        <f t="shared" si="5"/>
        <v>1</v>
      </c>
    </row>
    <row r="20" spans="1:13" x14ac:dyDescent="0.2">
      <c r="A20" s="50" t="s">
        <v>58</v>
      </c>
      <c r="B20" s="94">
        <f t="shared" ref="B20:L20" si="9">SUM(B18:B19)</f>
        <v>1</v>
      </c>
      <c r="C20" s="94">
        <f t="shared" si="9"/>
        <v>0</v>
      </c>
      <c r="D20" s="94">
        <f t="shared" si="9"/>
        <v>0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5"/>
        <v>1</v>
      </c>
    </row>
    <row r="21" spans="1:13" ht="15.75" thickBot="1" x14ac:dyDescent="0.3">
      <c r="A21" s="54" t="s">
        <v>28</v>
      </c>
      <c r="B21" s="98">
        <f>SUM(B20,B17)</f>
        <v>1904</v>
      </c>
      <c r="C21" s="98">
        <f t="shared" ref="C21:K21" si="11">SUM(C20,C17)</f>
        <v>65</v>
      </c>
      <c r="D21" s="98">
        <f t="shared" si="11"/>
        <v>5781</v>
      </c>
      <c r="E21" s="98">
        <f t="shared" si="11"/>
        <v>12</v>
      </c>
      <c r="F21" s="98">
        <f t="shared" ref="F21:G21" si="12">SUM(F20,F17)</f>
        <v>0</v>
      </c>
      <c r="G21" s="98">
        <f t="shared" si="12"/>
        <v>130</v>
      </c>
      <c r="H21" s="98">
        <f t="shared" si="11"/>
        <v>182</v>
      </c>
      <c r="I21" s="98">
        <f t="shared" si="11"/>
        <v>217</v>
      </c>
      <c r="J21" s="98">
        <f t="shared" si="11"/>
        <v>0</v>
      </c>
      <c r="K21" s="98">
        <f t="shared" si="11"/>
        <v>12</v>
      </c>
      <c r="L21" s="98">
        <f>SUM(L20,L17)</f>
        <v>289</v>
      </c>
      <c r="M21" s="99">
        <f t="shared" si="5"/>
        <v>8592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[3]Pinnacle!$HT$47</f>
        <v>0</v>
      </c>
      <c r="C25" s="88">
        <f>[3]MESA_UA!$HT$47</f>
        <v>0</v>
      </c>
      <c r="D25" s="96">
        <f>'[3]Sky West'!$HT$47</f>
        <v>0</v>
      </c>
      <c r="E25" s="96">
        <f>'[3]Sky West_UA'!$HT$47</f>
        <v>0</v>
      </c>
      <c r="F25" s="96">
        <f>'[3]Sky West_AS'!$HT$47</f>
        <v>0</v>
      </c>
      <c r="G25" s="96">
        <f>'[3]Sky West_AA'!$HT$47</f>
        <v>598</v>
      </c>
      <c r="H25" s="96">
        <f>[3]Republic!$HT$47</f>
        <v>339</v>
      </c>
      <c r="I25" s="96">
        <f>[3]Republic_UA!$HT$47</f>
        <v>0</v>
      </c>
      <c r="J25" s="96">
        <f>'[3]Sky Regional'!$HT$47</f>
        <v>0</v>
      </c>
      <c r="K25" s="96">
        <f>'[3]American Eagle'!$HT$47</f>
        <v>100</v>
      </c>
      <c r="L25" s="96">
        <f>'Other Regional'!L25</f>
        <v>1646</v>
      </c>
      <c r="M25" s="89">
        <f>SUM(B25:L25)</f>
        <v>2683</v>
      </c>
    </row>
    <row r="26" spans="1:13" x14ac:dyDescent="0.2">
      <c r="A26" s="46" t="s">
        <v>38</v>
      </c>
      <c r="B26" s="96">
        <f>[3]Pinnacle!$HT$48</f>
        <v>0</v>
      </c>
      <c r="C26" s="88">
        <f>[3]MESA_UA!$HT$48</f>
        <v>0</v>
      </c>
      <c r="D26" s="96">
        <f>'[3]Sky West'!$HT$48</f>
        <v>0</v>
      </c>
      <c r="E26" s="96">
        <f>'[3]Sky West_UA'!$HT$48</f>
        <v>0</v>
      </c>
      <c r="F26" s="96">
        <f>'[3]Sky West_AS'!$HT$48</f>
        <v>0</v>
      </c>
      <c r="G26" s="96">
        <f>'[3]Sky West_AA'!$HT$48</f>
        <v>0</v>
      </c>
      <c r="H26" s="96">
        <f>[3]Republic!$HT$48</f>
        <v>0</v>
      </c>
      <c r="I26" s="96">
        <f>[3]Republic_UA!$HT$48</f>
        <v>0</v>
      </c>
      <c r="J26" s="96">
        <f>'[3]Sky Regional'!$HT$48</f>
        <v>0</v>
      </c>
      <c r="K26" s="96">
        <f>'[3]American Eagle'!$HT$48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598</v>
      </c>
      <c r="H27" s="106">
        <f t="shared" si="13"/>
        <v>339</v>
      </c>
      <c r="I27" s="106">
        <f t="shared" si="13"/>
        <v>0</v>
      </c>
      <c r="J27" s="106">
        <f t="shared" si="13"/>
        <v>0</v>
      </c>
      <c r="K27" s="106">
        <f t="shared" si="13"/>
        <v>100</v>
      </c>
      <c r="L27" s="106">
        <f t="shared" si="13"/>
        <v>1646</v>
      </c>
      <c r="M27" s="107">
        <f>SUM(B27:L27)</f>
        <v>2683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[3]Pinnacle!$HT$52</f>
        <v>0</v>
      </c>
      <c r="C30" s="88">
        <f>[3]MESA_UA!$HT$52</f>
        <v>0</v>
      </c>
      <c r="D30" s="96">
        <f>'[3]Sky West'!$HT$52</f>
        <v>0</v>
      </c>
      <c r="E30" s="96">
        <f>'[3]Sky West_UA'!$HT$52</f>
        <v>0</v>
      </c>
      <c r="F30" s="96">
        <f>'[3]Sky West_AS'!$HT$52</f>
        <v>0</v>
      </c>
      <c r="G30" s="96">
        <f>'[3]Sky West_AA'!$HT$52</f>
        <v>13</v>
      </c>
      <c r="H30" s="96">
        <f>[3]Republic!$HT$52</f>
        <v>0</v>
      </c>
      <c r="I30" s="96">
        <f>[3]Republic_UA!$HT$52</f>
        <v>0</v>
      </c>
      <c r="J30" s="96">
        <f>'[3]Sky Regional'!$HT$52</f>
        <v>0</v>
      </c>
      <c r="K30" s="96">
        <f>'[3]American Eagle'!$HT$52</f>
        <v>0</v>
      </c>
      <c r="L30" s="96">
        <f>'Other Regional'!L30</f>
        <v>1636</v>
      </c>
      <c r="M30" s="89">
        <f t="shared" ref="M30:M37" si="15">SUM(B30:L30)</f>
        <v>1649</v>
      </c>
    </row>
    <row r="31" spans="1:13" x14ac:dyDescent="0.2">
      <c r="A31" s="46" t="s">
        <v>60</v>
      </c>
      <c r="B31" s="96">
        <f>[3]Pinnacle!$HT$53</f>
        <v>0</v>
      </c>
      <c r="C31" s="88">
        <f>[3]MESA_UA!$HT$53</f>
        <v>0</v>
      </c>
      <c r="D31" s="96">
        <f>'[3]Sky West'!$HT$53</f>
        <v>0</v>
      </c>
      <c r="E31" s="96">
        <f>'[3]Sky West_UA'!$HT$53</f>
        <v>0</v>
      </c>
      <c r="F31" s="96">
        <f>'[3]Sky West_AS'!$HT$53</f>
        <v>0</v>
      </c>
      <c r="G31" s="96">
        <f>'[3]Sky West_AA'!$HT$53</f>
        <v>0</v>
      </c>
      <c r="H31" s="96">
        <f>[3]Republic!$HT$53</f>
        <v>0</v>
      </c>
      <c r="I31" s="96">
        <f>[3]Republic_UA!$HT$53</f>
        <v>0</v>
      </c>
      <c r="J31" s="96">
        <f>'[3]Sky Regional'!$HT$53</f>
        <v>0</v>
      </c>
      <c r="K31" s="96">
        <f>'[3]American Eagle'!$HT$53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13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0</v>
      </c>
      <c r="L32" s="106">
        <f>SUM(L30:L31)</f>
        <v>1636</v>
      </c>
      <c r="M32" s="107">
        <f t="shared" si="15"/>
        <v>1649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[3]Pinnacle!$HT$57</f>
        <v>0</v>
      </c>
      <c r="C35" s="88">
        <f>[3]MESA_UA!$HT$57</f>
        <v>0</v>
      </c>
      <c r="D35" s="96">
        <f>'[3]Sky West'!$HT$57</f>
        <v>0</v>
      </c>
      <c r="E35" s="96">
        <f>'[3]Sky West_UA'!$HT$57</f>
        <v>0</v>
      </c>
      <c r="F35" s="96">
        <f>'[3]Sky West_AS'!$HT$57</f>
        <v>0</v>
      </c>
      <c r="G35" s="96">
        <f>'[3]Sky West_AA'!$HT$57</f>
        <v>0</v>
      </c>
      <c r="H35" s="96">
        <f>[3]Republic!$HT$57</f>
        <v>0</v>
      </c>
      <c r="I35" s="96">
        <f>[3]Republic!$HT$57</f>
        <v>0</v>
      </c>
      <c r="J35" s="96">
        <f>[3]Republic!$HT$57</f>
        <v>0</v>
      </c>
      <c r="K35" s="96">
        <f>'[3]American Eagle'!$HT$57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[3]Pinnacle!$HT$58</f>
        <v>0</v>
      </c>
      <c r="C36" s="88">
        <f>[3]MESA_UA!$HT$58</f>
        <v>0</v>
      </c>
      <c r="D36" s="96">
        <f>'[3]Sky West'!$HT$58</f>
        <v>0</v>
      </c>
      <c r="E36" s="96">
        <f>'[3]Sky West_UA'!$HT$58</f>
        <v>0</v>
      </c>
      <c r="F36" s="96">
        <f>'[3]Sky West_AS'!$HT$58</f>
        <v>0</v>
      </c>
      <c r="G36" s="96">
        <f>'[3]Sky West_AA'!$HT$58</f>
        <v>0</v>
      </c>
      <c r="H36" s="96">
        <f>[3]Republic!$HT$58</f>
        <v>0</v>
      </c>
      <c r="I36" s="96">
        <f>[3]Republic!$HT$58</f>
        <v>0</v>
      </c>
      <c r="J36" s="96">
        <f>[3]Republic!$HT$58</f>
        <v>0</v>
      </c>
      <c r="K36" s="96">
        <f>'[3]American Eagle'!$HT$58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611</v>
      </c>
      <c r="H40" s="96">
        <f t="shared" si="20"/>
        <v>339</v>
      </c>
      <c r="I40" s="96">
        <f t="shared" si="20"/>
        <v>0</v>
      </c>
      <c r="J40" s="96">
        <f t="shared" si="20"/>
        <v>0</v>
      </c>
      <c r="K40" s="96">
        <f>SUM(K35,K30,K25)</f>
        <v>100</v>
      </c>
      <c r="L40" s="96">
        <f>L35+L30+L25</f>
        <v>3282</v>
      </c>
      <c r="M40" s="89">
        <f>SUM(B40:L40)</f>
        <v>4332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611</v>
      </c>
      <c r="H42" s="109">
        <f t="shared" si="20"/>
        <v>339</v>
      </c>
      <c r="I42" s="109">
        <f t="shared" si="20"/>
        <v>0</v>
      </c>
      <c r="J42" s="109">
        <f t="shared" si="20"/>
        <v>0</v>
      </c>
      <c r="K42" s="109">
        <f>SUM(K37,K32,K27)</f>
        <v>100</v>
      </c>
      <c r="L42" s="109">
        <f>SUM(L37,L32,L27)</f>
        <v>3282</v>
      </c>
      <c r="M42" s="110">
        <f>SUM(B42:L42)</f>
        <v>4332</v>
      </c>
    </row>
    <row r="44" spans="1:13" x14ac:dyDescent="0.2">
      <c r="A44" s="301" t="s">
        <v>121</v>
      </c>
      <c r="B44" s="255">
        <f>[3]Pinnacle!$HT$70+[3]Pinnacle!$HT$73</f>
        <v>15915</v>
      </c>
      <c r="D44" s="256">
        <f>'[3]Sky West'!$HT$70+'[3]Sky West'!$HT$73</f>
        <v>54149</v>
      </c>
      <c r="E44" s="2"/>
      <c r="F44" s="2"/>
      <c r="G44" s="2"/>
      <c r="L44" s="256">
        <f>+'Other Regional'!L46</f>
        <v>0</v>
      </c>
      <c r="M44" s="245">
        <f>SUM(B44:L44)</f>
        <v>70064</v>
      </c>
    </row>
    <row r="45" spans="1:13" x14ac:dyDescent="0.2">
      <c r="A45" s="314" t="s">
        <v>122</v>
      </c>
      <c r="B45" s="255">
        <f>[3]Pinnacle!$HT$71+[3]Pinnacle!$HT$74</f>
        <v>30958</v>
      </c>
      <c r="D45" s="256">
        <f>'[3]Sky West'!$HT$71+'[3]Sky West'!$HT$74</f>
        <v>93528</v>
      </c>
      <c r="E45" s="2"/>
      <c r="F45" s="2"/>
      <c r="G45" s="2"/>
      <c r="L45" s="256">
        <f>+'Other Regional'!L47</f>
        <v>0</v>
      </c>
      <c r="M45" s="245">
        <f>SUM(B45:L45)</f>
        <v>124486</v>
      </c>
    </row>
    <row r="46" spans="1:13" x14ac:dyDescent="0.2">
      <c r="A46" s="246" t="s">
        <v>123</v>
      </c>
      <c r="B46" s="247">
        <f>SUM(B44:B45)</f>
        <v>46873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March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F5" sqref="F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3">
        <v>44621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America'!$HT$22</f>
        <v>0</v>
      </c>
      <c r="C5" s="88">
        <f>'[3]Shuttle America_Delta'!$HT$22</f>
        <v>0</v>
      </c>
      <c r="D5" s="363">
        <f>[3]Horizon_AS!$HT$22+[3]Horizon_AS!$HT$32</f>
        <v>0</v>
      </c>
      <c r="E5" s="363">
        <f>'[3]Air Wisconsin'!$HT$22</f>
        <v>0</v>
      </c>
      <c r="F5" s="363">
        <f>[3]Jazz_AC!$HT$22+[3]Jazz_AC!$HT$32</f>
        <v>2269</v>
      </c>
      <c r="G5" s="363">
        <f>[3]PSA!$HT$22</f>
        <v>5673</v>
      </c>
      <c r="H5" s="88">
        <f>'[3]Atlantic Southeast'!$HT$22+'[3]Atlantic Southeast'!$HT$32</f>
        <v>0</v>
      </c>
      <c r="I5" s="88">
        <f>'[3]Continental Express'!$HT$22</f>
        <v>0</v>
      </c>
      <c r="J5" s="96">
        <f>'[3]Go Jet_UA'!$HT$22</f>
        <v>0</v>
      </c>
      <c r="K5" s="13">
        <f>'[3]Go Jet'!$HT$22+'[3]Go Jet'!$HT$32</f>
        <v>0</v>
      </c>
      <c r="L5" s="89">
        <f>SUM(B5:K5)</f>
        <v>7942</v>
      </c>
    </row>
    <row r="6" spans="1:12" s="6" customFormat="1" x14ac:dyDescent="0.2">
      <c r="A6" s="46" t="s">
        <v>31</v>
      </c>
      <c r="B6" s="88">
        <f>'[3]Shuttle America'!$HT$23</f>
        <v>0</v>
      </c>
      <c r="C6" s="88">
        <f>'[3]Shuttle America_Delta'!$HT$23</f>
        <v>0</v>
      </c>
      <c r="D6" s="363">
        <f>[3]Horizon_AS!$HT$23+[3]Horizon_AS!$HT$33</f>
        <v>0</v>
      </c>
      <c r="E6" s="363">
        <f>'[3]Air Wisconsin'!$HT$23</f>
        <v>0</v>
      </c>
      <c r="F6" s="363">
        <f>[3]Jazz_AC!$HT$23+[3]Jazz_AC!$HT$33</f>
        <v>2204</v>
      </c>
      <c r="G6" s="363">
        <f>[3]PSA!$HT$23</f>
        <v>6108</v>
      </c>
      <c r="H6" s="88">
        <f>'[3]Atlantic Southeast'!$HT$23+'[3]Atlantic Southeast'!$HT$33</f>
        <v>0</v>
      </c>
      <c r="I6" s="88">
        <f>'[3]Continental Express'!$HT$23</f>
        <v>0</v>
      </c>
      <c r="J6" s="96">
        <f>'[3]Go Jet_UA'!$HT$23</f>
        <v>0</v>
      </c>
      <c r="K6" s="7">
        <f>'[3]Go Jet'!$HT$23+'[3]Go Jet'!$HT$33</f>
        <v>0</v>
      </c>
      <c r="L6" s="93">
        <f>SUM(B6:K6)</f>
        <v>8312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4473</v>
      </c>
      <c r="G7" s="106">
        <f t="shared" si="0"/>
        <v>11781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16254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America'!$HT$27</f>
        <v>0</v>
      </c>
      <c r="C10" s="88">
        <f>'[3]Shuttle America_Delta'!$HT$27</f>
        <v>0</v>
      </c>
      <c r="D10" s="363">
        <f>[3]Horizon_AS!$HT$27+[3]Horizon_AS!$HT$37</f>
        <v>0</v>
      </c>
      <c r="E10" s="363">
        <f>'[3]Air Wisconsin'!$HT$27</f>
        <v>0</v>
      </c>
      <c r="F10" s="363">
        <f>[3]Jazz_AC!$HT$27+[3]Jazz_AC!$HT$37</f>
        <v>23</v>
      </c>
      <c r="G10" s="363">
        <f>[3]PSA!$HT$27</f>
        <v>123</v>
      </c>
      <c r="H10" s="13">
        <f>'[3]Atlantic Southeast'!$HT$27+'[3]Atlantic Southeast'!$HT$37</f>
        <v>0</v>
      </c>
      <c r="I10" s="88">
        <f>'[3]Continental Express'!$HT$27</f>
        <v>0</v>
      </c>
      <c r="J10" s="96">
        <f>'[3]Go Jet_UA'!$HT$27</f>
        <v>0</v>
      </c>
      <c r="K10" s="13">
        <f>'[3]Go Jet'!$HT$27+'[3]Go Jet'!$HT$37</f>
        <v>0</v>
      </c>
      <c r="L10" s="89">
        <f>SUM(B10:K10)</f>
        <v>146</v>
      </c>
    </row>
    <row r="11" spans="1:12" x14ac:dyDescent="0.2">
      <c r="A11" s="46" t="s">
        <v>33</v>
      </c>
      <c r="B11" s="88">
        <f>'[3]Shuttle America'!$HT$28</f>
        <v>0</v>
      </c>
      <c r="C11" s="88">
        <f>'[3]Shuttle America_Delta'!$HT$28</f>
        <v>0</v>
      </c>
      <c r="D11" s="363">
        <f>[3]Horizon_AS!$HT$28+[3]Horizon_AS!$HT$38</f>
        <v>0</v>
      </c>
      <c r="E11" s="363">
        <f>'[3]Air Wisconsin'!$HT$28</f>
        <v>0</v>
      </c>
      <c r="F11" s="363">
        <f>[3]Jazz_AC!$HT$28+[3]Jazz_AC!$HT$38</f>
        <v>23</v>
      </c>
      <c r="G11" s="363">
        <f>[3]PSA!$HT$28</f>
        <v>142</v>
      </c>
      <c r="H11" s="7">
        <f>'[3]Atlantic Southeast'!$HT$28+'[3]Atlantic Southeast'!$HT$38</f>
        <v>0</v>
      </c>
      <c r="I11" s="88">
        <f>'[3]Continental Express'!$HT$28</f>
        <v>0</v>
      </c>
      <c r="J11" s="96">
        <f>'[3]Go Jet_UA'!$HT$28</f>
        <v>0</v>
      </c>
      <c r="K11" s="7">
        <f>'[3]Go Jet'!$HT$28+'[3]Go Jet'!$HT$38</f>
        <v>0</v>
      </c>
      <c r="L11" s="93">
        <f>SUM(B11:K11)</f>
        <v>165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46</v>
      </c>
      <c r="G12" s="109">
        <f t="shared" si="2"/>
        <v>265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311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America'!$HT$4</f>
        <v>0</v>
      </c>
      <c r="C15" s="86">
        <f>'[3]Shuttle America_Delta'!$HT$4</f>
        <v>0</v>
      </c>
      <c r="D15" s="364">
        <f>[3]Horizon_AS!$HT$4</f>
        <v>0</v>
      </c>
      <c r="E15" s="364">
        <f>'[3]Air Wisconsin'!$HT$4</f>
        <v>0</v>
      </c>
      <c r="F15" s="364">
        <f>[3]Jazz_AC!$HT$4+[3]Jazz_AC!$HT$15</f>
        <v>57</v>
      </c>
      <c r="G15" s="364">
        <f>[3]PSA!$HT$4</f>
        <v>88</v>
      </c>
      <c r="H15" s="87">
        <f>'[3]Atlantic Southeast'!$HT$4+'[3]Atlantic Southeast'!$HT$15</f>
        <v>0</v>
      </c>
      <c r="I15" s="87">
        <f>'[3]Continental Express'!$HT$4</f>
        <v>0</v>
      </c>
      <c r="J15" s="86">
        <f>'[3]Go Jet_UA'!$HT$4</f>
        <v>0</v>
      </c>
      <c r="K15" s="13">
        <f>'[3]Go Jet'!$HT$4+'[3]Go Jet'!$HT$15</f>
        <v>0</v>
      </c>
      <c r="L15" s="89">
        <f t="shared" ref="L15:L21" si="6">SUM(B15:K15)</f>
        <v>145</v>
      </c>
    </row>
    <row r="16" spans="1:12" x14ac:dyDescent="0.2">
      <c r="A16" s="46" t="s">
        <v>54</v>
      </c>
      <c r="B16" s="90">
        <f>'[3]Shuttle America'!$HT$5</f>
        <v>0</v>
      </c>
      <c r="C16" s="90">
        <f>'[3]Shuttle America_Delta'!$HT$5</f>
        <v>0</v>
      </c>
      <c r="D16" s="365">
        <f>[3]Horizon_AS!$HT$5</f>
        <v>0</v>
      </c>
      <c r="E16" s="365">
        <f>'[3]Air Wisconsin'!$HT$5</f>
        <v>0</v>
      </c>
      <c r="F16" s="365">
        <f>[3]Jazz_AC!$HT$5+[3]Jazz_AC!$HT$16</f>
        <v>57</v>
      </c>
      <c r="G16" s="365">
        <f>[3]PSA!$HT$5</f>
        <v>87</v>
      </c>
      <c r="H16" s="91">
        <f>'[3]Atlantic Southeast'!$HT$5+'[3]Atlantic Southeast'!$HT$16</f>
        <v>0</v>
      </c>
      <c r="I16" s="91">
        <f>'[3]Continental Express'!$HT$5</f>
        <v>0</v>
      </c>
      <c r="J16" s="90">
        <f>'[3]Go Jet_UA'!$HT$5</f>
        <v>0</v>
      </c>
      <c r="K16" s="7">
        <f>'[3]Go Jet'!$HT$5+'[3]Go Jet'!$HT$16</f>
        <v>0</v>
      </c>
      <c r="L16" s="93">
        <f t="shared" si="6"/>
        <v>144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7">SUM(D15:D16)</f>
        <v>0</v>
      </c>
      <c r="E17" s="94">
        <f t="shared" ref="E17:F17" si="8">SUM(E15:E16)</f>
        <v>0</v>
      </c>
      <c r="F17" s="94">
        <f t="shared" si="8"/>
        <v>114</v>
      </c>
      <c r="G17" s="94">
        <f t="shared" si="7"/>
        <v>175</v>
      </c>
      <c r="H17" s="94">
        <f t="shared" ref="H17:J17" si="9">SUM(H15:H16)</f>
        <v>0</v>
      </c>
      <c r="I17" s="94">
        <f t="shared" si="9"/>
        <v>0</v>
      </c>
      <c r="J17" s="94">
        <f t="shared" si="9"/>
        <v>0</v>
      </c>
      <c r="K17" s="224">
        <f>SUM(K15:K16)</f>
        <v>0</v>
      </c>
      <c r="L17" s="95">
        <f t="shared" si="6"/>
        <v>289</v>
      </c>
    </row>
    <row r="18" spans="1:15" x14ac:dyDescent="0.2">
      <c r="A18" s="46" t="s">
        <v>56</v>
      </c>
      <c r="B18" s="96">
        <f>'[3]Shuttle America'!$HT$8</f>
        <v>0</v>
      </c>
      <c r="C18" s="96">
        <f>'[3]Shuttle America_Delta'!$HT$8</f>
        <v>0</v>
      </c>
      <c r="D18" s="96">
        <f>[3]Horizon_AS!$HT$8</f>
        <v>0</v>
      </c>
      <c r="E18" s="96">
        <f>'[3]Air Wisconsin'!$HT$8</f>
        <v>0</v>
      </c>
      <c r="F18" s="96">
        <f>[3]Jazz_AC!$HT$8</f>
        <v>0</v>
      </c>
      <c r="G18" s="96">
        <f>[3]PSA!$HT$8</f>
        <v>0</v>
      </c>
      <c r="H18" s="88">
        <f>'[3]Atlantic Southeast'!$HT$8</f>
        <v>0</v>
      </c>
      <c r="I18" s="88">
        <f>'[3]Continental Express'!$HT$8</f>
        <v>0</v>
      </c>
      <c r="J18" s="96">
        <f>'[3]Go Jet_UA'!$HT$8</f>
        <v>0</v>
      </c>
      <c r="K18" s="13">
        <f>'[3]Go Jet'!$HT$8</f>
        <v>0</v>
      </c>
      <c r="L18" s="89">
        <f t="shared" si="6"/>
        <v>0</v>
      </c>
      <c r="O18" s="304"/>
    </row>
    <row r="19" spans="1:15" x14ac:dyDescent="0.2">
      <c r="A19" s="46" t="s">
        <v>57</v>
      </c>
      <c r="B19" s="97">
        <f>'[3]Shuttle America'!$HT$9</f>
        <v>0</v>
      </c>
      <c r="C19" s="97">
        <f>'[3]Shuttle America_Delta'!$HT$9</f>
        <v>0</v>
      </c>
      <c r="D19" s="97">
        <f>[3]Horizon_AS!$HT$9</f>
        <v>0</v>
      </c>
      <c r="E19" s="97">
        <f>'[3]Air Wisconsin'!$HT$9</f>
        <v>0</v>
      </c>
      <c r="F19" s="97">
        <f>[3]Jazz_AC!$HT$9</f>
        <v>0</v>
      </c>
      <c r="G19" s="97">
        <f>[3]PSA!$HT$9</f>
        <v>0</v>
      </c>
      <c r="H19" s="92">
        <f>'[3]Atlantic Southeast'!$HT$9</f>
        <v>0</v>
      </c>
      <c r="I19" s="92">
        <f>'[3]Continental Express'!$HT$9</f>
        <v>0</v>
      </c>
      <c r="J19" s="97">
        <f>'[3]Go Jet_UA'!$HT$9</f>
        <v>0</v>
      </c>
      <c r="K19" s="7">
        <f>'[3]Go Jet'!$HT$9</f>
        <v>0</v>
      </c>
      <c r="L19" s="93">
        <f t="shared" si="6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6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0</v>
      </c>
      <c r="F21" s="98">
        <f t="shared" si="14"/>
        <v>114</v>
      </c>
      <c r="G21" s="98">
        <f t="shared" si="13"/>
        <v>175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6"/>
        <v>289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America'!$HT$47</f>
        <v>0</v>
      </c>
      <c r="C25" s="96">
        <f>'[3]Shuttle America_Delta'!$HT$47</f>
        <v>0</v>
      </c>
      <c r="D25" s="96">
        <f>[3]Horizon_AS!$HT$47</f>
        <v>0</v>
      </c>
      <c r="E25" s="96">
        <f>'[3]Air Wisconsin'!$HT$47</f>
        <v>0</v>
      </c>
      <c r="F25" s="96">
        <f>[3]Jazz_AC!$HT$47</f>
        <v>1636</v>
      </c>
      <c r="G25" s="96">
        <f>[3]PSA!$HT$47</f>
        <v>10</v>
      </c>
      <c r="H25" s="88">
        <f>'[3]Atlantic Southeast'!$HT$47</f>
        <v>0</v>
      </c>
      <c r="I25" s="88">
        <f>'[3]Continental Express'!$HT$47</f>
        <v>0</v>
      </c>
      <c r="J25" s="96">
        <f>'[3]Go Jet_UA'!$HT$47</f>
        <v>0</v>
      </c>
      <c r="K25" s="96">
        <f>'[3]Go Jet'!$HT$47</f>
        <v>0</v>
      </c>
      <c r="L25" s="89">
        <f>SUM(B25:K25)</f>
        <v>1646</v>
      </c>
    </row>
    <row r="26" spans="1:15" x14ac:dyDescent="0.2">
      <c r="A26" s="46" t="s">
        <v>38</v>
      </c>
      <c r="B26" s="96">
        <f>'[3]Shuttle America'!$HT$48</f>
        <v>0</v>
      </c>
      <c r="C26" s="96">
        <f>'[3]Shuttle America_Delta'!$HT$48</f>
        <v>0</v>
      </c>
      <c r="D26" s="96">
        <f>[3]Horizon_AS!$HT$48</f>
        <v>0</v>
      </c>
      <c r="E26" s="96">
        <f>'[3]Air Wisconsin'!$HT$48</f>
        <v>0</v>
      </c>
      <c r="F26" s="96">
        <f>[3]Jazz_AC!$HT$48</f>
        <v>0</v>
      </c>
      <c r="G26" s="96">
        <f>[3]PSA!$HT$48</f>
        <v>0</v>
      </c>
      <c r="H26" s="88">
        <f>'[3]Atlantic Southeast'!$HT$48</f>
        <v>0</v>
      </c>
      <c r="I26" s="88">
        <f>'[3]Continental Express'!$HT$48</f>
        <v>0</v>
      </c>
      <c r="J26" s="96">
        <f>'[3]Go Jet_UA'!$HT$48</f>
        <v>0</v>
      </c>
      <c r="K26" s="96">
        <f>'[3]Go Jet'!$HT$48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1636</v>
      </c>
      <c r="G27" s="106">
        <f t="shared" si="17"/>
        <v>10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1646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America'!$HT$52</f>
        <v>0</v>
      </c>
      <c r="C30" s="96">
        <f>'[3]Shuttle America_Delta'!$HT$52</f>
        <v>0</v>
      </c>
      <c r="D30" s="96">
        <f>[3]Horizon_AS!$HT$52</f>
        <v>0</v>
      </c>
      <c r="E30" s="96">
        <f>'[3]Air Wisconsin'!$HT$52</f>
        <v>0</v>
      </c>
      <c r="F30" s="96">
        <f>[3]Jazz_AC!$HT$52</f>
        <v>1636</v>
      </c>
      <c r="G30" s="96">
        <f>[3]PSA!$HT$52</f>
        <v>0</v>
      </c>
      <c r="H30" s="88">
        <f>'[3]Atlantic Southeast'!$HT$52</f>
        <v>0</v>
      </c>
      <c r="I30" s="88">
        <f>'[3]Continental Express'!$HT$52</f>
        <v>0</v>
      </c>
      <c r="J30" s="96">
        <f>'[3]Go Jet_UA'!$HT$52</f>
        <v>0</v>
      </c>
      <c r="K30" s="96">
        <f>'[3]Go Jet'!$HT$52</f>
        <v>0</v>
      </c>
      <c r="L30" s="89">
        <f>SUM(B30:K30)</f>
        <v>1636</v>
      </c>
    </row>
    <row r="31" spans="1:15" x14ac:dyDescent="0.2">
      <c r="A31" s="46" t="s">
        <v>60</v>
      </c>
      <c r="B31" s="96">
        <f>'[3]Shuttle America'!$HT$53</f>
        <v>0</v>
      </c>
      <c r="C31" s="96">
        <f>'[3]Shuttle America_Delta'!$HT$53</f>
        <v>0</v>
      </c>
      <c r="D31" s="96">
        <f>[3]Horizon_AS!$HT$53</f>
        <v>0</v>
      </c>
      <c r="E31" s="96">
        <f>'[3]Air Wisconsin'!$HT$53</f>
        <v>0</v>
      </c>
      <c r="F31" s="96">
        <f>[3]Jazz_AC!$HT$53</f>
        <v>0</v>
      </c>
      <c r="G31" s="96">
        <f>[3]PSA!$HT$53</f>
        <v>0</v>
      </c>
      <c r="H31" s="88">
        <f>'[3]Atlantic Southeast'!$HT$53</f>
        <v>0</v>
      </c>
      <c r="I31" s="88">
        <f>'[3]Continental Express'!$HT$53</f>
        <v>0</v>
      </c>
      <c r="J31" s="96">
        <f>'[3]Go Jet_UA'!$HT$53</f>
        <v>0</v>
      </c>
      <c r="K31" s="96">
        <f>'[3]Go Jet'!$HT$53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1636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1636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America'!$HT$57</f>
        <v>0</v>
      </c>
      <c r="C35" s="96">
        <f>'[3]Shuttle America_Delta'!$HT$57</f>
        <v>0</v>
      </c>
      <c r="D35" s="96">
        <f>[3]Horizon_AS!$HT$57</f>
        <v>0</v>
      </c>
      <c r="E35" s="96">
        <f>'[3]Air Wisconsin'!$HT$57</f>
        <v>0</v>
      </c>
      <c r="F35" s="96">
        <f>[3]Jazz_AC!$HT$57</f>
        <v>0</v>
      </c>
      <c r="G35" s="96">
        <f>[3]PSA!$HT$57</f>
        <v>0</v>
      </c>
      <c r="H35" s="88">
        <f>'[3]Atlantic Southeast'!$HT$57</f>
        <v>0</v>
      </c>
      <c r="I35" s="88">
        <f>'[3]Continental Express'!$HT$57</f>
        <v>0</v>
      </c>
      <c r="J35" s="96">
        <f>'[3]Go Jet_UA'!$AJ$57</f>
        <v>0</v>
      </c>
      <c r="K35" s="96">
        <f>'[3]Go Jet'!$HT$57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3272</v>
      </c>
      <c r="G40" s="96">
        <f t="shared" si="27"/>
        <v>10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3282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3272</v>
      </c>
      <c r="G42" s="109">
        <f t="shared" si="33"/>
        <v>10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3282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America_Delta'!$HT$70+'[3]Shuttle America_Delta'!$HT$73</f>
        <v>0</v>
      </c>
      <c r="D46" s="2"/>
      <c r="E46" s="2"/>
      <c r="H46" s="256">
        <f>'[3]Atlantic Southeast'!$HT$70+'[3]Atlantic Southeast'!$HT$73</f>
        <v>0</v>
      </c>
      <c r="K46" s="256">
        <f>'[3]Go Jet'!$HT$70+'[3]Go Jet'!$HT$73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America_Delta'!$HT$71+'[3]Shuttle America_Delta'!$HT$74</f>
        <v>0</v>
      </c>
      <c r="D47" s="2"/>
      <c r="E47" s="2"/>
      <c r="H47" s="256">
        <f>'[3]Atlantic Southeast'!$HT$71+'[3]Atlantic Southeast'!$HT$74</f>
        <v>0</v>
      </c>
      <c r="K47" s="256">
        <f>'[3]Go Jet'!$HT$71+'[3]Go Jet'!$HT$74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March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D10" sqref="D1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3">
        <v>44621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Misc'!$HT$22</f>
        <v>232</v>
      </c>
      <c r="C5" s="152">
        <f>[3]Ryan!$HT$22</f>
        <v>0</v>
      </c>
      <c r="D5" s="152">
        <f>'[3]Charter Misc'!$HT$32</f>
        <v>55</v>
      </c>
      <c r="E5" s="152">
        <f>[3]Omni!$HT$32+[3]Omni!$HT$22</f>
        <v>0</v>
      </c>
      <c r="F5" s="152">
        <f>[3]Xtra!$HT$32+[3]Xtra!$HT$22</f>
        <v>0</v>
      </c>
      <c r="G5" s="273">
        <f>SUM(B5:F5)</f>
        <v>287</v>
      </c>
    </row>
    <row r="6" spans="1:17" x14ac:dyDescent="0.2">
      <c r="A6" s="46" t="s">
        <v>31</v>
      </c>
      <c r="B6" s="339">
        <f>'[3]Charter Misc'!$HT$23</f>
        <v>82</v>
      </c>
      <c r="C6" s="155">
        <f>[3]Ryan!$HT$23</f>
        <v>0</v>
      </c>
      <c r="D6" s="155">
        <f>'[3]Charter Misc'!$HT$33</f>
        <v>0</v>
      </c>
      <c r="E6" s="155">
        <f>[3]Omni!$HT$33+[3]Omni!$HT$23</f>
        <v>0</v>
      </c>
      <c r="F6" s="155">
        <f>[3]Xtra!$HT$33+[3]Xtra!$HT$23</f>
        <v>0</v>
      </c>
      <c r="G6" s="272">
        <f>SUM(B6:F6)</f>
        <v>82</v>
      </c>
    </row>
    <row r="7" spans="1:17" ht="15.75" thickBot="1" x14ac:dyDescent="0.3">
      <c r="A7" s="151" t="s">
        <v>7</v>
      </c>
      <c r="B7" s="340">
        <f>SUM(B5:B6)</f>
        <v>314</v>
      </c>
      <c r="C7" s="233">
        <f>SUM(C5:C6)</f>
        <v>0</v>
      </c>
      <c r="D7" s="233">
        <f>SUM(D5:D6)</f>
        <v>55</v>
      </c>
      <c r="E7" s="233">
        <f>SUM(E5:E6)</f>
        <v>0</v>
      </c>
      <c r="F7" s="233">
        <f>SUM(F5:F6)</f>
        <v>0</v>
      </c>
      <c r="G7" s="234">
        <f>SUM(B7:F7)</f>
        <v>369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Misc'!$HT$4</f>
        <v>2</v>
      </c>
      <c r="C10" s="152">
        <f>[3]Ryan!$HT$4</f>
        <v>0</v>
      </c>
      <c r="D10" s="152">
        <f>'[3]Charter Misc'!$HT$15</f>
        <v>1</v>
      </c>
      <c r="E10" s="152">
        <f>[3]Omni!$HT$15</f>
        <v>0</v>
      </c>
      <c r="F10" s="152">
        <f>[3]Xtra!$HT$15+[3]Xtra!$HT$4</f>
        <v>0</v>
      </c>
      <c r="G10" s="272">
        <f>SUM(B10:F10)</f>
        <v>3</v>
      </c>
    </row>
    <row r="11" spans="1:17" x14ac:dyDescent="0.2">
      <c r="A11" s="150" t="s">
        <v>80</v>
      </c>
      <c r="B11" s="338">
        <f>'[3]Charter Misc'!$HT$5</f>
        <v>1</v>
      </c>
      <c r="C11" s="152">
        <f>[3]Ryan!$HT$5</f>
        <v>0</v>
      </c>
      <c r="D11" s="152">
        <f>'[3]Charter Misc'!$HT$16</f>
        <v>0</v>
      </c>
      <c r="E11" s="152">
        <f>[3]Omni!$HT$16+[3]Omni!$HT$5</f>
        <v>0</v>
      </c>
      <c r="F11" s="152">
        <f>[3]Xtra!$HT$16+[3]Xtra!$HT$5</f>
        <v>0</v>
      </c>
      <c r="G11" s="272">
        <f>SUM(B11:F11)</f>
        <v>1</v>
      </c>
    </row>
    <row r="12" spans="1:17" ht="15.75" thickBot="1" x14ac:dyDescent="0.3">
      <c r="A12" s="215" t="s">
        <v>28</v>
      </c>
      <c r="B12" s="342">
        <f>SUM(B10:B11)</f>
        <v>3</v>
      </c>
      <c r="C12" s="235">
        <f>SUM(C10:C11)</f>
        <v>0</v>
      </c>
      <c r="D12" s="235">
        <f>SUM(D10:D11)</f>
        <v>1</v>
      </c>
      <c r="E12" s="235">
        <f>SUM(E10:E11)</f>
        <v>0</v>
      </c>
      <c r="F12" s="235">
        <f>SUM(F10:F11)</f>
        <v>0</v>
      </c>
      <c r="G12" s="236">
        <f>SUM(B12:F12)</f>
        <v>4</v>
      </c>
      <c r="Q12" s="96"/>
    </row>
    <row r="17" spans="1:16" x14ac:dyDescent="0.2">
      <c r="B17" s="458" t="s">
        <v>150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60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1" t="s">
        <v>118</v>
      </c>
      <c r="C19" s="462"/>
      <c r="D19" s="462"/>
      <c r="E19" s="463"/>
      <c r="G19" s="461" t="s">
        <v>119</v>
      </c>
      <c r="H19" s="464"/>
      <c r="I19" s="464"/>
      <c r="J19" s="465"/>
      <c r="L19" s="466" t="s">
        <v>120</v>
      </c>
      <c r="M19" s="467"/>
      <c r="N19" s="467"/>
      <c r="O19" s="468"/>
    </row>
    <row r="20" spans="1:16" ht="13.5" thickBot="1" x14ac:dyDescent="0.25">
      <c r="A20" s="177" t="s">
        <v>99</v>
      </c>
      <c r="B20" s="182" t="s">
        <v>100</v>
      </c>
      <c r="C20" s="440" t="s">
        <v>101</v>
      </c>
      <c r="D20" s="440" t="s">
        <v>241</v>
      </c>
      <c r="E20" s="437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9">
        <f>+[4]Charter!B21</f>
        <v>79230</v>
      </c>
      <c r="C21" s="438">
        <f>+[4]Charter!C21</f>
        <v>75084</v>
      </c>
      <c r="D21" s="438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50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50">
        <f>SUM(L21:M21)</f>
        <v>1996822</v>
      </c>
      <c r="O21" s="451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9">
        <f>+[2]Charter!B22</f>
        <v>81540</v>
      </c>
      <c r="C22" s="438">
        <f>+[2]Charter!C22</f>
        <v>88358</v>
      </c>
      <c r="D22" s="438">
        <f t="shared" ref="D22" si="3">SUM(B22:C22)</f>
        <v>169898</v>
      </c>
      <c r="E22" s="270">
        <f>[6]Charter!D22</f>
        <v>46280</v>
      </c>
      <c r="F22" s="265">
        <f t="shared" si="0"/>
        <v>2.6710890233362146</v>
      </c>
      <c r="G22" s="439">
        <f t="shared" ref="G22" si="4">L22-B22</f>
        <v>947971</v>
      </c>
      <c r="H22" s="438">
        <f t="shared" ref="H22" si="5">M22-C22</f>
        <v>977482</v>
      </c>
      <c r="I22" s="438">
        <f t="shared" ref="I22" si="6">SUM(G22:H22)</f>
        <v>1925453</v>
      </c>
      <c r="J22" s="270">
        <f>[6]Charter!I22</f>
        <v>1076686</v>
      </c>
      <c r="K22" s="190">
        <f t="shared" si="2"/>
        <v>0.78831432748266439</v>
      </c>
      <c r="L22" s="439">
        <f>+[2]Charter!L22</f>
        <v>1029511</v>
      </c>
      <c r="M22" s="438">
        <f>+[2]Charter!M22</f>
        <v>1065840</v>
      </c>
      <c r="N22" s="438">
        <f>SUM(L22:M22)</f>
        <v>2095351</v>
      </c>
      <c r="O22" s="270">
        <f>[6]Charter!N22</f>
        <v>1122966</v>
      </c>
      <c r="P22" s="189">
        <f t="shared" ref="P22:P32" si="7">(N22-O22)/O22</f>
        <v>0.86590778349478081</v>
      </c>
    </row>
    <row r="23" spans="1:16" ht="14.1" customHeight="1" x14ac:dyDescent="0.2">
      <c r="A23" s="188" t="s">
        <v>104</v>
      </c>
      <c r="B23" s="439">
        <f>+'Intl Detail'!$Q$4+'Intl Detail'!$Q$9</f>
        <v>123497</v>
      </c>
      <c r="C23" s="438">
        <f>+'Intl Detail'!$Q$5+'Intl Detail'!$Q$10</f>
        <v>125169</v>
      </c>
      <c r="D23" s="438">
        <f t="shared" ref="D23" si="8">SUM(B23:C23)</f>
        <v>248666</v>
      </c>
      <c r="E23" s="270">
        <f>[1]Charter!D23</f>
        <v>78196</v>
      </c>
      <c r="F23" s="189">
        <f t="shared" si="0"/>
        <v>2.1800347843879484</v>
      </c>
      <c r="G23" s="439">
        <f t="shared" ref="G23" si="9">L23-B23</f>
        <v>1278578</v>
      </c>
      <c r="H23" s="438">
        <f t="shared" ref="H23" si="10">M23-C23</f>
        <v>1301724</v>
      </c>
      <c r="I23" s="438">
        <f t="shared" ref="I23" si="11">SUM(G23:H23)</f>
        <v>2580302</v>
      </c>
      <c r="J23" s="270">
        <f>[1]Charter!I23</f>
        <v>1642699</v>
      </c>
      <c r="K23" s="190">
        <f t="shared" si="2"/>
        <v>0.57076981236367708</v>
      </c>
      <c r="L23" s="439">
        <f>+'Monthly Summary'!B11</f>
        <v>1402075</v>
      </c>
      <c r="M23" s="438">
        <f>+'Monthly Summary'!C11</f>
        <v>1426893</v>
      </c>
      <c r="N23" s="438">
        <f>SUM(L23:M23)</f>
        <v>2828968</v>
      </c>
      <c r="O23" s="270">
        <f>[1]Charter!N23</f>
        <v>1720895</v>
      </c>
      <c r="P23" s="189">
        <f t="shared" si="7"/>
        <v>0.64389343916973441</v>
      </c>
    </row>
    <row r="24" spans="1:16" ht="14.1" customHeight="1" x14ac:dyDescent="0.2">
      <c r="A24" s="188" t="s">
        <v>105</v>
      </c>
      <c r="B24" s="262"/>
      <c r="C24" s="264"/>
      <c r="D24" s="438"/>
      <c r="E24" s="270"/>
      <c r="F24" s="189" t="e">
        <f t="shared" si="0"/>
        <v>#DIV/0!</v>
      </c>
      <c r="G24" s="262"/>
      <c r="H24" s="264"/>
      <c r="I24" s="263"/>
      <c r="J24" s="270"/>
      <c r="K24" s="190" t="e">
        <f t="shared" si="2"/>
        <v>#DIV/0!</v>
      </c>
      <c r="L24" s="262"/>
      <c r="M24" s="264"/>
      <c r="N24" s="263"/>
      <c r="O24" s="270"/>
      <c r="P24" s="189" t="e">
        <f t="shared" si="7"/>
        <v>#DIV/0!</v>
      </c>
    </row>
    <row r="25" spans="1:16" ht="14.1" customHeight="1" x14ac:dyDescent="0.2">
      <c r="A25" s="175" t="s">
        <v>75</v>
      </c>
      <c r="B25" s="262"/>
      <c r="C25" s="264"/>
      <c r="D25" s="438"/>
      <c r="E25" s="270"/>
      <c r="F25" s="178" t="e">
        <f t="shared" si="0"/>
        <v>#DIV/0!</v>
      </c>
      <c r="G25" s="262"/>
      <c r="H25" s="264"/>
      <c r="I25" s="263"/>
      <c r="J25" s="270"/>
      <c r="K25" s="184" t="e">
        <f t="shared" si="2"/>
        <v>#DIV/0!</v>
      </c>
      <c r="L25" s="262"/>
      <c r="M25" s="264"/>
      <c r="N25" s="263"/>
      <c r="O25" s="270"/>
      <c r="P25" s="178" t="e">
        <f t="shared" si="7"/>
        <v>#DIV/0!</v>
      </c>
    </row>
    <row r="26" spans="1:16" ht="14.1" customHeight="1" x14ac:dyDescent="0.2">
      <c r="A26" s="188" t="s">
        <v>106</v>
      </c>
      <c r="B26" s="262"/>
      <c r="C26" s="264"/>
      <c r="D26" s="438"/>
      <c r="E26" s="270"/>
      <c r="F26" s="189" t="e">
        <f t="shared" si="0"/>
        <v>#DIV/0!</v>
      </c>
      <c r="G26" s="262"/>
      <c r="H26" s="264"/>
      <c r="I26" s="263"/>
      <c r="J26" s="270"/>
      <c r="K26" s="190" t="e">
        <f t="shared" si="2"/>
        <v>#DIV/0!</v>
      </c>
      <c r="L26" s="262"/>
      <c r="M26" s="264"/>
      <c r="N26" s="263"/>
      <c r="O26" s="270"/>
      <c r="P26" s="189" t="e">
        <f t="shared" si="7"/>
        <v>#DIV/0!</v>
      </c>
    </row>
    <row r="27" spans="1:16" ht="14.1" customHeight="1" x14ac:dyDescent="0.2">
      <c r="A27" s="175" t="s">
        <v>107</v>
      </c>
      <c r="B27" s="262"/>
      <c r="C27" s="264"/>
      <c r="D27" s="438"/>
      <c r="E27" s="270"/>
      <c r="F27" s="178" t="e">
        <f t="shared" si="0"/>
        <v>#DIV/0!</v>
      </c>
      <c r="G27" s="262"/>
      <c r="H27" s="264"/>
      <c r="I27" s="263"/>
      <c r="J27" s="270"/>
      <c r="K27" s="184" t="e">
        <f t="shared" si="2"/>
        <v>#DIV/0!</v>
      </c>
      <c r="L27" s="262"/>
      <c r="M27" s="264"/>
      <c r="N27" s="263"/>
      <c r="O27" s="270"/>
      <c r="P27" s="178" t="e">
        <f t="shared" si="7"/>
        <v>#DIV/0!</v>
      </c>
    </row>
    <row r="28" spans="1:16" ht="14.1" customHeight="1" x14ac:dyDescent="0.2">
      <c r="A28" s="188" t="s">
        <v>108</v>
      </c>
      <c r="B28" s="262"/>
      <c r="C28" s="264"/>
      <c r="D28" s="438"/>
      <c r="E28" s="270"/>
      <c r="F28" s="189" t="e">
        <f t="shared" si="0"/>
        <v>#DIV/0!</v>
      </c>
      <c r="G28" s="262"/>
      <c r="H28" s="264"/>
      <c r="I28" s="263"/>
      <c r="J28" s="270"/>
      <c r="K28" s="190" t="e">
        <f t="shared" si="2"/>
        <v>#DIV/0!</v>
      </c>
      <c r="L28" s="262"/>
      <c r="M28" s="264"/>
      <c r="N28" s="263"/>
      <c r="O28" s="270"/>
      <c r="P28" s="189" t="e">
        <f t="shared" si="7"/>
        <v>#DIV/0!</v>
      </c>
    </row>
    <row r="29" spans="1:16" ht="14.1" customHeight="1" x14ac:dyDescent="0.2">
      <c r="A29" s="175" t="s">
        <v>109</v>
      </c>
      <c r="B29" s="262"/>
      <c r="C29" s="264"/>
      <c r="D29" s="438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7"/>
        <v>#DIV/0!</v>
      </c>
    </row>
    <row r="30" spans="1:16" ht="14.1" customHeight="1" x14ac:dyDescent="0.2">
      <c r="A30" s="188" t="s">
        <v>110</v>
      </c>
      <c r="B30" s="262"/>
      <c r="C30" s="264"/>
      <c r="D30" s="438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7"/>
        <v>#DIV/0!</v>
      </c>
    </row>
    <row r="31" spans="1:16" ht="14.1" customHeight="1" x14ac:dyDescent="0.2">
      <c r="A31" s="175" t="s">
        <v>111</v>
      </c>
      <c r="B31" s="262"/>
      <c r="C31" s="264"/>
      <c r="D31" s="438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7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7"/>
        <v>#DIV/0!</v>
      </c>
    </row>
    <row r="33" spans="1:16" ht="13.5" thickBot="1" x14ac:dyDescent="0.25">
      <c r="A33" s="185" t="s">
        <v>76</v>
      </c>
      <c r="B33" s="195">
        <f>SUM(B21:B32)</f>
        <v>284267</v>
      </c>
      <c r="C33" s="196">
        <f>SUM(C21:C32)</f>
        <v>288611</v>
      </c>
      <c r="D33" s="196">
        <f>SUM(D21:D32)</f>
        <v>572878</v>
      </c>
      <c r="E33" s="197">
        <f>SUM(E21:E32)</f>
        <v>180873</v>
      </c>
      <c r="F33" s="180">
        <f>(D33-E33)/E33</f>
        <v>2.1672941787884317</v>
      </c>
      <c r="G33" s="198">
        <f>SUM(G21:G32)</f>
        <v>3141224</v>
      </c>
      <c r="H33" s="196">
        <f>SUM(H21:H32)</f>
        <v>3207039</v>
      </c>
      <c r="I33" s="196">
        <f>SUM(I21:I32)</f>
        <v>6348263</v>
      </c>
      <c r="J33" s="199">
        <f>SUM(J21:J32)</f>
        <v>3773825</v>
      </c>
      <c r="K33" s="181">
        <f>(I33-J33)/J33</f>
        <v>0.6821826661278676</v>
      </c>
      <c r="L33" s="198">
        <f>SUM(L21:L32)</f>
        <v>3425491</v>
      </c>
      <c r="M33" s="196">
        <f>SUM(M21:M32)</f>
        <v>3495650</v>
      </c>
      <c r="N33" s="196">
        <f>SUM(N21:N32)</f>
        <v>6921141</v>
      </c>
      <c r="O33" s="197">
        <f>SUM(O21:O32)</f>
        <v>3954698</v>
      </c>
      <c r="P33" s="179">
        <f>(N33-O33)/O33</f>
        <v>0.75010607636790472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March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zoomScaleNormal="100" workbookViewId="0">
      <selection activeCell="G4" sqref="G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43" customFormat="1" ht="16.5" thickBot="1" x14ac:dyDescent="0.3">
      <c r="B1" s="469" t="s">
        <v>204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1"/>
    </row>
    <row r="2" spans="1:22" s="28" customFormat="1" ht="43.5" customHeight="1" thickBot="1" x14ac:dyDescent="0.25">
      <c r="A2" s="443">
        <v>44621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94" t="s">
        <v>202</v>
      </c>
      <c r="I2" s="352" t="s">
        <v>81</v>
      </c>
      <c r="J2" s="394" t="s">
        <v>177</v>
      </c>
      <c r="K2" s="351" t="s">
        <v>206</v>
      </c>
      <c r="L2" s="394" t="s">
        <v>85</v>
      </c>
      <c r="M2" s="351" t="s">
        <v>207</v>
      </c>
      <c r="N2" s="351" t="s">
        <v>208</v>
      </c>
      <c r="O2" s="351" t="s">
        <v>209</v>
      </c>
      <c r="P2" s="352" t="s">
        <v>82</v>
      </c>
      <c r="Q2" s="394" t="s">
        <v>127</v>
      </c>
      <c r="R2" s="394" t="s">
        <v>21</v>
      </c>
    </row>
    <row r="3" spans="1:22" ht="15" x14ac:dyDescent="0.25">
      <c r="A3" s="158" t="s">
        <v>9</v>
      </c>
      <c r="B3" s="402"/>
      <c r="C3" s="159"/>
      <c r="D3" s="159"/>
      <c r="E3" s="159"/>
      <c r="F3" s="30"/>
      <c r="G3" s="159"/>
      <c r="H3" s="30"/>
      <c r="I3" s="159"/>
      <c r="J3" s="30"/>
      <c r="K3" s="159"/>
      <c r="L3" s="30"/>
      <c r="M3" s="159"/>
      <c r="N3" s="159"/>
      <c r="O3" s="159"/>
      <c r="P3" s="159"/>
      <c r="Q3" s="30"/>
      <c r="R3" s="403"/>
      <c r="T3" s="370"/>
      <c r="U3" s="370"/>
      <c r="V3" s="370"/>
    </row>
    <row r="4" spans="1:22" x14ac:dyDescent="0.2">
      <c r="A4" s="38" t="s">
        <v>53</v>
      </c>
      <c r="B4" s="193">
        <f>'[3]Atlas Air'!$HT$4</f>
        <v>32</v>
      </c>
      <c r="C4" s="133">
        <f>[3]DHL!$HT$4+[3]DHL_Atlas!$HT$4+[3]DHL_Atlas!$HT$8+[3]DHL_Atlas!$HT$15</f>
        <v>0</v>
      </c>
      <c r="D4" s="133">
        <f>[3]Airborne!$HT$4+[3]Airborne!$HT$15</f>
        <v>3</v>
      </c>
      <c r="E4" s="96">
        <f>[3]DHL_Bemidji!$HT$4</f>
        <v>45</v>
      </c>
      <c r="F4" s="96">
        <f>[3]Bemidji!$HT$4</f>
        <v>205</v>
      </c>
      <c r="G4" s="133">
        <f>[3]DHL_Encore!$HT$4+[3]DHL_Encore!$HT$15</f>
        <v>0</v>
      </c>
      <c r="H4" s="133">
        <f>[3]Encore!$HT$4+[3]Encore!$HT$15</f>
        <v>0</v>
      </c>
      <c r="I4" s="133">
        <f>[3]FedEx!$HT$4+[3]FedEx!$HT$15</f>
        <v>145</v>
      </c>
      <c r="J4" s="133">
        <f>[3]IFL!$HT$4+[3]IFL!$HT$15</f>
        <v>19</v>
      </c>
      <c r="K4" s="133">
        <f>[3]DHL_Kalitta!$HT$4+[3]DHL_Kalitta!$HT$15</f>
        <v>0</v>
      </c>
      <c r="L4" s="96">
        <f>'[3]Mountain Cargo'!$HT$4</f>
        <v>22</v>
      </c>
      <c r="M4" s="133">
        <f>[3]DHL_Southair!$HT$4+[3]DHL_Southair!$HT$15</f>
        <v>0</v>
      </c>
      <c r="N4" s="133">
        <f>[3]DHL_Swift!$HT$4+[3]DHL_Swift!$HT$15</f>
        <v>35</v>
      </c>
      <c r="O4" s="133">
        <f>+'[3]Sun Country Cargo'!$HT$4+'[3]Sun Country Cargo'!$HT$8+'[3]Sun Country Cargo'!$HT$15</f>
        <v>67</v>
      </c>
      <c r="P4" s="133">
        <f>[3]UPS!$HT$4+[3]UPS!$HT$15</f>
        <v>158</v>
      </c>
      <c r="Q4" s="96">
        <f>'[3]Misc Cargo'!$HT$4</f>
        <v>0</v>
      </c>
      <c r="R4" s="404">
        <f>SUM(B4:Q4)</f>
        <v>731</v>
      </c>
      <c r="T4" s="370"/>
      <c r="U4" s="370"/>
      <c r="V4" s="231"/>
    </row>
    <row r="5" spans="1:22" x14ac:dyDescent="0.2">
      <c r="A5" s="38" t="s">
        <v>54</v>
      </c>
      <c r="B5" s="405">
        <f>'[3]Atlas Air'!$HT$5</f>
        <v>32</v>
      </c>
      <c r="C5" s="157">
        <f>[3]DHL!$HT$5+[3]DHL_Atlas!$HT$5+[3]DHL_Atlas!$HT$9+[3]DHL_Atlas!$HT$16</f>
        <v>0</v>
      </c>
      <c r="D5" s="157">
        <f>[3]Airborne!$HT$5</f>
        <v>3</v>
      </c>
      <c r="E5" s="97">
        <f>[3]DHL_Bemidji!$HT$5</f>
        <v>45</v>
      </c>
      <c r="F5" s="97">
        <f>[3]Bemidji!$HT$5</f>
        <v>205</v>
      </c>
      <c r="G5" s="157">
        <f>[3]DHL_Encore!$HT$5</f>
        <v>0</v>
      </c>
      <c r="H5" s="157">
        <f>[3]Encore!$HT$5</f>
        <v>0</v>
      </c>
      <c r="I5" s="157">
        <f>[3]FedEx!$HT$5</f>
        <v>145</v>
      </c>
      <c r="J5" s="157">
        <f>[3]IFL!$HT$5</f>
        <v>19</v>
      </c>
      <c r="K5" s="157">
        <f>[3]DHL_Kalitta!$HT$5</f>
        <v>0</v>
      </c>
      <c r="L5" s="97">
        <f>'[3]Mountain Cargo'!$HT$5</f>
        <v>22</v>
      </c>
      <c r="M5" s="157">
        <f>[3]DHL_Southair!$HT$5</f>
        <v>0</v>
      </c>
      <c r="N5" s="157">
        <f>[3]DHL_Swift!$HT$5</f>
        <v>35</v>
      </c>
      <c r="O5" s="157">
        <f>+'[3]Sun Country Cargo'!$HT$5+'[3]Sun Country Cargo'!$HT$9+'[3]Sun Country Cargo'!$HT$16</f>
        <v>67</v>
      </c>
      <c r="P5" s="157">
        <f>[3]UPS!$HT$5+[3]UPS!$HT$16</f>
        <v>157</v>
      </c>
      <c r="Q5" s="97">
        <f>'[3]Misc Cargo'!$HT$5</f>
        <v>0</v>
      </c>
      <c r="R5" s="404">
        <f>SUM(B5:Q5)</f>
        <v>730</v>
      </c>
      <c r="T5" s="370"/>
      <c r="U5" s="370"/>
      <c r="V5" s="231"/>
    </row>
    <row r="6" spans="1:22" s="156" customFormat="1" x14ac:dyDescent="0.2">
      <c r="A6" s="160" t="s">
        <v>55</v>
      </c>
      <c r="B6" s="406">
        <f t="shared" ref="B6:Q6" si="0">SUM(B4:B5)</f>
        <v>64</v>
      </c>
      <c r="C6" s="407">
        <f t="shared" si="0"/>
        <v>0</v>
      </c>
      <c r="D6" s="407">
        <f t="shared" ref="D6:E6" si="1">SUM(D4:D5)</f>
        <v>6</v>
      </c>
      <c r="E6" s="94">
        <f t="shared" si="1"/>
        <v>90</v>
      </c>
      <c r="F6" s="94">
        <f t="shared" si="0"/>
        <v>410</v>
      </c>
      <c r="G6" s="407">
        <f t="shared" si="0"/>
        <v>0</v>
      </c>
      <c r="H6" s="407">
        <f t="shared" si="0"/>
        <v>0</v>
      </c>
      <c r="I6" s="407">
        <f t="shared" si="0"/>
        <v>290</v>
      </c>
      <c r="J6" s="407">
        <f t="shared" si="0"/>
        <v>38</v>
      </c>
      <c r="K6" s="407">
        <f t="shared" si="0"/>
        <v>0</v>
      </c>
      <c r="L6" s="94">
        <f t="shared" si="0"/>
        <v>44</v>
      </c>
      <c r="M6" s="407">
        <f t="shared" si="0"/>
        <v>0</v>
      </c>
      <c r="N6" s="407">
        <f t="shared" si="0"/>
        <v>70</v>
      </c>
      <c r="O6" s="407">
        <f t="shared" si="0"/>
        <v>134</v>
      </c>
      <c r="P6" s="407">
        <f t="shared" si="0"/>
        <v>315</v>
      </c>
      <c r="Q6" s="94">
        <f t="shared" si="0"/>
        <v>0</v>
      </c>
      <c r="R6" s="404">
        <f t="shared" ref="R6:R10" si="2">SUM(B6:Q6)</f>
        <v>1461</v>
      </c>
      <c r="V6" s="312"/>
    </row>
    <row r="7" spans="1:22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96"/>
      <c r="M7" s="133"/>
      <c r="N7" s="133"/>
      <c r="O7" s="133"/>
      <c r="P7" s="133"/>
      <c r="Q7" s="96"/>
      <c r="R7" s="404"/>
      <c r="T7" s="348"/>
      <c r="U7" s="370"/>
      <c r="V7" s="231"/>
    </row>
    <row r="8" spans="1:22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96"/>
      <c r="M8" s="133"/>
      <c r="N8" s="133"/>
      <c r="O8" s="133"/>
      <c r="P8" s="133"/>
      <c r="Q8" s="96">
        <f>'[3]Misc Cargo'!$HT$8</f>
        <v>0</v>
      </c>
      <c r="R8" s="404">
        <f t="shared" si="2"/>
        <v>0</v>
      </c>
      <c r="T8" s="370"/>
      <c r="U8" s="370"/>
      <c r="V8" s="231"/>
    </row>
    <row r="9" spans="1:22" ht="15" x14ac:dyDescent="0.25">
      <c r="A9" s="38" t="s">
        <v>57</v>
      </c>
      <c r="B9" s="405"/>
      <c r="C9" s="157"/>
      <c r="D9" s="157"/>
      <c r="E9" s="97"/>
      <c r="F9" s="97"/>
      <c r="G9" s="157"/>
      <c r="H9" s="157"/>
      <c r="I9" s="157"/>
      <c r="J9" s="157"/>
      <c r="K9" s="157"/>
      <c r="L9" s="97"/>
      <c r="M9" s="157"/>
      <c r="N9" s="157"/>
      <c r="O9" s="157"/>
      <c r="P9" s="157"/>
      <c r="Q9" s="97">
        <f>'[3]Misc Cargo'!$HT$9</f>
        <v>0</v>
      </c>
      <c r="R9" s="404">
        <f t="shared" si="2"/>
        <v>0</v>
      </c>
      <c r="T9" s="370"/>
      <c r="U9" s="8"/>
      <c r="V9" s="231"/>
    </row>
    <row r="10" spans="1:22" s="156" customFormat="1" x14ac:dyDescent="0.2">
      <c r="A10" s="160" t="s">
        <v>58</v>
      </c>
      <c r="B10" s="406">
        <f t="shared" ref="B10:Q10" si="3">SUM(B8:B9)</f>
        <v>0</v>
      </c>
      <c r="C10" s="407">
        <f t="shared" si="3"/>
        <v>0</v>
      </c>
      <c r="D10" s="407">
        <f t="shared" ref="D10:E10" si="4">SUM(D8:D9)</f>
        <v>0</v>
      </c>
      <c r="E10" s="94">
        <f t="shared" si="4"/>
        <v>0</v>
      </c>
      <c r="F10" s="94">
        <f t="shared" si="3"/>
        <v>0</v>
      </c>
      <c r="G10" s="407">
        <f t="shared" si="3"/>
        <v>0</v>
      </c>
      <c r="H10" s="407">
        <f t="shared" si="3"/>
        <v>0</v>
      </c>
      <c r="I10" s="407">
        <f t="shared" si="3"/>
        <v>0</v>
      </c>
      <c r="J10" s="407">
        <f t="shared" si="3"/>
        <v>0</v>
      </c>
      <c r="K10" s="407">
        <f t="shared" si="3"/>
        <v>0</v>
      </c>
      <c r="L10" s="94">
        <f t="shared" si="3"/>
        <v>0</v>
      </c>
      <c r="M10" s="407">
        <f t="shared" si="3"/>
        <v>0</v>
      </c>
      <c r="N10" s="407">
        <f t="shared" si="3"/>
        <v>0</v>
      </c>
      <c r="O10" s="407">
        <f t="shared" si="3"/>
        <v>0</v>
      </c>
      <c r="P10" s="407">
        <f t="shared" si="3"/>
        <v>0</v>
      </c>
      <c r="Q10" s="94">
        <f t="shared" si="3"/>
        <v>0</v>
      </c>
      <c r="R10" s="404">
        <f t="shared" si="2"/>
        <v>0</v>
      </c>
      <c r="V10" s="312"/>
    </row>
    <row r="11" spans="1:22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96"/>
      <c r="M11" s="133"/>
      <c r="N11" s="133"/>
      <c r="O11" s="133"/>
      <c r="P11" s="133"/>
      <c r="Q11" s="96"/>
      <c r="R11" s="408"/>
      <c r="T11" s="370"/>
      <c r="U11" s="370"/>
      <c r="V11" s="231"/>
    </row>
    <row r="12" spans="1:22" ht="18" customHeight="1" thickBot="1" x14ac:dyDescent="0.25">
      <c r="A12" s="161" t="s">
        <v>28</v>
      </c>
      <c r="B12" s="409">
        <f t="shared" ref="B12:Q12" si="5">B6+B10</f>
        <v>64</v>
      </c>
      <c r="C12" s="162">
        <f t="shared" si="5"/>
        <v>0</v>
      </c>
      <c r="D12" s="162">
        <f t="shared" ref="D12:E12" si="6">D6+D10</f>
        <v>6</v>
      </c>
      <c r="E12" s="163">
        <f t="shared" si="6"/>
        <v>90</v>
      </c>
      <c r="F12" s="163">
        <f t="shared" si="5"/>
        <v>410</v>
      </c>
      <c r="G12" s="162">
        <f t="shared" si="5"/>
        <v>0</v>
      </c>
      <c r="H12" s="162">
        <f t="shared" si="5"/>
        <v>0</v>
      </c>
      <c r="I12" s="162">
        <f t="shared" si="5"/>
        <v>290</v>
      </c>
      <c r="J12" s="162">
        <f t="shared" si="5"/>
        <v>38</v>
      </c>
      <c r="K12" s="162">
        <f t="shared" si="5"/>
        <v>0</v>
      </c>
      <c r="L12" s="163">
        <f t="shared" si="5"/>
        <v>44</v>
      </c>
      <c r="M12" s="162">
        <f t="shared" si="5"/>
        <v>0</v>
      </c>
      <c r="N12" s="162">
        <f t="shared" si="5"/>
        <v>70</v>
      </c>
      <c r="O12" s="162">
        <f t="shared" si="5"/>
        <v>134</v>
      </c>
      <c r="P12" s="162">
        <f t="shared" si="5"/>
        <v>315</v>
      </c>
      <c r="Q12" s="163">
        <f t="shared" si="5"/>
        <v>0</v>
      </c>
      <c r="R12" s="410">
        <f>SUM(B12:Q12)</f>
        <v>1461</v>
      </c>
      <c r="T12" s="370"/>
      <c r="U12" s="370"/>
      <c r="V12" s="231"/>
    </row>
    <row r="13" spans="1:22" ht="18" customHeight="1" thickBot="1" x14ac:dyDescent="0.25">
      <c r="A13" s="147"/>
      <c r="B13" s="411"/>
      <c r="C13" s="412"/>
      <c r="D13" s="412"/>
      <c r="E13" s="286"/>
      <c r="F13" s="286"/>
      <c r="G13" s="412"/>
      <c r="H13" s="412"/>
      <c r="I13" s="412"/>
      <c r="J13" s="412"/>
      <c r="K13" s="412"/>
      <c r="L13" s="286"/>
      <c r="M13" s="412"/>
      <c r="N13" s="412"/>
      <c r="O13" s="412"/>
      <c r="P13" s="412"/>
      <c r="Q13" s="286"/>
      <c r="R13" s="2"/>
      <c r="T13" s="370"/>
      <c r="U13" s="370"/>
      <c r="V13" s="231"/>
    </row>
    <row r="14" spans="1:22" ht="15" x14ac:dyDescent="0.25">
      <c r="A14" s="164" t="s">
        <v>92</v>
      </c>
      <c r="B14" s="413"/>
      <c r="C14" s="165"/>
      <c r="D14" s="165"/>
      <c r="E14" s="62"/>
      <c r="F14" s="62"/>
      <c r="G14" s="165"/>
      <c r="H14" s="165"/>
      <c r="I14" s="165"/>
      <c r="J14" s="165"/>
      <c r="K14" s="165"/>
      <c r="L14" s="62"/>
      <c r="M14" s="165"/>
      <c r="N14" s="165"/>
      <c r="O14" s="165"/>
      <c r="P14" s="165"/>
      <c r="Q14" s="62"/>
      <c r="R14" s="414"/>
      <c r="T14" s="370"/>
      <c r="U14" s="370"/>
      <c r="V14" s="231"/>
    </row>
    <row r="15" spans="1:22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2"/>
      <c r="M15" s="133"/>
      <c r="N15" s="133"/>
      <c r="O15" s="133"/>
      <c r="P15" s="133"/>
      <c r="Q15" s="2"/>
      <c r="R15" s="150"/>
      <c r="T15" s="370"/>
      <c r="U15" s="370"/>
      <c r="V15" s="231"/>
    </row>
    <row r="16" spans="1:22" ht="12.75" customHeight="1" x14ac:dyDescent="0.2">
      <c r="A16" s="38" t="s">
        <v>37</v>
      </c>
      <c r="B16" s="193">
        <f>'[3]Atlas Air'!$HT$47</f>
        <v>2164873</v>
      </c>
      <c r="C16" s="133">
        <f>[3]DHL!$HT$47+[3]DHL_Atlas!$HT$47</f>
        <v>0</v>
      </c>
      <c r="D16" s="133">
        <f>[3]Airborne!$HT$47</f>
        <v>98082</v>
      </c>
      <c r="E16" s="133">
        <f>[3]DHL_Bemidji!$HT$47</f>
        <v>70028</v>
      </c>
      <c r="F16" s="472" t="s">
        <v>86</v>
      </c>
      <c r="G16" s="133">
        <f>[3]DHL_Encore!$HT$47</f>
        <v>0</v>
      </c>
      <c r="H16" s="133">
        <f>[3]Encore!$HT$47</f>
        <v>0</v>
      </c>
      <c r="I16" s="133">
        <f>[3]FedEx!$HT$47</f>
        <v>8665279</v>
      </c>
      <c r="J16" s="133">
        <f>[3]IFL!$HT$47</f>
        <v>72458</v>
      </c>
      <c r="K16" s="133">
        <f>[3]DHL_Kalitta!$HT$47</f>
        <v>0</v>
      </c>
      <c r="L16" s="96">
        <f>'[3]Mountain Cargo'!$HT$47</f>
        <v>0</v>
      </c>
      <c r="M16" s="133">
        <f>[3]DHL_Southair!$HT$47</f>
        <v>0</v>
      </c>
      <c r="N16" s="133">
        <f>[3]DHL_Swift!$HT$47</f>
        <v>1028538</v>
      </c>
      <c r="O16" s="133">
        <f>+'[3]Sun Country Cargo'!$HT$47</f>
        <v>2046383</v>
      </c>
      <c r="P16" s="133">
        <f>[3]UPS!$HT$47</f>
        <v>6650608</v>
      </c>
      <c r="Q16" s="96">
        <f>'[3]Misc Cargo'!$HT$47</f>
        <v>0</v>
      </c>
      <c r="R16" s="404">
        <f>SUM(B16:E16)+SUM(G16:Q16)</f>
        <v>20796249</v>
      </c>
      <c r="T16" s="370"/>
      <c r="U16" s="370"/>
      <c r="V16" s="231"/>
    </row>
    <row r="17" spans="1:22" x14ac:dyDescent="0.2">
      <c r="A17" s="38" t="s">
        <v>38</v>
      </c>
      <c r="B17" s="193">
        <f>'[3]Atlas Air'!$HT$48</f>
        <v>0</v>
      </c>
      <c r="C17" s="133">
        <f>[3]DHL!$HT$48</f>
        <v>0</v>
      </c>
      <c r="D17" s="133">
        <f>[3]Airborne!$HT$48</f>
        <v>0</v>
      </c>
      <c r="E17" s="133">
        <f>[3]DHL_Bemidji!$HT$48</f>
        <v>0</v>
      </c>
      <c r="F17" s="473"/>
      <c r="G17" s="133">
        <f>[3]DHL_Encore!$HT$48</f>
        <v>0</v>
      </c>
      <c r="H17" s="133">
        <f>[3]Encore!$HT$48</f>
        <v>0</v>
      </c>
      <c r="I17" s="133">
        <f>[3]FedEx!$HT$48</f>
        <v>0</v>
      </c>
      <c r="J17" s="133">
        <f>[3]IFL!$HT$48</f>
        <v>0</v>
      </c>
      <c r="K17" s="133">
        <f>[3]DHL_Kalitta!$HT$48</f>
        <v>0</v>
      </c>
      <c r="L17" s="96">
        <f>'[3]Mountain Cargo'!$HT$48</f>
        <v>50917</v>
      </c>
      <c r="M17" s="133">
        <f>[3]DHL_Southair!$HT$48</f>
        <v>0</v>
      </c>
      <c r="N17" s="133">
        <f>[3]DHL_Swift!$HT$48</f>
        <v>0</v>
      </c>
      <c r="O17" s="133">
        <f>+'[3]Sun Country Cargo'!$HT$48</f>
        <v>0</v>
      </c>
      <c r="P17" s="133">
        <f>[3]UPS!$HT$48</f>
        <v>1061969</v>
      </c>
      <c r="Q17" s="96">
        <f>'[3]Misc Cargo'!$HT$48</f>
        <v>0</v>
      </c>
      <c r="R17" s="404">
        <f>SUM(B17:E17)+SUM(G17:Q17)</f>
        <v>1112886</v>
      </c>
      <c r="T17" s="370"/>
      <c r="U17" s="370"/>
      <c r="V17" s="231"/>
    </row>
    <row r="18" spans="1:22" ht="18" customHeight="1" x14ac:dyDescent="0.2">
      <c r="A18" s="167" t="s">
        <v>39</v>
      </c>
      <c r="B18" s="415">
        <f>SUM(B16:B17)</f>
        <v>2164873</v>
      </c>
      <c r="C18" s="237">
        <f>SUM(C16:C17)</f>
        <v>0</v>
      </c>
      <c r="D18" s="237">
        <f>SUM(D16:D17)</f>
        <v>98082</v>
      </c>
      <c r="E18" s="237">
        <f>SUM(E16:E17)</f>
        <v>70028</v>
      </c>
      <c r="F18" s="473"/>
      <c r="G18" s="237">
        <f>SUM(G16:G17)</f>
        <v>0</v>
      </c>
      <c r="H18" s="237">
        <f>SUM(H16:H17)</f>
        <v>0</v>
      </c>
      <c r="I18" s="237">
        <f>SUM(I16:I17)</f>
        <v>8665279</v>
      </c>
      <c r="J18" s="237">
        <f>SUM(J16:J17)</f>
        <v>72458</v>
      </c>
      <c r="K18" s="237">
        <f t="shared" ref="K18:Q18" si="7">SUM(K16:K17)</f>
        <v>0</v>
      </c>
      <c r="L18" s="238">
        <f t="shared" si="7"/>
        <v>50917</v>
      </c>
      <c r="M18" s="237">
        <f t="shared" si="7"/>
        <v>0</v>
      </c>
      <c r="N18" s="237">
        <f t="shared" si="7"/>
        <v>1028538</v>
      </c>
      <c r="O18" s="237">
        <f t="shared" si="7"/>
        <v>2046383</v>
      </c>
      <c r="P18" s="237">
        <f t="shared" si="7"/>
        <v>7712577</v>
      </c>
      <c r="Q18" s="238">
        <f t="shared" si="7"/>
        <v>0</v>
      </c>
      <c r="R18" s="416">
        <f>SUM(B18:D18)+SUM(G18:Q18)</f>
        <v>21839107</v>
      </c>
      <c r="T18" s="370"/>
      <c r="U18" s="370"/>
      <c r="V18" s="231"/>
    </row>
    <row r="19" spans="1:22" x14ac:dyDescent="0.2">
      <c r="A19" s="38"/>
      <c r="B19" s="193"/>
      <c r="C19" s="133"/>
      <c r="D19" s="133"/>
      <c r="E19" s="133"/>
      <c r="F19" s="473"/>
      <c r="G19" s="133"/>
      <c r="H19" s="133"/>
      <c r="I19" s="133"/>
      <c r="J19" s="133"/>
      <c r="K19" s="133"/>
      <c r="L19" s="96"/>
      <c r="M19" s="133"/>
      <c r="N19" s="133"/>
      <c r="O19" s="133"/>
      <c r="P19" s="133"/>
      <c r="Q19" s="96"/>
      <c r="R19" s="404"/>
      <c r="T19" s="348"/>
      <c r="U19" s="370"/>
      <c r="V19" s="231"/>
    </row>
    <row r="20" spans="1:22" x14ac:dyDescent="0.2">
      <c r="A20" s="166" t="s">
        <v>87</v>
      </c>
      <c r="B20" s="193"/>
      <c r="C20" s="133"/>
      <c r="D20" s="133"/>
      <c r="E20" s="133"/>
      <c r="F20" s="473"/>
      <c r="G20" s="133"/>
      <c r="H20" s="133"/>
      <c r="I20" s="133"/>
      <c r="J20" s="133"/>
      <c r="K20" s="133"/>
      <c r="L20" s="96"/>
      <c r="M20" s="133"/>
      <c r="N20" s="133"/>
      <c r="O20" s="133"/>
      <c r="P20" s="133"/>
      <c r="Q20" s="96"/>
      <c r="R20" s="404"/>
      <c r="T20" s="348"/>
      <c r="U20" s="370"/>
      <c r="V20" s="231"/>
    </row>
    <row r="21" spans="1:22" x14ac:dyDescent="0.2">
      <c r="A21" s="38" t="s">
        <v>59</v>
      </c>
      <c r="B21" s="193">
        <f>'[3]Atlas Air'!$HT$52</f>
        <v>820889</v>
      </c>
      <c r="C21" s="133">
        <f>[3]DHL!$HT$52+[3]DHL_Atlas!$HT$52</f>
        <v>0</v>
      </c>
      <c r="D21" s="133">
        <f>[3]Airborne!$HT$52</f>
        <v>71352</v>
      </c>
      <c r="E21" s="133">
        <f>[3]DHL_Bemidji!$HT$52</f>
        <v>62689</v>
      </c>
      <c r="F21" s="473"/>
      <c r="G21" s="133">
        <f>[3]DHL_Encore!$HT$52</f>
        <v>0</v>
      </c>
      <c r="H21" s="133">
        <f>[3]Encore!$HT$52</f>
        <v>0</v>
      </c>
      <c r="I21" s="133">
        <f>[3]FedEx!$HT$52</f>
        <v>7719515</v>
      </c>
      <c r="J21" s="133">
        <f>[3]IFL!$HT$52</f>
        <v>0</v>
      </c>
      <c r="K21" s="133">
        <f>[3]DHL_Kalitta!$HT$52</f>
        <v>0</v>
      </c>
      <c r="L21" s="96">
        <f>'[3]Mountain Cargo'!$HT$52</f>
        <v>0</v>
      </c>
      <c r="M21" s="133">
        <f>[3]DHL_Southair!$HT$52</f>
        <v>0</v>
      </c>
      <c r="N21" s="133">
        <f>[3]DHL_Swift!$HT$52</f>
        <v>479900</v>
      </c>
      <c r="O21" s="133">
        <f>+'[3]Sun Country Cargo'!$HT$52</f>
        <v>1031009</v>
      </c>
      <c r="P21" s="133">
        <f>[3]UPS!$HT$52</f>
        <v>5804231</v>
      </c>
      <c r="Q21" s="96">
        <f>'[3]Misc Cargo'!$HT$52</f>
        <v>0</v>
      </c>
      <c r="R21" s="404">
        <f>SUM(B21:E21)+SUM(G21:Q21)</f>
        <v>15989585</v>
      </c>
      <c r="T21" s="370"/>
      <c r="U21" s="370"/>
      <c r="V21" s="231"/>
    </row>
    <row r="22" spans="1:22" x14ac:dyDescent="0.2">
      <c r="A22" s="38" t="s">
        <v>60</v>
      </c>
      <c r="B22" s="193">
        <f>'[3]Atlas Air'!$HT$53</f>
        <v>0</v>
      </c>
      <c r="C22" s="133">
        <f>[3]DHL!$HT$53</f>
        <v>0</v>
      </c>
      <c r="D22" s="133">
        <f>[3]Airborne!$HT$53</f>
        <v>0</v>
      </c>
      <c r="E22" s="133">
        <f>[3]DHL_Bemidji!$HT$53</f>
        <v>0</v>
      </c>
      <c r="F22" s="473"/>
      <c r="G22" s="133">
        <f>[3]DHL_Encore!$HT$53</f>
        <v>0</v>
      </c>
      <c r="H22" s="133">
        <f>[3]Encore!$HT$53</f>
        <v>0</v>
      </c>
      <c r="I22" s="133">
        <f>[3]FedEx!$HT$53</f>
        <v>0</v>
      </c>
      <c r="J22" s="133">
        <f>[3]IFL!$HT$53</f>
        <v>0</v>
      </c>
      <c r="K22" s="133">
        <f>[3]DHL_Kalitta!$HT$53</f>
        <v>0</v>
      </c>
      <c r="L22" s="96">
        <f>'[3]Mountain Cargo'!$HT$53</f>
        <v>88368</v>
      </c>
      <c r="M22" s="133">
        <f>[3]DHL_Southair!$HT$53</f>
        <v>0</v>
      </c>
      <c r="N22" s="133">
        <f>[3]DHL_Swift!$HT$53</f>
        <v>0</v>
      </c>
      <c r="O22" s="133">
        <f>+'[3]Sun Country Cargo'!$HT$53</f>
        <v>0</v>
      </c>
      <c r="P22" s="133">
        <f>[3]UPS!$HT$53</f>
        <v>601215</v>
      </c>
      <c r="Q22" s="96">
        <f>'[3]Misc Cargo'!$HT$53</f>
        <v>0</v>
      </c>
      <c r="R22" s="404">
        <f>SUM(B22:E22)+SUM(G22:Q22)</f>
        <v>689583</v>
      </c>
      <c r="T22" s="370"/>
      <c r="U22" s="370"/>
      <c r="V22" s="231"/>
    </row>
    <row r="23" spans="1:22" ht="18" customHeight="1" x14ac:dyDescent="0.2">
      <c r="A23" s="167" t="s">
        <v>41</v>
      </c>
      <c r="B23" s="415">
        <f>SUM(B21:B22)</f>
        <v>820889</v>
      </c>
      <c r="C23" s="237">
        <f>SUM(C21:C22)</f>
        <v>0</v>
      </c>
      <c r="D23" s="237">
        <f t="shared" ref="D23:E23" si="8">SUM(D21:D22)</f>
        <v>71352</v>
      </c>
      <c r="E23" s="237">
        <f t="shared" si="8"/>
        <v>62689</v>
      </c>
      <c r="F23" s="473"/>
      <c r="G23" s="237">
        <f t="shared" ref="G23:Q23" si="9">SUM(G21:G22)</f>
        <v>0</v>
      </c>
      <c r="H23" s="237">
        <f t="shared" si="9"/>
        <v>0</v>
      </c>
      <c r="I23" s="237">
        <f t="shared" si="9"/>
        <v>7719515</v>
      </c>
      <c r="J23" s="237">
        <f t="shared" si="9"/>
        <v>0</v>
      </c>
      <c r="K23" s="237">
        <f t="shared" si="9"/>
        <v>0</v>
      </c>
      <c r="L23" s="238">
        <f t="shared" si="9"/>
        <v>88368</v>
      </c>
      <c r="M23" s="237">
        <f t="shared" si="9"/>
        <v>0</v>
      </c>
      <c r="N23" s="237">
        <f t="shared" si="9"/>
        <v>479900</v>
      </c>
      <c r="O23" s="237">
        <f t="shared" si="9"/>
        <v>1031009</v>
      </c>
      <c r="P23" s="237">
        <f t="shared" si="9"/>
        <v>6405446</v>
      </c>
      <c r="Q23" s="238">
        <f t="shared" si="9"/>
        <v>0</v>
      </c>
      <c r="R23" s="416">
        <f>SUM(B23:D23)+SUM(G23:Q23)</f>
        <v>16616479</v>
      </c>
      <c r="T23" s="370"/>
      <c r="U23" s="370"/>
      <c r="V23" s="231"/>
    </row>
    <row r="24" spans="1:22" x14ac:dyDescent="0.2">
      <c r="A24" s="38"/>
      <c r="B24" s="193"/>
      <c r="C24" s="133"/>
      <c r="D24" s="133"/>
      <c r="E24" s="133"/>
      <c r="F24" s="473"/>
      <c r="G24" s="133"/>
      <c r="H24" s="133"/>
      <c r="I24" s="133"/>
      <c r="J24" s="133"/>
      <c r="K24" s="133"/>
      <c r="L24" s="96"/>
      <c r="M24" s="133"/>
      <c r="N24" s="133"/>
      <c r="O24" s="133"/>
      <c r="P24" s="133"/>
      <c r="Q24" s="96"/>
      <c r="R24" s="404"/>
      <c r="T24" s="370"/>
      <c r="U24" s="370"/>
      <c r="V24" s="231"/>
    </row>
    <row r="25" spans="1:22" x14ac:dyDescent="0.2">
      <c r="A25" s="166" t="s">
        <v>94</v>
      </c>
      <c r="B25" s="193"/>
      <c r="C25" s="133"/>
      <c r="D25" s="133"/>
      <c r="E25" s="133"/>
      <c r="F25" s="473"/>
      <c r="G25" s="133"/>
      <c r="H25" s="133"/>
      <c r="I25" s="133"/>
      <c r="J25" s="133"/>
      <c r="K25" s="133"/>
      <c r="L25" s="96"/>
      <c r="M25" s="133"/>
      <c r="N25" s="133"/>
      <c r="O25" s="133"/>
      <c r="P25" s="133"/>
      <c r="Q25" s="96"/>
      <c r="R25" s="404"/>
      <c r="T25" s="370"/>
      <c r="U25" s="370"/>
      <c r="V25" s="231"/>
    </row>
    <row r="26" spans="1:22" x14ac:dyDescent="0.2">
      <c r="A26" s="38" t="s">
        <v>59</v>
      </c>
      <c r="B26" s="193">
        <f>'[3]Atlas Air'!$HT$57</f>
        <v>0</v>
      </c>
      <c r="C26" s="133">
        <f>[3]DHL!$HT$57</f>
        <v>0</v>
      </c>
      <c r="D26" s="133">
        <f>[3]Airborne!$HT$57</f>
        <v>0</v>
      </c>
      <c r="E26" s="133">
        <f>[3]DHL_Bemidji!$HT$57</f>
        <v>0</v>
      </c>
      <c r="F26" s="473"/>
      <c r="G26" s="133">
        <f>[3]DHL_Encore!$HT$57</f>
        <v>0</v>
      </c>
      <c r="H26" s="133">
        <f>[3]Encore!$HT$57</f>
        <v>0</v>
      </c>
      <c r="I26" s="133">
        <f>[3]FedEx!$HT$57</f>
        <v>0</v>
      </c>
      <c r="J26" s="133">
        <f>[3]IFL!$HT$57</f>
        <v>0</v>
      </c>
      <c r="K26" s="133">
        <f>[3]DHL_Kalitta!$HT$57</f>
        <v>0</v>
      </c>
      <c r="L26" s="96">
        <f>'[3]Mountain Cargo'!$HT$57</f>
        <v>0</v>
      </c>
      <c r="M26" s="133">
        <f>[3]DHL_Southair!$HT$57</f>
        <v>0</v>
      </c>
      <c r="N26" s="133">
        <f>[3]DHL_Swift!$HT$57</f>
        <v>0</v>
      </c>
      <c r="O26" s="133">
        <f>+'[3]Sun Country Cargo'!$HT$57</f>
        <v>0</v>
      </c>
      <c r="P26" s="133">
        <f>[3]UPS!$HT$57</f>
        <v>0</v>
      </c>
      <c r="Q26" s="96">
        <f>'[3]Misc Cargo'!$HT$57</f>
        <v>0</v>
      </c>
      <c r="R26" s="404">
        <f>SUM(B26:D26)+SUM(G26:Q26)</f>
        <v>0</v>
      </c>
      <c r="T26" s="370"/>
      <c r="U26" s="370"/>
      <c r="V26" s="370"/>
    </row>
    <row r="27" spans="1:22" x14ac:dyDescent="0.2">
      <c r="A27" s="38" t="s">
        <v>60</v>
      </c>
      <c r="B27" s="193">
        <f>'[3]Atlas Air'!$HT$58</f>
        <v>0</v>
      </c>
      <c r="C27" s="133">
        <f>[3]DHL!$HT$58</f>
        <v>0</v>
      </c>
      <c r="D27" s="133">
        <f>[3]Airborne!$HT$58</f>
        <v>0</v>
      </c>
      <c r="E27" s="133">
        <f>[3]DHL_Bemidji!$HT$58</f>
        <v>0</v>
      </c>
      <c r="F27" s="473"/>
      <c r="G27" s="133">
        <f>[3]DHL_Encore!$HT$58</f>
        <v>0</v>
      </c>
      <c r="H27" s="133">
        <f>[3]Encore!$HT$58</f>
        <v>0</v>
      </c>
      <c r="I27" s="133">
        <f>[3]FedEx!$HT$58</f>
        <v>0</v>
      </c>
      <c r="J27" s="133">
        <f>[3]IFL!$HT$58</f>
        <v>0</v>
      </c>
      <c r="K27" s="133">
        <f>[3]DHL_Kalitta!$HT$58</f>
        <v>0</v>
      </c>
      <c r="L27" s="96">
        <f>'[3]Mountain Cargo'!$HT$58</f>
        <v>0</v>
      </c>
      <c r="M27" s="133">
        <f>[3]DHL_Southair!$HT$58</f>
        <v>0</v>
      </c>
      <c r="N27" s="133">
        <f>[3]DHL_Swift!$HT$58</f>
        <v>0</v>
      </c>
      <c r="O27" s="133">
        <f>+'[3]Sun Country Cargo'!$HT$58</f>
        <v>0</v>
      </c>
      <c r="P27" s="133">
        <f>[3]UPS!$HT$58</f>
        <v>0</v>
      </c>
      <c r="Q27" s="96">
        <f>'[3]Misc Cargo'!$HT$58</f>
        <v>0</v>
      </c>
      <c r="R27" s="404">
        <f>SUM(B27:D27)+SUM(G27:Q27)</f>
        <v>0</v>
      </c>
      <c r="T27" s="370"/>
      <c r="U27" s="370"/>
      <c r="V27" s="231"/>
    </row>
    <row r="28" spans="1:22" ht="18" customHeight="1" x14ac:dyDescent="0.2">
      <c r="A28" s="167" t="s">
        <v>43</v>
      </c>
      <c r="B28" s="415">
        <f>SUM(B26:B27)</f>
        <v>0</v>
      </c>
      <c r="C28" s="237">
        <f>SUM(C26:C27)</f>
        <v>0</v>
      </c>
      <c r="D28" s="237">
        <f t="shared" ref="D28:E28" si="10">SUM(D26:D27)</f>
        <v>0</v>
      </c>
      <c r="E28" s="237">
        <f t="shared" si="10"/>
        <v>0</v>
      </c>
      <c r="F28" s="473"/>
      <c r="G28" s="237">
        <f t="shared" ref="G28:Q28" si="11">SUM(G26:G27)</f>
        <v>0</v>
      </c>
      <c r="H28" s="237">
        <f t="shared" si="11"/>
        <v>0</v>
      </c>
      <c r="I28" s="237">
        <f t="shared" si="11"/>
        <v>0</v>
      </c>
      <c r="J28" s="237">
        <f t="shared" si="11"/>
        <v>0</v>
      </c>
      <c r="K28" s="237">
        <f t="shared" si="11"/>
        <v>0</v>
      </c>
      <c r="L28" s="238">
        <f t="shared" si="11"/>
        <v>0</v>
      </c>
      <c r="M28" s="237">
        <f t="shared" si="11"/>
        <v>0</v>
      </c>
      <c r="N28" s="237">
        <f t="shared" si="11"/>
        <v>0</v>
      </c>
      <c r="O28" s="237">
        <f t="shared" si="11"/>
        <v>0</v>
      </c>
      <c r="P28" s="237">
        <f t="shared" si="11"/>
        <v>0</v>
      </c>
      <c r="Q28" s="238">
        <f t="shared" si="11"/>
        <v>0</v>
      </c>
      <c r="R28" s="416">
        <f>SUM(B28:D28)+SUM(G28:Q28)</f>
        <v>0</v>
      </c>
      <c r="T28" s="370"/>
      <c r="U28" s="370"/>
      <c r="V28" s="370"/>
    </row>
    <row r="29" spans="1:22" x14ac:dyDescent="0.2">
      <c r="A29" s="38"/>
      <c r="B29" s="193"/>
      <c r="C29" s="133"/>
      <c r="D29" s="133"/>
      <c r="E29" s="133"/>
      <c r="F29" s="473"/>
      <c r="G29" s="133"/>
      <c r="H29" s="133"/>
      <c r="I29" s="133"/>
      <c r="J29" s="133"/>
      <c r="K29" s="133"/>
      <c r="L29" s="96"/>
      <c r="M29" s="133"/>
      <c r="N29" s="133"/>
      <c r="O29" s="133"/>
      <c r="P29" s="133"/>
      <c r="Q29" s="96"/>
      <c r="R29" s="404"/>
      <c r="T29" s="370"/>
      <c r="U29" s="370"/>
      <c r="V29" s="370"/>
    </row>
    <row r="30" spans="1:22" x14ac:dyDescent="0.2">
      <c r="A30" s="168" t="s">
        <v>44</v>
      </c>
      <c r="B30" s="193"/>
      <c r="C30" s="133"/>
      <c r="D30" s="133"/>
      <c r="E30" s="133"/>
      <c r="F30" s="473"/>
      <c r="G30" s="133"/>
      <c r="H30" s="133"/>
      <c r="I30" s="133"/>
      <c r="J30" s="133"/>
      <c r="K30" s="133"/>
      <c r="L30" s="96"/>
      <c r="M30" s="133"/>
      <c r="N30" s="133"/>
      <c r="O30" s="133"/>
      <c r="P30" s="133"/>
      <c r="Q30" s="96"/>
      <c r="R30" s="404"/>
      <c r="T30" s="370"/>
      <c r="U30" s="370"/>
      <c r="V30" s="370"/>
    </row>
    <row r="31" spans="1:22" x14ac:dyDescent="0.2">
      <c r="A31" s="38" t="s">
        <v>88</v>
      </c>
      <c r="B31" s="193">
        <f>B26+B21+B16</f>
        <v>2985762</v>
      </c>
      <c r="C31" s="133">
        <f t="shared" ref="C31:Q33" si="12">C26+C21+C16</f>
        <v>0</v>
      </c>
      <c r="D31" s="133">
        <f t="shared" si="12"/>
        <v>169434</v>
      </c>
      <c r="E31" s="133">
        <f t="shared" si="12"/>
        <v>132717</v>
      </c>
      <c r="F31" s="473"/>
      <c r="G31" s="133">
        <f t="shared" ref="G31:O33" si="13">G26+G21+G16</f>
        <v>0</v>
      </c>
      <c r="H31" s="133">
        <f t="shared" si="13"/>
        <v>0</v>
      </c>
      <c r="I31" s="133">
        <f t="shared" si="13"/>
        <v>16384794</v>
      </c>
      <c r="J31" s="133">
        <f t="shared" si="13"/>
        <v>72458</v>
      </c>
      <c r="K31" s="133">
        <f t="shared" si="13"/>
        <v>0</v>
      </c>
      <c r="L31" s="96">
        <f>L26+L21+L16</f>
        <v>0</v>
      </c>
      <c r="M31" s="133">
        <f t="shared" si="13"/>
        <v>0</v>
      </c>
      <c r="N31" s="133">
        <f t="shared" si="13"/>
        <v>1508438</v>
      </c>
      <c r="O31" s="133">
        <f t="shared" si="13"/>
        <v>3077392</v>
      </c>
      <c r="P31" s="133">
        <f t="shared" si="12"/>
        <v>12454839</v>
      </c>
      <c r="Q31" s="96">
        <f>Q26+Q21+Q16</f>
        <v>0</v>
      </c>
      <c r="R31" s="404">
        <f>SUM(B31:E31)+SUM(G31:Q31)</f>
        <v>36785834</v>
      </c>
    </row>
    <row r="32" spans="1:22" x14ac:dyDescent="0.2">
      <c r="A32" s="38" t="s">
        <v>60</v>
      </c>
      <c r="B32" s="193">
        <f>B27+B22+B17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474"/>
      <c r="G32" s="133">
        <f t="shared" si="13"/>
        <v>0</v>
      </c>
      <c r="H32" s="133">
        <f t="shared" si="13"/>
        <v>0</v>
      </c>
      <c r="I32" s="133">
        <f t="shared" si="13"/>
        <v>0</v>
      </c>
      <c r="J32" s="133">
        <f t="shared" si="13"/>
        <v>0</v>
      </c>
      <c r="K32" s="133">
        <f t="shared" si="13"/>
        <v>0</v>
      </c>
      <c r="L32" s="96">
        <f>L27+L22+L17</f>
        <v>139285</v>
      </c>
      <c r="M32" s="133">
        <f t="shared" si="13"/>
        <v>0</v>
      </c>
      <c r="N32" s="133">
        <f t="shared" si="13"/>
        <v>0</v>
      </c>
      <c r="O32" s="133">
        <f t="shared" si="13"/>
        <v>0</v>
      </c>
      <c r="P32" s="133">
        <f t="shared" si="12"/>
        <v>1663184</v>
      </c>
      <c r="Q32" s="96">
        <f>Q27+Q22+Q17</f>
        <v>0</v>
      </c>
      <c r="R32" s="404">
        <f>SUM(B32:E32)+SUM(G32:Q32)</f>
        <v>1802469</v>
      </c>
    </row>
    <row r="33" spans="1:18" ht="18" customHeight="1" thickBot="1" x14ac:dyDescent="0.25">
      <c r="A33" s="161" t="s">
        <v>46</v>
      </c>
      <c r="B33" s="409">
        <f>B28+B23+B18</f>
        <v>2985762</v>
      </c>
      <c r="C33" s="162">
        <f t="shared" ref="C33:H33" si="14">C28+C23+C18</f>
        <v>0</v>
      </c>
      <c r="D33" s="162">
        <f t="shared" si="14"/>
        <v>169434</v>
      </c>
      <c r="E33" s="162">
        <f t="shared" si="14"/>
        <v>132717</v>
      </c>
      <c r="F33" s="239">
        <f t="shared" si="14"/>
        <v>0</v>
      </c>
      <c r="G33" s="162">
        <f t="shared" si="14"/>
        <v>0</v>
      </c>
      <c r="H33" s="162">
        <f t="shared" si="14"/>
        <v>0</v>
      </c>
      <c r="I33" s="162">
        <f t="shared" si="13"/>
        <v>16384794</v>
      </c>
      <c r="J33" s="162">
        <f t="shared" si="13"/>
        <v>72458</v>
      </c>
      <c r="K33" s="162">
        <f t="shared" si="13"/>
        <v>0</v>
      </c>
      <c r="L33" s="163">
        <f>L28+L23+L18</f>
        <v>139285</v>
      </c>
      <c r="M33" s="162">
        <f t="shared" si="13"/>
        <v>0</v>
      </c>
      <c r="N33" s="162">
        <f t="shared" si="13"/>
        <v>1508438</v>
      </c>
      <c r="O33" s="162">
        <f t="shared" si="12"/>
        <v>3077392</v>
      </c>
      <c r="P33" s="162">
        <f t="shared" si="12"/>
        <v>14118023</v>
      </c>
      <c r="Q33" s="163">
        <f t="shared" si="12"/>
        <v>0</v>
      </c>
      <c r="R33" s="410">
        <f>SUM(B33:E33)+SUM(G33:Q33)</f>
        <v>38588303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March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A39" sqref="A39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4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8"/>
      <c r="N1" s="9"/>
      <c r="O1" s="9"/>
      <c r="P1" s="9"/>
      <c r="Q1" s="9"/>
      <c r="R1" s="9"/>
    </row>
    <row r="2" spans="1:18" s="9" customFormat="1" ht="30" customHeight="1" thickBot="1" x14ac:dyDescent="0.25">
      <c r="A2" s="443">
        <v>44621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8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2919054</v>
      </c>
      <c r="C5" s="96">
        <f>'Regional Major'!M25</f>
        <v>2683</v>
      </c>
      <c r="D5" s="96">
        <f>Cargo!R16</f>
        <v>20796249</v>
      </c>
      <c r="E5" s="96">
        <f>SUM(B5:D5)</f>
        <v>23717986</v>
      </c>
      <c r="F5" s="96">
        <f>E5*0.00045359237</f>
        <v>10758.297481366819</v>
      </c>
      <c r="G5" s="96">
        <f>'[1]Cargo Summary'!F5</f>
        <v>9633.1398351480602</v>
      </c>
      <c r="H5" s="78">
        <f>(F5-G5)/G5</f>
        <v>0.11680071767602085</v>
      </c>
      <c r="I5" s="96">
        <f>+F5+'[2]Cargo Summary'!I5</f>
        <v>28980.808945170385</v>
      </c>
      <c r="J5" s="96">
        <f>+'[1]Cargo Summary'!I5</f>
        <v>23686.533233614791</v>
      </c>
      <c r="K5" s="66">
        <f>(I5-J5)/J5</f>
        <v>0.22351416559525106</v>
      </c>
      <c r="M5" s="14"/>
      <c r="O5" s="447"/>
    </row>
    <row r="6" spans="1:18" x14ac:dyDescent="0.2">
      <c r="A6" s="46" t="s">
        <v>16</v>
      </c>
      <c r="B6" s="140">
        <f>'Major Airline Stats'!K29</f>
        <v>1325832</v>
      </c>
      <c r="C6" s="96">
        <f>'Regional Major'!M26</f>
        <v>0</v>
      </c>
      <c r="D6" s="96">
        <f>Cargo!R17</f>
        <v>1112886</v>
      </c>
      <c r="E6" s="96">
        <f>SUM(B6:D6)</f>
        <v>2438718</v>
      </c>
      <c r="F6" s="96">
        <f>E6*0.00045359237</f>
        <v>1106.1838773816601</v>
      </c>
      <c r="G6" s="96">
        <f>'[1]Cargo Summary'!F6</f>
        <v>914.14420773290999</v>
      </c>
      <c r="H6" s="3">
        <f>(F6-G6)/G6</f>
        <v>0.21007590271234236</v>
      </c>
      <c r="I6" s="96">
        <f>+F6+'[2]Cargo Summary'!I6</f>
        <v>3094.3631496801099</v>
      </c>
      <c r="J6" s="96">
        <f>+'[1]Cargo Summary'!I6</f>
        <v>2442.0147678087696</v>
      </c>
      <c r="K6" s="66">
        <f>(I6-J6)/J6</f>
        <v>0.26713531403280388</v>
      </c>
      <c r="M6" s="14"/>
    </row>
    <row r="7" spans="1:18" ht="18" customHeight="1" thickBot="1" x14ac:dyDescent="0.25">
      <c r="A7" s="55" t="s">
        <v>71</v>
      </c>
      <c r="B7" s="142">
        <f>SUM(B5:B6)</f>
        <v>4244886</v>
      </c>
      <c r="C7" s="106">
        <f t="shared" ref="C7:J7" si="0">SUM(C5:C6)</f>
        <v>2683</v>
      </c>
      <c r="D7" s="106">
        <f t="shared" si="0"/>
        <v>21909135</v>
      </c>
      <c r="E7" s="106">
        <f t="shared" si="0"/>
        <v>26156704</v>
      </c>
      <c r="F7" s="106">
        <f t="shared" si="0"/>
        <v>11864.481358748479</v>
      </c>
      <c r="G7" s="106">
        <f t="shared" si="0"/>
        <v>10547.28404288097</v>
      </c>
      <c r="H7" s="29">
        <f>(F7-G7)/G7</f>
        <v>0.12488497612393099</v>
      </c>
      <c r="I7" s="106">
        <f t="shared" si="0"/>
        <v>32075.172094850495</v>
      </c>
      <c r="J7" s="106">
        <f t="shared" si="0"/>
        <v>26128.548001423562</v>
      </c>
      <c r="K7" s="252">
        <f>(I7-J7)/J7</f>
        <v>0.22759106602873391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1656744</v>
      </c>
      <c r="C10" s="96">
        <f>'Regional Major'!M30</f>
        <v>1649</v>
      </c>
      <c r="D10" s="96">
        <f>Cargo!R21</f>
        <v>15989585</v>
      </c>
      <c r="E10" s="96">
        <f>SUM(B10:D10)</f>
        <v>17647978</v>
      </c>
      <c r="F10" s="96">
        <f>E10*0.00045359237</f>
        <v>8004.9881667278596</v>
      </c>
      <c r="G10" s="96">
        <f>'[1]Cargo Summary'!F10</f>
        <v>7808.9419156749</v>
      </c>
      <c r="H10" s="3">
        <f>(F10-G10)/G10</f>
        <v>2.5105353986490248E-2</v>
      </c>
      <c r="I10" s="96">
        <f>+F10+'[2]Cargo Summary'!I10</f>
        <v>21261.224726385488</v>
      </c>
      <c r="J10" s="96">
        <f>+'[1]Cargo Summary'!I10</f>
        <v>20635.54440072356</v>
      </c>
      <c r="K10" s="66">
        <f>(I10-J10)/J10</f>
        <v>3.0320514618455575E-2</v>
      </c>
      <c r="M10" s="14"/>
      <c r="O10" s="447"/>
    </row>
    <row r="11" spans="1:18" x14ac:dyDescent="0.2">
      <c r="A11" s="46" t="s">
        <v>16</v>
      </c>
      <c r="B11" s="140">
        <f>'Major Airline Stats'!K34</f>
        <v>1361911</v>
      </c>
      <c r="C11" s="96">
        <f>'Regional Major'!M31</f>
        <v>0</v>
      </c>
      <c r="D11" s="96">
        <f>Cargo!R22</f>
        <v>689583</v>
      </c>
      <c r="E11" s="96">
        <f>SUM(B11:D11)</f>
        <v>2051494</v>
      </c>
      <c r="F11" s="96">
        <f>E11*0.00045359237</f>
        <v>930.54202550078003</v>
      </c>
      <c r="G11" s="96">
        <f>'[1]Cargo Summary'!F11</f>
        <v>613.84428635915003</v>
      </c>
      <c r="H11" s="26">
        <f>(F11-G11)/G11</f>
        <v>0.51592520477796777</v>
      </c>
      <c r="I11" s="96">
        <f>+F11+'[2]Cargo Summary'!I11</f>
        <v>2617.7205762138201</v>
      </c>
      <c r="J11" s="96">
        <f>+'[1]Cargo Summary'!I11</f>
        <v>2424.1513930934298</v>
      </c>
      <c r="K11" s="66">
        <f>(I11-J11)/J11</f>
        <v>7.9850286443281529E-2</v>
      </c>
      <c r="M11" s="14"/>
    </row>
    <row r="12" spans="1:18" ht="18" customHeight="1" thickBot="1" x14ac:dyDescent="0.25">
      <c r="A12" s="55" t="s">
        <v>72</v>
      </c>
      <c r="B12" s="142">
        <f>SUM(B10:B11)</f>
        <v>3018655</v>
      </c>
      <c r="C12" s="106">
        <f t="shared" ref="C12:J12" si="1">SUM(C10:C11)</f>
        <v>1649</v>
      </c>
      <c r="D12" s="106">
        <f t="shared" si="1"/>
        <v>16679168</v>
      </c>
      <c r="E12" s="106">
        <f t="shared" si="1"/>
        <v>19699472</v>
      </c>
      <c r="F12" s="106">
        <f t="shared" si="1"/>
        <v>8935.5301922286399</v>
      </c>
      <c r="G12" s="106">
        <f t="shared" si="1"/>
        <v>8422.7862020340508</v>
      </c>
      <c r="H12" s="29">
        <f>(F12-G12)/G12</f>
        <v>6.0875816849151956E-2</v>
      </c>
      <c r="I12" s="106">
        <f>SUM(I10:I11)</f>
        <v>23878.945302599306</v>
      </c>
      <c r="J12" s="106">
        <f t="shared" si="1"/>
        <v>23059.695793816991</v>
      </c>
      <c r="K12" s="252">
        <f>(I12-J12)/J12</f>
        <v>3.5527333756153939E-2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Cargo!R26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Cargo!R27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 t="shared" ref="B20:D21" si="3">B15+B10+B5</f>
        <v>4575798</v>
      </c>
      <c r="C20" s="96">
        <f t="shared" si="3"/>
        <v>4332</v>
      </c>
      <c r="D20" s="96">
        <f t="shared" si="3"/>
        <v>36785834</v>
      </c>
      <c r="E20" s="96">
        <f>SUM(B20:D20)</f>
        <v>41365964</v>
      </c>
      <c r="F20" s="96">
        <f>E20*0.00045359237</f>
        <v>18763.285648094679</v>
      </c>
      <c r="G20" s="96">
        <f>'[1]Cargo Summary'!F20</f>
        <v>17442.081750822959</v>
      </c>
      <c r="H20" s="3">
        <f>(F20-G20)/G20</f>
        <v>7.5748062424336612E-2</v>
      </c>
      <c r="I20" s="96">
        <f>+F20+'[2]Cargo Summary'!I20</f>
        <v>50242.033671555881</v>
      </c>
      <c r="J20" s="96">
        <f>+'[1]Cargo Summary'!I20</f>
        <v>44322.077634338348</v>
      </c>
      <c r="K20" s="66">
        <f>(I20-J20)/J20</f>
        <v>0.13356675393373418</v>
      </c>
      <c r="M20" s="14"/>
    </row>
    <row r="21" spans="1:13" x14ac:dyDescent="0.2">
      <c r="A21" s="46" t="s">
        <v>16</v>
      </c>
      <c r="B21" s="140">
        <f t="shared" si="3"/>
        <v>2687743</v>
      </c>
      <c r="C21" s="97">
        <f t="shared" si="3"/>
        <v>0</v>
      </c>
      <c r="D21" s="97">
        <f t="shared" si="3"/>
        <v>1802469</v>
      </c>
      <c r="E21" s="96">
        <f>SUM(B21:D21)</f>
        <v>4490212</v>
      </c>
      <c r="F21" s="96">
        <f>E21*0.00045359237</f>
        <v>2036.7259028824399</v>
      </c>
      <c r="G21" s="96">
        <f>'[1]Cargo Summary'!F21</f>
        <v>1527.9884940920599</v>
      </c>
      <c r="H21" s="3">
        <f>(F21-G21)/G21</f>
        <v>0.33294583745715628</v>
      </c>
      <c r="I21" s="96">
        <f>+F21+'[2]Cargo Summary'!I21</f>
        <v>5712.08372589393</v>
      </c>
      <c r="J21" s="96">
        <f>+'[1]Cargo Summary'!I21</f>
        <v>4866.1661609022003</v>
      </c>
      <c r="K21" s="66">
        <f>(I21-J21)/J21</f>
        <v>0.1738365557239612</v>
      </c>
      <c r="M21" s="14"/>
    </row>
    <row r="22" spans="1:13" ht="18" customHeight="1" thickBot="1" x14ac:dyDescent="0.25">
      <c r="A22" s="68" t="s">
        <v>62</v>
      </c>
      <c r="B22" s="143">
        <f>SUM(B20:B21)</f>
        <v>7263541</v>
      </c>
      <c r="C22" s="144">
        <f t="shared" ref="C22:J22" si="4">SUM(C20:C21)</f>
        <v>4332</v>
      </c>
      <c r="D22" s="144">
        <f t="shared" si="4"/>
        <v>38588303</v>
      </c>
      <c r="E22" s="144">
        <f>SUM(E20:E21)</f>
        <v>45856176</v>
      </c>
      <c r="F22" s="144">
        <f t="shared" si="4"/>
        <v>20800.01155097712</v>
      </c>
      <c r="G22" s="144">
        <f t="shared" si="4"/>
        <v>18970.070244915019</v>
      </c>
      <c r="H22" s="258">
        <f>(F22-G22)/G22</f>
        <v>9.6464656294703063E-2</v>
      </c>
      <c r="I22" s="144">
        <f>SUM(I20:I21)</f>
        <v>55954.117397449809</v>
      </c>
      <c r="J22" s="144">
        <f t="shared" si="4"/>
        <v>49188.243795240545</v>
      </c>
      <c r="K22" s="259">
        <f>(I22-J22)/J22</f>
        <v>0.13755062348584865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G6" sqref="G6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6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1.42578125" style="173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434" customWidth="1"/>
  </cols>
  <sheetData>
    <row r="1" spans="1:20" ht="13.5" thickBot="1" x14ac:dyDescent="0.25">
      <c r="F1" s="172"/>
      <c r="K1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1" t="s">
        <v>95</v>
      </c>
      <c r="F2" s="369" t="s">
        <v>244</v>
      </c>
      <c r="G2" s="367" t="s">
        <v>224</v>
      </c>
      <c r="H2" s="442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1" t="s">
        <v>95</v>
      </c>
      <c r="O2" s="369" t="s">
        <v>244</v>
      </c>
      <c r="P2" s="367" t="s">
        <v>224</v>
      </c>
      <c r="Q2" s="442" t="s">
        <v>96</v>
      </c>
      <c r="R2" s="368" t="s">
        <v>137</v>
      </c>
      <c r="T2" s="435"/>
    </row>
    <row r="3" spans="1:20" s="9" customFormat="1" ht="13.5" customHeight="1" thickBot="1" x14ac:dyDescent="0.25">
      <c r="A3" s="483">
        <v>44621</v>
      </c>
      <c r="B3" s="484"/>
      <c r="C3" s="485" t="s">
        <v>9</v>
      </c>
      <c r="D3" s="486"/>
      <c r="E3" s="486"/>
      <c r="F3" s="486"/>
      <c r="G3" s="486"/>
      <c r="H3" s="487"/>
      <c r="I3" s="401"/>
      <c r="J3" s="483">
        <f>+A3</f>
        <v>44621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5"/>
    </row>
    <row r="4" spans="1:20" x14ac:dyDescent="0.2">
      <c r="A4" s="276"/>
      <c r="B4" s="277"/>
      <c r="C4" s="278"/>
      <c r="D4" s="279"/>
      <c r="E4" s="280"/>
      <c r="F4" s="417"/>
      <c r="G4" s="279"/>
      <c r="H4" s="378"/>
      <c r="I4" s="280"/>
      <c r="J4" s="281"/>
      <c r="K4" s="277"/>
      <c r="L4" s="288"/>
      <c r="N4" s="66"/>
      <c r="O4" s="38"/>
      <c r="R4" s="40"/>
    </row>
    <row r="5" spans="1:20" ht="14.1" customHeight="1" x14ac:dyDescent="0.2">
      <c r="A5" s="283" t="s">
        <v>210</v>
      </c>
      <c r="B5" s="40"/>
      <c r="C5" s="418">
        <f>SUM(C6:C7)</f>
        <v>198</v>
      </c>
      <c r="D5" s="418">
        <f>SUM(D6:D7)</f>
        <v>120</v>
      </c>
      <c r="E5" s="419">
        <f>(C5-D5)/D5</f>
        <v>0.65</v>
      </c>
      <c r="F5" s="418">
        <f>SUM(F6:F7)</f>
        <v>549</v>
      </c>
      <c r="G5" s="418">
        <f>SUM(G6:G7)</f>
        <v>243</v>
      </c>
      <c r="H5" s="420">
        <f>(F5-G5)/G5</f>
        <v>1.2592592592592593</v>
      </c>
      <c r="I5" s="419">
        <f>+F5/$F$33</f>
        <v>0.13821752265861026</v>
      </c>
      <c r="J5" s="283" t="s">
        <v>210</v>
      </c>
      <c r="K5" s="40"/>
      <c r="L5" s="418">
        <f>SUM(L6:L7)</f>
        <v>6063154</v>
      </c>
      <c r="M5" s="418">
        <f>SUM(M6:M7)</f>
        <v>3927370</v>
      </c>
      <c r="N5" s="419">
        <f>(L5-M5)/M5</f>
        <v>0.54382041926276359</v>
      </c>
      <c r="O5" s="418">
        <f>SUM(O6:O7)</f>
        <v>17949849</v>
      </c>
      <c r="P5" s="418">
        <f>SUM(P6:P7)</f>
        <v>6632060</v>
      </c>
      <c r="Q5" s="420">
        <f>(O5-P5)/P5</f>
        <v>1.7065269313003804</v>
      </c>
      <c r="R5" s="419">
        <f>O5/$O$33</f>
        <v>0.17304145002281324</v>
      </c>
    </row>
    <row r="6" spans="1:20" ht="14.1" customHeight="1" x14ac:dyDescent="0.2">
      <c r="A6" s="38"/>
      <c r="B6" s="343" t="s">
        <v>211</v>
      </c>
      <c r="C6" s="347">
        <f>+'[3]Atlas Air'!$HT$19</f>
        <v>64</v>
      </c>
      <c r="D6" s="231">
        <f>+'[3]Atlas Air'!$HF$19</f>
        <v>29</v>
      </c>
      <c r="E6" s="349">
        <f>(C6-D6)/D6</f>
        <v>1.2068965517241379</v>
      </c>
      <c r="F6" s="347">
        <f>+SUM('[3]Atlas Air'!$HR$19:$HT$19)</f>
        <v>178</v>
      </c>
      <c r="G6" s="231">
        <f>+SUM('[3]Atlas Air'!$HD$19:$HF$19)</f>
        <v>29</v>
      </c>
      <c r="H6" s="348">
        <f>(F6-G6)/G6</f>
        <v>5.1379310344827589</v>
      </c>
      <c r="I6" s="349">
        <f>+F6/$F$33</f>
        <v>4.4813695871097681E-2</v>
      </c>
      <c r="J6" s="38"/>
      <c r="K6" s="343" t="s">
        <v>211</v>
      </c>
      <c r="L6" s="347">
        <f>+'[3]Atlas Air'!$HT$64</f>
        <v>2985762</v>
      </c>
      <c r="M6" s="231">
        <f>+'[3]Atlas Air'!$HF$64</f>
        <v>758208</v>
      </c>
      <c r="N6" s="349">
        <f>(L6-M6)/M6</f>
        <v>2.9379194099772095</v>
      </c>
      <c r="O6" s="231">
        <f>+SUM('[3]Atlas Air'!$HR$64:$HT$64)</f>
        <v>8836930</v>
      </c>
      <c r="P6" s="231">
        <f>+SUM('[3]Atlas Air'!$HD$64:$HF$64)</f>
        <v>758208</v>
      </c>
      <c r="Q6" s="348">
        <f>(O6-P6)/P6</f>
        <v>10.655020785852958</v>
      </c>
      <c r="R6" s="349">
        <f>O6/$O$33</f>
        <v>8.5190420317747456E-2</v>
      </c>
    </row>
    <row r="7" spans="1:20" ht="14.1" customHeight="1" x14ac:dyDescent="0.2">
      <c r="A7" s="38"/>
      <c r="B7" s="343" t="s">
        <v>49</v>
      </c>
      <c r="C7" s="347">
        <f>+'[3]Sun Country Cargo'!$HT$19</f>
        <v>134</v>
      </c>
      <c r="D7" s="231">
        <f>+'[3]Sun Country Cargo'!$HF$19</f>
        <v>91</v>
      </c>
      <c r="E7" s="349">
        <f>(C7-D7)/D7</f>
        <v>0.47252747252747251</v>
      </c>
      <c r="F7" s="347">
        <f>+SUM('[3]Sun Country Cargo'!$HR$19:$HT$19)</f>
        <v>371</v>
      </c>
      <c r="G7" s="231">
        <f>+SUM('[3]Sun Country Cargo'!$HD$19:$HF$19)</f>
        <v>214</v>
      </c>
      <c r="H7" s="348">
        <f>(F7-G7)/G7</f>
        <v>0.73364485981308414</v>
      </c>
      <c r="I7" s="349">
        <f>+F7/$F$33</f>
        <v>9.3403826787512592E-2</v>
      </c>
      <c r="J7" s="38"/>
      <c r="K7" s="343" t="s">
        <v>49</v>
      </c>
      <c r="L7" s="347">
        <f>+'[3]Sun Country Cargo'!$HT$64</f>
        <v>3077392</v>
      </c>
      <c r="M7" s="231">
        <f>+'[3]Sun Country Cargo'!$HF$64</f>
        <v>3169162</v>
      </c>
      <c r="N7" s="349">
        <f>(L7-M7)/M7</f>
        <v>-2.8957181740788259E-2</v>
      </c>
      <c r="O7" s="231">
        <f>+SUM('[3]Sun Country Cargo'!$HR$64:$HT$64)</f>
        <v>9112919</v>
      </c>
      <c r="P7" s="231">
        <f>+SUM('[3]Sun Country Cargo'!$HD$64:$HF$64)</f>
        <v>5873852</v>
      </c>
      <c r="Q7" s="348">
        <f>(O7-P7)/P7</f>
        <v>0.55143830658314175</v>
      </c>
      <c r="R7" s="349">
        <f>O7/$O$33</f>
        <v>8.7851029705065767E-2</v>
      </c>
    </row>
    <row r="8" spans="1:20" ht="14.1" customHeight="1" x14ac:dyDescent="0.2">
      <c r="A8" s="38"/>
      <c r="B8" s="40"/>
      <c r="F8" s="421"/>
      <c r="I8" s="66"/>
      <c r="J8" s="399"/>
      <c r="K8" s="40"/>
      <c r="N8" s="66"/>
      <c r="R8" s="40"/>
    </row>
    <row r="9" spans="1:20" ht="14.1" customHeight="1" x14ac:dyDescent="0.2">
      <c r="A9" s="283" t="s">
        <v>212</v>
      </c>
      <c r="B9" s="40"/>
      <c r="C9" s="418">
        <f>SUM(C10:C17)</f>
        <v>166</v>
      </c>
      <c r="D9" s="418">
        <f>SUM(D10:D17)</f>
        <v>142</v>
      </c>
      <c r="E9" s="419">
        <f>(C9-D9)/D9</f>
        <v>0.16901408450704225</v>
      </c>
      <c r="F9" s="418">
        <f>SUM(F10:F17)</f>
        <v>418</v>
      </c>
      <c r="G9" s="418">
        <f>SUM(G10:G17)</f>
        <v>384</v>
      </c>
      <c r="H9" s="420">
        <f>(F9-G9)/G9</f>
        <v>8.8541666666666671E-2</v>
      </c>
      <c r="I9" s="419">
        <f t="shared" ref="I9:I17" si="0">+F9/$F$33</f>
        <v>0.10523665659617321</v>
      </c>
      <c r="J9" s="283" t="s">
        <v>212</v>
      </c>
      <c r="K9" s="40"/>
      <c r="L9" s="418">
        <f>SUM(L10:L17)</f>
        <v>1810589</v>
      </c>
      <c r="M9" s="418">
        <f>SUM(M10:M17)</f>
        <v>1480870</v>
      </c>
      <c r="N9" s="419">
        <f t="shared" ref="N9:N17" si="1">(L9-M9)/M9</f>
        <v>0.2226522247057473</v>
      </c>
      <c r="O9" s="418">
        <f>SUM(O10:O17)</f>
        <v>4545492</v>
      </c>
      <c r="P9" s="418">
        <f>SUM(P10:P17)</f>
        <v>3840721</v>
      </c>
      <c r="Q9" s="420">
        <f t="shared" ref="Q9:Q17" si="2">(O9-P9)/P9</f>
        <v>0.18349966061059889</v>
      </c>
      <c r="R9" s="419">
        <f t="shared" ref="R9:R17" si="3">O9/$O$33</f>
        <v>4.3819785155134024E-2</v>
      </c>
    </row>
    <row r="10" spans="1:20" ht="14.1" customHeight="1" x14ac:dyDescent="0.2">
      <c r="A10" s="283"/>
      <c r="B10" s="343" t="s">
        <v>213</v>
      </c>
      <c r="C10" s="347">
        <f>+[3]Airborne!$HT$19</f>
        <v>6</v>
      </c>
      <c r="D10" s="231">
        <f>+[3]Airborne!$HF$19</f>
        <v>0</v>
      </c>
      <c r="E10" s="349" t="e">
        <f>(C10-D10)/D10</f>
        <v>#DIV/0!</v>
      </c>
      <c r="F10" s="347">
        <f>+SUM([3]Airborne!$HR$19:$HT$19)</f>
        <v>6</v>
      </c>
      <c r="G10" s="231">
        <f>+SUM([3]Airborne!$HD$19:$HF$19)</f>
        <v>0</v>
      </c>
      <c r="H10" s="348" t="e">
        <f>(F10-G10)/G10</f>
        <v>#DIV/0!</v>
      </c>
      <c r="I10" s="349">
        <f t="shared" si="0"/>
        <v>1.5105740181268882E-3</v>
      </c>
      <c r="J10" s="283"/>
      <c r="K10" s="343" t="s">
        <v>213</v>
      </c>
      <c r="L10" s="347">
        <f>+[3]Airborne!$HT$64</f>
        <v>169434</v>
      </c>
      <c r="M10" s="231">
        <f>+[3]Airborne!$HF$64</f>
        <v>0</v>
      </c>
      <c r="N10" s="349" t="e">
        <f t="shared" si="1"/>
        <v>#DIV/0!</v>
      </c>
      <c r="O10" s="347">
        <f>+SUM([3]Airborne!$HR$64:$HT$64)</f>
        <v>169434</v>
      </c>
      <c r="P10" s="231">
        <f>+SUM([3]Airborne!$HD$64:$HF$64)</f>
        <v>0</v>
      </c>
      <c r="Q10" s="348" t="e">
        <f t="shared" si="2"/>
        <v>#DIV/0!</v>
      </c>
      <c r="R10" s="349">
        <f t="shared" si="3"/>
        <v>1.6333900660203513E-3</v>
      </c>
    </row>
    <row r="11" spans="1:20" ht="14.1" customHeight="1" x14ac:dyDescent="0.2">
      <c r="A11" s="283"/>
      <c r="B11" s="40" t="s">
        <v>211</v>
      </c>
      <c r="C11" s="347">
        <f>+[3]DHL_Atlas!$HT$19</f>
        <v>0</v>
      </c>
      <c r="D11" s="231">
        <f>+[3]DHL_Atlas!$HF$19</f>
        <v>6</v>
      </c>
      <c r="E11" s="349">
        <f t="shared" ref="E11:E17" si="4">(C11-D11)/D11</f>
        <v>-1</v>
      </c>
      <c r="F11" s="347">
        <f>+SUM([3]DHL_Atlas!$HR$19:$HT$19)</f>
        <v>0</v>
      </c>
      <c r="G11" s="231">
        <f>+SUM([3]DHL_Atlas!$HD$19:$HF$19)</f>
        <v>6</v>
      </c>
      <c r="H11" s="348">
        <f t="shared" ref="H11:H17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+[3]DHL_Atlas!$HT$64</f>
        <v>0</v>
      </c>
      <c r="M11" s="231">
        <f>+[3]DHL_Atlas!$HF$64</f>
        <v>136615</v>
      </c>
      <c r="N11" s="349">
        <f t="shared" si="1"/>
        <v>-1</v>
      </c>
      <c r="O11" s="347">
        <f>+SUM([3]DHL_Atlas!$HR$64:$HT$64)</f>
        <v>0</v>
      </c>
      <c r="P11" s="231">
        <f>+SUM([3]DHL_Atlas!$HD$64:$HF$64)</f>
        <v>136615</v>
      </c>
      <c r="Q11" s="348">
        <f t="shared" si="2"/>
        <v>-1</v>
      </c>
      <c r="R11" s="349">
        <f t="shared" si="3"/>
        <v>0</v>
      </c>
    </row>
    <row r="12" spans="1:20" ht="14.1" customHeight="1" x14ac:dyDescent="0.2">
      <c r="A12" s="283"/>
      <c r="B12" s="40" t="s">
        <v>214</v>
      </c>
      <c r="C12" s="347">
        <f>+[3]DHL!$HT$19</f>
        <v>0</v>
      </c>
      <c r="D12" s="231">
        <f>+[3]DHL!$HF$19</f>
        <v>0</v>
      </c>
      <c r="E12" s="349" t="e">
        <f t="shared" si="4"/>
        <v>#DIV/0!</v>
      </c>
      <c r="F12" s="347">
        <f>+SUM([3]DHL!$HR$19:$HT$19)</f>
        <v>0</v>
      </c>
      <c r="G12" s="231">
        <f>+SUM([3]DHL!$HD$19:$HF$19)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+[3]DHL!$HT$64</f>
        <v>0</v>
      </c>
      <c r="M12" s="231">
        <f>+[3]DHL!$HF$64</f>
        <v>0</v>
      </c>
      <c r="N12" s="349" t="e">
        <f t="shared" si="1"/>
        <v>#DIV/0!</v>
      </c>
      <c r="O12" s="347">
        <f>+SUM([3]DHL!$HR$64:$HT$64)</f>
        <v>0</v>
      </c>
      <c r="P12" s="231">
        <f>+SUM([3]DHL!$HD$64:$HF$64)</f>
        <v>0</v>
      </c>
      <c r="Q12" s="348" t="e">
        <f t="shared" si="2"/>
        <v>#DIV/0!</v>
      </c>
      <c r="R12" s="349">
        <f t="shared" si="3"/>
        <v>0</v>
      </c>
    </row>
    <row r="13" spans="1:20" ht="14.1" customHeight="1" x14ac:dyDescent="0.2">
      <c r="A13" s="283"/>
      <c r="B13" s="343" t="s">
        <v>83</v>
      </c>
      <c r="C13" s="347">
        <f>+[3]DHL_Bemidji!$HT$19</f>
        <v>90</v>
      </c>
      <c r="D13" s="231">
        <f>+[3]DHL_Bemidji!$HF$19</f>
        <v>0</v>
      </c>
      <c r="E13" s="349" t="e">
        <f>(C13-D13)/D13</f>
        <v>#DIV/0!</v>
      </c>
      <c r="F13" s="347">
        <f>+SUM([3]DHL_Bemidji!$HR$19:$HT$19)</f>
        <v>230</v>
      </c>
      <c r="G13" s="231">
        <f>+SUM([3]DHL_Bemidji!$HD$19:$HF$19)</f>
        <v>0</v>
      </c>
      <c r="H13" s="348" t="e">
        <f t="shared" si="5"/>
        <v>#DIV/0!</v>
      </c>
      <c r="I13" s="349">
        <f t="shared" si="0"/>
        <v>5.7905337361530716E-2</v>
      </c>
      <c r="J13" s="283"/>
      <c r="K13" s="343" t="s">
        <v>83</v>
      </c>
      <c r="L13" s="347">
        <f>+[3]DHL_Bemidji!$HT$64</f>
        <v>132717</v>
      </c>
      <c r="M13" s="231">
        <f>+[3]DHL_Bemidji!$HF$64</f>
        <v>0</v>
      </c>
      <c r="N13" s="349" t="e">
        <f t="shared" ref="N13" si="6">(L13-M13)/M13</f>
        <v>#DIV/0!</v>
      </c>
      <c r="O13" s="347">
        <f>+SUM([3]DHL_Bemidji!$HR$64:$HT$64)</f>
        <v>339025</v>
      </c>
      <c r="P13" s="231">
        <f>+SUM([3]DHL_Bemidji!$HD$64:$HF$64)</f>
        <v>0</v>
      </c>
      <c r="Q13" s="348" t="e">
        <f t="shared" ref="Q13" si="7">(O13-P13)/P13</f>
        <v>#DIV/0!</v>
      </c>
      <c r="R13" s="349">
        <f t="shared" si="3"/>
        <v>3.2682936549485323E-3</v>
      </c>
    </row>
    <row r="14" spans="1:20" ht="14.1" customHeight="1" x14ac:dyDescent="0.2">
      <c r="A14" s="283"/>
      <c r="B14" s="40" t="s">
        <v>201</v>
      </c>
      <c r="C14" s="347">
        <f>+[3]Encore!$HT$19+[3]DHL_Encore!$HT$12</f>
        <v>0</v>
      </c>
      <c r="D14" s="231">
        <f>+[3]Encore!$HF$19+[3]DHL_Encore!$HF$19</f>
        <v>88</v>
      </c>
      <c r="E14" s="349">
        <f t="shared" si="4"/>
        <v>-1</v>
      </c>
      <c r="F14" s="347">
        <f>+SUM([3]Encore!$HR$19:$HT$19)+SUM([3]DHL_Encore!$HR$19:$HT$19)</f>
        <v>0</v>
      </c>
      <c r="G14" s="231">
        <f>+SUM([3]Encore!$HD$19:$HF$19)+SUM([3]DHL_Encore!$HD$19:$HF$19)</f>
        <v>246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+[3]Encore!$HT$64+[3]DHL_Encore!$HT$64</f>
        <v>0</v>
      </c>
      <c r="M14" s="231">
        <f>+[3]Encore!$HEW$64+[3]DHL_Encore!$HF$64</f>
        <v>161266</v>
      </c>
      <c r="N14" s="349">
        <f t="shared" si="1"/>
        <v>-1</v>
      </c>
      <c r="O14" s="347">
        <f>+SUM([3]Encore!$HR$64:$HT$64)+SUM([3]DHL_Encore!$HR$64:$HT$64)</f>
        <v>0</v>
      </c>
      <c r="P14" s="231">
        <f>+SUM([3]Encore!$HD$64:$HF$64)+SUM([3]DHL_Encore!$HD$64:$HF$64)</f>
        <v>425704</v>
      </c>
      <c r="Q14" s="348">
        <f t="shared" si="2"/>
        <v>-1</v>
      </c>
      <c r="R14" s="349">
        <f t="shared" si="3"/>
        <v>0</v>
      </c>
    </row>
    <row r="15" spans="1:20" ht="14.1" customHeight="1" x14ac:dyDescent="0.2">
      <c r="A15" s="283"/>
      <c r="B15" s="40" t="s">
        <v>215</v>
      </c>
      <c r="C15" s="347">
        <f>+[3]DHL_Kalitta!$HT$19</f>
        <v>0</v>
      </c>
      <c r="D15" s="231">
        <f>+[3]DHL_Kalitta!$HF$19</f>
        <v>40</v>
      </c>
      <c r="E15" s="349">
        <f t="shared" si="4"/>
        <v>-1</v>
      </c>
      <c r="F15" s="347">
        <f>+SUM([3]DHL_Kalitta!$HR$19:$HT$19)</f>
        <v>2</v>
      </c>
      <c r="G15" s="231">
        <f>+SUM([3]DHL_Kalitta!$HD$19:$HF$19)</f>
        <v>48</v>
      </c>
      <c r="H15" s="348">
        <f t="shared" si="5"/>
        <v>-0.95833333333333337</v>
      </c>
      <c r="I15" s="349">
        <f t="shared" si="0"/>
        <v>5.0352467270896274E-4</v>
      </c>
      <c r="J15" s="283"/>
      <c r="K15" s="40" t="s">
        <v>215</v>
      </c>
      <c r="L15" s="347">
        <f>+[3]DHL_Kalitta!$HT$64</f>
        <v>0</v>
      </c>
      <c r="M15" s="231">
        <f>+[3]DHL_Kalitta!$HF$64</f>
        <v>1037946</v>
      </c>
      <c r="N15" s="349">
        <f t="shared" si="1"/>
        <v>-1</v>
      </c>
      <c r="O15" s="347">
        <f>+SUM([3]DHL_Kalitta!$HR$64:$HT$64)</f>
        <v>43161</v>
      </c>
      <c r="P15" s="231">
        <f>+SUM([3]DHL_Kalitta!$HD$64:$HF$64)</f>
        <v>1228459</v>
      </c>
      <c r="Q15" s="348">
        <f t="shared" si="2"/>
        <v>-0.9648657382948882</v>
      </c>
      <c r="R15" s="349">
        <f t="shared" si="3"/>
        <v>4.1608383582695553E-4</v>
      </c>
    </row>
    <row r="16" spans="1:20" ht="14.1" customHeight="1" x14ac:dyDescent="0.2">
      <c r="A16" s="283"/>
      <c r="B16" s="40" t="s">
        <v>216</v>
      </c>
      <c r="C16" s="347">
        <f>+[3]DHL_Southair!$HT$19</f>
        <v>0</v>
      </c>
      <c r="D16" s="231">
        <f>+[3]DHL_Southair!$HF$19</f>
        <v>0</v>
      </c>
      <c r="E16" s="349" t="e">
        <f t="shared" si="4"/>
        <v>#DIV/0!</v>
      </c>
      <c r="F16" s="347">
        <f>+SUM([3]DHL_Southair!$HR$19:$HT$19)</f>
        <v>0</v>
      </c>
      <c r="G16" s="231">
        <f>+SUM([3]DHL_Southair!$HD$19:$HF$19)</f>
        <v>0</v>
      </c>
      <c r="H16" s="348" t="e">
        <f t="shared" si="5"/>
        <v>#DIV/0!</v>
      </c>
      <c r="I16" s="349">
        <f t="shared" si="0"/>
        <v>0</v>
      </c>
      <c r="J16" s="283"/>
      <c r="K16" s="40" t="s">
        <v>216</v>
      </c>
      <c r="L16" s="347">
        <f>+[3]DHL_Southair!$HT$64</f>
        <v>0</v>
      </c>
      <c r="M16" s="231">
        <f>+[3]DHL_Southair!$HF$64</f>
        <v>0</v>
      </c>
      <c r="N16" s="349" t="e">
        <f t="shared" si="1"/>
        <v>#DIV/0!</v>
      </c>
      <c r="O16" s="347">
        <f>+SUM([3]DHL_Southair!$HR$64:$HT$64)</f>
        <v>0</v>
      </c>
      <c r="P16" s="231">
        <f>+SUM([3]DHL_Southair!$HD$64:$HF$64)</f>
        <v>0</v>
      </c>
      <c r="Q16" s="348" t="e">
        <f t="shared" si="2"/>
        <v>#DIV/0!</v>
      </c>
      <c r="R16" s="349">
        <f t="shared" si="3"/>
        <v>0</v>
      </c>
    </row>
    <row r="17" spans="1:20" ht="14.1" customHeight="1" x14ac:dyDescent="0.2">
      <c r="A17" s="283"/>
      <c r="B17" s="40" t="s">
        <v>217</v>
      </c>
      <c r="C17" s="347">
        <f>+[3]DHL_Swift!$HT$19</f>
        <v>70</v>
      </c>
      <c r="D17" s="231">
        <f>+[3]DHL_Swift!$HF$19</f>
        <v>8</v>
      </c>
      <c r="E17" s="349">
        <f t="shared" si="4"/>
        <v>7.75</v>
      </c>
      <c r="F17" s="347">
        <f>+SUM([3]DHL_Swift!$HR$19:$HT$19)</f>
        <v>180</v>
      </c>
      <c r="G17" s="231">
        <f>+SUM([3]DHL_Swift!$HD$19:$HF$19)</f>
        <v>84</v>
      </c>
      <c r="H17" s="348">
        <f t="shared" si="5"/>
        <v>1.1428571428571428</v>
      </c>
      <c r="I17" s="349">
        <f t="shared" si="0"/>
        <v>4.5317220543806644E-2</v>
      </c>
      <c r="J17" s="283"/>
      <c r="K17" s="40" t="s">
        <v>217</v>
      </c>
      <c r="L17" s="347">
        <f>+[3]DHL_Swift!$HT$64</f>
        <v>1508438</v>
      </c>
      <c r="M17" s="231">
        <f>+[3]DHL_Swift!$HF$64</f>
        <v>145043</v>
      </c>
      <c r="N17" s="349">
        <f t="shared" si="1"/>
        <v>9.3999365705342548</v>
      </c>
      <c r="O17" s="347">
        <f>+SUM([3]DHL_Swift!$HR$64:$HT$64)</f>
        <v>3993872</v>
      </c>
      <c r="P17" s="231">
        <f>+SUM([3]DHL_Swift!$HD$64:$HF$64)</f>
        <v>2049943</v>
      </c>
      <c r="Q17" s="348">
        <f t="shared" si="2"/>
        <v>0.94828441571302224</v>
      </c>
      <c r="R17" s="349">
        <f t="shared" si="3"/>
        <v>3.8502017598338184E-2</v>
      </c>
    </row>
    <row r="18" spans="1:20" ht="14.1" customHeight="1" x14ac:dyDescent="0.2">
      <c r="A18" s="283"/>
      <c r="B18" s="40"/>
      <c r="C18" s="284"/>
      <c r="D18" s="286"/>
      <c r="E18" s="287"/>
      <c r="F18" s="284"/>
      <c r="G18" s="286"/>
      <c r="H18" s="285"/>
      <c r="I18" s="287"/>
      <c r="J18" s="283"/>
      <c r="K18" s="40"/>
      <c r="L18" s="288"/>
      <c r="N18" s="66"/>
      <c r="O18" s="288"/>
      <c r="P18" s="286"/>
      <c r="Q18" s="3"/>
      <c r="R18" s="66"/>
    </row>
    <row r="19" spans="1:20" ht="14.1" customHeight="1" x14ac:dyDescent="0.2">
      <c r="A19" s="283" t="s">
        <v>185</v>
      </c>
      <c r="B19" s="40"/>
      <c r="C19" s="422">
        <f>SUM(C20:C23)</f>
        <v>372</v>
      </c>
      <c r="D19" s="418">
        <f>SUM(D20:D23)</f>
        <v>386</v>
      </c>
      <c r="E19" s="419">
        <f>(C19-D19)/D19</f>
        <v>-3.6269430051813469E-2</v>
      </c>
      <c r="F19" s="422">
        <f>SUM(F20:F23)</f>
        <v>974</v>
      </c>
      <c r="G19" s="418">
        <f>SUM(G20:G23)</f>
        <v>1056</v>
      </c>
      <c r="H19" s="420">
        <f t="shared" ref="H19:H20" si="8">(F19-G19)/G19</f>
        <v>-7.7651515151515152E-2</v>
      </c>
      <c r="I19" s="419">
        <f>+F19/$F$33</f>
        <v>0.24521651560926486</v>
      </c>
      <c r="J19" s="283" t="s">
        <v>185</v>
      </c>
      <c r="K19" s="40"/>
      <c r="L19" s="422">
        <f>SUM(L20:L23)</f>
        <v>16596537</v>
      </c>
      <c r="M19" s="418">
        <f>SUM(M20:M23)</f>
        <v>17514494</v>
      </c>
      <c r="N19" s="419">
        <f>(L19-M19)/M19</f>
        <v>-5.2411277197046059E-2</v>
      </c>
      <c r="O19" s="422">
        <f>SUM(O20:O23)</f>
        <v>43519483</v>
      </c>
      <c r="P19" s="418">
        <f>SUM(P20:P23)</f>
        <v>48098622</v>
      </c>
      <c r="Q19" s="420">
        <f t="shared" ref="Q19:Q21" si="9">(O19-P19)/P19</f>
        <v>-9.520312245120037E-2</v>
      </c>
      <c r="R19" s="419">
        <f>O19/$O$33</f>
        <v>0.41953970991974193</v>
      </c>
    </row>
    <row r="20" spans="1:20" ht="14.1" customHeight="1" x14ac:dyDescent="0.2">
      <c r="A20" s="38"/>
      <c r="B20" s="343" t="s">
        <v>185</v>
      </c>
      <c r="C20" s="347">
        <f>+[3]FedEx!$HT$19</f>
        <v>290</v>
      </c>
      <c r="D20" s="231">
        <f>+[3]FedEx!$HF$19</f>
        <v>304</v>
      </c>
      <c r="E20" s="349">
        <f>(C20-D20)/D20</f>
        <v>-4.6052631578947366E-2</v>
      </c>
      <c r="F20" s="347">
        <f>+SUM([3]FedEx!$HR$19:$HT$19)</f>
        <v>774</v>
      </c>
      <c r="G20" s="231">
        <f>+SUM([3]FedEx!$HD$19:$HF$19)</f>
        <v>844</v>
      </c>
      <c r="H20" s="348">
        <f t="shared" si="8"/>
        <v>-8.2938388625592413E-2</v>
      </c>
      <c r="I20" s="349">
        <f>+F20/$F$33</f>
        <v>0.19486404833836857</v>
      </c>
      <c r="J20" s="283"/>
      <c r="K20" s="343" t="s">
        <v>185</v>
      </c>
      <c r="L20" s="347">
        <f>+[3]FedEx!$HT$64</f>
        <v>16384794</v>
      </c>
      <c r="M20" s="231">
        <f>+[3]FedEx!$HF$64</f>
        <v>17450209</v>
      </c>
      <c r="N20" s="349">
        <f>(L20-M20)/M20</f>
        <v>-6.1054569604295283E-2</v>
      </c>
      <c r="O20" s="347">
        <f>+SUM([3]FedEx!$HR$64:$HT$64)</f>
        <v>42994656</v>
      </c>
      <c r="P20" s="231">
        <f>+SUM([3]FedEx!$HD$64:$HF$64)</f>
        <v>47724757</v>
      </c>
      <c r="Q20" s="348">
        <f t="shared" si="9"/>
        <v>-9.9112102341348748E-2</v>
      </c>
      <c r="R20" s="349">
        <f>O20/$O$33</f>
        <v>0.41448023420542685</v>
      </c>
    </row>
    <row r="21" spans="1:20" ht="14.1" customHeight="1" x14ac:dyDescent="0.2">
      <c r="A21" s="38"/>
      <c r="B21" s="343" t="s">
        <v>218</v>
      </c>
      <c r="C21" s="347">
        <f>+'[3]Mountain Cargo'!$HT$19</f>
        <v>44</v>
      </c>
      <c r="D21" s="231">
        <f>+'[3]Mountain Cargo'!$HF$19</f>
        <v>44</v>
      </c>
      <c r="E21" s="349">
        <f>(C21-D21)/D21</f>
        <v>0</v>
      </c>
      <c r="F21" s="347">
        <f>+SUM('[3]Mountain Cargo'!$HR$19:$HT$19)</f>
        <v>118</v>
      </c>
      <c r="G21" s="231">
        <f>+SUM('[3]Mountain Cargo'!$HD$19:$HF$19)</f>
        <v>126</v>
      </c>
      <c r="H21" s="348">
        <f>(F21-G21)/G21</f>
        <v>-6.3492063492063489E-2</v>
      </c>
      <c r="I21" s="349">
        <f>+F21/$F$33</f>
        <v>2.9707955689828803E-2</v>
      </c>
      <c r="J21" s="399"/>
      <c r="K21" s="343" t="s">
        <v>218</v>
      </c>
      <c r="L21" s="347">
        <f>+'[3]Mountain Cargo'!$HT$64</f>
        <v>139285</v>
      </c>
      <c r="M21" s="231">
        <f>+'[3]Mountain Cargo'!$HF$64</f>
        <v>11431</v>
      </c>
      <c r="N21" s="349">
        <f>(L21-M21)/M21</f>
        <v>11.184848219753302</v>
      </c>
      <c r="O21" s="347">
        <f>+SUM('[3]Mountain Cargo'!$HR$64:$HT$64)</f>
        <v>376202</v>
      </c>
      <c r="P21" s="231">
        <f>+SUM('[3]Mountain Cargo'!$HD$64:$HF$64)</f>
        <v>247136</v>
      </c>
      <c r="Q21" s="348">
        <f t="shared" si="9"/>
        <v>0.5222468600284863</v>
      </c>
      <c r="R21" s="349">
        <f>O21/$O$33</f>
        <v>3.6266900953585948E-3</v>
      </c>
    </row>
    <row r="22" spans="1:20" ht="14.1" customHeight="1" x14ac:dyDescent="0.2">
      <c r="A22" s="38"/>
      <c r="B22" s="343" t="s">
        <v>177</v>
      </c>
      <c r="C22" s="347">
        <f>+[3]IFL!$HT$19</f>
        <v>38</v>
      </c>
      <c r="D22" s="231">
        <f>+[3]IFL!$HF$19</f>
        <v>38</v>
      </c>
      <c r="E22" s="349">
        <f>(C22-D22)/D22</f>
        <v>0</v>
      </c>
      <c r="F22" s="347">
        <f>+SUM([3]IFL!$HR$19:$HT$19)</f>
        <v>82</v>
      </c>
      <c r="G22" s="231">
        <f>+SUM([3]IFL!$HD$19:$HF$19)</f>
        <v>86</v>
      </c>
      <c r="H22" s="348">
        <f>(F22-G22)/G22</f>
        <v>-4.6511627906976744E-2</v>
      </c>
      <c r="I22" s="349">
        <f>+F22/$F$33</f>
        <v>2.0644511581067473E-2</v>
      </c>
      <c r="J22" s="399"/>
      <c r="K22" s="343" t="s">
        <v>177</v>
      </c>
      <c r="L22" s="347">
        <f>+[3]IFL!$HT$64</f>
        <v>72458</v>
      </c>
      <c r="M22" s="231">
        <f>+[3]IFL!$HF$64</f>
        <v>52854</v>
      </c>
      <c r="N22" s="349">
        <f>(L22-M22)/M22</f>
        <v>0.37090854050781397</v>
      </c>
      <c r="O22" s="347">
        <f>+SUM([3]IFL!$HR$64:$HT$64)</f>
        <v>148625</v>
      </c>
      <c r="P22" s="231">
        <f>+SUM([3]IFL!$HD$64:$HF$64)</f>
        <v>126729</v>
      </c>
      <c r="Q22" s="348">
        <f>(O22-P22)/P22</f>
        <v>0.17277813286619478</v>
      </c>
      <c r="R22" s="349">
        <f>O22/$O$33</f>
        <v>1.4327856189564946E-3</v>
      </c>
    </row>
    <row r="23" spans="1:20" ht="14.1" customHeight="1" x14ac:dyDescent="0.2">
      <c r="A23" s="283"/>
      <c r="B23" s="343" t="s">
        <v>84</v>
      </c>
      <c r="C23" s="347">
        <f>+'[3]CSA Air'!$HT$19</f>
        <v>0</v>
      </c>
      <c r="D23" s="231">
        <f>+'[3]CSA Air'!$HF$19</f>
        <v>0</v>
      </c>
      <c r="E23" s="349" t="e">
        <f>(C23-D23)/D23</f>
        <v>#DIV/0!</v>
      </c>
      <c r="F23" s="347">
        <f>+SUM('[3]CSA Air'!$HR$19:$HT$19)</f>
        <v>0</v>
      </c>
      <c r="G23" s="231">
        <f>+SUM('[3]CSA Air'!$HD$19:$HF$19)</f>
        <v>0</v>
      </c>
      <c r="H23" s="348" t="e">
        <f t="shared" ref="H23" si="10">(F23-G23)/G23</f>
        <v>#DIV/0!</v>
      </c>
      <c r="I23" s="349">
        <f>+F23/$F$33</f>
        <v>0</v>
      </c>
      <c r="J23" s="283"/>
      <c r="K23" s="343" t="s">
        <v>84</v>
      </c>
      <c r="L23" s="347">
        <f>+'[3]CSA Air'!$HT$64</f>
        <v>0</v>
      </c>
      <c r="M23" s="231">
        <f>+'[3]CSA Air'!$HF$64</f>
        <v>0</v>
      </c>
      <c r="N23" s="349" t="e">
        <f>(L23-M23)/M23</f>
        <v>#DIV/0!</v>
      </c>
      <c r="O23" s="347">
        <f>+SUM('[3]CSA Air'!$HR$64:$HT$64)</f>
        <v>0</v>
      </c>
      <c r="P23" s="231">
        <f>+SUM('[3]CSA Air'!$HD$64:$HF$64)</f>
        <v>0</v>
      </c>
      <c r="Q23" s="348" t="e">
        <f t="shared" ref="Q23" si="11">(O23-P23)/P23</f>
        <v>#DIV/0!</v>
      </c>
      <c r="R23" s="349">
        <f>O23/$O$33</f>
        <v>0</v>
      </c>
    </row>
    <row r="24" spans="1:20" ht="14.1" customHeight="1" x14ac:dyDescent="0.2">
      <c r="A24" s="283"/>
      <c r="B24" s="40"/>
      <c r="C24" s="284"/>
      <c r="D24" s="286"/>
      <c r="E24" s="287"/>
      <c r="F24" s="284"/>
      <c r="G24" s="286"/>
      <c r="H24" s="285"/>
      <c r="I24" s="287"/>
      <c r="J24" s="283"/>
      <c r="K24" s="40"/>
      <c r="L24" s="288"/>
      <c r="N24" s="66"/>
      <c r="O24" s="288"/>
      <c r="P24" s="2"/>
      <c r="Q24" s="3"/>
      <c r="R24" s="66"/>
      <c r="S24" s="261"/>
    </row>
    <row r="25" spans="1:20" ht="14.1" customHeight="1" x14ac:dyDescent="0.2">
      <c r="A25" s="283" t="s">
        <v>82</v>
      </c>
      <c r="B25" s="40"/>
      <c r="C25" s="418">
        <f>SUM(C26:C27)</f>
        <v>725</v>
      </c>
      <c r="D25" s="418">
        <f>SUM(D26:D27)</f>
        <v>750</v>
      </c>
      <c r="E25" s="419">
        <f>(C25-D25)/D25</f>
        <v>-3.3333333333333333E-2</v>
      </c>
      <c r="F25" s="418">
        <f>SUM(F26:F27)</f>
        <v>2029</v>
      </c>
      <c r="G25" s="418">
        <f>SUM(G26:G27)</f>
        <v>2096</v>
      </c>
      <c r="H25" s="420">
        <f>(F25-G25)/G25</f>
        <v>-3.196564885496183E-2</v>
      </c>
      <c r="I25" s="419">
        <f>+F25/$F$33</f>
        <v>0.51082578046324267</v>
      </c>
      <c r="J25" s="283" t="s">
        <v>82</v>
      </c>
      <c r="K25" s="40"/>
      <c r="L25" s="418">
        <f>SUM(L26:L27)</f>
        <v>14118023</v>
      </c>
      <c r="M25" s="418">
        <f>SUM(M26:M27)</f>
        <v>14772561</v>
      </c>
      <c r="N25" s="419">
        <f>(L25-M25)/M25</f>
        <v>-4.4307686392359456E-2</v>
      </c>
      <c r="O25" s="418">
        <f>SUM(O26:O27)</f>
        <v>37716675</v>
      </c>
      <c r="P25" s="418">
        <f>SUM(P26:P27)</f>
        <v>39331130</v>
      </c>
      <c r="Q25" s="420">
        <f>(O25-P25)/P25</f>
        <v>-4.1047765472286203E-2</v>
      </c>
      <c r="R25" s="419">
        <f>O25/$O$33</f>
        <v>0.36359905490231081</v>
      </c>
      <c r="S25" s="370"/>
      <c r="T25" s="436"/>
    </row>
    <row r="26" spans="1:20" ht="14.1" customHeight="1" x14ac:dyDescent="0.2">
      <c r="A26" s="283"/>
      <c r="B26" s="343" t="s">
        <v>82</v>
      </c>
      <c r="C26" s="347">
        <f>+[3]UPS!$HT$19</f>
        <v>315</v>
      </c>
      <c r="D26" s="231">
        <f>+[3]UPS!$HF$19</f>
        <v>302</v>
      </c>
      <c r="E26" s="349">
        <f>(C26-D26)/D26</f>
        <v>4.3046357615894038E-2</v>
      </c>
      <c r="F26" s="347">
        <f>+SUM([3]UPS!$HR$19:$HT$19)</f>
        <v>865</v>
      </c>
      <c r="G26" s="231">
        <f>+SUM([3]UPS!$HD$19:$HF$19)</f>
        <v>878</v>
      </c>
      <c r="H26" s="348">
        <f>(F26-G26)/G26</f>
        <v>-1.4806378132118452E-2</v>
      </c>
      <c r="I26" s="349">
        <f>+F26/$F$33</f>
        <v>0.21777442094662638</v>
      </c>
      <c r="J26" s="283"/>
      <c r="K26" s="343" t="s">
        <v>82</v>
      </c>
      <c r="L26" s="347">
        <f>+[3]UPS!$HT$64</f>
        <v>14118023</v>
      </c>
      <c r="M26" s="231">
        <f>+[3]UPS!$HF$64</f>
        <v>14772561</v>
      </c>
      <c r="N26" s="349">
        <f>(L26-M26)/M26</f>
        <v>-4.4307686392359456E-2</v>
      </c>
      <c r="O26" s="347">
        <f>+SUM([3]UPS!$HR$64:$HT$64)</f>
        <v>37716675</v>
      </c>
      <c r="P26" s="231">
        <f>+SUM([3]UPS!$HD$64:$HF$64)</f>
        <v>39331130</v>
      </c>
      <c r="Q26" s="348">
        <f>(O26-P26)/P26</f>
        <v>-4.1047765472286203E-2</v>
      </c>
      <c r="R26" s="349">
        <f>O26/$O$33</f>
        <v>0.36359905490231081</v>
      </c>
      <c r="S26" s="370"/>
      <c r="T26" s="436"/>
    </row>
    <row r="27" spans="1:20" x14ac:dyDescent="0.2">
      <c r="A27" s="283"/>
      <c r="B27" s="343" t="s">
        <v>83</v>
      </c>
      <c r="C27" s="347">
        <f>+[3]Bemidji!$HT$19</f>
        <v>410</v>
      </c>
      <c r="D27" s="231">
        <f>+[3]Bemidji!$HF$19</f>
        <v>448</v>
      </c>
      <c r="E27" s="349">
        <f>(C27-D27)/D27</f>
        <v>-8.4821428571428575E-2</v>
      </c>
      <c r="F27" s="347">
        <f>+SUM([3]Bemidji!$HR$19:$HT$19)</f>
        <v>1164</v>
      </c>
      <c r="G27" s="231">
        <f>+SUM([3]Bemidji!$HD$19:$HF$19)</f>
        <v>1218</v>
      </c>
      <c r="H27" s="348">
        <f t="shared" ref="H27" si="12">(F27-G27)/G27</f>
        <v>-4.4334975369458129E-2</v>
      </c>
      <c r="I27" s="349">
        <f>+F27/$F$33</f>
        <v>0.29305135951661632</v>
      </c>
      <c r="J27" s="283"/>
      <c r="K27" s="343" t="s">
        <v>83</v>
      </c>
      <c r="L27" s="475" t="s">
        <v>188</v>
      </c>
      <c r="M27" s="476"/>
      <c r="N27" s="476"/>
      <c r="O27" s="476"/>
      <c r="P27" s="476"/>
      <c r="Q27" s="476"/>
      <c r="R27" s="477"/>
    </row>
    <row r="28" spans="1:20" x14ac:dyDescent="0.2">
      <c r="A28" s="38"/>
      <c r="B28" s="40"/>
      <c r="C28" s="284"/>
      <c r="E28" s="66"/>
      <c r="F28" s="288"/>
      <c r="I28" s="66"/>
      <c r="J28" s="38"/>
      <c r="K28" s="40"/>
      <c r="L28" s="288"/>
      <c r="N28" s="66"/>
      <c r="O28" s="288"/>
      <c r="P28" s="2"/>
      <c r="Q28" s="3"/>
      <c r="R28" s="66"/>
    </row>
    <row r="29" spans="1:20" x14ac:dyDescent="0.2">
      <c r="A29" s="283" t="s">
        <v>127</v>
      </c>
      <c r="B29" s="40"/>
      <c r="C29" s="422">
        <f>+'[3]Misc Cargo'!$HT$19</f>
        <v>0</v>
      </c>
      <c r="D29" s="418">
        <f>+'[3]Misc Cargo'!$HF$19</f>
        <v>0</v>
      </c>
      <c r="E29" s="419" t="e">
        <f>(C29-D29)/D29</f>
        <v>#DIV/0!</v>
      </c>
      <c r="F29" s="422">
        <f>+SUM('[3]Misc Cargo'!$HR$19:$HT$19)</f>
        <v>2</v>
      </c>
      <c r="G29" s="418">
        <f>+SUM('[3]Misc Cargo'!$HD$19:$HF$19)</f>
        <v>2</v>
      </c>
      <c r="H29" s="420">
        <f>(F29-G29)/G29</f>
        <v>0</v>
      </c>
      <c r="I29" s="419">
        <f>+F29/$F$33</f>
        <v>5.0352467270896274E-4</v>
      </c>
      <c r="J29" s="283" t="s">
        <v>127</v>
      </c>
      <c r="K29" s="40"/>
      <c r="L29" s="422">
        <f>+'[3]Misc Cargo'!$HT$64</f>
        <v>0</v>
      </c>
      <c r="M29" s="418">
        <f>+'[3]Misc Cargo'!$HF$64</f>
        <v>0</v>
      </c>
      <c r="N29" s="419" t="e">
        <f>(L29-M29)/M29</f>
        <v>#DIV/0!</v>
      </c>
      <c r="O29" s="422">
        <f>+SUM('[3]Misc Cargo'!$HR$64:$HT$64)</f>
        <v>0</v>
      </c>
      <c r="P29" s="418">
        <f>+SUM('[3]Misc Cargo'!$HD$64:$HF$64)</f>
        <v>2782</v>
      </c>
      <c r="Q29" s="420">
        <f>(O29-P29)/P29</f>
        <v>-1</v>
      </c>
      <c r="R29" s="419">
        <f>O29/$O$33</f>
        <v>0</v>
      </c>
    </row>
    <row r="30" spans="1:20" x14ac:dyDescent="0.2">
      <c r="A30" s="38"/>
      <c r="B30" s="40"/>
      <c r="C30" s="284"/>
      <c r="E30" s="66"/>
      <c r="F30" s="288"/>
      <c r="I30" s="66"/>
      <c r="J30" s="38"/>
      <c r="K30" s="40"/>
      <c r="L30" s="288"/>
      <c r="N30" s="66"/>
      <c r="O30" s="288"/>
      <c r="P30" s="2"/>
      <c r="Q30" s="3"/>
      <c r="R30" s="66"/>
    </row>
    <row r="31" spans="1:20" ht="13.5" thickBot="1" x14ac:dyDescent="0.25">
      <c r="A31" s="371"/>
      <c r="B31" s="372"/>
      <c r="C31" s="423"/>
      <c r="D31" s="424"/>
      <c r="E31" s="425"/>
      <c r="F31" s="423"/>
      <c r="G31" s="424"/>
      <c r="H31" s="426"/>
      <c r="I31" s="425"/>
      <c r="J31" s="283"/>
      <c r="K31" s="40"/>
      <c r="L31" s="292"/>
      <c r="M31" s="294"/>
      <c r="N31" s="295"/>
      <c r="O31" s="292"/>
      <c r="P31" s="294"/>
      <c r="Q31" s="293"/>
      <c r="R31" s="372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73" t="s">
        <v>186</v>
      </c>
      <c r="C33" s="374">
        <f>+C29+C25+C19+C9+C5</f>
        <v>1461</v>
      </c>
      <c r="D33" s="374">
        <f>+D29+D25+D19+D9+D5</f>
        <v>1398</v>
      </c>
      <c r="E33" s="375">
        <f>(C33-D33)/D33</f>
        <v>4.5064377682403435E-2</v>
      </c>
      <c r="F33" s="374">
        <f>+F29+F25+F19+F9+F5</f>
        <v>3972</v>
      </c>
      <c r="G33" s="374">
        <f>+G29+G25+G19+G9+G5</f>
        <v>3781</v>
      </c>
      <c r="H33" s="376">
        <f>(F33-G33)/G33</f>
        <v>5.0515736577624967E-2</v>
      </c>
      <c r="I33" s="385"/>
      <c r="J33"/>
      <c r="K33" s="373" t="s">
        <v>186</v>
      </c>
      <c r="L33" s="374">
        <f>+L29+L25+L19+L9+L5</f>
        <v>38588303</v>
      </c>
      <c r="M33" s="374">
        <f>+M29+M25+M19+M9+M5</f>
        <v>37695295</v>
      </c>
      <c r="N33" s="377">
        <f>(L33-M33)/M33</f>
        <v>2.3690171412639162E-2</v>
      </c>
      <c r="O33" s="374">
        <f>+O29+O25+O19+O9+O5</f>
        <v>103731499</v>
      </c>
      <c r="P33" s="374">
        <f>+P29+P25+P19+P9+P5</f>
        <v>97905315</v>
      </c>
      <c r="Q33" s="376">
        <f t="shared" ref="Q33" si="13">(O33-P33)/P33</f>
        <v>5.9508352534282744E-2</v>
      </c>
      <c r="R33" s="385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 s="9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72"/>
      <c r="K98"/>
    </row>
    <row r="99" spans="4:14" x14ac:dyDescent="0.2">
      <c r="F99" s="172"/>
      <c r="K99"/>
    </row>
    <row r="100" spans="4:14" x14ac:dyDescent="0.2">
      <c r="F100" s="172"/>
      <c r="K100"/>
    </row>
    <row r="101" spans="4:14" x14ac:dyDescent="0.2">
      <c r="F101" s="172"/>
      <c r="K101"/>
    </row>
    <row r="102" spans="4:14" x14ac:dyDescent="0.2">
      <c r="F102" s="172"/>
      <c r="K102"/>
    </row>
    <row r="103" spans="4:14" x14ac:dyDescent="0.2">
      <c r="F103" s="172"/>
      <c r="K103"/>
    </row>
    <row r="104" spans="4:14" x14ac:dyDescent="0.2">
      <c r="F104" s="172"/>
      <c r="K104"/>
    </row>
    <row r="105" spans="4:14" x14ac:dyDescent="0.2">
      <c r="F105" s="172"/>
      <c r="K105"/>
    </row>
    <row r="106" spans="4:14" x14ac:dyDescent="0.2">
      <c r="F106" s="172"/>
      <c r="K106"/>
    </row>
    <row r="107" spans="4:14" x14ac:dyDescent="0.2">
      <c r="F107" s="172"/>
      <c r="K107"/>
    </row>
    <row r="108" spans="4:14" x14ac:dyDescent="0.2">
      <c r="F108" s="172"/>
      <c r="K108"/>
    </row>
    <row r="109" spans="4:14" x14ac:dyDescent="0.2">
      <c r="F109" s="172"/>
      <c r="K109"/>
    </row>
    <row r="110" spans="4:14" x14ac:dyDescent="0.2">
      <c r="F110" s="172"/>
      <c r="K110"/>
    </row>
    <row r="111" spans="4:14" x14ac:dyDescent="0.2">
      <c r="F111" s="172"/>
      <c r="K111"/>
    </row>
    <row r="112" spans="4:14" x14ac:dyDescent="0.2">
      <c r="F112" s="172"/>
      <c r="K112"/>
    </row>
    <row r="113" spans="6:11" x14ac:dyDescent="0.2">
      <c r="F113" s="172"/>
      <c r="K113"/>
    </row>
    <row r="114" spans="6:11" x14ac:dyDescent="0.2">
      <c r="F114" s="172"/>
      <c r="K114"/>
    </row>
    <row r="115" spans="6:11" x14ac:dyDescent="0.2">
      <c r="F115" s="172"/>
      <c r="K115"/>
    </row>
    <row r="116" spans="6:11" x14ac:dyDescent="0.2">
      <c r="F116" s="172"/>
      <c r="K116"/>
    </row>
    <row r="117" spans="6:11" x14ac:dyDescent="0.2">
      <c r="F117" s="172"/>
      <c r="K117"/>
    </row>
    <row r="118" spans="6:11" x14ac:dyDescent="0.2">
      <c r="F118" s="172"/>
      <c r="K118"/>
    </row>
    <row r="119" spans="6:11" x14ac:dyDescent="0.2">
      <c r="F119" s="172"/>
      <c r="K119"/>
    </row>
    <row r="120" spans="6:11" x14ac:dyDescent="0.2">
      <c r="F120" s="172"/>
      <c r="K120"/>
    </row>
    <row r="121" spans="6:11" x14ac:dyDescent="0.2">
      <c r="F121" s="172"/>
      <c r="K121"/>
    </row>
    <row r="122" spans="6:11" x14ac:dyDescent="0.2">
      <c r="F122" s="172"/>
      <c r="K122"/>
    </row>
    <row r="123" spans="6:11" x14ac:dyDescent="0.2">
      <c r="F123" s="172"/>
      <c r="K123"/>
    </row>
    <row r="124" spans="6:11" x14ac:dyDescent="0.2">
      <c r="F124" s="172"/>
      <c r="K124"/>
    </row>
    <row r="125" spans="6:11" x14ac:dyDescent="0.2">
      <c r="F125" s="172"/>
      <c r="K125"/>
    </row>
    <row r="126" spans="6:11" x14ac:dyDescent="0.2">
      <c r="F126" s="172"/>
      <c r="K126"/>
    </row>
    <row r="127" spans="6:11" x14ac:dyDescent="0.2">
      <c r="F127" s="172"/>
      <c r="K127"/>
    </row>
    <row r="128" spans="6:11" x14ac:dyDescent="0.2">
      <c r="F128" s="172"/>
      <c r="K128"/>
    </row>
    <row r="129" spans="6:11" x14ac:dyDescent="0.2">
      <c r="F129" s="172"/>
      <c r="K129"/>
    </row>
    <row r="130" spans="6:11" x14ac:dyDescent="0.2">
      <c r="F130" s="172"/>
      <c r="K130"/>
    </row>
    <row r="131" spans="6:11" x14ac:dyDescent="0.2">
      <c r="F131" s="172"/>
      <c r="K131"/>
    </row>
    <row r="132" spans="6:11" x14ac:dyDescent="0.2">
      <c r="F132" s="172"/>
      <c r="K132"/>
    </row>
    <row r="133" spans="6:11" x14ac:dyDescent="0.2">
      <c r="F133" s="172"/>
      <c r="K133"/>
    </row>
    <row r="134" spans="6:11" x14ac:dyDescent="0.2">
      <c r="F134" s="172"/>
      <c r="K134"/>
    </row>
    <row r="135" spans="6:11" x14ac:dyDescent="0.2">
      <c r="F135" s="172"/>
      <c r="K135"/>
    </row>
    <row r="136" spans="6:11" x14ac:dyDescent="0.2">
      <c r="F136" s="172"/>
      <c r="K136"/>
    </row>
    <row r="137" spans="6:11" x14ac:dyDescent="0.2">
      <c r="F137" s="172"/>
      <c r="K137"/>
    </row>
    <row r="138" spans="6:11" x14ac:dyDescent="0.2">
      <c r="F138" s="172"/>
      <c r="K138"/>
    </row>
    <row r="139" spans="6:11" x14ac:dyDescent="0.2">
      <c r="F139" s="172"/>
      <c r="K139"/>
    </row>
    <row r="140" spans="6:11" x14ac:dyDescent="0.2">
      <c r="F140" s="172"/>
      <c r="K140"/>
    </row>
    <row r="141" spans="6:11" x14ac:dyDescent="0.2">
      <c r="F141" s="172"/>
      <c r="K141"/>
    </row>
    <row r="142" spans="6:11" x14ac:dyDescent="0.2">
      <c r="F142" s="172"/>
      <c r="K142"/>
    </row>
    <row r="143" spans="6:11" x14ac:dyDescent="0.2">
      <c r="F143" s="172"/>
      <c r="K143"/>
    </row>
    <row r="144" spans="6:11" x14ac:dyDescent="0.2">
      <c r="F144" s="172"/>
      <c r="K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1048576" spans="20:20" x14ac:dyDescent="0.2">
      <c r="T1048576" s="434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March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2023-01-26T18:10:57Z</dcterms:modified>
</cp:coreProperties>
</file>