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3\"/>
    </mc:Choice>
  </mc:AlternateContent>
  <xr:revisionPtr revIDLastSave="0" documentId="13_ncr:1_{793249A5-346A-4D17-9AFB-16445C0B8F60}" xr6:coauthVersionLast="47" xr6:coauthVersionMax="47" xr10:uidLastSave="{00000000-0000-0000-0000-000000000000}"/>
  <bookViews>
    <workbookView xWindow="32595" yWindow="540" windowWidth="21600" windowHeight="1335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Activity'!$A$1:$AA$74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6" l="1"/>
  <c r="J35" i="16"/>
  <c r="J29" i="16"/>
  <c r="J28" i="16"/>
  <c r="J23" i="16"/>
  <c r="J22" i="16"/>
  <c r="J18" i="16"/>
  <c r="J17" i="16"/>
  <c r="J10" i="16"/>
  <c r="J9" i="16"/>
  <c r="J5" i="16"/>
  <c r="J4" i="16"/>
  <c r="G30" i="17"/>
  <c r="G28" i="17"/>
  <c r="G27" i="17"/>
  <c r="G24" i="17"/>
  <c r="G23" i="17"/>
  <c r="G22" i="17"/>
  <c r="G21" i="17"/>
  <c r="G18" i="17"/>
  <c r="G17" i="17"/>
  <c r="G16" i="17"/>
  <c r="G15" i="17"/>
  <c r="G14" i="17"/>
  <c r="G13" i="17"/>
  <c r="G12" i="17"/>
  <c r="G11" i="17"/>
  <c r="G10" i="17"/>
  <c r="G7" i="17"/>
  <c r="G6" i="17"/>
  <c r="F30" i="17"/>
  <c r="F28" i="17"/>
  <c r="F27" i="17"/>
  <c r="F24" i="17"/>
  <c r="F23" i="17"/>
  <c r="F22" i="17"/>
  <c r="F21" i="17"/>
  <c r="F18" i="17"/>
  <c r="F17" i="17"/>
  <c r="F16" i="17"/>
  <c r="F15" i="17"/>
  <c r="F14" i="17"/>
  <c r="F13" i="17"/>
  <c r="F12" i="17"/>
  <c r="F11" i="17"/>
  <c r="F10" i="17"/>
  <c r="F7" i="17"/>
  <c r="F6" i="17"/>
  <c r="L30" i="17" l="1"/>
  <c r="L27" i="17"/>
  <c r="L24" i="17"/>
  <c r="L23" i="17"/>
  <c r="L22" i="17"/>
  <c r="L21" i="17"/>
  <c r="L18" i="17"/>
  <c r="L17" i="17"/>
  <c r="L16" i="17"/>
  <c r="L15" i="17"/>
  <c r="L14" i="17"/>
  <c r="L13" i="17"/>
  <c r="L12" i="17"/>
  <c r="L11" i="17"/>
  <c r="L10" i="17"/>
  <c r="L7" i="17"/>
  <c r="L6" i="17"/>
  <c r="C30" i="17"/>
  <c r="C28" i="17"/>
  <c r="C27" i="17"/>
  <c r="C24" i="17"/>
  <c r="C23" i="17"/>
  <c r="C22" i="17"/>
  <c r="C21" i="17"/>
  <c r="C18" i="17"/>
  <c r="C17" i="17"/>
  <c r="C16" i="17"/>
  <c r="C15" i="17"/>
  <c r="C14" i="17"/>
  <c r="C13" i="17"/>
  <c r="C12" i="17"/>
  <c r="C11" i="17"/>
  <c r="C10" i="17"/>
  <c r="C7" i="17"/>
  <c r="C6" i="17"/>
  <c r="J21" i="5" l="1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3" i="7"/>
  <c r="M22" i="7"/>
  <c r="L22" i="7"/>
  <c r="J23" i="7"/>
  <c r="E23" i="7"/>
  <c r="C22" i="7"/>
  <c r="B22" i="7"/>
  <c r="Y68" i="9"/>
  <c r="V68" i="9"/>
  <c r="P68" i="9"/>
  <c r="M68" i="9"/>
  <c r="G68" i="9"/>
  <c r="D68" i="9"/>
  <c r="Y67" i="9"/>
  <c r="V67" i="9"/>
  <c r="P67" i="9"/>
  <c r="M67" i="9"/>
  <c r="G67" i="9"/>
  <c r="D67" i="9"/>
  <c r="Y66" i="9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59" i="9"/>
  <c r="V59" i="9"/>
  <c r="P59" i="9"/>
  <c r="M59" i="9"/>
  <c r="G59" i="9"/>
  <c r="D59" i="9"/>
  <c r="Y57" i="9"/>
  <c r="V57" i="9"/>
  <c r="P57" i="9"/>
  <c r="M57" i="9"/>
  <c r="G57" i="9"/>
  <c r="D57" i="9"/>
  <c r="Y55" i="9"/>
  <c r="V55" i="9"/>
  <c r="P55" i="9"/>
  <c r="M55" i="9"/>
  <c r="G55" i="9"/>
  <c r="D55" i="9"/>
  <c r="Y53" i="9"/>
  <c r="V53" i="9"/>
  <c r="P53" i="9"/>
  <c r="M53" i="9"/>
  <c r="G53" i="9"/>
  <c r="D53" i="9"/>
  <c r="Y51" i="9"/>
  <c r="V51" i="9"/>
  <c r="P51" i="9"/>
  <c r="M51" i="9"/>
  <c r="G51" i="9"/>
  <c r="D51" i="9"/>
  <c r="Y49" i="9"/>
  <c r="V49" i="9"/>
  <c r="P49" i="9"/>
  <c r="M49" i="9"/>
  <c r="G49" i="9"/>
  <c r="D49" i="9"/>
  <c r="Y47" i="9"/>
  <c r="V47" i="9"/>
  <c r="P47" i="9"/>
  <c r="M47" i="9"/>
  <c r="G47" i="9"/>
  <c r="D47" i="9"/>
  <c r="Y45" i="9"/>
  <c r="V45" i="9"/>
  <c r="P45" i="9"/>
  <c r="M45" i="9"/>
  <c r="G45" i="9"/>
  <c r="D45" i="9"/>
  <c r="Y44" i="9"/>
  <c r="V44" i="9"/>
  <c r="P44" i="9"/>
  <c r="M44" i="9"/>
  <c r="G44" i="9"/>
  <c r="D44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6" i="9"/>
  <c r="V36" i="9"/>
  <c r="P36" i="9"/>
  <c r="M36" i="9"/>
  <c r="G36" i="9"/>
  <c r="D36" i="9"/>
  <c r="Y34" i="9"/>
  <c r="V34" i="9"/>
  <c r="P34" i="9"/>
  <c r="M34" i="9"/>
  <c r="G34" i="9"/>
  <c r="D34" i="9"/>
  <c r="Y32" i="9"/>
  <c r="V32" i="9"/>
  <c r="P32" i="9"/>
  <c r="M32" i="9"/>
  <c r="G32" i="9"/>
  <c r="D32" i="9"/>
  <c r="Y30" i="9"/>
  <c r="V30" i="9"/>
  <c r="P30" i="9"/>
  <c r="M30" i="9"/>
  <c r="G30" i="9"/>
  <c r="D30" i="9"/>
  <c r="Y29" i="9"/>
  <c r="V29" i="9"/>
  <c r="P29" i="9"/>
  <c r="M29" i="9"/>
  <c r="G29" i="9"/>
  <c r="D29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D10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8" i="9"/>
  <c r="U68" i="9"/>
  <c r="O68" i="9"/>
  <c r="L68" i="9"/>
  <c r="F68" i="9"/>
  <c r="C68" i="9"/>
  <c r="X67" i="9"/>
  <c r="U67" i="9"/>
  <c r="O67" i="9"/>
  <c r="L67" i="9"/>
  <c r="F67" i="9"/>
  <c r="C67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59" i="9"/>
  <c r="U59" i="9"/>
  <c r="O59" i="9"/>
  <c r="L59" i="9"/>
  <c r="F59" i="9"/>
  <c r="C59" i="9"/>
  <c r="X57" i="9"/>
  <c r="U57" i="9"/>
  <c r="O57" i="9"/>
  <c r="L57" i="9"/>
  <c r="F57" i="9"/>
  <c r="C57" i="9"/>
  <c r="X55" i="9"/>
  <c r="U55" i="9"/>
  <c r="O55" i="9"/>
  <c r="L55" i="9"/>
  <c r="F55" i="9"/>
  <c r="C55" i="9"/>
  <c r="X53" i="9"/>
  <c r="U53" i="9"/>
  <c r="O53" i="9"/>
  <c r="L53" i="9"/>
  <c r="F53" i="9"/>
  <c r="C53" i="9"/>
  <c r="X51" i="9"/>
  <c r="U51" i="9"/>
  <c r="O51" i="9"/>
  <c r="L51" i="9"/>
  <c r="F51" i="9"/>
  <c r="C51" i="9"/>
  <c r="X49" i="9"/>
  <c r="U49" i="9"/>
  <c r="O49" i="9"/>
  <c r="L49" i="9"/>
  <c r="F49" i="9"/>
  <c r="C49" i="9"/>
  <c r="X47" i="9"/>
  <c r="U47" i="9"/>
  <c r="O47" i="9"/>
  <c r="L47" i="9"/>
  <c r="F47" i="9"/>
  <c r="C47" i="9"/>
  <c r="X45" i="9"/>
  <c r="U45" i="9"/>
  <c r="O45" i="9"/>
  <c r="L45" i="9"/>
  <c r="F45" i="9"/>
  <c r="C45" i="9"/>
  <c r="X44" i="9"/>
  <c r="U44" i="9"/>
  <c r="O44" i="9"/>
  <c r="L44" i="9"/>
  <c r="F44" i="9"/>
  <c r="C44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6" i="9"/>
  <c r="U36" i="9"/>
  <c r="O36" i="9"/>
  <c r="L36" i="9"/>
  <c r="F36" i="9"/>
  <c r="C36" i="9"/>
  <c r="X34" i="9"/>
  <c r="U34" i="9"/>
  <c r="O34" i="9"/>
  <c r="L34" i="9"/>
  <c r="F34" i="9"/>
  <c r="C34" i="9"/>
  <c r="X32" i="9"/>
  <c r="U32" i="9"/>
  <c r="O32" i="9"/>
  <c r="L32" i="9"/>
  <c r="F32" i="9"/>
  <c r="C32" i="9"/>
  <c r="X30" i="9"/>
  <c r="U30" i="9"/>
  <c r="O30" i="9"/>
  <c r="L30" i="9"/>
  <c r="F30" i="9"/>
  <c r="C30" i="9"/>
  <c r="X29" i="9"/>
  <c r="U29" i="9"/>
  <c r="O29" i="9"/>
  <c r="L29" i="9"/>
  <c r="F29" i="9"/>
  <c r="C29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P36" i="16"/>
  <c r="O36" i="16"/>
  <c r="N36" i="16"/>
  <c r="M36" i="16"/>
  <c r="L36" i="16"/>
  <c r="K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I35" i="16"/>
  <c r="H35" i="16"/>
  <c r="G35" i="16"/>
  <c r="F35" i="16"/>
  <c r="E35" i="16"/>
  <c r="D35" i="16"/>
  <c r="C35" i="16"/>
  <c r="B35" i="16"/>
  <c r="P29" i="16"/>
  <c r="O29" i="16"/>
  <c r="N29" i="16"/>
  <c r="M29" i="16"/>
  <c r="L29" i="16"/>
  <c r="K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I28" i="16"/>
  <c r="H28" i="16"/>
  <c r="G28" i="16"/>
  <c r="F28" i="16"/>
  <c r="E28" i="16"/>
  <c r="D28" i="16"/>
  <c r="C28" i="16"/>
  <c r="B28" i="16"/>
  <c r="P23" i="16"/>
  <c r="O23" i="16"/>
  <c r="N23" i="16"/>
  <c r="M23" i="16"/>
  <c r="L23" i="16"/>
  <c r="K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I17" i="16"/>
  <c r="H17" i="16"/>
  <c r="G17" i="16"/>
  <c r="F17" i="16"/>
  <c r="E17" i="16"/>
  <c r="D17" i="16"/>
  <c r="C17" i="16"/>
  <c r="B17" i="16"/>
  <c r="P10" i="16"/>
  <c r="O10" i="16"/>
  <c r="N10" i="16"/>
  <c r="M10" i="16"/>
  <c r="L10" i="16"/>
  <c r="K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I4" i="16"/>
  <c r="H4" i="16"/>
  <c r="G4" i="16"/>
  <c r="F4" i="16"/>
  <c r="E4" i="16"/>
  <c r="D4" i="16"/>
  <c r="C4" i="16"/>
  <c r="B4" i="16"/>
  <c r="P30" i="17"/>
  <c r="M30" i="17"/>
  <c r="D30" i="17"/>
  <c r="D28" i="17"/>
  <c r="P27" i="17"/>
  <c r="M27" i="17"/>
  <c r="D27" i="17"/>
  <c r="P24" i="17"/>
  <c r="M24" i="17"/>
  <c r="D24" i="17"/>
  <c r="P23" i="17"/>
  <c r="M23" i="17"/>
  <c r="D23" i="17"/>
  <c r="P22" i="17"/>
  <c r="M22" i="17"/>
  <c r="D22" i="17"/>
  <c r="P21" i="17"/>
  <c r="M21" i="17"/>
  <c r="D21" i="17"/>
  <c r="P18" i="17"/>
  <c r="M18" i="17"/>
  <c r="D18" i="17"/>
  <c r="P17" i="17"/>
  <c r="M17" i="17"/>
  <c r="D17" i="17"/>
  <c r="P16" i="17"/>
  <c r="M16" i="17"/>
  <c r="D16" i="17"/>
  <c r="P15" i="17"/>
  <c r="M15" i="17"/>
  <c r="D15" i="17"/>
  <c r="P14" i="17"/>
  <c r="M14" i="17"/>
  <c r="D14" i="17"/>
  <c r="P13" i="17"/>
  <c r="M13" i="17"/>
  <c r="D13" i="17"/>
  <c r="P12" i="17"/>
  <c r="M12" i="17"/>
  <c r="D12" i="17"/>
  <c r="P11" i="17"/>
  <c r="M11" i="17"/>
  <c r="D11" i="17"/>
  <c r="P10" i="17"/>
  <c r="M10" i="17"/>
  <c r="G9" i="17"/>
  <c r="D10" i="17"/>
  <c r="P7" i="17"/>
  <c r="M7" i="17"/>
  <c r="D7" i="17"/>
  <c r="P6" i="17"/>
  <c r="M6" i="17"/>
  <c r="D6" i="17"/>
  <c r="O30" i="17"/>
  <c r="O27" i="17"/>
  <c r="O24" i="17"/>
  <c r="O23" i="17"/>
  <c r="O22" i="17"/>
  <c r="O21" i="17"/>
  <c r="O18" i="17"/>
  <c r="O17" i="17"/>
  <c r="O16" i="17"/>
  <c r="O15" i="17"/>
  <c r="O14" i="17"/>
  <c r="O13" i="17"/>
  <c r="O12" i="17"/>
  <c r="O11" i="17"/>
  <c r="O10" i="17"/>
  <c r="O7" i="17"/>
  <c r="O6" i="17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N22" i="7" l="1"/>
  <c r="D22" i="7"/>
  <c r="N67" i="9"/>
  <c r="N65" i="9"/>
  <c r="W64" i="9"/>
  <c r="Z51" i="9"/>
  <c r="E49" i="9"/>
  <c r="H47" i="9"/>
  <c r="N45" i="9"/>
  <c r="W30" i="9"/>
  <c r="N30" i="9"/>
  <c r="N29" i="9"/>
  <c r="E28" i="9"/>
  <c r="N25" i="9"/>
  <c r="E20" i="9"/>
  <c r="L18" i="9"/>
  <c r="W16" i="9"/>
  <c r="N14" i="9"/>
  <c r="W12" i="9"/>
  <c r="H12" i="9"/>
  <c r="W9" i="9"/>
  <c r="E9" i="9"/>
  <c r="N8" i="9"/>
  <c r="W7" i="9"/>
  <c r="J2" i="9"/>
  <c r="S2" i="9" s="1"/>
  <c r="L38" i="16"/>
  <c r="D38" i="16"/>
  <c r="G38" i="9" l="1"/>
  <c r="Z10" i="9"/>
  <c r="Q16" i="9"/>
  <c r="Q68" i="9"/>
  <c r="Q4" i="9"/>
  <c r="Z65" i="9"/>
  <c r="Q65" i="9"/>
  <c r="N7" i="9"/>
  <c r="N16" i="9"/>
  <c r="E19" i="9"/>
  <c r="N68" i="9"/>
  <c r="N4" i="9"/>
  <c r="L6" i="9"/>
  <c r="H8" i="9"/>
  <c r="Q26" i="9"/>
  <c r="Z29" i="9"/>
  <c r="Z32" i="9"/>
  <c r="H44" i="9"/>
  <c r="Z59" i="9"/>
  <c r="H63" i="9"/>
  <c r="P38" i="16"/>
  <c r="Q8" i="9"/>
  <c r="V18" i="9"/>
  <c r="E45" i="9"/>
  <c r="C6" i="9"/>
  <c r="H38" i="16"/>
  <c r="E4" i="9"/>
  <c r="H20" i="9"/>
  <c r="X18" i="9"/>
  <c r="Z24" i="9"/>
  <c r="Z26" i="9"/>
  <c r="Q32" i="9"/>
  <c r="Z34" i="9"/>
  <c r="H41" i="9"/>
  <c r="Z43" i="9"/>
  <c r="Q44" i="9"/>
  <c r="Q47" i="9"/>
  <c r="C38" i="16"/>
  <c r="K38" i="16"/>
  <c r="Z4" i="9"/>
  <c r="W8" i="9"/>
  <c r="E10" i="9"/>
  <c r="D18" i="9"/>
  <c r="N28" i="9"/>
  <c r="W29" i="9"/>
  <c r="W47" i="9"/>
  <c r="N49" i="9"/>
  <c r="E51" i="9"/>
  <c r="W55" i="9"/>
  <c r="E65" i="9"/>
  <c r="W65" i="9"/>
  <c r="Z57" i="9"/>
  <c r="E40" i="9"/>
  <c r="E8" i="9"/>
  <c r="H29" i="9"/>
  <c r="E63" i="9"/>
  <c r="X6" i="9"/>
  <c r="V6" i="9"/>
  <c r="N12" i="9"/>
  <c r="E14" i="9"/>
  <c r="N36" i="9"/>
  <c r="Z67" i="9"/>
  <c r="Q57" i="9"/>
  <c r="O38" i="16"/>
  <c r="D6" i="9"/>
  <c r="N55" i="9"/>
  <c r="H59" i="9"/>
  <c r="N64" i="9"/>
  <c r="G38" i="16"/>
  <c r="Z19" i="9"/>
  <c r="N20" i="9"/>
  <c r="W21" i="9"/>
  <c r="P23" i="9"/>
  <c r="N41" i="9"/>
  <c r="E42" i="9"/>
  <c r="W42" i="9"/>
  <c r="H53" i="9"/>
  <c r="N59" i="9"/>
  <c r="E62" i="9"/>
  <c r="N38" i="16"/>
  <c r="M23" i="9"/>
  <c r="J38" i="16"/>
  <c r="E12" i="9"/>
  <c r="Q29" i="9"/>
  <c r="Q59" i="9"/>
  <c r="V61" i="9"/>
  <c r="F38" i="16"/>
  <c r="F23" i="9"/>
  <c r="Q43" i="9"/>
  <c r="G61" i="9"/>
  <c r="Y61" i="9"/>
  <c r="G6" i="9"/>
  <c r="L61" i="9"/>
  <c r="W20" i="9"/>
  <c r="N21" i="9"/>
  <c r="W41" i="9"/>
  <c r="Q53" i="9"/>
  <c r="H55" i="9"/>
  <c r="E59" i="9"/>
  <c r="H66" i="9"/>
  <c r="E38" i="16"/>
  <c r="M38" i="16"/>
  <c r="E7" i="9"/>
  <c r="P18" i="9"/>
  <c r="M18" i="9"/>
  <c r="N18" i="9" s="1"/>
  <c r="W25" i="9"/>
  <c r="N26" i="9"/>
  <c r="E30" i="9"/>
  <c r="E36" i="9"/>
  <c r="W36" i="9"/>
  <c r="Y38" i="9"/>
  <c r="N42" i="9"/>
  <c r="E43" i="9"/>
  <c r="W43" i="9"/>
  <c r="W51" i="9"/>
  <c r="H57" i="9"/>
  <c r="N62" i="9"/>
  <c r="Q63" i="9"/>
  <c r="E66" i="9"/>
  <c r="W66" i="9"/>
  <c r="W14" i="9"/>
  <c r="Z16" i="9"/>
  <c r="W19" i="9"/>
  <c r="E27" i="9"/>
  <c r="N32" i="9"/>
  <c r="P38" i="9"/>
  <c r="N44" i="9"/>
  <c r="Z47" i="9"/>
  <c r="N53" i="9"/>
  <c r="E55" i="9"/>
  <c r="Y6" i="9"/>
  <c r="N10" i="9"/>
  <c r="C23" i="9"/>
  <c r="E29" i="9"/>
  <c r="E34" i="9"/>
  <c r="W34" i="9"/>
  <c r="M38" i="9"/>
  <c r="W40" i="9"/>
  <c r="H43" i="9"/>
  <c r="W45" i="9"/>
  <c r="N47" i="9"/>
  <c r="N57" i="9"/>
  <c r="Q62" i="9"/>
  <c r="U61" i="9"/>
  <c r="Z66" i="9"/>
  <c r="U6" i="9"/>
  <c r="W6" i="9" s="1"/>
  <c r="P61" i="9"/>
  <c r="U72" i="9"/>
  <c r="I38" i="16"/>
  <c r="Q36" i="16"/>
  <c r="G18" i="9"/>
  <c r="Y18" i="9"/>
  <c r="H24" i="9"/>
  <c r="E26" i="9"/>
  <c r="H34" i="9"/>
  <c r="N43" i="9"/>
  <c r="Z45" i="9"/>
  <c r="W49" i="9"/>
  <c r="N51" i="9"/>
  <c r="E53" i="9"/>
  <c r="W62" i="9"/>
  <c r="N66" i="9"/>
  <c r="Q35" i="16"/>
  <c r="W4" i="9"/>
  <c r="P6" i="9"/>
  <c r="E16" i="9"/>
  <c r="U18" i="9"/>
  <c r="W18" i="9" s="1"/>
  <c r="N19" i="9"/>
  <c r="Q20" i="9"/>
  <c r="W26" i="9"/>
  <c r="E32" i="9"/>
  <c r="W32" i="9"/>
  <c r="C38" i="9"/>
  <c r="Q41" i="9"/>
  <c r="E44" i="9"/>
  <c r="W44" i="9"/>
  <c r="W53" i="9"/>
  <c r="W59" i="9"/>
  <c r="H65" i="9"/>
  <c r="D61" i="9"/>
  <c r="W67" i="9"/>
  <c r="W10" i="9"/>
  <c r="Z12" i="9"/>
  <c r="N24" i="9"/>
  <c r="W28" i="9"/>
  <c r="N34" i="9"/>
  <c r="D38" i="9"/>
  <c r="N40" i="9"/>
  <c r="E41" i="9"/>
  <c r="E47" i="9"/>
  <c r="Q51" i="9"/>
  <c r="E57" i="9"/>
  <c r="W57" i="9"/>
  <c r="N63" i="9"/>
  <c r="E64" i="9"/>
  <c r="M6" i="9"/>
  <c r="L23" i="9"/>
  <c r="N27" i="9"/>
  <c r="N39" i="9"/>
  <c r="L38" i="9"/>
  <c r="P72" i="9"/>
  <c r="C72" i="9"/>
  <c r="Q40" i="9"/>
  <c r="O72" i="9"/>
  <c r="H4" i="9"/>
  <c r="Q7" i="9"/>
  <c r="O6" i="9"/>
  <c r="N9" i="9"/>
  <c r="Q10" i="9"/>
  <c r="Z14" i="9"/>
  <c r="H26" i="9"/>
  <c r="G23" i="9"/>
  <c r="D72" i="9"/>
  <c r="D23" i="9"/>
  <c r="E25" i="9"/>
  <c r="E21" i="9"/>
  <c r="C18" i="9"/>
  <c r="H32" i="9"/>
  <c r="G72" i="9"/>
  <c r="V72" i="9"/>
  <c r="Q19" i="9"/>
  <c r="O18" i="9"/>
  <c r="W24" i="9"/>
  <c r="U23" i="9"/>
  <c r="X23" i="9"/>
  <c r="Z25" i="9"/>
  <c r="Y23" i="9"/>
  <c r="Z28" i="9"/>
  <c r="Z40" i="9"/>
  <c r="Y72" i="9"/>
  <c r="L72" i="9"/>
  <c r="X72" i="9"/>
  <c r="Q28" i="9"/>
  <c r="Z36" i="9"/>
  <c r="Z7" i="9"/>
  <c r="H10" i="9"/>
  <c r="F6" i="9"/>
  <c r="H16" i="9"/>
  <c r="V23" i="9"/>
  <c r="W27" i="9"/>
  <c r="V38" i="9"/>
  <c r="W39" i="9"/>
  <c r="M72" i="9"/>
  <c r="C61" i="9"/>
  <c r="M61" i="9"/>
  <c r="Z62" i="9"/>
  <c r="E67" i="9"/>
  <c r="H68" i="9"/>
  <c r="F72" i="9"/>
  <c r="U38" i="9"/>
  <c r="H7" i="9"/>
  <c r="Z9" i="9"/>
  <c r="Q14" i="9"/>
  <c r="H19" i="9"/>
  <c r="Z21" i="9"/>
  <c r="Q25" i="9"/>
  <c r="H28" i="9"/>
  <c r="Z30" i="9"/>
  <c r="Q36" i="9"/>
  <c r="E39" i="9"/>
  <c r="H40" i="9"/>
  <c r="Z42" i="9"/>
  <c r="Q45" i="9"/>
  <c r="H51" i="9"/>
  <c r="Z55" i="9"/>
  <c r="O61" i="9"/>
  <c r="H62" i="9"/>
  <c r="W63" i="9"/>
  <c r="Z64" i="9"/>
  <c r="Q67" i="9"/>
  <c r="X61" i="9"/>
  <c r="Q9" i="9"/>
  <c r="H14" i="9"/>
  <c r="F18" i="9"/>
  <c r="Q21" i="9"/>
  <c r="E24" i="9"/>
  <c r="H25" i="9"/>
  <c r="Z27" i="9"/>
  <c r="Q30" i="9"/>
  <c r="H36" i="9"/>
  <c r="Z39" i="9"/>
  <c r="Q42" i="9"/>
  <c r="H45" i="9"/>
  <c r="Z49" i="9"/>
  <c r="Q55" i="9"/>
  <c r="F61" i="9"/>
  <c r="Q64" i="9"/>
  <c r="H67" i="9"/>
  <c r="W68" i="9"/>
  <c r="H9" i="9"/>
  <c r="H21" i="9"/>
  <c r="Q27" i="9"/>
  <c r="H30" i="9"/>
  <c r="X38" i="9"/>
  <c r="Q39" i="9"/>
  <c r="H42" i="9"/>
  <c r="Z44" i="9"/>
  <c r="Q49" i="9"/>
  <c r="H64" i="9"/>
  <c r="Z8" i="9"/>
  <c r="Q12" i="9"/>
  <c r="Z20" i="9"/>
  <c r="Q24" i="9"/>
  <c r="H27" i="9"/>
  <c r="Q34" i="9"/>
  <c r="O38" i="9"/>
  <c r="H39" i="9"/>
  <c r="Z41" i="9"/>
  <c r="H49" i="9"/>
  <c r="Z53" i="9"/>
  <c r="Z63" i="9"/>
  <c r="Q66" i="9"/>
  <c r="E68" i="9"/>
  <c r="O23" i="9"/>
  <c r="F38" i="9"/>
  <c r="Z68" i="9"/>
  <c r="B38" i="16"/>
  <c r="N38" i="9" l="1"/>
  <c r="N6" i="9"/>
  <c r="Z18" i="9"/>
  <c r="E6" i="9"/>
  <c r="Z6" i="9"/>
  <c r="N23" i="9"/>
  <c r="V73" i="9"/>
  <c r="V71" i="9" s="1"/>
  <c r="E18" i="9"/>
  <c r="E38" i="9"/>
  <c r="P73" i="9"/>
  <c r="P71" i="9" s="1"/>
  <c r="E23" i="9"/>
  <c r="W61" i="9"/>
  <c r="D73" i="9"/>
  <c r="D71" i="9" s="1"/>
  <c r="N61" i="9"/>
  <c r="Y73" i="9"/>
  <c r="Y71" i="9" s="1"/>
  <c r="G73" i="9"/>
  <c r="G71" i="9" s="1"/>
  <c r="W72" i="9"/>
  <c r="Q38" i="16"/>
  <c r="N72" i="9"/>
  <c r="W23" i="9"/>
  <c r="M73" i="9"/>
  <c r="M71" i="9" s="1"/>
  <c r="L73" i="9"/>
  <c r="Q72" i="9"/>
  <c r="H23" i="9"/>
  <c r="X73" i="9"/>
  <c r="AA72" i="9" s="1"/>
  <c r="Z61" i="9"/>
  <c r="O73" i="9"/>
  <c r="R6" i="9" s="1"/>
  <c r="Q61" i="9"/>
  <c r="Q6" i="9"/>
  <c r="F73" i="9"/>
  <c r="I61" i="9" s="1"/>
  <c r="H61" i="9"/>
  <c r="Z72" i="9"/>
  <c r="Q38" i="9"/>
  <c r="C73" i="9"/>
  <c r="E61" i="9"/>
  <c r="Z23" i="9"/>
  <c r="Z38" i="9"/>
  <c r="H38" i="9"/>
  <c r="Q18" i="9"/>
  <c r="E72" i="9"/>
  <c r="H72" i="9"/>
  <c r="Q23" i="9"/>
  <c r="H6" i="9"/>
  <c r="H18" i="9"/>
  <c r="W38" i="9"/>
  <c r="U73" i="9"/>
  <c r="R38" i="9" l="1"/>
  <c r="R61" i="9"/>
  <c r="R18" i="9"/>
  <c r="R23" i="9"/>
  <c r="R72" i="9"/>
  <c r="AA29" i="9"/>
  <c r="AA40" i="9"/>
  <c r="Z73" i="9"/>
  <c r="AA73" i="9" s="1"/>
  <c r="AA66" i="9"/>
  <c r="AA34" i="9"/>
  <c r="AA12" i="9"/>
  <c r="AA62" i="9"/>
  <c r="AA51" i="9"/>
  <c r="AA28" i="9"/>
  <c r="AA19" i="9"/>
  <c r="AA58" i="9"/>
  <c r="X71" i="9"/>
  <c r="AA7" i="9"/>
  <c r="AA65" i="9"/>
  <c r="AA57" i="9"/>
  <c r="AA43" i="9"/>
  <c r="AA68" i="9"/>
  <c r="AA59" i="9"/>
  <c r="AA47" i="9"/>
  <c r="AA4" i="9"/>
  <c r="AA26" i="9"/>
  <c r="AA16" i="9"/>
  <c r="AA64" i="9"/>
  <c r="AA14" i="9"/>
  <c r="AA44" i="9"/>
  <c r="AA49" i="9"/>
  <c r="AA63" i="9"/>
  <c r="AA21" i="9"/>
  <c r="AA24" i="9"/>
  <c r="AA9" i="9"/>
  <c r="AA6" i="9"/>
  <c r="AA25" i="9"/>
  <c r="AA41" i="9"/>
  <c r="AA39" i="9"/>
  <c r="AA32" i="9"/>
  <c r="AA30" i="9"/>
  <c r="AA20" i="9"/>
  <c r="AA55" i="9"/>
  <c r="AA53" i="9"/>
  <c r="AA67" i="9"/>
  <c r="AA8" i="9"/>
  <c r="AA27" i="9"/>
  <c r="AA18" i="9"/>
  <c r="AA10" i="9"/>
  <c r="AA42" i="9"/>
  <c r="AA45" i="9"/>
  <c r="AA23" i="9"/>
  <c r="I6" i="9"/>
  <c r="AA61" i="9"/>
  <c r="I55" i="9"/>
  <c r="I68" i="9"/>
  <c r="I59" i="9"/>
  <c r="I16" i="9"/>
  <c r="F71" i="9"/>
  <c r="I7" i="9"/>
  <c r="I26" i="9"/>
  <c r="I47" i="9"/>
  <c r="I4" i="9"/>
  <c r="I63" i="9"/>
  <c r="I53" i="9"/>
  <c r="I41" i="9"/>
  <c r="I29" i="9"/>
  <c r="H73" i="9"/>
  <c r="I73" i="9" s="1"/>
  <c r="I66" i="9"/>
  <c r="I44" i="9"/>
  <c r="I12" i="9"/>
  <c r="I34" i="9"/>
  <c r="I24" i="9"/>
  <c r="I39" i="9"/>
  <c r="I67" i="9"/>
  <c r="I14" i="9"/>
  <c r="I10" i="9"/>
  <c r="I32" i="9"/>
  <c r="I62" i="9"/>
  <c r="I64" i="9"/>
  <c r="I45" i="9"/>
  <c r="I40" i="9"/>
  <c r="I65" i="9"/>
  <c r="I57" i="9"/>
  <c r="I43" i="9"/>
  <c r="I27" i="9"/>
  <c r="I19" i="9"/>
  <c r="I25" i="9"/>
  <c r="I51" i="9"/>
  <c r="I42" i="9"/>
  <c r="I49" i="9"/>
  <c r="I23" i="9"/>
  <c r="I28" i="9"/>
  <c r="I20" i="9"/>
  <c r="I8" i="9"/>
  <c r="I30" i="9"/>
  <c r="I9" i="9"/>
  <c r="I36" i="9"/>
  <c r="I21" i="9"/>
  <c r="I18" i="9"/>
  <c r="E73" i="9"/>
  <c r="C71" i="9"/>
  <c r="E71" i="9" s="1"/>
  <c r="I38" i="9"/>
  <c r="U71" i="9"/>
  <c r="W71" i="9" s="1"/>
  <c r="W73" i="9"/>
  <c r="AA38" i="9"/>
  <c r="I72" i="9"/>
  <c r="Q73" i="9"/>
  <c r="R73" i="9" s="1"/>
  <c r="R44" i="9"/>
  <c r="R57" i="9"/>
  <c r="R43" i="9"/>
  <c r="R32" i="9"/>
  <c r="R10" i="9"/>
  <c r="R65" i="9"/>
  <c r="R58" i="9"/>
  <c r="O71" i="9"/>
  <c r="R68" i="9"/>
  <c r="R59" i="9"/>
  <c r="R47" i="9"/>
  <c r="R26" i="9"/>
  <c r="R63" i="9"/>
  <c r="R53" i="9"/>
  <c r="R41" i="9"/>
  <c r="R29" i="9"/>
  <c r="R20" i="9"/>
  <c r="R8" i="9"/>
  <c r="R39" i="9"/>
  <c r="R36" i="9"/>
  <c r="R19" i="9"/>
  <c r="R55" i="9"/>
  <c r="R51" i="9"/>
  <c r="R24" i="9"/>
  <c r="R28" i="9"/>
  <c r="R25" i="9"/>
  <c r="R16" i="9"/>
  <c r="R7" i="9"/>
  <c r="R21" i="9"/>
  <c r="R67" i="9"/>
  <c r="R27" i="9"/>
  <c r="R62" i="9"/>
  <c r="R66" i="9"/>
  <c r="R12" i="9"/>
  <c r="R34" i="9"/>
  <c r="R40" i="9"/>
  <c r="R45" i="9"/>
  <c r="R9" i="9"/>
  <c r="R4" i="9"/>
  <c r="R42" i="9"/>
  <c r="R64" i="9"/>
  <c r="R14" i="9"/>
  <c r="R49" i="9"/>
  <c r="R30" i="9"/>
  <c r="N73" i="9"/>
  <c r="L71" i="9"/>
  <c r="N71" i="9" s="1"/>
  <c r="I71" i="9" l="1"/>
  <c r="H71" i="9"/>
  <c r="R71" i="9"/>
  <c r="Q71" i="9"/>
  <c r="AA71" i="9"/>
  <c r="Z71" i="9"/>
  <c r="AA36" i="9"/>
  <c r="H16" i="17" l="1"/>
  <c r="N16" i="17"/>
  <c r="E16" i="17"/>
  <c r="Q16" i="17"/>
  <c r="O22" i="7" l="1"/>
  <c r="O21" i="7"/>
  <c r="M21" i="7"/>
  <c r="L21" i="7"/>
  <c r="J22" i="7"/>
  <c r="J21" i="7"/>
  <c r="H21" i="7"/>
  <c r="G21" i="7"/>
  <c r="C21" i="7"/>
  <c r="B21" i="7"/>
  <c r="E22" i="7"/>
  <c r="Q10" i="16" l="1"/>
  <c r="Q9" i="16"/>
  <c r="Q4" i="16"/>
  <c r="B23" i="7" s="1"/>
  <c r="Q5" i="16"/>
  <c r="H23" i="8"/>
  <c r="H6" i="8"/>
  <c r="H12" i="8" s="1"/>
  <c r="H10" i="8"/>
  <c r="C23" i="7" l="1"/>
  <c r="D23" i="7" s="1"/>
  <c r="H18" i="8"/>
  <c r="H31" i="8"/>
  <c r="H32" i="8"/>
  <c r="H28" i="8"/>
  <c r="H33" i="8" l="1"/>
  <c r="E21" i="7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T10" i="17" s="1"/>
  <c r="K16" i="3" l="1"/>
  <c r="K17" i="3"/>
  <c r="K20" i="3"/>
  <c r="K21" i="3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S31" i="8" l="1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T7" i="17" s="1"/>
  <c r="D11" i="5"/>
  <c r="D5" i="5"/>
  <c r="M34" i="17"/>
  <c r="O34" i="17"/>
  <c r="R16" i="17" s="1"/>
  <c r="Q20" i="17"/>
  <c r="H26" i="17"/>
  <c r="E26" i="17"/>
  <c r="C34" i="17"/>
  <c r="L34" i="17"/>
  <c r="Q9" i="17"/>
  <c r="F34" i="17"/>
  <c r="H5" i="17"/>
  <c r="Q26" i="17"/>
  <c r="R12" i="8"/>
  <c r="S12" i="8" s="1"/>
  <c r="B33" i="8"/>
  <c r="T6" i="17" l="1"/>
  <c r="S33" i="8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5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F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F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G10" i="7"/>
  <c r="B18" i="1" s="1"/>
  <c r="C37" i="4"/>
  <c r="I43" i="3"/>
  <c r="I30" i="3"/>
  <c r="B33" i="1" l="1"/>
  <c r="D33" i="1" s="1"/>
  <c r="F31" i="7"/>
  <c r="K18" i="3"/>
  <c r="K22" i="3"/>
  <c r="F24" i="7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G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G19" i="1" s="1"/>
  <c r="L20" i="4"/>
  <c r="M20" i="4" s="1"/>
  <c r="G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F22" i="7" l="1"/>
  <c r="F32" i="7"/>
  <c r="F30" i="7"/>
  <c r="F29" i="7"/>
  <c r="F28" i="7"/>
  <c r="K23" i="3"/>
  <c r="F27" i="7"/>
  <c r="F26" i="7"/>
  <c r="F25" i="7"/>
  <c r="F23" i="7"/>
  <c r="F18" i="1"/>
  <c r="B6" i="5"/>
  <c r="B7" i="5" s="1"/>
  <c r="B28" i="1"/>
  <c r="B10" i="5"/>
  <c r="B12" i="5" s="1"/>
  <c r="C27" i="1"/>
  <c r="B27" i="1"/>
  <c r="K6" i="2"/>
  <c r="D5" i="1" s="1"/>
  <c r="G5" i="1" s="1"/>
  <c r="B8" i="1"/>
  <c r="I21" i="1"/>
  <c r="I20" i="1"/>
  <c r="L21" i="15"/>
  <c r="D6" i="1"/>
  <c r="G6" i="1" s="1"/>
  <c r="C8" i="1"/>
  <c r="C33" i="7"/>
  <c r="B10" i="1"/>
  <c r="D21" i="7"/>
  <c r="F21" i="7" s="1"/>
  <c r="F19" i="1"/>
  <c r="J45" i="2"/>
  <c r="K45" i="2" s="1"/>
  <c r="K45" i="3"/>
  <c r="F7" i="1"/>
  <c r="J23" i="2"/>
  <c r="K23" i="2" s="1"/>
  <c r="B33" i="7"/>
  <c r="L42" i="4"/>
  <c r="M42" i="4" s="1"/>
  <c r="L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G16" i="1" s="1"/>
  <c r="C7" i="5"/>
  <c r="E5" i="5"/>
  <c r="F5" i="5" s="1"/>
  <c r="I5" i="5" s="1"/>
  <c r="C33" i="1" l="1"/>
  <c r="B32" i="1"/>
  <c r="D32" i="1" s="1"/>
  <c r="I7" i="1"/>
  <c r="I19" i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B11" i="1"/>
  <c r="L23" i="7" s="1"/>
  <c r="D33" i="7"/>
  <c r="D28" i="1"/>
  <c r="G28" i="1" s="1"/>
  <c r="B22" i="1"/>
  <c r="B29" i="1"/>
  <c r="C12" i="5"/>
  <c r="C21" i="5"/>
  <c r="E11" i="5"/>
  <c r="F11" i="5" s="1"/>
  <c r="I11" i="5" s="1"/>
  <c r="C29" i="1"/>
  <c r="F16" i="1"/>
  <c r="D22" i="1"/>
  <c r="F22" i="1" s="1"/>
  <c r="D22" i="5"/>
  <c r="F15" i="5"/>
  <c r="I15" i="5" s="1"/>
  <c r="E17" i="5"/>
  <c r="D27" i="1" s="1"/>
  <c r="G27" i="1" s="1"/>
  <c r="F17" i="1"/>
  <c r="H22" i="7" l="1"/>
  <c r="M23" i="7"/>
  <c r="H23" i="7" s="1"/>
  <c r="G23" i="7"/>
  <c r="G22" i="7"/>
  <c r="N21" i="7"/>
  <c r="P31" i="7"/>
  <c r="I17" i="5"/>
  <c r="I12" i="5"/>
  <c r="P29" i="7"/>
  <c r="P27" i="7"/>
  <c r="P26" i="7"/>
  <c r="P24" i="7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F33" i="7"/>
  <c r="I17" i="1"/>
  <c r="D11" i="1"/>
  <c r="F11" i="1" s="1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3" i="7" l="1"/>
  <c r="N23" i="7"/>
  <c r="I22" i="7"/>
  <c r="K22" i="7" s="1"/>
  <c r="K31" i="7"/>
  <c r="P32" i="7"/>
  <c r="K30" i="7"/>
  <c r="P30" i="7"/>
  <c r="K29" i="7"/>
  <c r="I22" i="5"/>
  <c r="K28" i="7"/>
  <c r="P28" i="7"/>
  <c r="K24" i="7"/>
  <c r="K27" i="7"/>
  <c r="K26" i="7"/>
  <c r="K25" i="7"/>
  <c r="P25" i="7"/>
  <c r="M33" i="7"/>
  <c r="P22" i="7"/>
  <c r="P23" i="7"/>
  <c r="H21" i="5"/>
  <c r="I10" i="1"/>
  <c r="E22" i="5"/>
  <c r="G11" i="1"/>
  <c r="I11" i="1" s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K7" i="5" l="1"/>
  <c r="K32" i="7"/>
  <c r="H33" i="7"/>
  <c r="K23" i="7"/>
  <c r="K21" i="5"/>
  <c r="E32" i="1"/>
  <c r="K20" i="5"/>
  <c r="K22" i="5"/>
  <c r="N33" i="7" l="1"/>
  <c r="P33" i="7" s="1"/>
  <c r="L33" i="7"/>
  <c r="G33" i="7" l="1"/>
  <c r="I21" i="7"/>
  <c r="P21" i="7"/>
  <c r="I33" i="7" l="1"/>
  <c r="K21" i="7"/>
  <c r="K33" i="7" l="1"/>
</calcChain>
</file>

<file path=xl/sharedStrings.xml><?xml version="1.0" encoding="utf-8"?>
<sst xmlns="http://schemas.openxmlformats.org/spreadsheetml/2006/main" count="701" uniqueCount="254">
  <si>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</si>
  <si>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</si>
  <si>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</si>
  <si>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</si>
  <si>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</si>
  <si>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</si>
  <si>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</si>
  <si>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</si>
  <si>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</si>
  <si>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</si>
  <si>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</si>
  <si>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</si>
  <si>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</si>
  <si>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</si>
  <si>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</si>
  <si>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</si>
  <si>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</si>
  <si>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</si>
  <si>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</si>
  <si>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</si>
  <si>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</si>
  <si>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</si>
  <si>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</si>
  <si>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</si>
  <si>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</si>
  <si>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</si>
  <si>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</si>
  <si>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</si>
  <si>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</si>
  <si>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</si>
  <si>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</si>
  <si>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</si>
  <si>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</si>
  <si>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</si>
  <si>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</si>
  <si>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</si>
  <si>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</si>
  <si>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</si>
  <si>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</si>
  <si>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</si>
  <si>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</si>
  <si>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</si>
  <si>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</si>
  <si>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</si>
  <si>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</si>
  <si>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</si>
  <si>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</si>
  <si>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</si>
  <si>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</si>
  <si>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</si>
  <si>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</si>
  <si>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</si>
  <si>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</si>
  <si>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</si>
  <si>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</si>
  <si>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</si>
  <si>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</si>
  <si>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</si>
  <si>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</si>
  <si>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</si>
  <si>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</si>
  <si>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</si>
  <si>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</si>
  <si>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</si>
  <si>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</si>
  <si>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</si>
  <si>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</si>
  <si>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</si>
  <si>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</si>
  <si>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</si>
  <si>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</si>
  <si>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</si>
  <si>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</si>
  <si>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</si>
  <si>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</si>
  <si>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</si>
  <si>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</si>
  <si>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</si>
  <si>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</si>
  <si>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</si>
  <si>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</si>
  <si>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</si>
  <si>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</si>
  <si>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</si>
  <si>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</si>
  <si>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</si>
  <si>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</si>
  <si>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</si>
  <si>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</si>
  <si>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</si>
  <si>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</si>
  <si>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</si>
  <si>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</si>
  <si>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</si>
  <si>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</si>
  <si>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</si>
  <si>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</si>
  <si>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</si>
  <si>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</si>
  <si>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</si>
  <si>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</si>
  <si>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</si>
  <si>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</si>
  <si>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</si>
  <si>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</si>
  <si>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</si>
  <si>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</si>
  <si>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</si>
  <si>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</si>
  <si>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</si>
  <si>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</si>
  <si>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</si>
  <si>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</si>
  <si>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</si>
  <si>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</si>
  <si>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</si>
  <si>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</si>
  <si>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</si>
  <si>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</si>
  <si>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</si>
  <si>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</si>
  <si>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</si>
  <si>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</si>
  <si>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</si>
  <si>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</si>
  <si>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</si>
  <si>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</si>
  <si>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</si>
  <si>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</si>
  <si>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</si>
  <si>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</si>
  <si>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</si>
  <si>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</si>
  <si>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</si>
  <si>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</si>
  <si>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</si>
  <si>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</si>
  <si>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</si>
  <si>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</si>
  <si>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</si>
  <si>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</si>
  <si>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</si>
  <si>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</si>
  <si>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</si>
  <si>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</si>
  <si>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</si>
  <si>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</si>
  <si>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</si>
  <si>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</si>
  <si>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</si>
  <si>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</si>
  <si>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</si>
  <si>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</si>
  <si>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</si>
  <si>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</si>
  <si>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</si>
  <si>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</si>
  <si>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</si>
  <si>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</si>
  <si>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</si>
  <si>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</si>
  <si>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</si>
  <si>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</si>
  <si>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</si>
  <si>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</si>
  <si>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</si>
  <si>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</si>
  <si>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</si>
  <si>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</si>
  <si>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</si>
  <si>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</si>
  <si>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</si>
  <si>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</si>
  <si>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</si>
  <si>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</si>
  <si>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</si>
  <si>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</si>
  <si>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</si>
  <si>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</si>
  <si>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</si>
  <si>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</si>
  <si>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</si>
  <si>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</si>
  <si>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</si>
  <si>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</si>
  <si>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</si>
  <si>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</si>
  <si>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</si>
  <si>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</si>
  <si>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</si>
  <si>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</si>
  <si>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</si>
  <si>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</si>
  <si>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</si>
  <si>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</si>
  <si>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</si>
  <si>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</si>
  <si>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</si>
  <si>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</si>
  <si>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</si>
  <si>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</si>
  <si>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</si>
  <si>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</si>
  <si>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</si>
  <si>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</si>
  <si>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</si>
  <si>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</si>
  <si>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</si>
  <si>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</si>
  <si>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</si>
  <si>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</si>
  <si>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</si>
  <si>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</si>
  <si>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</si>
  <si>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</si>
  <si>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</si>
  <si>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</si>
  <si>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</si>
  <si>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</si>
  <si>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</si>
  <si>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</si>
  <si>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</si>
  <si>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</si>
  <si>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</si>
  <si>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</si>
  <si>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</si>
  <si>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</si>
  <si>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</si>
  <si>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>Total 2022</t>
  </si>
  <si>
    <t>Metric Tons 2022</t>
  </si>
  <si>
    <t>Monthly Ops 2022</t>
  </si>
  <si>
    <t>Ops YTD 2022</t>
  </si>
  <si>
    <t>Current Month 2022</t>
  </si>
  <si>
    <t>YTD 2022</t>
  </si>
  <si>
    <t>Monthly Total 2023</t>
  </si>
  <si>
    <t>Y-T-D 2023</t>
  </si>
  <si>
    <t xml:space="preserve">2022 YTD </t>
  </si>
  <si>
    <t>Monthly Ops 2023</t>
  </si>
  <si>
    <t>Ops YTD 2023</t>
  </si>
  <si>
    <t>2023 Market Share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</si>
  <si>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</si>
  <si>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</si>
  <si>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</si>
  <si>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</si>
  <si>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</si>
  <si>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</si>
  <si>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</si>
  <si>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</si>
  <si>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Monthly Cargo 2022</t>
  </si>
  <si>
    <t>Cargo YTD 2023</t>
  </si>
  <si>
    <t>Cargo YTD 2022</t>
  </si>
  <si>
    <t>ATI -DHL</t>
  </si>
  <si>
    <t>March 2022</t>
  </si>
  <si>
    <t>Jazz_AC-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</si>
</sst>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MSP%20February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MSP%20January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anuar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February%202022.xlsx" TargetMode="External"/><Relationship Id="rId1" Type="http://schemas.openxmlformats.org/officeDocument/2006/relationships/externalLinkPath" Target="/data/Finance%20Stats/Monthly%20Operations%20report/2022/MSP%20Febr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2313550</v>
          </cell>
          <cell r="G5">
            <v>5636256</v>
          </cell>
        </row>
        <row r="6">
          <cell r="D6">
            <v>442071</v>
          </cell>
          <cell r="G6">
            <v>1088928</v>
          </cell>
        </row>
        <row r="7">
          <cell r="D7">
            <v>369</v>
          </cell>
          <cell r="G7">
            <v>3392</v>
          </cell>
        </row>
        <row r="10">
          <cell r="D10">
            <v>72978</v>
          </cell>
          <cell r="G10">
            <v>192565</v>
          </cell>
        </row>
        <row r="16">
          <cell r="D16">
            <v>15909</v>
          </cell>
          <cell r="G16">
            <v>43202</v>
          </cell>
        </row>
        <row r="17">
          <cell r="D17">
            <v>8592</v>
          </cell>
          <cell r="G17">
            <v>23819</v>
          </cell>
        </row>
        <row r="18">
          <cell r="D18">
            <v>4</v>
          </cell>
          <cell r="G18">
            <v>29</v>
          </cell>
        </row>
        <row r="19">
          <cell r="D19">
            <v>1461</v>
          </cell>
          <cell r="G19">
            <v>3972</v>
          </cell>
        </row>
        <row r="20">
          <cell r="D20">
            <v>1312</v>
          </cell>
          <cell r="G20">
            <v>3531</v>
          </cell>
        </row>
        <row r="21">
          <cell r="D21">
            <v>97</v>
          </cell>
          <cell r="G21">
            <v>263</v>
          </cell>
        </row>
        <row r="27">
          <cell r="D27">
            <v>18763.285648094679</v>
          </cell>
          <cell r="G27">
            <v>50242.033671555881</v>
          </cell>
        </row>
        <row r="28">
          <cell r="D28">
            <v>2036.7259028824401</v>
          </cell>
          <cell r="G28">
            <v>5712.08372589393</v>
          </cell>
        </row>
        <row r="32">
          <cell r="B32">
            <v>1030565</v>
          </cell>
          <cell r="D32">
            <v>2446849</v>
          </cell>
        </row>
        <row r="33">
          <cell r="B33">
            <v>359281</v>
          </cell>
          <cell r="D33">
            <v>952922</v>
          </cell>
        </row>
      </sheetData>
      <sheetData sheetId="1"/>
      <sheetData sheetId="2"/>
      <sheetData sheetId="3"/>
      <sheetData sheetId="4"/>
      <sheetData sheetId="5">
        <row r="23">
          <cell r="D23">
            <v>248666</v>
          </cell>
          <cell r="I23">
            <v>2580302</v>
          </cell>
          <cell r="N23">
            <v>2828968</v>
          </cell>
        </row>
      </sheetData>
      <sheetData sheetId="6"/>
      <sheetData sheetId="7">
        <row r="5">
          <cell r="F5">
            <v>10758.297481366819</v>
          </cell>
          <cell r="I5">
            <v>28980.808945170385</v>
          </cell>
        </row>
        <row r="6">
          <cell r="F6">
            <v>1106.1838773816601</v>
          </cell>
          <cell r="I6">
            <v>3094.3631496801099</v>
          </cell>
        </row>
        <row r="10">
          <cell r="F10">
            <v>8004.9881667278596</v>
          </cell>
          <cell r="I10">
            <v>21261.224726385488</v>
          </cell>
        </row>
        <row r="11">
          <cell r="F11">
            <v>930.54202550078003</v>
          </cell>
          <cell r="I11">
            <v>2617.7205762138201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18763.285648094679</v>
          </cell>
          <cell r="I20">
            <v>50242.033671555881</v>
          </cell>
        </row>
        <row r="21">
          <cell r="F21">
            <v>2036.7259028824399</v>
          </cell>
          <cell r="I21">
            <v>5712.08372589393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3941618</v>
          </cell>
        </row>
        <row r="6">
          <cell r="G6">
            <v>567164</v>
          </cell>
        </row>
        <row r="7">
          <cell r="G7">
            <v>668</v>
          </cell>
        </row>
        <row r="10">
          <cell r="G10">
            <v>145113</v>
          </cell>
        </row>
        <row r="16">
          <cell r="G16">
            <v>30338</v>
          </cell>
        </row>
        <row r="17">
          <cell r="G17">
            <v>11765</v>
          </cell>
        </row>
        <row r="18">
          <cell r="G18">
            <v>12</v>
          </cell>
        </row>
        <row r="19">
          <cell r="G19">
            <v>2200</v>
          </cell>
        </row>
        <row r="20">
          <cell r="G20">
            <v>2465</v>
          </cell>
        </row>
        <row r="21">
          <cell r="G21">
            <v>169</v>
          </cell>
        </row>
        <row r="27">
          <cell r="G27">
            <v>29254.93976194174</v>
          </cell>
        </row>
        <row r="28">
          <cell r="G28">
            <v>2590.3526269775002</v>
          </cell>
        </row>
        <row r="32">
          <cell r="D32">
            <v>1653151</v>
          </cell>
        </row>
        <row r="33">
          <cell r="D33">
            <v>626851</v>
          </cell>
        </row>
      </sheetData>
      <sheetData sheetId="1"/>
      <sheetData sheetId="2"/>
      <sheetData sheetId="3"/>
      <sheetData sheetId="4"/>
      <sheetData sheetId="5">
        <row r="22">
          <cell r="B22">
            <v>124840</v>
          </cell>
          <cell r="C22">
            <v>126281</v>
          </cell>
          <cell r="L22">
            <v>1121168</v>
          </cell>
          <cell r="M22">
            <v>1140465</v>
          </cell>
        </row>
      </sheetData>
      <sheetData sheetId="6"/>
      <sheetData sheetId="7">
        <row r="5">
          <cell r="I5">
            <v>15746.455949403411</v>
          </cell>
        </row>
        <row r="6">
          <cell r="I6">
            <v>1369.6815818154701</v>
          </cell>
        </row>
        <row r="10">
          <cell r="I10">
            <v>13508.483812538328</v>
          </cell>
        </row>
        <row r="11">
          <cell r="I11">
            <v>1220.6710451620299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29254.93976194174</v>
          </cell>
        </row>
        <row r="21">
          <cell r="I21">
            <v>2590.3526269775002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HR19">
            <v>0</v>
          </cell>
          <cell r="HS19">
            <v>0</v>
          </cell>
          <cell r="HT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</row>
      </sheetData>
      <sheetData sheetId="3"/>
      <sheetData sheetId="4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5">
        <row r="4">
          <cell r="IH4">
            <v>63</v>
          </cell>
        </row>
        <row r="5">
          <cell r="IH5">
            <v>63</v>
          </cell>
        </row>
        <row r="19">
          <cell r="HR19">
            <v>82</v>
          </cell>
          <cell r="HS19">
            <v>94</v>
          </cell>
          <cell r="HT19">
            <v>116</v>
          </cell>
          <cell r="IF19">
            <v>74</v>
          </cell>
          <cell r="IG19">
            <v>88</v>
          </cell>
          <cell r="IH19">
            <v>126</v>
          </cell>
        </row>
        <row r="22">
          <cell r="IH22">
            <v>9487</v>
          </cell>
        </row>
        <row r="23">
          <cell r="IH23">
            <v>10041</v>
          </cell>
        </row>
        <row r="41">
          <cell r="HR41">
            <v>8054</v>
          </cell>
          <cell r="HS41">
            <v>11264</v>
          </cell>
          <cell r="HT41">
            <v>17318</v>
          </cell>
          <cell r="IF41">
            <v>11477</v>
          </cell>
          <cell r="IG41">
            <v>13427</v>
          </cell>
          <cell r="IH41">
            <v>19528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6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7">
        <row r="4">
          <cell r="IH4">
            <v>54</v>
          </cell>
        </row>
        <row r="5">
          <cell r="IH5">
            <v>55</v>
          </cell>
        </row>
        <row r="19">
          <cell r="HR19">
            <v>72</v>
          </cell>
          <cell r="HS19">
            <v>116</v>
          </cell>
          <cell r="HT19">
            <v>123</v>
          </cell>
          <cell r="IF19">
            <v>98</v>
          </cell>
          <cell r="IG19">
            <v>92</v>
          </cell>
          <cell r="IH19">
            <v>109</v>
          </cell>
        </row>
        <row r="22">
          <cell r="IH22">
            <v>8120</v>
          </cell>
        </row>
        <row r="23">
          <cell r="IH23">
            <v>8131</v>
          </cell>
        </row>
        <row r="27">
          <cell r="IH27">
            <v>328</v>
          </cell>
        </row>
        <row r="28">
          <cell r="IH28">
            <v>332</v>
          </cell>
        </row>
        <row r="41">
          <cell r="HR41">
            <v>7669</v>
          </cell>
          <cell r="HS41">
            <v>13151</v>
          </cell>
          <cell r="HT41">
            <v>17093</v>
          </cell>
          <cell r="IF41">
            <v>12852</v>
          </cell>
          <cell r="IG41">
            <v>12396</v>
          </cell>
          <cell r="IH41">
            <v>16251</v>
          </cell>
        </row>
        <row r="47">
          <cell r="IH47">
            <v>23343</v>
          </cell>
        </row>
        <row r="52">
          <cell r="IH52">
            <v>16006</v>
          </cell>
        </row>
        <row r="64">
          <cell r="HR64">
            <v>8706</v>
          </cell>
          <cell r="HS64">
            <v>17136</v>
          </cell>
          <cell r="HT64">
            <v>28827</v>
          </cell>
          <cell r="IF64">
            <v>18689</v>
          </cell>
          <cell r="IG64">
            <v>15493</v>
          </cell>
          <cell r="IH64">
            <v>39349</v>
          </cell>
        </row>
      </sheetData>
      <sheetData sheetId="8"/>
      <sheetData sheetId="9">
        <row r="4">
          <cell r="IH4">
            <v>349</v>
          </cell>
        </row>
        <row r="5">
          <cell r="IH5">
            <v>351</v>
          </cell>
        </row>
        <row r="19">
          <cell r="HR19">
            <v>561</v>
          </cell>
          <cell r="HS19">
            <v>497</v>
          </cell>
          <cell r="HT19">
            <v>642</v>
          </cell>
          <cell r="IF19">
            <v>619</v>
          </cell>
          <cell r="IG19">
            <v>606</v>
          </cell>
          <cell r="IH19">
            <v>700</v>
          </cell>
        </row>
        <row r="22">
          <cell r="IH22">
            <v>54115</v>
          </cell>
        </row>
        <row r="23">
          <cell r="IH23">
            <v>54425</v>
          </cell>
        </row>
        <row r="27">
          <cell r="IH27">
            <v>1604</v>
          </cell>
        </row>
        <row r="28">
          <cell r="IH28">
            <v>1689</v>
          </cell>
        </row>
        <row r="41">
          <cell r="HR41">
            <v>71394</v>
          </cell>
          <cell r="HS41">
            <v>72168</v>
          </cell>
          <cell r="HT41">
            <v>98352</v>
          </cell>
          <cell r="IF41">
            <v>87452</v>
          </cell>
          <cell r="IG41">
            <v>86621</v>
          </cell>
          <cell r="IH41">
            <v>108540</v>
          </cell>
        </row>
        <row r="47">
          <cell r="IH47">
            <v>33330</v>
          </cell>
        </row>
        <row r="48">
          <cell r="IH48">
            <v>24521</v>
          </cell>
        </row>
        <row r="52">
          <cell r="IH52">
            <v>3531</v>
          </cell>
        </row>
        <row r="53">
          <cell r="IH53">
            <v>499</v>
          </cell>
        </row>
        <row r="64">
          <cell r="HR64">
            <v>177370</v>
          </cell>
          <cell r="HS64">
            <v>130511</v>
          </cell>
          <cell r="HT64">
            <v>127334</v>
          </cell>
          <cell r="IF64">
            <v>57420</v>
          </cell>
          <cell r="IG64">
            <v>41792</v>
          </cell>
          <cell r="IH64">
            <v>61881</v>
          </cell>
        </row>
      </sheetData>
      <sheetData sheetId="10"/>
      <sheetData sheetId="11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12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13">
        <row r="4">
          <cell r="IH4">
            <v>5465</v>
          </cell>
        </row>
        <row r="5">
          <cell r="IH5">
            <v>5438</v>
          </cell>
        </row>
        <row r="8">
          <cell r="IH8">
            <v>10</v>
          </cell>
        </row>
        <row r="9">
          <cell r="IH9">
            <v>13</v>
          </cell>
        </row>
        <row r="15">
          <cell r="IF15">
            <v>547</v>
          </cell>
          <cell r="IG15">
            <v>487</v>
          </cell>
          <cell r="IH15">
            <v>597</v>
          </cell>
        </row>
        <row r="16">
          <cell r="IF16">
            <v>557</v>
          </cell>
          <cell r="IG16">
            <v>487</v>
          </cell>
          <cell r="IH16">
            <v>598</v>
          </cell>
        </row>
        <row r="19">
          <cell r="HR19">
            <v>9542</v>
          </cell>
          <cell r="HS19">
            <v>8687</v>
          </cell>
          <cell r="HT19">
            <v>10349</v>
          </cell>
          <cell r="IF19">
            <v>10531</v>
          </cell>
          <cell r="IG19">
            <v>9647</v>
          </cell>
          <cell r="IH19">
            <v>12121</v>
          </cell>
        </row>
        <row r="22">
          <cell r="IH22">
            <v>753653</v>
          </cell>
        </row>
        <row r="23">
          <cell r="IH23">
            <v>763872</v>
          </cell>
        </row>
        <row r="27">
          <cell r="IH27">
            <v>25038</v>
          </cell>
        </row>
        <row r="28">
          <cell r="IH28">
            <v>24753</v>
          </cell>
        </row>
        <row r="32">
          <cell r="IF32">
            <v>88572</v>
          </cell>
          <cell r="IG32">
            <v>76521</v>
          </cell>
          <cell r="IH32">
            <v>100578</v>
          </cell>
        </row>
        <row r="33">
          <cell r="IF33">
            <v>86065</v>
          </cell>
          <cell r="IG33">
            <v>76102</v>
          </cell>
          <cell r="IH33">
            <v>102362</v>
          </cell>
        </row>
        <row r="37">
          <cell r="IF37">
            <v>2550</v>
          </cell>
          <cell r="IG37">
            <v>2244</v>
          </cell>
          <cell r="IH37">
            <v>2346</v>
          </cell>
        </row>
        <row r="38">
          <cell r="IF38">
            <v>2234</v>
          </cell>
          <cell r="IG38">
            <v>2552</v>
          </cell>
          <cell r="IH38">
            <v>2712</v>
          </cell>
        </row>
        <row r="41">
          <cell r="HR41">
            <v>1105204</v>
          </cell>
          <cell r="HS41">
            <v>1137251</v>
          </cell>
          <cell r="HT41">
            <v>1514765</v>
          </cell>
          <cell r="IF41">
            <v>1377931</v>
          </cell>
          <cell r="IG41">
            <v>1260770</v>
          </cell>
          <cell r="IH41">
            <v>1720465</v>
          </cell>
        </row>
        <row r="47">
          <cell r="IH47">
            <v>3091832</v>
          </cell>
        </row>
        <row r="48">
          <cell r="IH48">
            <v>794775</v>
          </cell>
        </row>
        <row r="52">
          <cell r="IH52">
            <v>1871975</v>
          </cell>
        </row>
        <row r="53">
          <cell r="IH53">
            <v>1128274</v>
          </cell>
        </row>
        <row r="64">
          <cell r="HR64">
            <v>4786988</v>
          </cell>
          <cell r="HS64">
            <v>5419387</v>
          </cell>
          <cell r="HT64">
            <v>5695280</v>
          </cell>
          <cell r="IF64">
            <v>5984086</v>
          </cell>
          <cell r="IG64">
            <v>5343852</v>
          </cell>
          <cell r="IH64">
            <v>6886856</v>
          </cell>
        </row>
        <row r="70">
          <cell r="IH70">
            <v>506098</v>
          </cell>
        </row>
        <row r="71">
          <cell r="IH71">
            <v>257774</v>
          </cell>
        </row>
        <row r="73">
          <cell r="IH73">
            <v>67819</v>
          </cell>
        </row>
        <row r="74">
          <cell r="IH74">
            <v>34543</v>
          </cell>
        </row>
      </sheetData>
      <sheetData sheetId="14">
        <row r="4">
          <cell r="IH4">
            <v>80</v>
          </cell>
        </row>
        <row r="5">
          <cell r="IH5">
            <v>80</v>
          </cell>
        </row>
        <row r="19">
          <cell r="HR19">
            <v>164</v>
          </cell>
          <cell r="HS19">
            <v>140</v>
          </cell>
          <cell r="HT19">
            <v>164</v>
          </cell>
          <cell r="IF19">
            <v>160</v>
          </cell>
          <cell r="IG19">
            <v>136</v>
          </cell>
          <cell r="IH19">
            <v>160</v>
          </cell>
        </row>
        <row r="22">
          <cell r="IH22">
            <v>764</v>
          </cell>
        </row>
        <row r="23">
          <cell r="IH23">
            <v>789</v>
          </cell>
        </row>
        <row r="27">
          <cell r="IH27">
            <v>15</v>
          </cell>
        </row>
        <row r="28">
          <cell r="IH28">
            <v>33</v>
          </cell>
        </row>
        <row r="41">
          <cell r="HR41">
            <v>1348</v>
          </cell>
          <cell r="HS41">
            <v>1311</v>
          </cell>
          <cell r="HT41">
            <v>1706</v>
          </cell>
          <cell r="IF41">
            <v>1483</v>
          </cell>
          <cell r="IG41">
            <v>1203</v>
          </cell>
          <cell r="IH41">
            <v>1553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15">
        <row r="4">
          <cell r="IH4">
            <v>67</v>
          </cell>
        </row>
        <row r="5">
          <cell r="IH5">
            <v>67</v>
          </cell>
        </row>
        <row r="19">
          <cell r="HR19">
            <v>170</v>
          </cell>
          <cell r="HS19">
            <v>159</v>
          </cell>
          <cell r="HT19">
            <v>182</v>
          </cell>
          <cell r="IF19">
            <v>94</v>
          </cell>
          <cell r="IG19">
            <v>94</v>
          </cell>
          <cell r="IH19">
            <v>134</v>
          </cell>
        </row>
        <row r="22">
          <cell r="IH22">
            <v>11948</v>
          </cell>
        </row>
        <row r="23">
          <cell r="IH23">
            <v>11303</v>
          </cell>
        </row>
        <row r="27">
          <cell r="IH27">
            <v>77</v>
          </cell>
        </row>
        <row r="28">
          <cell r="IH28">
            <v>66</v>
          </cell>
        </row>
        <row r="41">
          <cell r="HR41">
            <v>18270</v>
          </cell>
          <cell r="HS41">
            <v>19192</v>
          </cell>
          <cell r="HT41">
            <v>29547</v>
          </cell>
          <cell r="IF41">
            <v>14510</v>
          </cell>
          <cell r="IG41">
            <v>15078</v>
          </cell>
          <cell r="IH41">
            <v>23251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16">
        <row r="15">
          <cell r="IF15">
            <v>3</v>
          </cell>
          <cell r="IH15">
            <v>6</v>
          </cell>
        </row>
        <row r="16">
          <cell r="IF16">
            <v>3</v>
          </cell>
          <cell r="IH16">
            <v>6</v>
          </cell>
        </row>
        <row r="19">
          <cell r="HR19">
            <v>0</v>
          </cell>
          <cell r="HS19">
            <v>0</v>
          </cell>
          <cell r="HT19">
            <v>0</v>
          </cell>
          <cell r="IF19">
            <v>6</v>
          </cell>
          <cell r="IG19">
            <v>0</v>
          </cell>
          <cell r="IH19">
            <v>12</v>
          </cell>
        </row>
        <row r="32">
          <cell r="IF32">
            <v>457</v>
          </cell>
          <cell r="IH32">
            <v>516</v>
          </cell>
        </row>
        <row r="33">
          <cell r="IF33">
            <v>274</v>
          </cell>
          <cell r="IH33">
            <v>907</v>
          </cell>
        </row>
        <row r="37">
          <cell r="IH37">
            <v>14</v>
          </cell>
        </row>
        <row r="38">
          <cell r="IF38">
            <v>10</v>
          </cell>
          <cell r="IH38">
            <v>4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731</v>
          </cell>
          <cell r="IG41">
            <v>0</v>
          </cell>
          <cell r="IH41">
            <v>1423</v>
          </cell>
        </row>
        <row r="47">
          <cell r="IH47">
            <v>13</v>
          </cell>
        </row>
        <row r="52">
          <cell r="IH52">
            <v>58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337</v>
          </cell>
          <cell r="IG64">
            <v>0</v>
          </cell>
          <cell r="IH64">
            <v>71</v>
          </cell>
        </row>
      </sheetData>
      <sheetData sheetId="17">
        <row r="4">
          <cell r="IH4">
            <v>45</v>
          </cell>
        </row>
        <row r="5">
          <cell r="IH5">
            <v>45</v>
          </cell>
        </row>
        <row r="19">
          <cell r="HR19">
            <v>96</v>
          </cell>
          <cell r="HS19">
            <v>104</v>
          </cell>
          <cell r="HT19">
            <v>120</v>
          </cell>
          <cell r="IF19">
            <v>124</v>
          </cell>
          <cell r="IG19">
            <v>144</v>
          </cell>
          <cell r="IH19">
            <v>90</v>
          </cell>
        </row>
        <row r="22">
          <cell r="IH22">
            <v>3917</v>
          </cell>
        </row>
        <row r="23">
          <cell r="IH23">
            <v>3749</v>
          </cell>
        </row>
        <row r="27">
          <cell r="IH27">
            <v>109</v>
          </cell>
        </row>
        <row r="28">
          <cell r="IH28">
            <v>111</v>
          </cell>
        </row>
        <row r="41">
          <cell r="HR41">
            <v>3762</v>
          </cell>
          <cell r="HS41">
            <v>4525</v>
          </cell>
          <cell r="HT41">
            <v>9958</v>
          </cell>
          <cell r="IF41">
            <v>8815</v>
          </cell>
          <cell r="IG41">
            <v>9129</v>
          </cell>
          <cell r="IH41">
            <v>7666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18">
        <row r="15">
          <cell r="IF15">
            <v>17</v>
          </cell>
          <cell r="IG15">
            <v>15</v>
          </cell>
          <cell r="IH15">
            <v>18</v>
          </cell>
        </row>
        <row r="16">
          <cell r="IF16">
            <v>17</v>
          </cell>
          <cell r="IG16">
            <v>15</v>
          </cell>
          <cell r="IH16">
            <v>18</v>
          </cell>
        </row>
        <row r="19">
          <cell r="HR19">
            <v>28</v>
          </cell>
          <cell r="HS19">
            <v>22</v>
          </cell>
          <cell r="HT19">
            <v>28</v>
          </cell>
          <cell r="IF19">
            <v>34</v>
          </cell>
          <cell r="IG19">
            <v>30</v>
          </cell>
          <cell r="IH19">
            <v>36</v>
          </cell>
        </row>
        <row r="32">
          <cell r="IF32">
            <v>3775</v>
          </cell>
          <cell r="IG32">
            <v>2550</v>
          </cell>
          <cell r="IH32">
            <v>4441</v>
          </cell>
        </row>
        <row r="33">
          <cell r="IF33">
            <v>2893</v>
          </cell>
          <cell r="IG33">
            <v>1973</v>
          </cell>
          <cell r="IH33">
            <v>3919</v>
          </cell>
        </row>
        <row r="37">
          <cell r="IF37">
            <v>6</v>
          </cell>
          <cell r="IG37">
            <v>7</v>
          </cell>
          <cell r="IH37">
            <v>8</v>
          </cell>
        </row>
        <row r="38">
          <cell r="IF38">
            <v>3</v>
          </cell>
        </row>
        <row r="41">
          <cell r="HR41">
            <v>4474</v>
          </cell>
          <cell r="HS41">
            <v>2835</v>
          </cell>
          <cell r="HT41">
            <v>5729</v>
          </cell>
          <cell r="IF41">
            <v>6668</v>
          </cell>
          <cell r="IG41">
            <v>4523</v>
          </cell>
          <cell r="IH41">
            <v>8360</v>
          </cell>
        </row>
        <row r="47">
          <cell r="IH47">
            <v>329597</v>
          </cell>
        </row>
        <row r="52">
          <cell r="IH52">
            <v>120539</v>
          </cell>
        </row>
        <row r="64">
          <cell r="HR64">
            <v>527865</v>
          </cell>
          <cell r="HS64">
            <v>276838</v>
          </cell>
          <cell r="HT64">
            <v>875327</v>
          </cell>
          <cell r="IF64">
            <v>602670</v>
          </cell>
          <cell r="IG64">
            <v>550238</v>
          </cell>
          <cell r="IH64">
            <v>450136</v>
          </cell>
        </row>
      </sheetData>
      <sheetData sheetId="19"/>
      <sheetData sheetId="20"/>
      <sheetData sheetId="21"/>
      <sheetData sheetId="22">
        <row r="4">
          <cell r="IH4">
            <v>579</v>
          </cell>
        </row>
        <row r="5">
          <cell r="IH5">
            <v>582</v>
          </cell>
        </row>
        <row r="19">
          <cell r="HR19">
            <v>641</v>
          </cell>
          <cell r="HS19">
            <v>604</v>
          </cell>
          <cell r="HT19">
            <v>786</v>
          </cell>
          <cell r="IF19">
            <v>908</v>
          </cell>
          <cell r="IG19">
            <v>809</v>
          </cell>
          <cell r="IH19">
            <v>1161</v>
          </cell>
        </row>
        <row r="22">
          <cell r="IH22">
            <v>66128</v>
          </cell>
        </row>
        <row r="23">
          <cell r="IH23">
            <v>68586</v>
          </cell>
        </row>
        <row r="27">
          <cell r="IH27">
            <v>1532</v>
          </cell>
        </row>
        <row r="28">
          <cell r="IH28">
            <v>1429</v>
          </cell>
        </row>
        <row r="41">
          <cell r="HR41">
            <v>67384</v>
          </cell>
          <cell r="HS41">
            <v>67824</v>
          </cell>
          <cell r="HT41">
            <v>102240</v>
          </cell>
          <cell r="IF41">
            <v>88624</v>
          </cell>
          <cell r="IG41">
            <v>86175</v>
          </cell>
          <cell r="IH41">
            <v>134714</v>
          </cell>
        </row>
        <row r="47">
          <cell r="IH47">
            <v>208935</v>
          </cell>
        </row>
        <row r="52">
          <cell r="IH52">
            <v>43218</v>
          </cell>
        </row>
        <row r="64">
          <cell r="HR64">
            <v>192369</v>
          </cell>
          <cell r="HS64">
            <v>181835</v>
          </cell>
          <cell r="HT64">
            <v>217073</v>
          </cell>
          <cell r="IF64">
            <v>176647</v>
          </cell>
          <cell r="IG64">
            <v>163960</v>
          </cell>
          <cell r="IH64">
            <v>252153</v>
          </cell>
        </row>
        <row r="70">
          <cell r="IH70">
            <v>68301</v>
          </cell>
        </row>
        <row r="71">
          <cell r="IH71">
            <v>285</v>
          </cell>
        </row>
      </sheetData>
      <sheetData sheetId="23">
        <row r="4">
          <cell r="IH4">
            <v>169</v>
          </cell>
        </row>
        <row r="5">
          <cell r="IH5">
            <v>169</v>
          </cell>
        </row>
        <row r="19">
          <cell r="HR19">
            <v>291</v>
          </cell>
          <cell r="HS19">
            <v>318</v>
          </cell>
          <cell r="HT19">
            <v>440</v>
          </cell>
          <cell r="IF19">
            <v>381</v>
          </cell>
          <cell r="IG19">
            <v>324</v>
          </cell>
          <cell r="IH19">
            <v>338</v>
          </cell>
        </row>
        <row r="22">
          <cell r="IH22">
            <v>27410</v>
          </cell>
        </row>
        <row r="23">
          <cell r="IH23">
            <v>28748</v>
          </cell>
        </row>
        <row r="27">
          <cell r="IH27">
            <v>138</v>
          </cell>
        </row>
        <row r="28">
          <cell r="IH28">
            <v>177</v>
          </cell>
        </row>
        <row r="41">
          <cell r="HR41">
            <v>37272</v>
          </cell>
          <cell r="HS41">
            <v>46423</v>
          </cell>
          <cell r="HT41">
            <v>70901</v>
          </cell>
          <cell r="IF41">
            <v>42939</v>
          </cell>
          <cell r="IG41">
            <v>43876</v>
          </cell>
          <cell r="IH41">
            <v>56158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24">
        <row r="4">
          <cell r="IH4">
            <v>818</v>
          </cell>
        </row>
        <row r="5">
          <cell r="IH5">
            <v>824</v>
          </cell>
        </row>
        <row r="8">
          <cell r="IH8">
            <v>55</v>
          </cell>
        </row>
        <row r="9">
          <cell r="IH9">
            <v>55</v>
          </cell>
        </row>
        <row r="15">
          <cell r="IF15">
            <v>170</v>
          </cell>
          <cell r="IG15">
            <v>232</v>
          </cell>
          <cell r="IH15">
            <v>316</v>
          </cell>
        </row>
        <row r="16">
          <cell r="IF16">
            <v>170</v>
          </cell>
          <cell r="IG16">
            <v>232</v>
          </cell>
          <cell r="IH16">
            <v>316</v>
          </cell>
        </row>
        <row r="19">
          <cell r="HR19">
            <v>1843</v>
          </cell>
          <cell r="HS19">
            <v>2009</v>
          </cell>
          <cell r="HT19">
            <v>2334</v>
          </cell>
          <cell r="IF19">
            <v>1792</v>
          </cell>
          <cell r="IG19">
            <v>2040</v>
          </cell>
          <cell r="IH19">
            <v>2384</v>
          </cell>
        </row>
        <row r="22">
          <cell r="IH22">
            <v>133360</v>
          </cell>
        </row>
        <row r="23">
          <cell r="IH23">
            <v>135187</v>
          </cell>
        </row>
        <row r="27">
          <cell r="IH27">
            <v>2471</v>
          </cell>
        </row>
        <row r="28">
          <cell r="IH28">
            <v>2673</v>
          </cell>
        </row>
        <row r="32">
          <cell r="IF32">
            <v>26499</v>
          </cell>
          <cell r="IG32">
            <v>36136</v>
          </cell>
          <cell r="IH32">
            <v>51594</v>
          </cell>
        </row>
        <row r="33">
          <cell r="IF33">
            <v>27098</v>
          </cell>
          <cell r="IG33">
            <v>38646</v>
          </cell>
          <cell r="IH33">
            <v>50993</v>
          </cell>
        </row>
        <row r="37">
          <cell r="IF37">
            <v>375</v>
          </cell>
          <cell r="IG37">
            <v>441</v>
          </cell>
          <cell r="IH37">
            <v>550</v>
          </cell>
        </row>
        <row r="38">
          <cell r="IF38">
            <v>389</v>
          </cell>
          <cell r="IG38">
            <v>478</v>
          </cell>
          <cell r="IH38">
            <v>645</v>
          </cell>
        </row>
        <row r="41">
          <cell r="HR41">
            <v>228057</v>
          </cell>
          <cell r="HS41">
            <v>274421</v>
          </cell>
          <cell r="HT41">
            <v>360612</v>
          </cell>
          <cell r="IF41">
            <v>253235</v>
          </cell>
          <cell r="IG41">
            <v>304833</v>
          </cell>
          <cell r="IH41">
            <v>371134</v>
          </cell>
        </row>
        <row r="48">
          <cell r="IH48">
            <v>116</v>
          </cell>
        </row>
        <row r="53">
          <cell r="IH53">
            <v>1159</v>
          </cell>
        </row>
        <row r="64">
          <cell r="HR64">
            <v>324080</v>
          </cell>
          <cell r="HS64">
            <v>113145</v>
          </cell>
          <cell r="HT64">
            <v>235589</v>
          </cell>
          <cell r="IF64">
            <v>40217</v>
          </cell>
          <cell r="IG64">
            <v>20284</v>
          </cell>
          <cell r="IH64">
            <v>1275</v>
          </cell>
        </row>
        <row r="70">
          <cell r="IH70">
            <v>135187</v>
          </cell>
        </row>
        <row r="73">
          <cell r="IH73">
            <v>50993</v>
          </cell>
        </row>
      </sheetData>
      <sheetData sheetId="25"/>
      <sheetData sheetId="26"/>
      <sheetData sheetId="27">
        <row r="4">
          <cell r="IH4">
            <v>408</v>
          </cell>
        </row>
        <row r="5">
          <cell r="IH5">
            <v>413</v>
          </cell>
        </row>
        <row r="8">
          <cell r="IH8">
            <v>2</v>
          </cell>
        </row>
        <row r="9">
          <cell r="IH9">
            <v>2</v>
          </cell>
        </row>
        <row r="19">
          <cell r="HR19">
            <v>527</v>
          </cell>
          <cell r="HS19">
            <v>526</v>
          </cell>
          <cell r="HT19">
            <v>625</v>
          </cell>
          <cell r="IF19">
            <v>780</v>
          </cell>
          <cell r="IG19">
            <v>727</v>
          </cell>
          <cell r="IH19">
            <v>825</v>
          </cell>
        </row>
        <row r="22">
          <cell r="IH22">
            <v>58128</v>
          </cell>
        </row>
        <row r="23">
          <cell r="IH23">
            <v>57760</v>
          </cell>
        </row>
        <row r="27">
          <cell r="IH27">
            <v>1675</v>
          </cell>
        </row>
        <row r="28">
          <cell r="IH28">
            <v>1887</v>
          </cell>
        </row>
        <row r="41">
          <cell r="HR41">
            <v>57743</v>
          </cell>
          <cell r="HS41">
            <v>61710</v>
          </cell>
          <cell r="HT41">
            <v>85329</v>
          </cell>
          <cell r="IF41">
            <v>103573</v>
          </cell>
          <cell r="IG41">
            <v>93297</v>
          </cell>
          <cell r="IH41">
            <v>115888</v>
          </cell>
        </row>
        <row r="47">
          <cell r="IH47">
            <v>41020</v>
          </cell>
        </row>
        <row r="48">
          <cell r="IH48">
            <v>31434</v>
          </cell>
        </row>
        <row r="52">
          <cell r="IH52">
            <v>3521</v>
          </cell>
        </row>
        <row r="53">
          <cell r="IH53">
            <v>7753</v>
          </cell>
        </row>
        <row r="64">
          <cell r="HR64">
            <v>89966</v>
          </cell>
          <cell r="HS64">
            <v>104017</v>
          </cell>
          <cell r="HT64">
            <v>84111</v>
          </cell>
          <cell r="IF64">
            <v>132692</v>
          </cell>
          <cell r="IG64">
            <v>72710</v>
          </cell>
          <cell r="IH64">
            <v>83728</v>
          </cell>
        </row>
      </sheetData>
      <sheetData sheetId="28"/>
      <sheetData sheetId="29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30">
        <row r="4">
          <cell r="IH4">
            <v>1</v>
          </cell>
        </row>
        <row r="5">
          <cell r="IH5">
            <v>1</v>
          </cell>
        </row>
        <row r="19">
          <cell r="HR19">
            <v>66</v>
          </cell>
          <cell r="HS19">
            <v>30</v>
          </cell>
          <cell r="HT19">
            <v>12</v>
          </cell>
          <cell r="IF19">
            <v>109</v>
          </cell>
          <cell r="IG19">
            <v>10</v>
          </cell>
          <cell r="IH19">
            <v>2</v>
          </cell>
        </row>
        <row r="41">
          <cell r="HR41">
            <v>2289</v>
          </cell>
          <cell r="HS41">
            <v>1097</v>
          </cell>
          <cell r="HT41">
            <v>733</v>
          </cell>
          <cell r="IF41">
            <v>5174</v>
          </cell>
          <cell r="IG41">
            <v>285</v>
          </cell>
          <cell r="IH41">
            <v>0</v>
          </cell>
        </row>
        <row r="64">
          <cell r="HR64">
            <v>650</v>
          </cell>
          <cell r="HS64">
            <v>395</v>
          </cell>
          <cell r="HT64">
            <v>100</v>
          </cell>
          <cell r="IF64">
            <v>2228</v>
          </cell>
          <cell r="IG64">
            <v>700</v>
          </cell>
          <cell r="IH64">
            <v>0</v>
          </cell>
        </row>
      </sheetData>
      <sheetData sheetId="31">
        <row r="19">
          <cell r="HR19">
            <v>0</v>
          </cell>
          <cell r="HS19">
            <v>0</v>
          </cell>
          <cell r="HT19">
            <v>0</v>
          </cell>
          <cell r="IF19">
            <v>2</v>
          </cell>
          <cell r="IG19">
            <v>0</v>
          </cell>
          <cell r="IH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35</v>
          </cell>
          <cell r="IG41">
            <v>0</v>
          </cell>
          <cell r="IH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32">
        <row r="19">
          <cell r="HR19">
            <v>4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273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549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33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34"/>
      <sheetData sheetId="35"/>
      <sheetData sheetId="36"/>
      <sheetData sheetId="37"/>
      <sheetData sheetId="38"/>
      <sheetData sheetId="39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40"/>
      <sheetData sheetId="41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42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43">
        <row r="4">
          <cell r="IH4">
            <v>3</v>
          </cell>
        </row>
        <row r="5">
          <cell r="IH5">
            <v>3</v>
          </cell>
        </row>
        <row r="19">
          <cell r="HR19">
            <v>76</v>
          </cell>
          <cell r="HS19">
            <v>28</v>
          </cell>
          <cell r="HT19">
            <v>12</v>
          </cell>
          <cell r="IF19">
            <v>16</v>
          </cell>
          <cell r="IG19">
            <v>10</v>
          </cell>
          <cell r="IH19">
            <v>6</v>
          </cell>
        </row>
        <row r="22">
          <cell r="IH22">
            <v>216</v>
          </cell>
        </row>
        <row r="23">
          <cell r="IH23">
            <v>223</v>
          </cell>
        </row>
        <row r="27">
          <cell r="IH27">
            <v>7</v>
          </cell>
        </row>
        <row r="28">
          <cell r="IH28">
            <v>4</v>
          </cell>
        </row>
        <row r="41">
          <cell r="HR41">
            <v>4722</v>
          </cell>
          <cell r="HS41">
            <v>1752</v>
          </cell>
          <cell r="HT41">
            <v>829</v>
          </cell>
          <cell r="IF41">
            <v>561</v>
          </cell>
          <cell r="IG41">
            <v>706</v>
          </cell>
          <cell r="IH41">
            <v>439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44">
        <row r="15">
          <cell r="IF15">
            <v>76</v>
          </cell>
          <cell r="IG15">
            <v>74</v>
          </cell>
          <cell r="IH15">
            <v>82</v>
          </cell>
        </row>
        <row r="16">
          <cell r="IF16">
            <v>5</v>
          </cell>
          <cell r="IG16">
            <v>76</v>
          </cell>
          <cell r="IH16">
            <v>82</v>
          </cell>
        </row>
        <row r="19">
          <cell r="HR19">
            <v>54</v>
          </cell>
          <cell r="HS19">
            <v>42</v>
          </cell>
          <cell r="HT19">
            <v>114</v>
          </cell>
          <cell r="IF19">
            <v>81</v>
          </cell>
          <cell r="IG19">
            <v>150</v>
          </cell>
          <cell r="IH19">
            <v>164</v>
          </cell>
        </row>
        <row r="32">
          <cell r="IF32">
            <v>3422</v>
          </cell>
          <cell r="IG32">
            <v>3030</v>
          </cell>
          <cell r="IH32">
            <v>4254</v>
          </cell>
        </row>
        <row r="33">
          <cell r="IF33">
            <v>3291</v>
          </cell>
          <cell r="IG33">
            <v>2722</v>
          </cell>
          <cell r="IH33">
            <v>4797</v>
          </cell>
        </row>
        <row r="37">
          <cell r="IF37">
            <v>62</v>
          </cell>
          <cell r="IG37">
            <v>65</v>
          </cell>
          <cell r="IH37">
            <v>46</v>
          </cell>
        </row>
        <row r="38">
          <cell r="IF38">
            <v>57</v>
          </cell>
          <cell r="IG38">
            <v>64</v>
          </cell>
          <cell r="IH38">
            <v>59</v>
          </cell>
        </row>
        <row r="41">
          <cell r="HR41">
            <v>1712</v>
          </cell>
          <cell r="HS41">
            <v>1304</v>
          </cell>
          <cell r="HT41">
            <v>4473</v>
          </cell>
          <cell r="IF41">
            <v>6713</v>
          </cell>
          <cell r="IG41">
            <v>5752</v>
          </cell>
          <cell r="IH41">
            <v>9051</v>
          </cell>
        </row>
        <row r="47">
          <cell r="IH47">
            <v>1430</v>
          </cell>
        </row>
        <row r="52">
          <cell r="IH52">
            <v>1450</v>
          </cell>
        </row>
        <row r="64">
          <cell r="HR64">
            <v>0</v>
          </cell>
          <cell r="HS64">
            <v>0</v>
          </cell>
          <cell r="HT64">
            <v>3272</v>
          </cell>
          <cell r="IF64">
            <v>2900</v>
          </cell>
          <cell r="IG64">
            <v>1750</v>
          </cell>
          <cell r="IH64">
            <v>2880</v>
          </cell>
        </row>
      </sheetData>
      <sheetData sheetId="45">
        <row r="4">
          <cell r="IH4">
            <v>31</v>
          </cell>
        </row>
        <row r="5">
          <cell r="IH5">
            <v>31</v>
          </cell>
        </row>
        <row r="19">
          <cell r="HR19">
            <v>150</v>
          </cell>
          <cell r="HS19">
            <v>165</v>
          </cell>
          <cell r="HT19">
            <v>65</v>
          </cell>
          <cell r="IF19">
            <v>6</v>
          </cell>
          <cell r="IG19">
            <v>36</v>
          </cell>
          <cell r="IH19">
            <v>62</v>
          </cell>
        </row>
        <row r="22">
          <cell r="IH22">
            <v>1993</v>
          </cell>
        </row>
        <row r="23">
          <cell r="IH23">
            <v>2168</v>
          </cell>
        </row>
        <row r="27">
          <cell r="IH27">
            <v>68</v>
          </cell>
        </row>
        <row r="28">
          <cell r="IH28">
            <v>69</v>
          </cell>
        </row>
        <row r="41">
          <cell r="HR41">
            <v>8779</v>
          </cell>
          <cell r="HS41">
            <v>10900</v>
          </cell>
          <cell r="HT41">
            <v>4655</v>
          </cell>
          <cell r="IF41">
            <v>416</v>
          </cell>
          <cell r="IG41">
            <v>2198</v>
          </cell>
          <cell r="IH41">
            <v>4161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46"/>
      <sheetData sheetId="47"/>
      <sheetData sheetId="48">
        <row r="4">
          <cell r="IH4">
            <v>723</v>
          </cell>
        </row>
        <row r="5">
          <cell r="IH5">
            <v>721</v>
          </cell>
        </row>
        <row r="9">
          <cell r="IH9">
            <v>1</v>
          </cell>
        </row>
        <row r="15">
          <cell r="IF15">
            <v>1</v>
          </cell>
          <cell r="IH15">
            <v>23</v>
          </cell>
        </row>
        <row r="16">
          <cell r="IF16">
            <v>1</v>
          </cell>
          <cell r="IH16">
            <v>23</v>
          </cell>
        </row>
        <row r="19">
          <cell r="HR19">
            <v>1941</v>
          </cell>
          <cell r="HS19">
            <v>1239</v>
          </cell>
          <cell r="HT19">
            <v>1904</v>
          </cell>
          <cell r="IF19">
            <v>1886</v>
          </cell>
          <cell r="IG19">
            <v>1048</v>
          </cell>
          <cell r="IH19">
            <v>1491</v>
          </cell>
        </row>
        <row r="22">
          <cell r="IH22">
            <v>43342</v>
          </cell>
        </row>
        <row r="23">
          <cell r="IH23">
            <v>43234</v>
          </cell>
        </row>
        <row r="27">
          <cell r="IH27">
            <v>1413</v>
          </cell>
        </row>
        <row r="28">
          <cell r="IH28">
            <v>1499</v>
          </cell>
        </row>
        <row r="32">
          <cell r="IH32">
            <v>1240</v>
          </cell>
        </row>
        <row r="33">
          <cell r="IH33">
            <v>1517</v>
          </cell>
        </row>
        <row r="37">
          <cell r="IH37">
            <v>20</v>
          </cell>
        </row>
        <row r="38">
          <cell r="IH38">
            <v>25</v>
          </cell>
        </row>
        <row r="41">
          <cell r="HR41">
            <v>75124</v>
          </cell>
          <cell r="HS41">
            <v>54113</v>
          </cell>
          <cell r="HT41">
            <v>93588</v>
          </cell>
          <cell r="IF41">
            <v>104952</v>
          </cell>
          <cell r="IG41">
            <v>56963</v>
          </cell>
          <cell r="IH41">
            <v>89333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  <row r="70">
          <cell r="IH70">
            <v>16467</v>
          </cell>
        </row>
        <row r="71">
          <cell r="IH71">
            <v>26767</v>
          </cell>
        </row>
        <row r="73">
          <cell r="IH73">
            <v>578</v>
          </cell>
        </row>
        <row r="74">
          <cell r="IH74">
            <v>939</v>
          </cell>
        </row>
      </sheetData>
      <sheetData sheetId="49">
        <row r="4">
          <cell r="IH4">
            <v>54</v>
          </cell>
        </row>
        <row r="5">
          <cell r="IH5">
            <v>54</v>
          </cell>
        </row>
        <row r="19">
          <cell r="HR19">
            <v>104</v>
          </cell>
          <cell r="HS19">
            <v>112</v>
          </cell>
          <cell r="HT19">
            <v>175</v>
          </cell>
          <cell r="IF19">
            <v>110</v>
          </cell>
          <cell r="IG19">
            <v>146</v>
          </cell>
          <cell r="IH19">
            <v>108</v>
          </cell>
        </row>
        <row r="22">
          <cell r="IH22">
            <v>2941</v>
          </cell>
        </row>
        <row r="23">
          <cell r="IH23">
            <v>3072</v>
          </cell>
        </row>
        <row r="27">
          <cell r="IH27">
            <v>57</v>
          </cell>
        </row>
        <row r="28">
          <cell r="IH28">
            <v>57</v>
          </cell>
        </row>
        <row r="41">
          <cell r="HR41">
            <v>4747</v>
          </cell>
          <cell r="HS41">
            <v>6184</v>
          </cell>
          <cell r="HT41">
            <v>11781</v>
          </cell>
          <cell r="IF41">
            <v>4990</v>
          </cell>
          <cell r="IG41">
            <v>7096</v>
          </cell>
          <cell r="IH41">
            <v>6013</v>
          </cell>
        </row>
        <row r="64">
          <cell r="HR64">
            <v>524</v>
          </cell>
          <cell r="HS64">
            <v>261</v>
          </cell>
          <cell r="HT64">
            <v>10</v>
          </cell>
          <cell r="IF64">
            <v>0</v>
          </cell>
          <cell r="IG64">
            <v>40</v>
          </cell>
          <cell r="IH64">
            <v>0</v>
          </cell>
        </row>
      </sheetData>
      <sheetData sheetId="50">
        <row r="4">
          <cell r="IH4">
            <v>154</v>
          </cell>
        </row>
        <row r="5">
          <cell r="IH5">
            <v>154</v>
          </cell>
        </row>
        <row r="19">
          <cell r="HR19">
            <v>170</v>
          </cell>
          <cell r="HS19">
            <v>166</v>
          </cell>
          <cell r="HT19">
            <v>182</v>
          </cell>
          <cell r="IF19">
            <v>158</v>
          </cell>
          <cell r="IG19">
            <v>164</v>
          </cell>
          <cell r="IH19">
            <v>308</v>
          </cell>
        </row>
        <row r="22">
          <cell r="IH22">
            <v>9406</v>
          </cell>
        </row>
        <row r="23">
          <cell r="IH23">
            <v>10390</v>
          </cell>
        </row>
        <row r="27">
          <cell r="IH27">
            <v>265</v>
          </cell>
        </row>
        <row r="28">
          <cell r="IH28">
            <v>265</v>
          </cell>
        </row>
        <row r="41">
          <cell r="HR41">
            <v>5118</v>
          </cell>
          <cell r="HS41">
            <v>6225</v>
          </cell>
          <cell r="HT41">
            <v>10981</v>
          </cell>
          <cell r="IF41">
            <v>7492</v>
          </cell>
          <cell r="IG41">
            <v>8539</v>
          </cell>
          <cell r="IH41">
            <v>19796</v>
          </cell>
        </row>
        <row r="47">
          <cell r="IH47">
            <v>4645</v>
          </cell>
        </row>
        <row r="64">
          <cell r="HR64">
            <v>0</v>
          </cell>
          <cell r="HS64">
            <v>0</v>
          </cell>
          <cell r="HT64">
            <v>339</v>
          </cell>
          <cell r="IF64">
            <v>1260</v>
          </cell>
          <cell r="IG64">
            <v>1962</v>
          </cell>
          <cell r="IH64">
            <v>4645</v>
          </cell>
        </row>
      </sheetData>
      <sheetData sheetId="51">
        <row r="4">
          <cell r="IH4">
            <v>47</v>
          </cell>
        </row>
        <row r="5">
          <cell r="IH5">
            <v>47</v>
          </cell>
        </row>
        <row r="19">
          <cell r="HR19">
            <v>77</v>
          </cell>
          <cell r="HS19">
            <v>111</v>
          </cell>
          <cell r="HT19">
            <v>217</v>
          </cell>
          <cell r="IF19">
            <v>84</v>
          </cell>
          <cell r="IG19">
            <v>84</v>
          </cell>
          <cell r="IH19">
            <v>94</v>
          </cell>
        </row>
        <row r="22">
          <cell r="IH22">
            <v>3081</v>
          </cell>
        </row>
        <row r="23">
          <cell r="IH23">
            <v>3161</v>
          </cell>
        </row>
        <row r="27">
          <cell r="IH27">
            <v>75</v>
          </cell>
        </row>
        <row r="28">
          <cell r="IH28">
            <v>84</v>
          </cell>
        </row>
        <row r="41">
          <cell r="HR41">
            <v>3915</v>
          </cell>
          <cell r="HS41">
            <v>5507</v>
          </cell>
          <cell r="HT41">
            <v>13573</v>
          </cell>
          <cell r="IF41">
            <v>5077</v>
          </cell>
          <cell r="IG41">
            <v>5036</v>
          </cell>
          <cell r="IH41">
            <v>6242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52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53">
        <row r="4">
          <cell r="IH4">
            <v>2061</v>
          </cell>
        </row>
        <row r="5">
          <cell r="IH5">
            <v>2043</v>
          </cell>
        </row>
        <row r="8">
          <cell r="IH8">
            <v>0</v>
          </cell>
        </row>
        <row r="9">
          <cell r="IH9">
            <v>5</v>
          </cell>
        </row>
        <row r="15">
          <cell r="IF15">
            <v>80</v>
          </cell>
          <cell r="IG15">
            <v>68</v>
          </cell>
          <cell r="IH15">
            <v>65</v>
          </cell>
        </row>
        <row r="16">
          <cell r="IF16">
            <v>81</v>
          </cell>
          <cell r="IG16">
            <v>67</v>
          </cell>
          <cell r="IH16">
            <v>63</v>
          </cell>
        </row>
        <row r="19">
          <cell r="HR19">
            <v>5239</v>
          </cell>
          <cell r="HS19">
            <v>5219</v>
          </cell>
          <cell r="HT19">
            <v>5781</v>
          </cell>
          <cell r="IF19">
            <v>3874</v>
          </cell>
          <cell r="IG19">
            <v>3791</v>
          </cell>
          <cell r="IH19">
            <v>4237</v>
          </cell>
        </row>
        <row r="22">
          <cell r="IH22">
            <v>109948</v>
          </cell>
        </row>
        <row r="23">
          <cell r="IH23">
            <v>112480</v>
          </cell>
        </row>
        <row r="27">
          <cell r="IH27">
            <v>3861</v>
          </cell>
        </row>
        <row r="28">
          <cell r="IH28">
            <v>3800</v>
          </cell>
        </row>
        <row r="32">
          <cell r="IF32">
            <v>3772</v>
          </cell>
          <cell r="IG32">
            <v>3491</v>
          </cell>
          <cell r="IH32">
            <v>3693</v>
          </cell>
        </row>
        <row r="33">
          <cell r="IF33">
            <v>3916</v>
          </cell>
          <cell r="IG33">
            <v>3325</v>
          </cell>
          <cell r="IH33">
            <v>4191</v>
          </cell>
        </row>
        <row r="37">
          <cell r="IF37">
            <v>96</v>
          </cell>
          <cell r="IG37">
            <v>84</v>
          </cell>
          <cell r="IH37">
            <v>69</v>
          </cell>
        </row>
        <row r="38">
          <cell r="IF38">
            <v>73</v>
          </cell>
          <cell r="IG38">
            <v>87</v>
          </cell>
          <cell r="IH38">
            <v>63</v>
          </cell>
        </row>
        <row r="41">
          <cell r="HR41">
            <v>209737</v>
          </cell>
          <cell r="HS41">
            <v>231038</v>
          </cell>
          <cell r="HT41">
            <v>293936</v>
          </cell>
          <cell r="IF41">
            <v>173193</v>
          </cell>
          <cell r="IG41">
            <v>171986</v>
          </cell>
          <cell r="IH41">
            <v>230312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  <row r="70">
          <cell r="IH70">
            <v>34609</v>
          </cell>
        </row>
        <row r="71">
          <cell r="IH71">
            <v>77871</v>
          </cell>
        </row>
        <row r="73">
          <cell r="IH73">
            <v>1290</v>
          </cell>
        </row>
        <row r="74">
          <cell r="IH74">
            <v>2901</v>
          </cell>
        </row>
      </sheetData>
      <sheetData sheetId="54"/>
      <sheetData sheetId="55">
        <row r="19">
          <cell r="HR19">
            <v>86</v>
          </cell>
          <cell r="HS19">
            <v>94</v>
          </cell>
          <cell r="HT19">
            <v>130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4301</v>
          </cell>
          <cell r="HS41">
            <v>5253</v>
          </cell>
          <cell r="HT41">
            <v>7522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17</v>
          </cell>
          <cell r="HS64">
            <v>808</v>
          </cell>
          <cell r="HT64">
            <v>611</v>
          </cell>
          <cell r="IF64">
            <v>0</v>
          </cell>
          <cell r="IG64">
            <v>0</v>
          </cell>
          <cell r="IH64">
            <v>0</v>
          </cell>
        </row>
      </sheetData>
      <sheetData sheetId="56">
        <row r="19">
          <cell r="HR19">
            <v>54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2767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4924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57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58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IF41">
            <v>0</v>
          </cell>
          <cell r="IG41">
            <v>0</v>
          </cell>
          <cell r="IH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59"/>
      <sheetData sheetId="60"/>
      <sheetData sheetId="61"/>
      <sheetData sheetId="62"/>
      <sheetData sheetId="63"/>
      <sheetData sheetId="64"/>
      <sheetData sheetId="65">
        <row r="15">
          <cell r="IG15">
            <v>2</v>
          </cell>
        </row>
        <row r="16">
          <cell r="IG16">
            <v>2</v>
          </cell>
        </row>
        <row r="32">
          <cell r="IG32">
            <v>216</v>
          </cell>
        </row>
        <row r="33">
          <cell r="IG33">
            <v>332</v>
          </cell>
        </row>
      </sheetData>
      <sheetData sheetId="66">
        <row r="15">
          <cell r="IF15">
            <v>1</v>
          </cell>
          <cell r="IG15">
            <v>1</v>
          </cell>
          <cell r="IH15">
            <v>1</v>
          </cell>
        </row>
        <row r="22">
          <cell r="IH22">
            <v>60</v>
          </cell>
        </row>
        <row r="32">
          <cell r="IF32">
            <v>65</v>
          </cell>
          <cell r="IG32">
            <v>55</v>
          </cell>
        </row>
      </sheetData>
      <sheetData sheetId="67">
        <row r="4">
          <cell r="IH4">
            <v>31</v>
          </cell>
        </row>
        <row r="5">
          <cell r="IH5">
            <v>31</v>
          </cell>
        </row>
        <row r="19">
          <cell r="HR19">
            <v>58</v>
          </cell>
          <cell r="HS19">
            <v>56</v>
          </cell>
          <cell r="HT19">
            <v>64</v>
          </cell>
          <cell r="IF19">
            <v>64</v>
          </cell>
          <cell r="IG19">
            <v>56</v>
          </cell>
          <cell r="IH19">
            <v>62</v>
          </cell>
        </row>
        <row r="47">
          <cell r="IH47">
            <v>1734935</v>
          </cell>
        </row>
        <row r="52">
          <cell r="IH52">
            <v>1474503</v>
          </cell>
        </row>
        <row r="64">
          <cell r="HR64">
            <v>3133988</v>
          </cell>
          <cell r="HS64">
            <v>2717180</v>
          </cell>
          <cell r="HT64">
            <v>2985762</v>
          </cell>
          <cell r="IF64">
            <v>2943114</v>
          </cell>
          <cell r="IG64">
            <v>2621020</v>
          </cell>
          <cell r="IH64">
            <v>3209438</v>
          </cell>
        </row>
      </sheetData>
      <sheetData sheetId="68">
        <row r="4">
          <cell r="IH4">
            <v>61</v>
          </cell>
        </row>
        <row r="5">
          <cell r="IH5">
            <v>63</v>
          </cell>
        </row>
        <row r="19">
          <cell r="HR19">
            <v>120</v>
          </cell>
          <cell r="HS19">
            <v>117</v>
          </cell>
          <cell r="HT19">
            <v>134</v>
          </cell>
          <cell r="IF19">
            <v>117</v>
          </cell>
          <cell r="IG19">
            <v>107</v>
          </cell>
          <cell r="IH19">
            <v>124</v>
          </cell>
        </row>
        <row r="47">
          <cell r="IH47">
            <v>1670860</v>
          </cell>
        </row>
        <row r="52">
          <cell r="IH52">
            <v>1229172</v>
          </cell>
        </row>
        <row r="64">
          <cell r="HR64">
            <v>3247875</v>
          </cell>
          <cell r="HS64">
            <v>2787652</v>
          </cell>
          <cell r="HT64">
            <v>3077392</v>
          </cell>
          <cell r="IF64">
            <v>2626710</v>
          </cell>
          <cell r="IG64">
            <v>2768902</v>
          </cell>
          <cell r="IH64">
            <v>2900032</v>
          </cell>
        </row>
      </sheetData>
      <sheetData sheetId="69">
        <row r="19">
          <cell r="HR19">
            <v>0</v>
          </cell>
          <cell r="HS19">
            <v>0</v>
          </cell>
          <cell r="HT19">
            <v>6</v>
          </cell>
          <cell r="IF19">
            <v>2</v>
          </cell>
          <cell r="IG19">
            <v>10</v>
          </cell>
          <cell r="IH19">
            <v>0</v>
          </cell>
        </row>
        <row r="64">
          <cell r="HR64">
            <v>0</v>
          </cell>
          <cell r="HS64">
            <v>0</v>
          </cell>
          <cell r="HT64">
            <v>169434</v>
          </cell>
          <cell r="IF64">
            <v>35948</v>
          </cell>
          <cell r="IG64">
            <v>237698</v>
          </cell>
          <cell r="IH64">
            <v>0</v>
          </cell>
        </row>
      </sheetData>
      <sheetData sheetId="70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2</v>
          </cell>
          <cell r="IH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51951</v>
          </cell>
          <cell r="IH64">
            <v>0</v>
          </cell>
        </row>
      </sheetData>
      <sheetData sheetId="71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72">
        <row r="19">
          <cell r="HR19">
            <v>0</v>
          </cell>
          <cell r="HS19">
            <v>0</v>
          </cell>
          <cell r="HT19">
            <v>0</v>
          </cell>
          <cell r="IF19">
            <v>32</v>
          </cell>
          <cell r="IG19">
            <v>22</v>
          </cell>
          <cell r="IH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843641</v>
          </cell>
          <cell r="IG64">
            <v>644220</v>
          </cell>
          <cell r="IH64">
            <v>0</v>
          </cell>
        </row>
      </sheetData>
      <sheetData sheetId="73">
        <row r="4">
          <cell r="IH4">
            <v>38</v>
          </cell>
        </row>
        <row r="5">
          <cell r="IH5">
            <v>38</v>
          </cell>
        </row>
        <row r="19">
          <cell r="HR19">
            <v>78</v>
          </cell>
          <cell r="HS19">
            <v>62</v>
          </cell>
          <cell r="HT19">
            <v>90</v>
          </cell>
          <cell r="IF19">
            <v>56</v>
          </cell>
          <cell r="IG19">
            <v>66</v>
          </cell>
          <cell r="IH19">
            <v>76</v>
          </cell>
        </row>
        <row r="47">
          <cell r="IH47">
            <v>48455</v>
          </cell>
        </row>
        <row r="52">
          <cell r="IH52">
            <v>58603</v>
          </cell>
        </row>
        <row r="64">
          <cell r="HR64">
            <v>116692</v>
          </cell>
          <cell r="HS64">
            <v>89616</v>
          </cell>
          <cell r="HT64">
            <v>132717</v>
          </cell>
          <cell r="IF64">
            <v>74018</v>
          </cell>
          <cell r="IG64">
            <v>92106</v>
          </cell>
          <cell r="IH64">
            <v>107058</v>
          </cell>
        </row>
      </sheetData>
      <sheetData sheetId="74">
        <row r="12">
          <cell r="IH12">
            <v>0</v>
          </cell>
        </row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75">
        <row r="19">
          <cell r="HR19">
            <v>0</v>
          </cell>
          <cell r="HS19">
            <v>2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64">
          <cell r="HR64">
            <v>0</v>
          </cell>
          <cell r="HS64">
            <v>43161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76">
        <row r="4">
          <cell r="IH4">
            <v>41</v>
          </cell>
        </row>
        <row r="5">
          <cell r="IH5">
            <v>41</v>
          </cell>
        </row>
        <row r="19">
          <cell r="HR19">
            <v>0</v>
          </cell>
          <cell r="HS19">
            <v>0</v>
          </cell>
          <cell r="HT19">
            <v>0</v>
          </cell>
          <cell r="IF19">
            <v>12</v>
          </cell>
          <cell r="IG19">
            <v>6</v>
          </cell>
          <cell r="IH19">
            <v>82</v>
          </cell>
        </row>
        <row r="47">
          <cell r="IH47">
            <v>874446</v>
          </cell>
        </row>
        <row r="52">
          <cell r="IH52">
            <v>495826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221384</v>
          </cell>
          <cell r="IG64">
            <v>87207</v>
          </cell>
          <cell r="IH64">
            <v>1370272</v>
          </cell>
        </row>
      </sheetData>
      <sheetData sheetId="77"/>
      <sheetData sheetId="78">
        <row r="4">
          <cell r="IH4">
            <v>4</v>
          </cell>
        </row>
        <row r="5">
          <cell r="IH5">
            <v>4</v>
          </cell>
        </row>
        <row r="19">
          <cell r="HR19">
            <v>64</v>
          </cell>
          <cell r="HS19">
            <v>46</v>
          </cell>
          <cell r="HT19">
            <v>70</v>
          </cell>
          <cell r="IF19">
            <v>14</v>
          </cell>
          <cell r="IG19">
            <v>4</v>
          </cell>
          <cell r="IH19">
            <v>8</v>
          </cell>
        </row>
        <row r="47">
          <cell r="IH47">
            <v>105669</v>
          </cell>
        </row>
        <row r="52">
          <cell r="IH52">
            <v>33512</v>
          </cell>
        </row>
        <row r="64">
          <cell r="HR64">
            <v>1328239</v>
          </cell>
          <cell r="HS64">
            <v>1157195</v>
          </cell>
          <cell r="HT64">
            <v>1508438</v>
          </cell>
          <cell r="IF64">
            <v>165251</v>
          </cell>
          <cell r="IG64">
            <v>77765</v>
          </cell>
          <cell r="IH64">
            <v>139181</v>
          </cell>
        </row>
      </sheetData>
      <sheetData sheetId="79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80"/>
      <sheetData sheetId="81">
        <row r="4">
          <cell r="IH4">
            <v>111</v>
          </cell>
        </row>
        <row r="5">
          <cell r="IH5">
            <v>111</v>
          </cell>
        </row>
        <row r="19">
          <cell r="HR19">
            <v>252</v>
          </cell>
          <cell r="HS19">
            <v>232</v>
          </cell>
          <cell r="HT19">
            <v>290</v>
          </cell>
          <cell r="IF19">
            <v>180</v>
          </cell>
          <cell r="IG19">
            <v>186</v>
          </cell>
          <cell r="IH19">
            <v>222</v>
          </cell>
        </row>
        <row r="47">
          <cell r="IH47">
            <v>6979641</v>
          </cell>
        </row>
        <row r="52">
          <cell r="IH52">
            <v>6752753</v>
          </cell>
        </row>
        <row r="64">
          <cell r="HR64">
            <v>13200492</v>
          </cell>
          <cell r="HS64">
            <v>13409370</v>
          </cell>
          <cell r="HT64">
            <v>16384794</v>
          </cell>
          <cell r="IF64">
            <v>12282155</v>
          </cell>
          <cell r="IG64">
            <v>11101540</v>
          </cell>
          <cell r="IH64">
            <v>13732394</v>
          </cell>
        </row>
      </sheetData>
      <sheetData sheetId="82">
        <row r="4">
          <cell r="IH4">
            <v>23</v>
          </cell>
        </row>
        <row r="5">
          <cell r="IH5">
            <v>23</v>
          </cell>
        </row>
        <row r="19">
          <cell r="HR19">
            <v>34</v>
          </cell>
          <cell r="HS19">
            <v>40</v>
          </cell>
          <cell r="HT19">
            <v>44</v>
          </cell>
          <cell r="IF19">
            <v>36</v>
          </cell>
          <cell r="IG19">
            <v>38</v>
          </cell>
          <cell r="IH19">
            <v>46</v>
          </cell>
        </row>
        <row r="48">
          <cell r="IH48">
            <v>52367</v>
          </cell>
        </row>
        <row r="53">
          <cell r="IH53">
            <v>103874</v>
          </cell>
        </row>
        <row r="64">
          <cell r="HR64">
            <v>130028</v>
          </cell>
          <cell r="HS64">
            <v>106889</v>
          </cell>
          <cell r="HT64">
            <v>139285</v>
          </cell>
          <cell r="IF64">
            <v>106638</v>
          </cell>
          <cell r="IG64">
            <v>152476</v>
          </cell>
          <cell r="IH64">
            <v>156241</v>
          </cell>
        </row>
      </sheetData>
      <sheetData sheetId="83">
        <row r="4">
          <cell r="IH4">
            <v>17</v>
          </cell>
        </row>
        <row r="5">
          <cell r="IH5">
            <v>17</v>
          </cell>
        </row>
        <row r="19">
          <cell r="HR19">
            <v>24</v>
          </cell>
          <cell r="HS19">
            <v>20</v>
          </cell>
          <cell r="HT19">
            <v>38</v>
          </cell>
          <cell r="IF19">
            <v>22</v>
          </cell>
          <cell r="IG19">
            <v>24</v>
          </cell>
          <cell r="IH19">
            <v>34</v>
          </cell>
        </row>
        <row r="47">
          <cell r="IH47">
            <v>64773</v>
          </cell>
        </row>
        <row r="64">
          <cell r="HR64">
            <v>40577</v>
          </cell>
          <cell r="HS64">
            <v>35590</v>
          </cell>
          <cell r="HT64">
            <v>72458</v>
          </cell>
          <cell r="IF64">
            <v>67333</v>
          </cell>
          <cell r="IG64">
            <v>44045</v>
          </cell>
          <cell r="IH64">
            <v>64773</v>
          </cell>
        </row>
      </sheetData>
      <sheetData sheetId="84">
        <row r="4">
          <cell r="IH4">
            <v>136</v>
          </cell>
        </row>
        <row r="5">
          <cell r="IH5">
            <v>136</v>
          </cell>
        </row>
        <row r="19">
          <cell r="HR19">
            <v>287</v>
          </cell>
          <cell r="HS19">
            <v>263</v>
          </cell>
          <cell r="HT19">
            <v>315</v>
          </cell>
          <cell r="IF19">
            <v>238</v>
          </cell>
          <cell r="IG19">
            <v>222</v>
          </cell>
          <cell r="IH19">
            <v>272</v>
          </cell>
        </row>
        <row r="47">
          <cell r="IH47">
            <v>5576375</v>
          </cell>
        </row>
        <row r="48">
          <cell r="IH48">
            <v>612503</v>
          </cell>
        </row>
        <row r="52">
          <cell r="IH52">
            <v>5191054</v>
          </cell>
        </row>
        <row r="53">
          <cell r="IH53">
            <v>431845</v>
          </cell>
        </row>
        <row r="64">
          <cell r="HR64">
            <v>12127523</v>
          </cell>
          <cell r="HS64">
            <v>11471129</v>
          </cell>
          <cell r="HT64">
            <v>14118023</v>
          </cell>
          <cell r="IF64">
            <v>10210625</v>
          </cell>
          <cell r="IG64">
            <v>9519178</v>
          </cell>
          <cell r="IH64">
            <v>11811777</v>
          </cell>
        </row>
      </sheetData>
      <sheetData sheetId="85"/>
      <sheetData sheetId="86"/>
      <sheetData sheetId="87"/>
      <sheetData sheetId="88">
        <row r="4">
          <cell r="IH4">
            <v>194</v>
          </cell>
        </row>
        <row r="5">
          <cell r="IH5">
            <v>194</v>
          </cell>
        </row>
        <row r="19">
          <cell r="HR19">
            <v>402</v>
          </cell>
          <cell r="HS19">
            <v>352</v>
          </cell>
          <cell r="HT19">
            <v>410</v>
          </cell>
          <cell r="IF19">
            <v>354</v>
          </cell>
          <cell r="IG19">
            <v>330</v>
          </cell>
          <cell r="IH19">
            <v>388</v>
          </cell>
        </row>
      </sheetData>
      <sheetData sheetId="89">
        <row r="19">
          <cell r="HR19">
            <v>0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90">
        <row r="19">
          <cell r="HR19">
            <v>2</v>
          </cell>
          <cell r="HS19">
            <v>0</v>
          </cell>
          <cell r="HT19">
            <v>0</v>
          </cell>
          <cell r="IF19">
            <v>0</v>
          </cell>
          <cell r="IG19">
            <v>0</v>
          </cell>
          <cell r="IH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IF64">
            <v>0</v>
          </cell>
          <cell r="IG64">
            <v>0</v>
          </cell>
          <cell r="IH64">
            <v>0</v>
          </cell>
        </row>
      </sheetData>
      <sheetData sheetId="91">
        <row r="4">
          <cell r="IH4">
            <v>17</v>
          </cell>
        </row>
        <row r="5">
          <cell r="IH5">
            <v>16</v>
          </cell>
        </row>
      </sheetData>
      <sheetData sheetId="92">
        <row r="4">
          <cell r="IH4">
            <v>671</v>
          </cell>
        </row>
        <row r="5">
          <cell r="IH5">
            <v>670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129651</v>
          </cell>
          <cell r="C21">
            <v>126303</v>
          </cell>
          <cell r="G21">
            <v>1051268</v>
          </cell>
          <cell r="H21">
            <v>1085708</v>
          </cell>
          <cell r="L21">
            <v>1180919</v>
          </cell>
          <cell r="M21">
            <v>1212011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154314</v>
          </cell>
          <cell r="I21">
            <v>1842508</v>
          </cell>
          <cell r="N21">
            <v>1996822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169898</v>
          </cell>
          <cell r="I22">
            <v>1925453</v>
          </cell>
          <cell r="N22">
            <v>2095351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K20" sqref="K20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1.7109375" bestFit="1" customWidth="1"/>
    <col min="9" max="9" width="9.7109375" bestFit="1" customWidth="1"/>
    <col min="10" max="10" width="10" customWidth="1"/>
    <col min="11" max="11" width="11.28515625" bestFit="1" customWidth="1"/>
    <col min="12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396">
        <v>44986</v>
      </c>
      <c r="B2" s="10"/>
      <c r="C2" s="10"/>
      <c r="D2" s="440" t="s">
        <v>234</v>
      </c>
      <c r="E2" s="440" t="s">
        <v>226</v>
      </c>
      <c r="F2" s="5"/>
      <c r="G2" s="5"/>
      <c r="H2" s="5"/>
      <c r="I2" s="5"/>
      <c r="J2" s="5"/>
    </row>
    <row r="3" spans="1:14" ht="13.5" thickBot="1" x14ac:dyDescent="0.25">
      <c r="A3" s="285"/>
      <c r="B3" s="5" t="s">
        <v>0</v>
      </c>
      <c r="C3" s="5" t="s">
        <v>1</v>
      </c>
      <c r="D3" s="441"/>
      <c r="E3" s="442"/>
      <c r="F3" s="5" t="s">
        <v>2</v>
      </c>
      <c r="G3" s="5" t="s">
        <v>235</v>
      </c>
      <c r="H3" s="5" t="s">
        <v>227</v>
      </c>
      <c r="I3" s="5" t="s">
        <v>2</v>
      </c>
    </row>
    <row r="4" spans="1:14" ht="12.75" customHeight="1" x14ac:dyDescent="0.25">
      <c r="A4" s="47" t="s">
        <v>3</v>
      </c>
      <c r="B4" s="32"/>
      <c r="C4" s="32"/>
      <c r="D4" s="32"/>
      <c r="E4" s="32"/>
      <c r="F4" s="33"/>
      <c r="G4" s="32"/>
      <c r="H4" s="32"/>
      <c r="I4" s="34"/>
    </row>
    <row r="5" spans="1:14" x14ac:dyDescent="0.2">
      <c r="A5" s="50" t="s">
        <v>4</v>
      </c>
      <c r="B5" s="217">
        <f>'Major Airline Stats'!K4</f>
        <v>1284159</v>
      </c>
      <c r="C5" s="10">
        <f>'Major Airline Stats'!K5</f>
        <v>1300772</v>
      </c>
      <c r="D5" s="2">
        <f>'Major Airline Stats'!K6</f>
        <v>2584931</v>
      </c>
      <c r="E5" s="2">
        <f>'[1]Monthly Summary'!D5</f>
        <v>2313550</v>
      </c>
      <c r="F5" s="3">
        <f>(D5-E5)/E5</f>
        <v>0.11730068509433554</v>
      </c>
      <c r="G5" s="2">
        <f>+D5+'[2]Monthly Summary'!G5</f>
        <v>6526549</v>
      </c>
      <c r="H5" s="2">
        <f>'[1]Monthly Summary'!G5</f>
        <v>5636256</v>
      </c>
      <c r="I5" s="65">
        <f>(G5-H5)/H5</f>
        <v>0.15795822616999652</v>
      </c>
      <c r="J5" s="2"/>
    </row>
    <row r="6" spans="1:14" x14ac:dyDescent="0.2">
      <c r="A6" s="50" t="s">
        <v>5</v>
      </c>
      <c r="B6" s="217">
        <f>'Regional Major'!M5</f>
        <v>180114</v>
      </c>
      <c r="C6" s="217">
        <f>'Regional Major'!M6</f>
        <v>185233</v>
      </c>
      <c r="D6" s="2">
        <f>B6+C6</f>
        <v>365347</v>
      </c>
      <c r="E6" s="2">
        <f>'[1]Monthly Summary'!D6</f>
        <v>442071</v>
      </c>
      <c r="F6" s="3">
        <f>(D6-E6)/E6</f>
        <v>-0.17355583152932447</v>
      </c>
      <c r="G6" s="2">
        <f>+D6+'[2]Monthly Summary'!G6</f>
        <v>932511</v>
      </c>
      <c r="H6" s="2">
        <f>'[1]Monthly Summary'!G6</f>
        <v>1088928</v>
      </c>
      <c r="I6" s="65">
        <f>(G6-H6)/H6</f>
        <v>-0.14364310588027859</v>
      </c>
      <c r="K6" s="2"/>
    </row>
    <row r="7" spans="1:14" x14ac:dyDescent="0.2">
      <c r="A7" s="50" t="s">
        <v>6</v>
      </c>
      <c r="B7" s="2">
        <f>Charter!G5</f>
        <v>60</v>
      </c>
      <c r="C7" s="217">
        <f>Charter!G6</f>
        <v>0</v>
      </c>
      <c r="D7" s="2">
        <f>B7+C7</f>
        <v>60</v>
      </c>
      <c r="E7" s="2">
        <f>'[1]Monthly Summary'!D7</f>
        <v>369</v>
      </c>
      <c r="F7" s="3">
        <f>(D7-E7)/E7</f>
        <v>-0.83739837398373984</v>
      </c>
      <c r="G7" s="2">
        <f>+D7+'[2]Monthly Summary'!G7</f>
        <v>728</v>
      </c>
      <c r="H7" s="2">
        <f>'[1]Monthly Summary'!G7</f>
        <v>3392</v>
      </c>
      <c r="I7" s="65">
        <f>(G7-H7)/H7</f>
        <v>-0.785377358490566</v>
      </c>
      <c r="K7" s="2"/>
    </row>
    <row r="8" spans="1:14" x14ac:dyDescent="0.2">
      <c r="A8" s="52" t="s">
        <v>7</v>
      </c>
      <c r="B8" s="119">
        <f>SUM(B5:B7)</f>
        <v>1464333</v>
      </c>
      <c r="C8" s="119">
        <f>SUM(C5:C7)</f>
        <v>1486005</v>
      </c>
      <c r="D8" s="119">
        <f>SUM(D5:D7)</f>
        <v>2950338</v>
      </c>
      <c r="E8" s="119">
        <f>SUM(E5:E7)</f>
        <v>2755990</v>
      </c>
      <c r="F8" s="71">
        <f>(D8-E8)/E8</f>
        <v>7.0518398107395158E-2</v>
      </c>
      <c r="G8" s="119">
        <f>SUM(G5:G7)</f>
        <v>7459788</v>
      </c>
      <c r="H8" s="119">
        <f>SUM(H5:H7)</f>
        <v>6728576</v>
      </c>
      <c r="I8" s="70">
        <f>(G8-H8)/H8</f>
        <v>0.10867262255787852</v>
      </c>
    </row>
    <row r="9" spans="1:14" x14ac:dyDescent="0.2">
      <c r="A9" s="50"/>
      <c r="B9" s="95"/>
      <c r="C9" s="95"/>
      <c r="D9" s="95"/>
      <c r="E9" s="95"/>
      <c r="F9" s="4"/>
      <c r="G9" s="95"/>
      <c r="H9" s="95"/>
      <c r="I9" s="65"/>
    </row>
    <row r="10" spans="1:14" x14ac:dyDescent="0.2">
      <c r="A10" s="50" t="s">
        <v>8</v>
      </c>
      <c r="B10" s="218">
        <f>'Major Airline Stats'!K9+'Regional Major'!M10</f>
        <v>41786</v>
      </c>
      <c r="C10" s="218">
        <f>'Major Airline Stats'!K10+'Regional Major'!M11</f>
        <v>42436</v>
      </c>
      <c r="D10" s="96">
        <f>SUM(B10:C10)</f>
        <v>84222</v>
      </c>
      <c r="E10" s="402">
        <f>'[1]Monthly Summary'!D10</f>
        <v>72978</v>
      </c>
      <c r="F10" s="72">
        <f>(D10-E10)/E10</f>
        <v>0.15407383046945655</v>
      </c>
      <c r="G10" s="2">
        <f>+D10+'[2]Monthly Summary'!G10</f>
        <v>229335</v>
      </c>
      <c r="H10" s="402">
        <f>'[1]Monthly Summary'!G10</f>
        <v>192565</v>
      </c>
      <c r="I10" s="75">
        <f>(G10-H10)/H10</f>
        <v>0.19094851089242593</v>
      </c>
      <c r="J10" s="169"/>
    </row>
    <row r="11" spans="1:14" ht="15.75" thickBot="1" x14ac:dyDescent="0.3">
      <c r="A11" s="51" t="s">
        <v>13</v>
      </c>
      <c r="B11" s="197">
        <f>B10+B8</f>
        <v>1506119</v>
      </c>
      <c r="C11" s="197">
        <f>C10+C8</f>
        <v>1528441</v>
      </c>
      <c r="D11" s="197">
        <f>D10+D8</f>
        <v>3034560</v>
      </c>
      <c r="E11" s="197">
        <f>E10+E8</f>
        <v>2828968</v>
      </c>
      <c r="F11" s="73">
        <f>(D11-E11)/E11</f>
        <v>7.2673851383260615E-2</v>
      </c>
      <c r="G11" s="197">
        <f>G8+G10</f>
        <v>7689123</v>
      </c>
      <c r="H11" s="197">
        <f>H8+H10</f>
        <v>6921141</v>
      </c>
      <c r="I11" s="76">
        <f>(G11-H11)/H11</f>
        <v>0.11096176194069735</v>
      </c>
    </row>
    <row r="12" spans="1:14" ht="15" x14ac:dyDescent="0.25">
      <c r="A12" s="8"/>
      <c r="B12" s="99"/>
      <c r="C12" s="99"/>
      <c r="D12" s="99"/>
      <c r="E12" s="99"/>
      <c r="F12" s="199"/>
      <c r="G12" s="99"/>
      <c r="H12" s="99"/>
      <c r="I12" s="200"/>
      <c r="K12" s="95"/>
    </row>
    <row r="13" spans="1:14" ht="16.5" customHeight="1" x14ac:dyDescent="0.2">
      <c r="B13" s="10"/>
      <c r="C13" s="10"/>
      <c r="D13" s="440" t="s">
        <v>234</v>
      </c>
      <c r="E13" s="440" t="s">
        <v>226</v>
      </c>
      <c r="F13" s="5"/>
      <c r="G13" s="5"/>
      <c r="H13" s="5"/>
      <c r="I13" s="5"/>
    </row>
    <row r="14" spans="1:14" ht="13.5" thickBot="1" x14ac:dyDescent="0.25">
      <c r="A14" s="9"/>
      <c r="B14" s="5" t="s">
        <v>188</v>
      </c>
      <c r="C14" s="5" t="s">
        <v>189</v>
      </c>
      <c r="D14" s="441"/>
      <c r="E14" s="442"/>
      <c r="F14" s="5" t="s">
        <v>2</v>
      </c>
      <c r="G14" s="5" t="s">
        <v>235</v>
      </c>
      <c r="H14" s="5" t="s">
        <v>227</v>
      </c>
      <c r="I14" s="5" t="s">
        <v>2</v>
      </c>
    </row>
    <row r="15" spans="1:14" ht="15" x14ac:dyDescent="0.25">
      <c r="A15" s="44" t="s">
        <v>9</v>
      </c>
      <c r="B15" s="29"/>
      <c r="C15" s="29"/>
      <c r="D15" s="29"/>
      <c r="E15" s="29"/>
      <c r="F15" s="30"/>
      <c r="G15" s="29"/>
      <c r="H15" s="29"/>
      <c r="I15" s="191"/>
    </row>
    <row r="16" spans="1:14" x14ac:dyDescent="0.2">
      <c r="A16" s="50" t="s">
        <v>4</v>
      </c>
      <c r="B16" s="226">
        <f>'Major Airline Stats'!K15+'Major Airline Stats'!K19</f>
        <v>9101</v>
      </c>
      <c r="C16" s="226">
        <f>'Major Airline Stats'!K16+'Major Airline Stats'!K20</f>
        <v>9095</v>
      </c>
      <c r="D16" s="31">
        <f t="shared" ref="D16:D21" si="0">SUM(B16:C16)</f>
        <v>18196</v>
      </c>
      <c r="E16" s="2">
        <f>'[1]Monthly Summary'!D16</f>
        <v>15909</v>
      </c>
      <c r="F16" s="74">
        <f t="shared" ref="F16:F22" si="1">(D16-E16)/E16</f>
        <v>0.14375510717204099</v>
      </c>
      <c r="G16" s="2">
        <f>+D16+'[2]Monthly Summary'!G16</f>
        <v>48534</v>
      </c>
      <c r="H16" s="2">
        <f>'[1]Monthly Summary'!G16</f>
        <v>43202</v>
      </c>
      <c r="I16" s="192">
        <f t="shared" ref="I16:I22" si="2">(G16-H16)/H16</f>
        <v>0.12342021202722096</v>
      </c>
      <c r="N16" s="95"/>
    </row>
    <row r="17" spans="1:13" x14ac:dyDescent="0.2">
      <c r="A17" s="50" t="s">
        <v>5</v>
      </c>
      <c r="B17" s="31">
        <f>'Regional Major'!M15+'Regional Major'!M18</f>
        <v>3244</v>
      </c>
      <c r="C17" s="31">
        <f>'Regional Major'!M16+'Regional Major'!M19</f>
        <v>3228</v>
      </c>
      <c r="D17" s="31">
        <f>SUM(B17:C17)</f>
        <v>6472</v>
      </c>
      <c r="E17" s="2">
        <f>'[1]Monthly Summary'!D17</f>
        <v>8592</v>
      </c>
      <c r="F17" s="74">
        <f t="shared" si="1"/>
        <v>-0.2467411545623836</v>
      </c>
      <c r="G17" s="2">
        <f>+D17+'[2]Monthly Summary'!G17</f>
        <v>18237</v>
      </c>
      <c r="H17" s="2">
        <f>'[1]Monthly Summary'!G17</f>
        <v>23819</v>
      </c>
      <c r="I17" s="192">
        <f t="shared" si="2"/>
        <v>-0.23435072841009277</v>
      </c>
      <c r="L17" s="2"/>
      <c r="M17" s="2"/>
    </row>
    <row r="18" spans="1:13" x14ac:dyDescent="0.2">
      <c r="A18" s="50" t="s">
        <v>10</v>
      </c>
      <c r="B18" s="31">
        <f>Charter!G10</f>
        <v>1</v>
      </c>
      <c r="C18" s="31">
        <f>Charter!G11</f>
        <v>0</v>
      </c>
      <c r="D18" s="31">
        <f t="shared" si="0"/>
        <v>1</v>
      </c>
      <c r="E18" s="2">
        <f>'[1]Monthly Summary'!D18</f>
        <v>4</v>
      </c>
      <c r="F18" s="74">
        <f t="shared" si="1"/>
        <v>-0.75</v>
      </c>
      <c r="G18" s="2">
        <f>+D18+'[2]Monthly Summary'!G18</f>
        <v>13</v>
      </c>
      <c r="H18" s="2">
        <f>'[1]Monthly Summary'!G18</f>
        <v>29</v>
      </c>
      <c r="I18" s="192">
        <f t="shared" si="2"/>
        <v>-0.55172413793103448</v>
      </c>
    </row>
    <row r="19" spans="1:13" x14ac:dyDescent="0.2">
      <c r="A19" s="50" t="s">
        <v>11</v>
      </c>
      <c r="B19" s="31">
        <f>Cargo!S4+Cargo!S8</f>
        <v>656</v>
      </c>
      <c r="C19" s="31">
        <f>Cargo!S5+Cargo!S9</f>
        <v>658</v>
      </c>
      <c r="D19" s="31">
        <f t="shared" si="0"/>
        <v>1314</v>
      </c>
      <c r="E19" s="2">
        <f>'[1]Monthly Summary'!D19</f>
        <v>1461</v>
      </c>
      <c r="F19" s="74">
        <f t="shared" si="1"/>
        <v>-0.10061601642710473</v>
      </c>
      <c r="G19" s="2">
        <f>+D19+'[2]Monthly Summary'!G19</f>
        <v>3514</v>
      </c>
      <c r="H19" s="2">
        <f>'[1]Monthly Summary'!G19</f>
        <v>3972</v>
      </c>
      <c r="I19" s="192">
        <f t="shared" si="2"/>
        <v>-0.11530715005035247</v>
      </c>
    </row>
    <row r="20" spans="1:13" x14ac:dyDescent="0.2">
      <c r="A20" s="50" t="s">
        <v>148</v>
      </c>
      <c r="B20" s="31">
        <f>'[3]General Avation'!$IH$4</f>
        <v>671</v>
      </c>
      <c r="C20" s="31">
        <f>'[3]General Avation'!$IH$5</f>
        <v>670</v>
      </c>
      <c r="D20" s="31">
        <f t="shared" si="0"/>
        <v>1341</v>
      </c>
      <c r="E20" s="2">
        <f>'[1]Monthly Summary'!D20</f>
        <v>1312</v>
      </c>
      <c r="F20" s="74">
        <f t="shared" si="1"/>
        <v>2.2103658536585365E-2</v>
      </c>
      <c r="G20" s="2">
        <f>+D20+'[2]Monthly Summary'!G20</f>
        <v>3806</v>
      </c>
      <c r="H20" s="2">
        <f>'[1]Monthly Summary'!G20</f>
        <v>3531</v>
      </c>
      <c r="I20" s="192">
        <f t="shared" si="2"/>
        <v>7.7881619937694699E-2</v>
      </c>
      <c r="K20" s="95"/>
    </row>
    <row r="21" spans="1:13" ht="12.75" customHeight="1" x14ac:dyDescent="0.2">
      <c r="A21" s="50" t="s">
        <v>12</v>
      </c>
      <c r="B21" s="11">
        <f>'[3]Military '!$IH$4</f>
        <v>17</v>
      </c>
      <c r="C21" s="11">
        <f>'[3]Military '!$IH$5</f>
        <v>16</v>
      </c>
      <c r="D21" s="11">
        <f t="shared" si="0"/>
        <v>33</v>
      </c>
      <c r="E21" s="402">
        <f>'[1]Monthly Summary'!D21</f>
        <v>97</v>
      </c>
      <c r="F21" s="190">
        <f t="shared" si="1"/>
        <v>-0.65979381443298968</v>
      </c>
      <c r="G21" s="2">
        <f>+D21+'[2]Monthly Summary'!G21</f>
        <v>202</v>
      </c>
      <c r="H21" s="402">
        <f>'[1]Monthly Summary'!G21</f>
        <v>263</v>
      </c>
      <c r="I21" s="193">
        <f t="shared" si="2"/>
        <v>-0.23193916349809887</v>
      </c>
    </row>
    <row r="22" spans="1:13" ht="15.75" thickBot="1" x14ac:dyDescent="0.3">
      <c r="A22" s="51" t="s">
        <v>28</v>
      </c>
      <c r="B22" s="198">
        <f>SUM(B16:B21)</f>
        <v>13690</v>
      </c>
      <c r="C22" s="198">
        <f>SUM(C16:C21)</f>
        <v>13667</v>
      </c>
      <c r="D22" s="198">
        <f>SUM(D16:D21)</f>
        <v>27357</v>
      </c>
      <c r="E22" s="198">
        <f>SUM(E16:E21)</f>
        <v>27375</v>
      </c>
      <c r="F22" s="195">
        <f t="shared" si="1"/>
        <v>-6.5753424657534248E-4</v>
      </c>
      <c r="G22" s="198">
        <f>SUM(G16:G21)</f>
        <v>74306</v>
      </c>
      <c r="H22" s="198">
        <f>SUM(H16:H21)</f>
        <v>74816</v>
      </c>
      <c r="I22" s="196">
        <f t="shared" si="2"/>
        <v>-6.81672369546621E-3</v>
      </c>
    </row>
    <row r="23" spans="1:13" x14ac:dyDescent="0.2">
      <c r="B23" s="95"/>
      <c r="C23" s="95"/>
      <c r="L23" s="2"/>
    </row>
    <row r="24" spans="1:13" ht="12.75" customHeight="1" x14ac:dyDescent="0.2">
      <c r="B24" s="10"/>
      <c r="C24" s="10"/>
      <c r="D24" s="440" t="s">
        <v>234</v>
      </c>
      <c r="E24" s="440" t="s">
        <v>226</v>
      </c>
      <c r="F24" s="5"/>
      <c r="G24" s="5"/>
      <c r="H24" s="5"/>
      <c r="I24" s="5"/>
    </row>
    <row r="25" spans="1:13" ht="13.5" thickBot="1" x14ac:dyDescent="0.25">
      <c r="B25" s="5" t="s">
        <v>0</v>
      </c>
      <c r="C25" s="5" t="s">
        <v>1</v>
      </c>
      <c r="D25" s="441"/>
      <c r="E25" s="442"/>
      <c r="F25" s="5" t="s">
        <v>2</v>
      </c>
      <c r="G25" s="5" t="s">
        <v>235</v>
      </c>
      <c r="H25" s="5" t="s">
        <v>227</v>
      </c>
      <c r="I25" s="5" t="s">
        <v>2</v>
      </c>
    </row>
    <row r="26" spans="1:13" ht="15" x14ac:dyDescent="0.25">
      <c r="A26" s="48" t="s">
        <v>126</v>
      </c>
      <c r="B26" s="35"/>
      <c r="C26" s="35"/>
      <c r="D26" s="35"/>
      <c r="E26" s="35"/>
      <c r="F26" s="35"/>
      <c r="G26" s="35"/>
      <c r="H26" s="35"/>
      <c r="I26" s="36"/>
    </row>
    <row r="27" spans="1:13" x14ac:dyDescent="0.2">
      <c r="A27" s="45" t="s">
        <v>15</v>
      </c>
      <c r="B27" s="13">
        <f>(Cargo!S16+'Major Airline Stats'!K28+'Regional Major'!M25)*0.00045359237</f>
        <v>9429.8674040486294</v>
      </c>
      <c r="C27" s="13">
        <f>(Cargo!S21+'Major Airline Stats'!K33+'Regional Major'!M30)*0.00045359237</f>
        <v>7845.2070792487702</v>
      </c>
      <c r="D27" s="13">
        <f>(SUM(B27:C27)+('Cargo Summary'!E17*0.00045359237))</f>
        <v>17275.074483297401</v>
      </c>
      <c r="E27" s="2">
        <f>'[1]Monthly Summary'!D27</f>
        <v>18763.285648094679</v>
      </c>
      <c r="F27" s="77">
        <f>(D27-E27)/E27</f>
        <v>-7.9315062015718904E-2</v>
      </c>
      <c r="G27" s="2">
        <f>+D27+'[2]Monthly Summary'!G27</f>
        <v>46530.014245239145</v>
      </c>
      <c r="H27" s="2">
        <f>'[1]Monthly Summary'!G27</f>
        <v>50242.033671555881</v>
      </c>
      <c r="I27" s="79">
        <f>(G27-H27)/H27</f>
        <v>-7.3882746279402015E-2</v>
      </c>
    </row>
    <row r="28" spans="1:13" x14ac:dyDescent="0.2">
      <c r="A28" s="45" t="s">
        <v>16</v>
      </c>
      <c r="B28" s="13">
        <f>(Cargo!S17+'Major Airline Stats'!K29+'Regional Major'!M26)*0.00045359237</f>
        <v>687.51721268691995</v>
      </c>
      <c r="C28" s="13">
        <f>(Cargo!S22+'Major Airline Stats'!K34+'Regional Major'!M31)*0.00045359237</f>
        <v>759.04328632748002</v>
      </c>
      <c r="D28" s="13">
        <f>SUM(B28:C28)</f>
        <v>1446.5604990144</v>
      </c>
      <c r="E28" s="2">
        <f>'[1]Monthly Summary'!D28</f>
        <v>2036.7259028824401</v>
      </c>
      <c r="F28" s="77">
        <f>(D28-E28)/E28</f>
        <v>-0.2897618197091808</v>
      </c>
      <c r="G28" s="2">
        <f>+D28+'[2]Monthly Summary'!G28</f>
        <v>4036.9131259919004</v>
      </c>
      <c r="H28" s="2">
        <f>'[1]Monthly Summary'!G28</f>
        <v>5712.08372589393</v>
      </c>
      <c r="I28" s="79">
        <f>(G28-H28)/H28</f>
        <v>-0.29326786515893877</v>
      </c>
    </row>
    <row r="29" spans="1:13" ht="15.75" thickBot="1" x14ac:dyDescent="0.3">
      <c r="A29" s="46" t="s">
        <v>62</v>
      </c>
      <c r="B29" s="38">
        <f>SUM(B27:B28)</f>
        <v>10117.38461673555</v>
      </c>
      <c r="C29" s="38">
        <f>SUM(C27:C28)</f>
        <v>8604.2503655762503</v>
      </c>
      <c r="D29" s="38">
        <f>SUM(D27:D28)</f>
        <v>18721.6349823118</v>
      </c>
      <c r="E29" s="38">
        <f>SUM(E27:E28)</f>
        <v>20800.01155097712</v>
      </c>
      <c r="F29" s="78">
        <f>(D29-E29)/E29</f>
        <v>-9.9921894926432622E-2</v>
      </c>
      <c r="G29" s="38">
        <f>SUM(G27:G28)</f>
        <v>50566.927371231046</v>
      </c>
      <c r="H29" s="38">
        <f>SUM(H27:H28)</f>
        <v>55954.117397449809</v>
      </c>
      <c r="I29" s="80">
        <f>(G29-H29)/H29</f>
        <v>-9.6278706139761069E-2</v>
      </c>
    </row>
    <row r="30" spans="1:13" ht="4.5" customHeight="1" thickBot="1" x14ac:dyDescent="0.3">
      <c r="A30" s="42"/>
      <c r="B30" s="286"/>
      <c r="C30" s="286"/>
      <c r="D30" s="286"/>
      <c r="E30" s="286"/>
      <c r="F30" s="199"/>
      <c r="G30" s="286"/>
      <c r="H30" s="286"/>
      <c r="I30" s="199"/>
    </row>
    <row r="31" spans="1:13" ht="13.5" thickBot="1" x14ac:dyDescent="0.25">
      <c r="B31" s="439" t="s">
        <v>144</v>
      </c>
      <c r="C31" s="438"/>
      <c r="D31" s="439" t="s">
        <v>151</v>
      </c>
      <c r="E31" s="438"/>
      <c r="F31" s="308"/>
      <c r="G31" s="309"/>
    </row>
    <row r="32" spans="1:13" x14ac:dyDescent="0.2">
      <c r="A32" s="290" t="s">
        <v>145</v>
      </c>
      <c r="B32" s="291">
        <f>C8-B33</f>
        <v>1084925</v>
      </c>
      <c r="C32" s="292">
        <f>B32/C8</f>
        <v>0.73009512081049521</v>
      </c>
      <c r="D32" s="293">
        <f>+B32+'[2]Monthly Summary'!$D$32</f>
        <v>2738076</v>
      </c>
      <c r="E32" s="294">
        <f>+D32/D34</f>
        <v>0.72705016214786644</v>
      </c>
      <c r="G32" s="2"/>
      <c r="I32" s="307"/>
    </row>
    <row r="33" spans="1:14" ht="13.5" thickBot="1" x14ac:dyDescent="0.25">
      <c r="A33" s="295" t="s">
        <v>146</v>
      </c>
      <c r="B33" s="296">
        <f>'Major Airline Stats'!K51+'Regional Major'!M45</f>
        <v>401080</v>
      </c>
      <c r="C33" s="297">
        <f>+B33/C8</f>
        <v>0.26990487918950473</v>
      </c>
      <c r="D33" s="298">
        <f>+B33+'[2]Monthly Summary'!$D$33</f>
        <v>1027931</v>
      </c>
      <c r="E33" s="299">
        <f>+D33/D34</f>
        <v>0.27294983785213356</v>
      </c>
      <c r="I33" s="307"/>
    </row>
    <row r="34" spans="1:14" ht="13.5" thickBot="1" x14ac:dyDescent="0.25">
      <c r="B34" s="230"/>
      <c r="D34" s="300">
        <f>SUM(D32:D33)</f>
        <v>3766007</v>
      </c>
    </row>
    <row r="35" spans="1:14" ht="13.5" thickBot="1" x14ac:dyDescent="0.25">
      <c r="B35" s="437" t="s">
        <v>252</v>
      </c>
      <c r="C35" s="438"/>
      <c r="D35" s="439" t="s">
        <v>236</v>
      </c>
      <c r="E35" s="438"/>
    </row>
    <row r="36" spans="1:14" x14ac:dyDescent="0.2">
      <c r="A36" s="290" t="s">
        <v>145</v>
      </c>
      <c r="B36" s="291">
        <f>'[1]Monthly Summary'!$B$32</f>
        <v>1030565</v>
      </c>
      <c r="C36" s="292">
        <f>+B36/B38</f>
        <v>0.74149582040024575</v>
      </c>
      <c r="D36" s="293">
        <f>'[1]Monthly Summary'!$D$32</f>
        <v>2446849</v>
      </c>
      <c r="E36" s="294">
        <f>+D36/D38</f>
        <v>0.71970994516983644</v>
      </c>
    </row>
    <row r="37" spans="1:14" ht="13.5" thickBot="1" x14ac:dyDescent="0.25">
      <c r="A37" s="295" t="s">
        <v>146</v>
      </c>
      <c r="B37" s="296">
        <f>'[1]Monthly Summary'!$B$33</f>
        <v>359281</v>
      </c>
      <c r="C37" s="299">
        <f>+B37/B38</f>
        <v>0.25850417959975419</v>
      </c>
      <c r="D37" s="298">
        <f>'[1]Monthly Summary'!$D$33</f>
        <v>952922</v>
      </c>
      <c r="E37" s="299">
        <f>+D37/D38</f>
        <v>0.28029005483016356</v>
      </c>
      <c r="M37" s="1"/>
    </row>
    <row r="38" spans="1:14" x14ac:dyDescent="0.2">
      <c r="B38" s="312">
        <f>+SUM(B36:B37)</f>
        <v>1389846</v>
      </c>
      <c r="D38" s="300">
        <f>SUM(D36:D37)</f>
        <v>3399771</v>
      </c>
      <c r="K38" s="305"/>
    </row>
    <row r="39" spans="1:14" x14ac:dyDescent="0.2">
      <c r="A39" s="304" t="s">
        <v>147</v>
      </c>
    </row>
    <row r="40" spans="1:14" x14ac:dyDescent="0.2">
      <c r="A40" s="170" t="s">
        <v>149</v>
      </c>
      <c r="I40" s="2"/>
    </row>
    <row r="41" spans="1:14" x14ac:dyDescent="0.2">
      <c r="N41" s="305"/>
    </row>
    <row r="42" spans="1:14" x14ac:dyDescent="0.2">
      <c r="G42" s="2"/>
      <c r="N42" s="305"/>
    </row>
    <row r="43" spans="1:14" x14ac:dyDescent="0.2">
      <c r="B43" s="230"/>
      <c r="J43" s="2"/>
      <c r="N43" s="305"/>
    </row>
    <row r="44" spans="1:14" x14ac:dyDescent="0.2">
      <c r="B44" s="230"/>
      <c r="N44" s="305"/>
    </row>
    <row r="45" spans="1:14" x14ac:dyDescent="0.2">
      <c r="J45" s="2"/>
      <c r="N45" s="305"/>
    </row>
    <row r="46" spans="1:14" x14ac:dyDescent="0.2">
      <c r="B46" s="2"/>
      <c r="F46" s="230"/>
    </row>
    <row r="47" spans="1:14" x14ac:dyDescent="0.2">
      <c r="N47" s="305"/>
    </row>
    <row r="51" spans="12:12" x14ac:dyDescent="0.2">
      <c r="L51" s="3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F2:I14 B15:I22 B26:I30">
    <cfRule type="expression" dxfId="3" priority="26" stopIfTrue="1">
      <formula>"*.*"</formula>
    </cfRule>
  </conditionalFormatting>
  <conditionalFormatting sqref="B24:C24">
    <cfRule type="expression" dxfId="2" priority="20" stopIfTrue="1">
      <formula>"*.*"</formula>
    </cfRule>
  </conditionalFormatting>
  <conditionalFormatting sqref="B4:E13">
    <cfRule type="expression" dxfId="1" priority="21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March 2023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E4" sqref="E4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96">
        <v>44986</v>
      </c>
      <c r="B1" s="326" t="s">
        <v>17</v>
      </c>
      <c r="C1" s="326" t="s">
        <v>18</v>
      </c>
      <c r="D1" s="326" t="s">
        <v>19</v>
      </c>
      <c r="E1" s="326" t="s">
        <v>155</v>
      </c>
      <c r="F1" s="326" t="s">
        <v>161</v>
      </c>
      <c r="G1" s="326" t="s">
        <v>156</v>
      </c>
      <c r="H1" s="403" t="s">
        <v>197</v>
      </c>
      <c r="I1" s="403" t="s">
        <v>192</v>
      </c>
      <c r="J1" s="326" t="s">
        <v>20</v>
      </c>
      <c r="K1" s="325" t="s">
        <v>21</v>
      </c>
    </row>
    <row r="2" spans="1:20" ht="15" x14ac:dyDescent="0.25">
      <c r="A2" s="47" t="s">
        <v>3</v>
      </c>
      <c r="B2" s="41"/>
      <c r="C2" s="41"/>
      <c r="D2" s="41"/>
      <c r="E2" s="41"/>
      <c r="F2" s="41"/>
      <c r="G2" s="41"/>
      <c r="H2" s="356"/>
      <c r="I2" s="356"/>
      <c r="J2" s="41"/>
      <c r="K2" s="204"/>
    </row>
    <row r="3" spans="1:20" x14ac:dyDescent="0.2">
      <c r="A3" s="45" t="s">
        <v>29</v>
      </c>
      <c r="K3" s="39"/>
    </row>
    <row r="4" spans="1:20" x14ac:dyDescent="0.2">
      <c r="A4" s="45" t="s">
        <v>30</v>
      </c>
      <c r="B4" s="12">
        <f>[3]American!$IH$22</f>
        <v>54115</v>
      </c>
      <c r="C4" s="12">
        <f>[3]Delta!$IH$22+[3]Delta!$IH$32</f>
        <v>854231</v>
      </c>
      <c r="D4" s="12">
        <f>[3]United!$IH$22</f>
        <v>58128</v>
      </c>
      <c r="E4" s="12">
        <f>[3]Spirit!$IH$22</f>
        <v>27410</v>
      </c>
      <c r="F4" s="12">
        <f>[3]Condor!$IH$22</f>
        <v>0</v>
      </c>
      <c r="G4" s="12">
        <f>'[3]Air France'!$IH$32</f>
        <v>0</v>
      </c>
      <c r="H4" s="12">
        <f>'[3]Jet Blue'!$IH$22</f>
        <v>3917</v>
      </c>
      <c r="I4" s="12">
        <f>[3]KLM!$IH$22+[3]KLM!$IH$32</f>
        <v>4441</v>
      </c>
      <c r="J4" s="12">
        <f>'Other Major Airline Stats'!K5</f>
        <v>281917</v>
      </c>
      <c r="K4" s="205">
        <f>SUM(B4:J4)</f>
        <v>1284159</v>
      </c>
    </row>
    <row r="5" spans="1:20" x14ac:dyDescent="0.2">
      <c r="A5" s="45" t="s">
        <v>31</v>
      </c>
      <c r="B5" s="7">
        <f>[3]American!$IH$23</f>
        <v>54425</v>
      </c>
      <c r="C5" s="7">
        <f>[3]Delta!$IH$23+[3]Delta!$IH$33</f>
        <v>866234</v>
      </c>
      <c r="D5" s="7">
        <f>[3]United!$IH$23</f>
        <v>57760</v>
      </c>
      <c r="E5" s="7">
        <f>[3]Spirit!$IH$23</f>
        <v>28748</v>
      </c>
      <c r="F5" s="7">
        <f>[3]Condor!$IH$23</f>
        <v>0</v>
      </c>
      <c r="G5" s="7">
        <f>'[3]Air France'!$IH$33</f>
        <v>0</v>
      </c>
      <c r="H5" s="7">
        <f>'[3]Jet Blue'!$IH$23</f>
        <v>3749</v>
      </c>
      <c r="I5" s="7">
        <f>[3]KLM!$IH$23+[3]KLM!$IH$33</f>
        <v>3919</v>
      </c>
      <c r="J5" s="7">
        <f>'Other Major Airline Stats'!K6</f>
        <v>285937</v>
      </c>
      <c r="K5" s="206">
        <f>SUM(B5:J5)</f>
        <v>1300772</v>
      </c>
      <c r="M5" s="230"/>
      <c r="N5" s="230"/>
      <c r="O5" s="230"/>
      <c r="P5" s="230"/>
      <c r="Q5" s="230"/>
      <c r="R5" s="230"/>
      <c r="S5" s="230"/>
      <c r="T5" s="230"/>
    </row>
    <row r="6" spans="1:20" ht="15" x14ac:dyDescent="0.25">
      <c r="A6" s="43" t="s">
        <v>7</v>
      </c>
      <c r="B6" s="24">
        <f t="shared" ref="B6:E6" si="0">SUM(B4:B5)</f>
        <v>108540</v>
      </c>
      <c r="C6" s="24">
        <f t="shared" si="0"/>
        <v>1720465</v>
      </c>
      <c r="D6" s="24">
        <f t="shared" si="0"/>
        <v>115888</v>
      </c>
      <c r="E6" s="24">
        <f t="shared" si="0"/>
        <v>56158</v>
      </c>
      <c r="F6" s="24">
        <f t="shared" ref="F6:I6" si="1">SUM(F4:F5)</f>
        <v>0</v>
      </c>
      <c r="G6" s="24">
        <f t="shared" si="1"/>
        <v>0</v>
      </c>
      <c r="H6" s="24">
        <f t="shared" ref="H6" si="2">SUM(H4:H5)</f>
        <v>7666</v>
      </c>
      <c r="I6" s="24">
        <f t="shared" si="1"/>
        <v>8360</v>
      </c>
      <c r="J6" s="24">
        <f>SUM(J4:J5)</f>
        <v>567854</v>
      </c>
      <c r="K6" s="207">
        <f>SUM(B6:J6)</f>
        <v>2584931</v>
      </c>
    </row>
    <row r="7" spans="1:20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205"/>
    </row>
    <row r="8" spans="1:20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205">
        <f>SUM(B8:J8)</f>
        <v>0</v>
      </c>
    </row>
    <row r="9" spans="1:20" x14ac:dyDescent="0.2">
      <c r="A9" s="45" t="s">
        <v>30</v>
      </c>
      <c r="B9" s="12">
        <f>[3]American!$IH$27</f>
        <v>1604</v>
      </c>
      <c r="C9" s="12">
        <f>[3]Delta!$IH$27+[3]Delta!$IH$37</f>
        <v>27384</v>
      </c>
      <c r="D9" s="12">
        <f>[3]United!$IH$27</f>
        <v>1675</v>
      </c>
      <c r="E9" s="12">
        <f>[3]Spirit!$IH$27</f>
        <v>138</v>
      </c>
      <c r="F9" s="12">
        <f>[3]Condor!$IH$27</f>
        <v>0</v>
      </c>
      <c r="G9" s="12">
        <f>'[3]Air France'!$IH$37</f>
        <v>0</v>
      </c>
      <c r="H9" s="12">
        <f>'[3]Jet Blue'!$IH$27</f>
        <v>109</v>
      </c>
      <c r="I9" s="12">
        <f>[3]KLM!$IH$27+[3]KLM!$IH$37</f>
        <v>8</v>
      </c>
      <c r="J9" s="12">
        <f>'Other Major Airline Stats'!K10</f>
        <v>4987</v>
      </c>
      <c r="K9" s="205">
        <f>SUM(B9:J9)</f>
        <v>35905</v>
      </c>
      <c r="N9" s="230"/>
    </row>
    <row r="10" spans="1:20" x14ac:dyDescent="0.2">
      <c r="A10" s="45" t="s">
        <v>33</v>
      </c>
      <c r="B10" s="7">
        <f>[3]American!$IH$28</f>
        <v>1689</v>
      </c>
      <c r="C10" s="7">
        <f>[3]Delta!$IH$28+[3]Delta!$IH$38</f>
        <v>27465</v>
      </c>
      <c r="D10" s="7">
        <f>[3]United!$IH$28</f>
        <v>1887</v>
      </c>
      <c r="E10" s="7">
        <f>[3]Spirit!$IH$28</f>
        <v>177</v>
      </c>
      <c r="F10" s="7">
        <f>[3]Condor!$IH$28</f>
        <v>0</v>
      </c>
      <c r="G10" s="7">
        <f>'[3]Air France'!$IH$38</f>
        <v>0</v>
      </c>
      <c r="H10" s="7">
        <f>'[3]Jet Blue'!$IH$28</f>
        <v>111</v>
      </c>
      <c r="I10" s="7">
        <f>[3]KLM!$IH$28+[3]KLM!$IH$38</f>
        <v>0</v>
      </c>
      <c r="J10" s="7">
        <f>'Other Major Airline Stats'!K11</f>
        <v>5182</v>
      </c>
      <c r="K10" s="206">
        <f>SUM(B10:J10)</f>
        <v>36511</v>
      </c>
      <c r="N10" s="230"/>
    </row>
    <row r="11" spans="1:20" ht="15.75" thickBot="1" x14ac:dyDescent="0.3">
      <c r="A11" s="46" t="s">
        <v>34</v>
      </c>
      <c r="B11" s="208">
        <f t="shared" ref="B11:J11" si="3">SUM(B9:B10)</f>
        <v>3293</v>
      </c>
      <c r="C11" s="208">
        <f t="shared" si="3"/>
        <v>54849</v>
      </c>
      <c r="D11" s="208">
        <f t="shared" si="3"/>
        <v>3562</v>
      </c>
      <c r="E11" s="208">
        <f t="shared" si="3"/>
        <v>315</v>
      </c>
      <c r="F11" s="208">
        <f t="shared" ref="F11:I11" si="4">SUM(F9:F10)</f>
        <v>0</v>
      </c>
      <c r="G11" s="208">
        <f t="shared" si="4"/>
        <v>0</v>
      </c>
      <c r="H11" s="208">
        <f t="shared" ref="H11" si="5">SUM(H9:H10)</f>
        <v>220</v>
      </c>
      <c r="I11" s="208">
        <f t="shared" si="4"/>
        <v>8</v>
      </c>
      <c r="J11" s="208">
        <f t="shared" si="3"/>
        <v>10169</v>
      </c>
      <c r="K11" s="209">
        <f>SUM(B11:J11)</f>
        <v>72416</v>
      </c>
    </row>
    <row r="13" spans="1:20" ht="13.5" thickBot="1" x14ac:dyDescent="0.25"/>
    <row r="14" spans="1:20" ht="15.75" thickTop="1" x14ac:dyDescent="0.25">
      <c r="A14" s="4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20" x14ac:dyDescent="0.2">
      <c r="A15" s="45" t="s">
        <v>22</v>
      </c>
      <c r="B15" s="12">
        <f>[3]American!$IH$4</f>
        <v>349</v>
      </c>
      <c r="C15" s="12">
        <f>[3]Delta!$IH$4+[3]Delta!$IH$15</f>
        <v>6062</v>
      </c>
      <c r="D15" s="12">
        <f>[3]United!$IH$4</f>
        <v>408</v>
      </c>
      <c r="E15" s="12">
        <f>[3]Spirit!$IH$4</f>
        <v>169</v>
      </c>
      <c r="F15" s="12">
        <f>[3]Condor!$IH$4</f>
        <v>0</v>
      </c>
      <c r="G15" s="12">
        <f>'[3]Air France'!$IH$15</f>
        <v>0</v>
      </c>
      <c r="H15" s="12">
        <f>'[3]Jet Blue'!$IH$4</f>
        <v>45</v>
      </c>
      <c r="I15" s="12">
        <f>[3]KLM!$IH$4+[3]KLM!$IH$15</f>
        <v>18</v>
      </c>
      <c r="J15" s="12">
        <f>'Other Major Airline Stats'!K16</f>
        <v>1983</v>
      </c>
      <c r="K15" s="17">
        <f>SUM(B15:J15)</f>
        <v>9034</v>
      </c>
    </row>
    <row r="16" spans="1:20" x14ac:dyDescent="0.2">
      <c r="A16" s="45" t="s">
        <v>23</v>
      </c>
      <c r="B16" s="7">
        <f>[3]American!$IH$5</f>
        <v>351</v>
      </c>
      <c r="C16" s="7">
        <f>[3]Delta!$IH$5+[3]Delta!$IH$16</f>
        <v>6036</v>
      </c>
      <c r="D16" s="7">
        <f>[3]United!$IH$5</f>
        <v>413</v>
      </c>
      <c r="E16" s="7">
        <f>[3]Spirit!$IH$5</f>
        <v>169</v>
      </c>
      <c r="F16" s="7">
        <f>[3]Condor!$IH$5</f>
        <v>0</v>
      </c>
      <c r="G16" s="7">
        <f>'[3]Air France'!$IH$16</f>
        <v>0</v>
      </c>
      <c r="H16" s="7">
        <f>'[3]Jet Blue'!$IH$5</f>
        <v>45</v>
      </c>
      <c r="I16" s="7">
        <f>[3]KLM!$IH$5+[3]KLM!$IH$16</f>
        <v>18</v>
      </c>
      <c r="J16" s="7">
        <f>'Other Major Airline Stats'!K17</f>
        <v>1993</v>
      </c>
      <c r="K16" s="23">
        <f>SUM(B16:J16)</f>
        <v>9025</v>
      </c>
    </row>
    <row r="17" spans="1:11" x14ac:dyDescent="0.2">
      <c r="A17" s="45" t="s">
        <v>24</v>
      </c>
      <c r="B17" s="212">
        <f t="shared" ref="B17:J17" si="6">SUM(B15:B16)</f>
        <v>700</v>
      </c>
      <c r="C17" s="210">
        <f t="shared" si="6"/>
        <v>12098</v>
      </c>
      <c r="D17" s="210">
        <f t="shared" si="6"/>
        <v>821</v>
      </c>
      <c r="E17" s="210">
        <f t="shared" si="6"/>
        <v>338</v>
      </c>
      <c r="F17" s="210">
        <f t="shared" ref="F17:I17" si="7">SUM(F15:F16)</f>
        <v>0</v>
      </c>
      <c r="G17" s="210">
        <f t="shared" si="7"/>
        <v>0</v>
      </c>
      <c r="H17" s="210">
        <f t="shared" ref="H17" si="8">SUM(H15:H16)</f>
        <v>90</v>
      </c>
      <c r="I17" s="210">
        <f t="shared" si="7"/>
        <v>36</v>
      </c>
      <c r="J17" s="210">
        <f t="shared" si="6"/>
        <v>3976</v>
      </c>
      <c r="K17" s="211">
        <f>SUM(B17:J17)</f>
        <v>18059</v>
      </c>
    </row>
    <row r="18" spans="1:11" x14ac:dyDescent="0.2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7"/>
    </row>
    <row r="19" spans="1:11" x14ac:dyDescent="0.2">
      <c r="A19" s="45" t="s">
        <v>25</v>
      </c>
      <c r="B19" s="12">
        <f>[3]American!$IH$8</f>
        <v>0</v>
      </c>
      <c r="C19" s="12">
        <f>[3]Delta!$IH$8</f>
        <v>10</v>
      </c>
      <c r="D19" s="12">
        <f>[3]United!$IH$8</f>
        <v>2</v>
      </c>
      <c r="E19" s="12">
        <f>[3]Spirit!$IH$8</f>
        <v>0</v>
      </c>
      <c r="F19" s="12">
        <f>[3]Condor!$IH$8</f>
        <v>0</v>
      </c>
      <c r="G19" s="12">
        <f>'[3]Air France'!$IH$8</f>
        <v>0</v>
      </c>
      <c r="H19" s="12">
        <f>'[3]Jet Blue'!$IH$8</f>
        <v>0</v>
      </c>
      <c r="I19" s="12">
        <f>[3]KLM!$IH$8</f>
        <v>0</v>
      </c>
      <c r="J19" s="12">
        <f>'Other Major Airline Stats'!K20</f>
        <v>55</v>
      </c>
      <c r="K19" s="17">
        <f>SUM(B19:J19)</f>
        <v>67</v>
      </c>
    </row>
    <row r="20" spans="1:11" x14ac:dyDescent="0.2">
      <c r="A20" s="45" t="s">
        <v>26</v>
      </c>
      <c r="B20" s="7">
        <f>[3]American!$IH$9</f>
        <v>0</v>
      </c>
      <c r="C20" s="7">
        <f>[3]Delta!$IH$9</f>
        <v>13</v>
      </c>
      <c r="D20" s="7">
        <f>[3]United!$IH$9</f>
        <v>2</v>
      </c>
      <c r="E20" s="7">
        <f>[3]Spirit!$IH$9</f>
        <v>0</v>
      </c>
      <c r="F20" s="7">
        <f>[3]Condor!$IH$9</f>
        <v>0</v>
      </c>
      <c r="G20" s="7">
        <f>'[3]Air France'!$IH$9</f>
        <v>0</v>
      </c>
      <c r="H20" s="7">
        <f>'[3]Jet Blue'!$IH$9</f>
        <v>0</v>
      </c>
      <c r="I20" s="7">
        <f>[3]KLM!$IH$9</f>
        <v>0</v>
      </c>
      <c r="J20" s="7">
        <f>'Other Major Airline Stats'!K21</f>
        <v>55</v>
      </c>
      <c r="K20" s="23">
        <f>SUM(B20:J20)</f>
        <v>70</v>
      </c>
    </row>
    <row r="21" spans="1:11" x14ac:dyDescent="0.2">
      <c r="A21" s="45" t="s">
        <v>27</v>
      </c>
      <c r="B21" s="212">
        <f t="shared" ref="B21:J21" si="9">SUM(B19:B20)</f>
        <v>0</v>
      </c>
      <c r="C21" s="210">
        <f t="shared" si="9"/>
        <v>23</v>
      </c>
      <c r="D21" s="210">
        <f t="shared" si="9"/>
        <v>4</v>
      </c>
      <c r="E21" s="210">
        <f t="shared" si="9"/>
        <v>0</v>
      </c>
      <c r="F21" s="210">
        <f t="shared" ref="F21:I21" si="10">SUM(F19:F20)</f>
        <v>0</v>
      </c>
      <c r="G21" s="210">
        <f t="shared" si="10"/>
        <v>0</v>
      </c>
      <c r="H21" s="210">
        <f t="shared" ref="H21" si="11">SUM(H19:H20)</f>
        <v>0</v>
      </c>
      <c r="I21" s="210">
        <f t="shared" si="10"/>
        <v>0</v>
      </c>
      <c r="J21" s="210">
        <f t="shared" si="9"/>
        <v>110</v>
      </c>
      <c r="K21" s="145">
        <f>SUM(B21:J21)</f>
        <v>137</v>
      </c>
    </row>
    <row r="22" spans="1:11" x14ac:dyDescent="0.2">
      <c r="A22" s="45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 ht="15.75" thickBot="1" x14ac:dyDescent="0.3">
      <c r="A23" s="46" t="s">
        <v>28</v>
      </c>
      <c r="B23" s="18">
        <f t="shared" ref="B23:J23" si="12">B17+B21</f>
        <v>700</v>
      </c>
      <c r="C23" s="18">
        <f t="shared" si="12"/>
        <v>12121</v>
      </c>
      <c r="D23" s="18">
        <f t="shared" si="12"/>
        <v>825</v>
      </c>
      <c r="E23" s="18">
        <f>E17+E21</f>
        <v>338</v>
      </c>
      <c r="F23" s="18">
        <f t="shared" ref="F23:I23" si="13">F17+F21</f>
        <v>0</v>
      </c>
      <c r="G23" s="18">
        <f t="shared" si="13"/>
        <v>0</v>
      </c>
      <c r="H23" s="18">
        <f t="shared" ref="H23" si="14">H17+H21</f>
        <v>90</v>
      </c>
      <c r="I23" s="18">
        <f t="shared" si="13"/>
        <v>36</v>
      </c>
      <c r="J23" s="18">
        <f t="shared" si="12"/>
        <v>4086</v>
      </c>
      <c r="K23" s="19">
        <f>SUM(B23:J23)</f>
        <v>18196</v>
      </c>
    </row>
    <row r="25" spans="1:11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1" ht="15.75" thickTop="1" x14ac:dyDescent="0.25">
      <c r="A26" s="48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">
      <c r="A27" s="45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0"/>
    </row>
    <row r="28" spans="1:11" x14ac:dyDescent="0.2">
      <c r="A28" s="45" t="s">
        <v>37</v>
      </c>
      <c r="B28" s="12">
        <f>[3]American!$IH$47</f>
        <v>33330</v>
      </c>
      <c r="C28" s="12">
        <f>[3]Delta!$IH$47</f>
        <v>3091832</v>
      </c>
      <c r="D28" s="12">
        <f>[3]United!$IH$47</f>
        <v>41020</v>
      </c>
      <c r="E28" s="12">
        <f>[3]Spirit!$IH$47</f>
        <v>0</v>
      </c>
      <c r="F28" s="12">
        <f>[3]Condor!$IH$47</f>
        <v>0</v>
      </c>
      <c r="G28" s="12">
        <f>'[3]Air France'!$IH$47</f>
        <v>0</v>
      </c>
      <c r="H28" s="12">
        <f>'[3]Jet Blue'!$IH$47</f>
        <v>0</v>
      </c>
      <c r="I28" s="12">
        <f>[3]KLM!$IH$47</f>
        <v>329597</v>
      </c>
      <c r="J28" s="12">
        <f>'Other Major Airline Stats'!K28</f>
        <v>232291</v>
      </c>
      <c r="K28" s="17">
        <f>SUM(B28:J28)</f>
        <v>3728070</v>
      </c>
    </row>
    <row r="29" spans="1:11" x14ac:dyDescent="0.2">
      <c r="A29" s="45" t="s">
        <v>38</v>
      </c>
      <c r="B29" s="7">
        <f>[3]American!$IH$48</f>
        <v>24521</v>
      </c>
      <c r="C29" s="7">
        <f>[3]Delta!$IH$48</f>
        <v>794775</v>
      </c>
      <c r="D29" s="7">
        <f>[3]United!$IH$48</f>
        <v>31434</v>
      </c>
      <c r="E29" s="7">
        <f>[3]Spirit!$IH$48</f>
        <v>0</v>
      </c>
      <c r="F29" s="7">
        <f>[3]Condor!$IH$48</f>
        <v>0</v>
      </c>
      <c r="G29" s="7">
        <f>'[3]Air France'!$IH$48</f>
        <v>0</v>
      </c>
      <c r="H29" s="7">
        <f>'[3]Jet Blue'!$IH$48</f>
        <v>0</v>
      </c>
      <c r="I29" s="7">
        <f>[3]KLM!$IH$48</f>
        <v>0</v>
      </c>
      <c r="J29" s="7">
        <f>'Other Major Airline Stats'!K29</f>
        <v>116</v>
      </c>
      <c r="K29" s="23">
        <f>SUM(B29:J29)</f>
        <v>850846</v>
      </c>
    </row>
    <row r="30" spans="1:11" x14ac:dyDescent="0.2">
      <c r="A30" s="49" t="s">
        <v>39</v>
      </c>
      <c r="B30" s="212">
        <f t="shared" ref="B30:J30" si="15">SUM(B28:B29)</f>
        <v>57851</v>
      </c>
      <c r="C30" s="212">
        <f t="shared" si="15"/>
        <v>3886607</v>
      </c>
      <c r="D30" s="212">
        <f t="shared" si="15"/>
        <v>72454</v>
      </c>
      <c r="E30" s="212">
        <f t="shared" si="15"/>
        <v>0</v>
      </c>
      <c r="F30" s="212">
        <f t="shared" ref="F30:I30" si="16">SUM(F28:F29)</f>
        <v>0</v>
      </c>
      <c r="G30" s="212">
        <f t="shared" si="16"/>
        <v>0</v>
      </c>
      <c r="H30" s="212">
        <f t="shared" ref="H30" si="17">SUM(H28:H29)</f>
        <v>0</v>
      </c>
      <c r="I30" s="212">
        <f t="shared" si="16"/>
        <v>329597</v>
      </c>
      <c r="J30" s="212">
        <f t="shared" si="15"/>
        <v>232407</v>
      </c>
      <c r="K30" s="17">
        <f>SUM(B30:J30)</f>
        <v>4578916</v>
      </c>
    </row>
    <row r="31" spans="1:11" x14ac:dyDescent="0.2">
      <c r="A31" s="45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 x14ac:dyDescent="0.2">
      <c r="A32" s="45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7">
        <f t="shared" ref="K32:K40" si="18">SUM(B32:J32)</f>
        <v>0</v>
      </c>
    </row>
    <row r="33" spans="1:11" x14ac:dyDescent="0.2">
      <c r="A33" s="45" t="s">
        <v>37</v>
      </c>
      <c r="B33" s="12">
        <f>[3]American!$IH$52</f>
        <v>3531</v>
      </c>
      <c r="C33" s="12">
        <f>[3]Delta!$IH$52</f>
        <v>1871975</v>
      </c>
      <c r="D33" s="12">
        <f>[3]United!$IH$52</f>
        <v>3521</v>
      </c>
      <c r="E33" s="12">
        <f>[3]Spirit!$IH$52</f>
        <v>0</v>
      </c>
      <c r="F33" s="12">
        <f>[3]Condor!$IH$52</f>
        <v>0</v>
      </c>
      <c r="G33" s="12">
        <f>'[3]Air France'!$IH$52</f>
        <v>0</v>
      </c>
      <c r="H33" s="12">
        <f>'[3]Jet Blue'!$IH$52</f>
        <v>0</v>
      </c>
      <c r="I33" s="12">
        <f>[3]KLM!$IH$52</f>
        <v>120539</v>
      </c>
      <c r="J33" s="12">
        <f>'Other Major Airline Stats'!K33</f>
        <v>59282</v>
      </c>
      <c r="K33" s="17">
        <f t="shared" si="18"/>
        <v>2058848</v>
      </c>
    </row>
    <row r="34" spans="1:11" x14ac:dyDescent="0.2">
      <c r="A34" s="45" t="s">
        <v>38</v>
      </c>
      <c r="B34" s="7">
        <f>[3]American!$IH$53</f>
        <v>499</v>
      </c>
      <c r="C34" s="7">
        <f>[3]Delta!$IH$53</f>
        <v>1128274</v>
      </c>
      <c r="D34" s="7">
        <f>[3]United!$IH$53</f>
        <v>7753</v>
      </c>
      <c r="E34" s="7">
        <f>[3]Spirit!$IH$53</f>
        <v>0</v>
      </c>
      <c r="F34" s="7">
        <f>[3]Condor!$IH$53</f>
        <v>0</v>
      </c>
      <c r="G34" s="7">
        <f>'[3]Air France'!$IH$53</f>
        <v>0</v>
      </c>
      <c r="H34" s="7">
        <f>'[3]Jet Blue'!$IH$53</f>
        <v>0</v>
      </c>
      <c r="I34" s="7">
        <f>[3]KLM!$IH$53</f>
        <v>0</v>
      </c>
      <c r="J34" s="7">
        <f>'Other Major Airline Stats'!K34</f>
        <v>1159</v>
      </c>
      <c r="K34" s="23">
        <f t="shared" si="18"/>
        <v>1137685</v>
      </c>
    </row>
    <row r="35" spans="1:11" x14ac:dyDescent="0.2">
      <c r="A35" s="49" t="s">
        <v>41</v>
      </c>
      <c r="B35" s="212">
        <f t="shared" ref="B35:J35" si="19">SUM(B33:B34)</f>
        <v>4030</v>
      </c>
      <c r="C35" s="212">
        <f t="shared" si="19"/>
        <v>3000249</v>
      </c>
      <c r="D35" s="212">
        <f t="shared" si="19"/>
        <v>11274</v>
      </c>
      <c r="E35" s="212">
        <f t="shared" si="19"/>
        <v>0</v>
      </c>
      <c r="F35" s="212">
        <f t="shared" ref="F35:I35" si="20">SUM(F33:F34)</f>
        <v>0</v>
      </c>
      <c r="G35" s="212">
        <f t="shared" si="20"/>
        <v>0</v>
      </c>
      <c r="H35" s="212">
        <f t="shared" ref="H35" si="21">SUM(H33:H34)</f>
        <v>0</v>
      </c>
      <c r="I35" s="212">
        <f t="shared" si="20"/>
        <v>120539</v>
      </c>
      <c r="J35" s="212">
        <f t="shared" si="19"/>
        <v>60441</v>
      </c>
      <c r="K35" s="17">
        <f t="shared" si="18"/>
        <v>3196533</v>
      </c>
    </row>
    <row r="36" spans="1:11" hidden="1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7">
        <f t="shared" si="18"/>
        <v>0</v>
      </c>
    </row>
    <row r="37" spans="1:11" hidden="1" x14ac:dyDescent="0.2">
      <c r="A37" s="45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7">
        <f t="shared" si="18"/>
        <v>0</v>
      </c>
    </row>
    <row r="38" spans="1:11" hidden="1" x14ac:dyDescent="0.2">
      <c r="A38" s="45" t="s">
        <v>37</v>
      </c>
      <c r="B38" s="12">
        <f>[3]American!$IH$57</f>
        <v>0</v>
      </c>
      <c r="C38" s="12">
        <f>[3]Delta!$IH$57</f>
        <v>0</v>
      </c>
      <c r="D38" s="12">
        <f>[3]United!$IH$57</f>
        <v>0</v>
      </c>
      <c r="E38" s="12">
        <f>[3]Spirit!$IH$57</f>
        <v>0</v>
      </c>
      <c r="F38" s="12">
        <f>[3]Condor!$IH$57</f>
        <v>0</v>
      </c>
      <c r="G38" s="12">
        <f>'[3]Air France'!$IH$57</f>
        <v>0</v>
      </c>
      <c r="H38" s="12">
        <f>'[3]Jet Blue'!$IH$57</f>
        <v>0</v>
      </c>
      <c r="I38" s="12">
        <f>[3]KLM!$IH$57</f>
        <v>0</v>
      </c>
      <c r="J38" s="12">
        <f>'Other Major Airline Stats'!K38</f>
        <v>0</v>
      </c>
      <c r="K38" s="17">
        <f t="shared" si="18"/>
        <v>0</v>
      </c>
    </row>
    <row r="39" spans="1:11" hidden="1" x14ac:dyDescent="0.2">
      <c r="A39" s="45" t="s">
        <v>38</v>
      </c>
      <c r="B39" s="7">
        <f>[3]American!$IH$58</f>
        <v>0</v>
      </c>
      <c r="C39" s="7">
        <f>[3]Delta!$IH$58</f>
        <v>0</v>
      </c>
      <c r="D39" s="7">
        <f>[3]United!$IH$58</f>
        <v>0</v>
      </c>
      <c r="E39" s="7">
        <f>[3]Spirit!$IH$58</f>
        <v>0</v>
      </c>
      <c r="F39" s="7">
        <f>[3]Condor!$IH$58</f>
        <v>0</v>
      </c>
      <c r="G39" s="7">
        <f>'[3]Air France'!$IH$58</f>
        <v>0</v>
      </c>
      <c r="H39" s="7">
        <f>'[3]Jet Blue'!$IH$58</f>
        <v>0</v>
      </c>
      <c r="I39" s="7">
        <f>[3]KLM!$IH$58</f>
        <v>0</v>
      </c>
      <c r="J39" s="7">
        <f>'Other Major Airline Stats'!K39</f>
        <v>0</v>
      </c>
      <c r="K39" s="23">
        <f t="shared" si="18"/>
        <v>0</v>
      </c>
    </row>
    <row r="40" spans="1:11" hidden="1" x14ac:dyDescent="0.2">
      <c r="A40" s="49" t="s">
        <v>43</v>
      </c>
      <c r="B40" s="212">
        <f t="shared" ref="B40:J40" si="22">SUM(B38:B39)</f>
        <v>0</v>
      </c>
      <c r="C40" s="212">
        <f t="shared" si="22"/>
        <v>0</v>
      </c>
      <c r="D40" s="212">
        <f t="shared" si="22"/>
        <v>0</v>
      </c>
      <c r="E40" s="212">
        <f t="shared" si="22"/>
        <v>0</v>
      </c>
      <c r="F40" s="212">
        <f t="shared" ref="F40:I40" si="23">SUM(F38:F39)</f>
        <v>0</v>
      </c>
      <c r="G40" s="212">
        <f t="shared" si="23"/>
        <v>0</v>
      </c>
      <c r="H40" s="212">
        <f t="shared" ref="H40" si="24">SUM(H38:H39)</f>
        <v>0</v>
      </c>
      <c r="I40" s="212">
        <f t="shared" si="23"/>
        <v>0</v>
      </c>
      <c r="J40" s="212">
        <f t="shared" si="22"/>
        <v>0</v>
      </c>
      <c r="K40" s="17">
        <f t="shared" si="18"/>
        <v>0</v>
      </c>
    </row>
    <row r="41" spans="1:11" x14ac:dyDescent="0.2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 x14ac:dyDescent="0.2">
      <c r="A42" s="45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7">
        <f>SUM(B42:J42)</f>
        <v>0</v>
      </c>
    </row>
    <row r="43" spans="1:11" x14ac:dyDescent="0.2">
      <c r="A43" s="45" t="s">
        <v>45</v>
      </c>
      <c r="B43" s="12">
        <f t="shared" ref="B43:J44" si="25">B28+B33+B38</f>
        <v>36861</v>
      </c>
      <c r="C43" s="12">
        <f t="shared" si="25"/>
        <v>4963807</v>
      </c>
      <c r="D43" s="12">
        <f t="shared" si="25"/>
        <v>44541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450136</v>
      </c>
      <c r="J43" s="12">
        <f t="shared" si="25"/>
        <v>291573</v>
      </c>
      <c r="K43" s="17">
        <f>SUM(B43:J43)</f>
        <v>5786918</v>
      </c>
    </row>
    <row r="44" spans="1:11" x14ac:dyDescent="0.2">
      <c r="A44" s="45" t="s">
        <v>38</v>
      </c>
      <c r="B44" s="7">
        <f t="shared" si="25"/>
        <v>25020</v>
      </c>
      <c r="C44" s="7">
        <f t="shared" si="25"/>
        <v>1923049</v>
      </c>
      <c r="D44" s="7">
        <f t="shared" si="25"/>
        <v>39187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1275</v>
      </c>
      <c r="K44" s="17">
        <f>SUM(B44:J44)</f>
        <v>1988531</v>
      </c>
    </row>
    <row r="45" spans="1:11" ht="15.75" thickBot="1" x14ac:dyDescent="0.3">
      <c r="A45" s="46" t="s">
        <v>46</v>
      </c>
      <c r="B45" s="213">
        <f t="shared" ref="B45:J45" si="30">SUM(B43:B44)</f>
        <v>61881</v>
      </c>
      <c r="C45" s="213">
        <f t="shared" si="30"/>
        <v>6886856</v>
      </c>
      <c r="D45" s="213">
        <f t="shared" si="30"/>
        <v>83728</v>
      </c>
      <c r="E45" s="213">
        <f t="shared" si="30"/>
        <v>0</v>
      </c>
      <c r="F45" s="213">
        <f t="shared" ref="F45:I45" si="31">SUM(F43:F44)</f>
        <v>0</v>
      </c>
      <c r="G45" s="213">
        <f t="shared" si="31"/>
        <v>0</v>
      </c>
      <c r="H45" s="213">
        <f t="shared" ref="H45" si="32">SUM(H43:H44)</f>
        <v>0</v>
      </c>
      <c r="I45" s="213">
        <f t="shared" si="31"/>
        <v>450136</v>
      </c>
      <c r="J45" s="213">
        <f t="shared" si="30"/>
        <v>292848</v>
      </c>
      <c r="K45" s="214">
        <f>SUM(B45:J45)</f>
        <v>7775449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76" t="s">
        <v>121</v>
      </c>
      <c r="C47" s="239">
        <f>[3]Delta!$IH$70+[3]Delta!$IH$73</f>
        <v>573917</v>
      </c>
      <c r="D47" s="227"/>
      <c r="E47" s="227"/>
      <c r="F47" s="227"/>
      <c r="G47" s="227"/>
      <c r="H47" s="227"/>
      <c r="I47" s="227"/>
      <c r="J47" s="227"/>
      <c r="K47" s="228">
        <f>SUM(B47:J47)</f>
        <v>573917</v>
      </c>
    </row>
    <row r="48" spans="1:11" hidden="1" x14ac:dyDescent="0.2">
      <c r="A48" s="277" t="s">
        <v>122</v>
      </c>
      <c r="C48" s="239">
        <f>[3]Delta!$IH$71+[3]Delta!$IH$74</f>
        <v>292317</v>
      </c>
      <c r="D48" s="227"/>
      <c r="E48" s="227"/>
      <c r="F48" s="227"/>
      <c r="G48" s="227"/>
      <c r="H48" s="227"/>
      <c r="I48" s="227"/>
      <c r="J48" s="227"/>
      <c r="K48" s="228">
        <f>SUM(B48:J48)</f>
        <v>292317</v>
      </c>
    </row>
    <row r="49" spans="1:11" hidden="1" x14ac:dyDescent="0.2">
      <c r="A49" s="278" t="s">
        <v>123</v>
      </c>
      <c r="C49" s="240">
        <f>SUM(C47:C48)</f>
        <v>866234</v>
      </c>
      <c r="K49" s="228">
        <f>SUM(B49:J49)</f>
        <v>866234</v>
      </c>
    </row>
    <row r="50" spans="1:11" x14ac:dyDescent="0.2">
      <c r="A50" s="276" t="s">
        <v>121</v>
      </c>
      <c r="B50" s="287"/>
      <c r="C50" s="242">
        <f>[3]Delta!$IH$70+[3]Delta!$IH$73</f>
        <v>573917</v>
      </c>
      <c r="D50" s="287"/>
      <c r="E50" s="242">
        <f>[3]Spirit!$IH$70+[3]Spirit!$IH$73</f>
        <v>0</v>
      </c>
      <c r="F50" s="287"/>
      <c r="G50" s="287"/>
      <c r="H50" s="287"/>
      <c r="I50" s="287"/>
      <c r="J50" s="241">
        <f>'Other Major Airline Stats'!K48</f>
        <v>254481</v>
      </c>
      <c r="K50" s="231">
        <f>SUM(B50:J50)</f>
        <v>828398</v>
      </c>
    </row>
    <row r="51" spans="1:11" x14ac:dyDescent="0.2">
      <c r="A51" s="289" t="s">
        <v>122</v>
      </c>
      <c r="B51" s="287"/>
      <c r="C51" s="242">
        <f>[3]Delta!$IH$71+[3]Delta!$IH$74</f>
        <v>292317</v>
      </c>
      <c r="D51" s="287"/>
      <c r="E51" s="242">
        <f>[3]Spirit!$IH$71+[3]Spirit!$IH$74</f>
        <v>0</v>
      </c>
      <c r="F51" s="287"/>
      <c r="G51" s="287"/>
      <c r="H51" s="287"/>
      <c r="I51" s="287"/>
      <c r="J51" s="241">
        <f>+'Other Major Airline Stats'!K49</f>
        <v>285</v>
      </c>
      <c r="K51" s="231">
        <f>SUM(B51:J51)</f>
        <v>292602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March 2023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F8" sqref="F8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96">
        <v>44986</v>
      </c>
      <c r="B2" s="326" t="s">
        <v>47</v>
      </c>
      <c r="C2" s="325" t="s">
        <v>225</v>
      </c>
      <c r="D2" s="325" t="s">
        <v>201</v>
      </c>
      <c r="E2" s="325" t="s">
        <v>217</v>
      </c>
      <c r="F2" s="325" t="s">
        <v>178</v>
      </c>
      <c r="G2" s="326" t="s">
        <v>48</v>
      </c>
      <c r="H2" s="325" t="s">
        <v>129</v>
      </c>
      <c r="I2" s="325" t="s">
        <v>49</v>
      </c>
      <c r="J2" s="325" t="s">
        <v>128</v>
      </c>
      <c r="K2" s="144" t="s">
        <v>61</v>
      </c>
    </row>
    <row r="3" spans="1:14" ht="15.75" thickTop="1" x14ac:dyDescent="0.25">
      <c r="A3" s="47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23"/>
    </row>
    <row r="4" spans="1:14" x14ac:dyDescent="0.2">
      <c r="A4" s="45" t="s">
        <v>29</v>
      </c>
      <c r="B4" s="95"/>
      <c r="C4" s="95"/>
      <c r="D4" s="95"/>
      <c r="E4" s="95"/>
      <c r="F4" s="95"/>
      <c r="G4" s="95"/>
      <c r="H4" s="95"/>
      <c r="I4" s="95"/>
      <c r="J4" s="95"/>
      <c r="K4" s="124"/>
    </row>
    <row r="5" spans="1:14" x14ac:dyDescent="0.2">
      <c r="A5" s="45" t="s">
        <v>30</v>
      </c>
      <c r="B5" s="95">
        <f>[3]Frontier!$IH$22+[3]Frontier!$IH$32</f>
        <v>11948</v>
      </c>
      <c r="C5" s="95">
        <f>'[3]Allegiant '!$IH$22</f>
        <v>9487</v>
      </c>
      <c r="D5" s="95">
        <f>'[3]Aer Lingus'!$IH$22+'[3]Aer Lingus'!$IH$32</f>
        <v>0</v>
      </c>
      <c r="E5" s="95">
        <f>'[3]Denver Air'!$IH$22+'[3]Denver Air'!$IH$32</f>
        <v>764</v>
      </c>
      <c r="F5" s="95">
        <f>'[3]Boutique Air'!$IH$22</f>
        <v>0</v>
      </c>
      <c r="G5" s="95">
        <f>[3]Icelandair!$IH$32</f>
        <v>516</v>
      </c>
      <c r="H5" s="95">
        <f>[3]Southwest!$IH$22</f>
        <v>66128</v>
      </c>
      <c r="I5" s="95">
        <f>'[3]Sun Country'!$IH$22+'[3]Sun Country'!$IH$32</f>
        <v>184954</v>
      </c>
      <c r="J5" s="95">
        <f>[3]Alaska!$IH$22</f>
        <v>8120</v>
      </c>
      <c r="K5" s="118">
        <f>SUM(B5:J5)</f>
        <v>281917</v>
      </c>
      <c r="N5" s="95"/>
    </row>
    <row r="6" spans="1:14" x14ac:dyDescent="0.2">
      <c r="A6" s="45" t="s">
        <v>31</v>
      </c>
      <c r="B6" s="95">
        <f>[3]Frontier!$IH$23+[3]Frontier!$IH$33</f>
        <v>11303</v>
      </c>
      <c r="C6" s="95">
        <f>'[3]Allegiant '!$IH$23</f>
        <v>10041</v>
      </c>
      <c r="D6" s="95">
        <f>'[3]Aer Lingus'!$IH$23+'[3]Aer Lingus'!$IH$33</f>
        <v>0</v>
      </c>
      <c r="E6" s="95">
        <f>'[3]Denver Air'!$IH$23+'[3]Denver Air'!$IH$33</f>
        <v>789</v>
      </c>
      <c r="F6" s="95">
        <f>'[3]Boutique Air'!$IH$23</f>
        <v>0</v>
      </c>
      <c r="G6" s="95">
        <f>[3]Icelandair!$IH$33</f>
        <v>907</v>
      </c>
      <c r="H6" s="95">
        <f>[3]Southwest!$IH$23</f>
        <v>68586</v>
      </c>
      <c r="I6" s="95">
        <f>'[3]Sun Country'!$IH$23+'[3]Sun Country'!$IH$33</f>
        <v>186180</v>
      </c>
      <c r="J6" s="95">
        <f>[3]Alaska!$IH$23</f>
        <v>8131</v>
      </c>
      <c r="K6" s="118">
        <f>SUM(B6:J6)</f>
        <v>285937</v>
      </c>
    </row>
    <row r="7" spans="1:14" ht="15" x14ac:dyDescent="0.25">
      <c r="A7" s="43" t="s">
        <v>7</v>
      </c>
      <c r="B7" s="126">
        <f>SUM(B5:B6)</f>
        <v>23251</v>
      </c>
      <c r="C7" s="126">
        <f t="shared" ref="C7:F7" si="0">SUM(C5:C6)</f>
        <v>19528</v>
      </c>
      <c r="D7" s="126">
        <f>SUM(D5:D6)</f>
        <v>0</v>
      </c>
      <c r="E7" s="126">
        <f>SUM(E5:E6)</f>
        <v>1553</v>
      </c>
      <c r="F7" s="126">
        <f t="shared" si="0"/>
        <v>0</v>
      </c>
      <c r="G7" s="126">
        <f t="shared" ref="G7:J7" si="1">SUM(G5:G6)</f>
        <v>1423</v>
      </c>
      <c r="H7" s="126">
        <f t="shared" si="1"/>
        <v>134714</v>
      </c>
      <c r="I7" s="126">
        <f>SUM(I5:I6)</f>
        <v>371134</v>
      </c>
      <c r="J7" s="126">
        <f t="shared" si="1"/>
        <v>16251</v>
      </c>
      <c r="K7" s="127">
        <f>SUM(B7:J7)</f>
        <v>567854</v>
      </c>
    </row>
    <row r="8" spans="1:14" x14ac:dyDescent="0.2">
      <c r="A8" s="45"/>
      <c r="B8" s="125"/>
      <c r="C8" s="125"/>
      <c r="D8" s="359"/>
      <c r="E8" s="125"/>
      <c r="F8" s="125"/>
      <c r="G8" s="125"/>
      <c r="H8" s="125"/>
      <c r="I8" s="125"/>
      <c r="J8" s="125"/>
      <c r="K8" s="118"/>
    </row>
    <row r="9" spans="1:14" x14ac:dyDescent="0.2">
      <c r="A9" s="45" t="s">
        <v>32</v>
      </c>
      <c r="B9" s="125"/>
      <c r="C9" s="125"/>
      <c r="D9" s="359"/>
      <c r="E9" s="125"/>
      <c r="F9" s="125"/>
      <c r="G9" s="125"/>
      <c r="H9" s="125"/>
      <c r="I9" s="125"/>
      <c r="J9" s="125"/>
      <c r="K9" s="118"/>
    </row>
    <row r="10" spans="1:14" x14ac:dyDescent="0.2">
      <c r="A10" s="45" t="s">
        <v>30</v>
      </c>
      <c r="B10" s="125">
        <f>[3]Frontier!$IH$27+[3]Frontier!$IH$37</f>
        <v>77</v>
      </c>
      <c r="C10" s="125">
        <f>'[3]Allegiant '!$IH$27</f>
        <v>0</v>
      </c>
      <c r="D10" s="359">
        <f>'[3]Aer Lingus'!$IH$27+'[3]Aer Lingus'!$IH$37</f>
        <v>0</v>
      </c>
      <c r="E10" s="125">
        <f>'[3]Denver Air'!$IH$27+'[3]Denver Air'!$IH$37</f>
        <v>15</v>
      </c>
      <c r="F10" s="125">
        <f>'[3]Boutique Air'!$IH$27</f>
        <v>0</v>
      </c>
      <c r="G10" s="125">
        <f>[3]Icelandair!$IH$37</f>
        <v>14</v>
      </c>
      <c r="H10" s="125">
        <f>[3]Southwest!$IH$27</f>
        <v>1532</v>
      </c>
      <c r="I10" s="125">
        <f>'[3]Sun Country'!$IH$27+'[3]Sun Country'!$IH$37</f>
        <v>3021</v>
      </c>
      <c r="J10" s="125">
        <f>[3]Alaska!$IH$27</f>
        <v>328</v>
      </c>
      <c r="K10" s="118">
        <f>SUM(B10:J10)</f>
        <v>4987</v>
      </c>
    </row>
    <row r="11" spans="1:14" x14ac:dyDescent="0.2">
      <c r="A11" s="45" t="s">
        <v>33</v>
      </c>
      <c r="B11" s="128">
        <f>[3]Frontier!$IH$28+[3]Frontier!$IH$38</f>
        <v>66</v>
      </c>
      <c r="C11" s="128">
        <f>'[3]Allegiant '!$IH$28</f>
        <v>0</v>
      </c>
      <c r="D11" s="128">
        <f>'[3]Aer Lingus'!$IH$28+'[3]Aer Lingus'!$IH$38</f>
        <v>0</v>
      </c>
      <c r="E11" s="128">
        <f>'[3]Denver Air'!$IH$28+'[3]Denver Air'!$IH$38</f>
        <v>33</v>
      </c>
      <c r="F11" s="128">
        <f>'[3]Boutique Air'!$IH$28</f>
        <v>0</v>
      </c>
      <c r="G11" s="128">
        <f>[3]Icelandair!$IH$38</f>
        <v>4</v>
      </c>
      <c r="H11" s="128">
        <f>[3]Southwest!$IH$28</f>
        <v>1429</v>
      </c>
      <c r="I11" s="128">
        <f>'[3]Sun Country'!$IH$28+'[3]Sun Country'!$IH$38</f>
        <v>3318</v>
      </c>
      <c r="J11" s="128">
        <f>[3]Alaska!$IH$28</f>
        <v>332</v>
      </c>
      <c r="K11" s="118">
        <f>SUM(B11:J11)</f>
        <v>5182</v>
      </c>
    </row>
    <row r="12" spans="1:14" ht="15.75" thickBot="1" x14ac:dyDescent="0.3">
      <c r="A12" s="46" t="s">
        <v>34</v>
      </c>
      <c r="B12" s="121">
        <f>SUM(B10:B11)</f>
        <v>143</v>
      </c>
      <c r="C12" s="121">
        <f t="shared" ref="C12:F12" si="2">SUM(C10:C11)</f>
        <v>0</v>
      </c>
      <c r="D12" s="121">
        <f>SUM(D10:D11)</f>
        <v>0</v>
      </c>
      <c r="E12" s="121">
        <f>SUM(E10:E11)</f>
        <v>48</v>
      </c>
      <c r="F12" s="121">
        <f t="shared" si="2"/>
        <v>0</v>
      </c>
      <c r="G12" s="121">
        <f t="shared" ref="G12:J12" si="3">SUM(G10:G11)</f>
        <v>18</v>
      </c>
      <c r="H12" s="121">
        <f t="shared" si="3"/>
        <v>2961</v>
      </c>
      <c r="I12" s="121">
        <f>SUM(I10:I11)</f>
        <v>6339</v>
      </c>
      <c r="J12" s="121">
        <f t="shared" si="3"/>
        <v>660</v>
      </c>
      <c r="K12" s="129">
        <f>SUM(B12:J12)</f>
        <v>10169</v>
      </c>
      <c r="N12" s="95"/>
    </row>
    <row r="13" spans="1:14" ht="15" x14ac:dyDescent="0.25">
      <c r="A13" s="42"/>
      <c r="B13" s="215"/>
      <c r="C13" s="215"/>
      <c r="D13" s="360"/>
      <c r="E13" s="215"/>
      <c r="F13" s="215"/>
      <c r="G13" s="215"/>
      <c r="H13" s="215"/>
      <c r="I13" s="215"/>
      <c r="J13" s="215"/>
      <c r="K13" s="216"/>
    </row>
    <row r="14" spans="1:14" ht="13.5" thickBot="1" x14ac:dyDescent="0.25"/>
    <row r="15" spans="1:14" ht="15.75" thickTop="1" x14ac:dyDescent="0.25">
      <c r="A15" s="44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4" x14ac:dyDescent="0.2">
      <c r="A16" s="45" t="s">
        <v>22</v>
      </c>
      <c r="B16" s="95">
        <f>[3]Frontier!$IH$4+[3]Frontier!$IH$15</f>
        <v>67</v>
      </c>
      <c r="C16" s="85">
        <f>'[3]Allegiant '!$IH$4</f>
        <v>63</v>
      </c>
      <c r="D16" s="95">
        <f>'[3]Aer Lingus'!$IH$4+'[3]Aer Lingus'!$IH$15</f>
        <v>0</v>
      </c>
      <c r="E16" s="95">
        <f>'[3]Denver Air'!$IH$4+'[3]Denver Air'!$IH$15</f>
        <v>80</v>
      </c>
      <c r="F16" s="85">
        <f>'[3]Boutique Air'!$IH$4</f>
        <v>0</v>
      </c>
      <c r="G16" s="95">
        <f>[3]Icelandair!$IH$15</f>
        <v>6</v>
      </c>
      <c r="H16" s="85">
        <f>[3]Southwest!$IH$4</f>
        <v>579</v>
      </c>
      <c r="I16" s="95">
        <f>'[3]Sun Country'!$IH$4+'[3]Sun Country'!$IH$15</f>
        <v>1134</v>
      </c>
      <c r="J16" s="95">
        <f>[3]Alaska!$IH$4</f>
        <v>54</v>
      </c>
      <c r="K16" s="118">
        <f>SUM(B16:J16)</f>
        <v>1983</v>
      </c>
    </row>
    <row r="17" spans="1:258" x14ac:dyDescent="0.2">
      <c r="A17" s="45" t="s">
        <v>23</v>
      </c>
      <c r="B17" s="95">
        <f>[3]Frontier!$IH$5+[3]Frontier!$IH$16</f>
        <v>67</v>
      </c>
      <c r="C17" s="85">
        <f>'[3]Allegiant '!$IH$5</f>
        <v>63</v>
      </c>
      <c r="D17" s="95">
        <f>'[3]Aer Lingus'!$IH$5+'[3]Aer Lingus'!$IH$16</f>
        <v>0</v>
      </c>
      <c r="E17" s="95">
        <f>'[3]Denver Air'!$IH$5+'[3]Denver Air'!$IH$16</f>
        <v>80</v>
      </c>
      <c r="F17" s="85">
        <f>'[3]Boutique Air'!$IH$5</f>
        <v>0</v>
      </c>
      <c r="G17" s="95">
        <f>[3]Icelandair!$IH$16</f>
        <v>6</v>
      </c>
      <c r="H17" s="85">
        <f>[3]Southwest!$IH$5</f>
        <v>582</v>
      </c>
      <c r="I17" s="95">
        <f>'[3]Sun Country'!$IH$5+'[3]Sun Country'!$IH$16</f>
        <v>1140</v>
      </c>
      <c r="J17" s="95">
        <f>[3]Alaska!$IH$5</f>
        <v>55</v>
      </c>
      <c r="K17" s="118">
        <f>SUM(B17:J17)</f>
        <v>1993</v>
      </c>
    </row>
    <row r="18" spans="1:258" x14ac:dyDescent="0.2">
      <c r="A18" s="49" t="s">
        <v>24</v>
      </c>
      <c r="B18" s="119">
        <f t="shared" ref="B18" si="4">SUM(B16:B17)</f>
        <v>134</v>
      </c>
      <c r="C18" s="119">
        <f t="shared" ref="C18:F18" si="5">SUM(C16:C17)</f>
        <v>126</v>
      </c>
      <c r="D18" s="119">
        <f t="shared" si="5"/>
        <v>0</v>
      </c>
      <c r="E18" s="119">
        <f t="shared" si="5"/>
        <v>160</v>
      </c>
      <c r="F18" s="119">
        <f t="shared" si="5"/>
        <v>0</v>
      </c>
      <c r="G18" s="119">
        <f t="shared" ref="G18:J18" si="6">SUM(G16:G17)</f>
        <v>12</v>
      </c>
      <c r="H18" s="119">
        <f t="shared" si="6"/>
        <v>1161</v>
      </c>
      <c r="I18" s="119">
        <f t="shared" si="6"/>
        <v>2274</v>
      </c>
      <c r="J18" s="119">
        <f t="shared" si="6"/>
        <v>109</v>
      </c>
      <c r="K18" s="120">
        <f>SUM(B18:J18)</f>
        <v>3976</v>
      </c>
    </row>
    <row r="19" spans="1:258" x14ac:dyDescent="0.2">
      <c r="A19" s="49"/>
      <c r="B19" s="93"/>
      <c r="C19" s="93"/>
      <c r="D19" s="93"/>
      <c r="E19" s="93"/>
      <c r="F19" s="93"/>
      <c r="G19" s="93"/>
      <c r="H19" s="93"/>
      <c r="I19" s="93"/>
      <c r="J19" s="93"/>
      <c r="K19" s="118"/>
    </row>
    <row r="20" spans="1:258" x14ac:dyDescent="0.2">
      <c r="A20" s="45" t="s">
        <v>25</v>
      </c>
      <c r="B20" s="95">
        <f>[3]Frontier!$IH$8</f>
        <v>0</v>
      </c>
      <c r="C20" s="95">
        <f>'[3]Allegiant '!$IH$8</f>
        <v>0</v>
      </c>
      <c r="D20" s="95">
        <f>'[3]Aer Lingus'!$IH$8</f>
        <v>0</v>
      </c>
      <c r="E20" s="95">
        <f>'[3]Denver Air'!$IH$8</f>
        <v>0</v>
      </c>
      <c r="F20" s="95">
        <f>'[3]Boutique Air'!$IH$8</f>
        <v>0</v>
      </c>
      <c r="G20" s="95">
        <f>[3]Icelandair!$IH$8</f>
        <v>0</v>
      </c>
      <c r="H20" s="95">
        <f>[3]Southwest!$IH$8</f>
        <v>0</v>
      </c>
      <c r="I20" s="95">
        <f>'[3]Sun Country'!$IH$8</f>
        <v>55</v>
      </c>
      <c r="J20" s="95">
        <f>[3]Alaska!$IH$8</f>
        <v>0</v>
      </c>
      <c r="K20" s="118">
        <f>SUM(B20:J20)</f>
        <v>55</v>
      </c>
    </row>
    <row r="21" spans="1:258" x14ac:dyDescent="0.2">
      <c r="A21" s="45" t="s">
        <v>26</v>
      </c>
      <c r="B21" s="95">
        <f>[3]Frontier!$IH$9</f>
        <v>0</v>
      </c>
      <c r="C21" s="95">
        <f>'[3]Allegiant '!$IH$9</f>
        <v>0</v>
      </c>
      <c r="D21" s="95">
        <f>'[3]Aer Lingus'!$IH$9</f>
        <v>0</v>
      </c>
      <c r="E21" s="95">
        <f>'[3]Denver Air'!$IH$9</f>
        <v>0</v>
      </c>
      <c r="F21" s="95">
        <f>'[3]Boutique Air'!$IH$9</f>
        <v>0</v>
      </c>
      <c r="G21" s="95">
        <f>[3]Icelandair!$IH$9</f>
        <v>0</v>
      </c>
      <c r="H21" s="95">
        <f>[3]Southwest!$IH$9</f>
        <v>0</v>
      </c>
      <c r="I21" s="95">
        <f>'[3]Sun Country'!$IH$9</f>
        <v>55</v>
      </c>
      <c r="J21" s="95">
        <f>[3]Alaska!$IH$9</f>
        <v>0</v>
      </c>
      <c r="K21" s="118">
        <f>SUM(B21:J21)</f>
        <v>55</v>
      </c>
    </row>
    <row r="22" spans="1:258" x14ac:dyDescent="0.2">
      <c r="A22" s="49" t="s">
        <v>27</v>
      </c>
      <c r="B22" s="119">
        <f t="shared" ref="B22" si="7">SUM(B20:B21)</f>
        <v>0</v>
      </c>
      <c r="C22" s="119">
        <f t="shared" ref="C22:F22" si="8">SUM(C20:C21)</f>
        <v>0</v>
      </c>
      <c r="D22" s="119">
        <f t="shared" si="8"/>
        <v>0</v>
      </c>
      <c r="E22" s="119">
        <f t="shared" si="8"/>
        <v>0</v>
      </c>
      <c r="F22" s="119">
        <f t="shared" si="8"/>
        <v>0</v>
      </c>
      <c r="G22" s="119">
        <f t="shared" ref="G22:J22" si="9">SUM(G20:G21)</f>
        <v>0</v>
      </c>
      <c r="H22" s="119">
        <f t="shared" si="9"/>
        <v>0</v>
      </c>
      <c r="I22" s="119">
        <f t="shared" si="9"/>
        <v>110</v>
      </c>
      <c r="J22" s="119">
        <f t="shared" si="9"/>
        <v>0</v>
      </c>
      <c r="K22" s="120">
        <f>SUM(B22:J22)</f>
        <v>110</v>
      </c>
    </row>
    <row r="23" spans="1:258" ht="15.75" thickBot="1" x14ac:dyDescent="0.3">
      <c r="A23" s="46" t="s">
        <v>28</v>
      </c>
      <c r="B23" s="121">
        <f t="shared" ref="B23" si="10">B22+B18</f>
        <v>134</v>
      </c>
      <c r="C23" s="121">
        <f t="shared" ref="C23:F23" si="11">C22+C18</f>
        <v>126</v>
      </c>
      <c r="D23" s="121">
        <f t="shared" si="11"/>
        <v>0</v>
      </c>
      <c r="E23" s="121">
        <f t="shared" si="11"/>
        <v>160</v>
      </c>
      <c r="F23" s="121">
        <f t="shared" si="11"/>
        <v>0</v>
      </c>
      <c r="G23" s="121">
        <f t="shared" ref="G23:J23" si="12">G22+G18</f>
        <v>12</v>
      </c>
      <c r="H23" s="121">
        <f t="shared" si="12"/>
        <v>1161</v>
      </c>
      <c r="I23" s="121">
        <f t="shared" si="12"/>
        <v>2384</v>
      </c>
      <c r="J23" s="121">
        <f t="shared" si="12"/>
        <v>109</v>
      </c>
      <c r="K23" s="122">
        <f>SUM(B23:J23)</f>
        <v>4086</v>
      </c>
    </row>
    <row r="24" spans="1:258" x14ac:dyDescent="0.2">
      <c r="A24" s="12"/>
      <c r="B24" s="12"/>
      <c r="C24" s="12"/>
      <c r="D24" s="36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  <c r="K25" s="95"/>
    </row>
    <row r="26" spans="1:258" ht="15.75" thickTop="1" x14ac:dyDescent="0.25">
      <c r="A26" s="48" t="s">
        <v>35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258" x14ac:dyDescent="0.2">
      <c r="A27" s="45" t="s">
        <v>36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4"/>
    </row>
    <row r="28" spans="1:258" x14ac:dyDescent="0.2">
      <c r="A28" s="45" t="s">
        <v>37</v>
      </c>
      <c r="B28" s="95">
        <f>[3]Frontier!$IH$47</f>
        <v>0</v>
      </c>
      <c r="C28" s="95">
        <f>'[3]Allegiant '!$IH$47</f>
        <v>0</v>
      </c>
      <c r="D28" s="95">
        <f>'[3]Aer Lingus'!$IH$47</f>
        <v>0</v>
      </c>
      <c r="E28" s="95">
        <f>'[3]Denver Air'!$IH$47</f>
        <v>0</v>
      </c>
      <c r="F28" s="95">
        <f>'[3]Boutique Air'!$IH$47</f>
        <v>0</v>
      </c>
      <c r="G28" s="95">
        <f>[3]Icelandair!$IH$47</f>
        <v>13</v>
      </c>
      <c r="H28" s="95">
        <f>[3]Southwest!$IH$47</f>
        <v>208935</v>
      </c>
      <c r="I28" s="95">
        <f>'[3]Sun Country'!$IH$47</f>
        <v>0</v>
      </c>
      <c r="J28" s="95">
        <f>[3]Alaska!$IH$47</f>
        <v>23343</v>
      </c>
      <c r="K28" s="118">
        <f>SUM(B28:J28)</f>
        <v>232291</v>
      </c>
    </row>
    <row r="29" spans="1:258" x14ac:dyDescent="0.2">
      <c r="A29" s="45" t="s">
        <v>38</v>
      </c>
      <c r="B29" s="95">
        <f>[3]Frontier!$IH$48</f>
        <v>0</v>
      </c>
      <c r="C29" s="95">
        <f>'[3]Allegiant '!$IH$48</f>
        <v>0</v>
      </c>
      <c r="D29" s="95">
        <f>'[3]Aer Lingus'!$IH$48</f>
        <v>0</v>
      </c>
      <c r="E29" s="95">
        <f>'[3]Denver Air'!$IH$48</f>
        <v>0</v>
      </c>
      <c r="F29" s="95">
        <f>'[3]Boutique Air'!$IH$48</f>
        <v>0</v>
      </c>
      <c r="G29" s="95">
        <f>[3]Icelandair!$IH$48</f>
        <v>0</v>
      </c>
      <c r="H29" s="95">
        <f>[3]Southwest!$IH$48</f>
        <v>0</v>
      </c>
      <c r="I29" s="95">
        <f>'[3]Sun Country'!$IH$48</f>
        <v>116</v>
      </c>
      <c r="J29" s="95">
        <f>[3]Alaska!$IH$48</f>
        <v>0</v>
      </c>
      <c r="K29" s="118">
        <f>SUM(B29:J29)</f>
        <v>116</v>
      </c>
    </row>
    <row r="30" spans="1:258" x14ac:dyDescent="0.2">
      <c r="A30" s="49" t="s">
        <v>39</v>
      </c>
      <c r="B30" s="133">
        <f t="shared" ref="B30" si="13">SUM(B28:B29)</f>
        <v>0</v>
      </c>
      <c r="C30" s="133">
        <f t="shared" ref="C30:F30" si="14">SUM(C28:C29)</f>
        <v>0</v>
      </c>
      <c r="D30" s="133">
        <f t="shared" si="14"/>
        <v>0</v>
      </c>
      <c r="E30" s="133">
        <f t="shared" si="14"/>
        <v>0</v>
      </c>
      <c r="F30" s="133">
        <f t="shared" si="14"/>
        <v>0</v>
      </c>
      <c r="G30" s="133">
        <f t="shared" ref="G30:J30" si="15">SUM(G28:G29)</f>
        <v>13</v>
      </c>
      <c r="H30" s="133">
        <f t="shared" si="15"/>
        <v>208935</v>
      </c>
      <c r="I30" s="133">
        <f t="shared" si="15"/>
        <v>116</v>
      </c>
      <c r="J30" s="133">
        <f t="shared" si="15"/>
        <v>23343</v>
      </c>
      <c r="K30" s="135">
        <f>SUM(B30:J30)</f>
        <v>232407</v>
      </c>
    </row>
    <row r="31" spans="1:258" x14ac:dyDescent="0.2">
      <c r="A31" s="45"/>
      <c r="B31" s="125"/>
      <c r="C31" s="125"/>
      <c r="D31" s="359"/>
      <c r="E31" s="125"/>
      <c r="F31" s="125"/>
      <c r="G31" s="125"/>
      <c r="H31" s="125"/>
      <c r="I31" s="125"/>
      <c r="J31" s="125"/>
      <c r="K31" s="118"/>
    </row>
    <row r="32" spans="1:258" x14ac:dyDescent="0.2">
      <c r="A32" s="45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spans="1:11" x14ac:dyDescent="0.2">
      <c r="A33" s="45" t="s">
        <v>37</v>
      </c>
      <c r="B33" s="95">
        <f>[3]Frontier!$IH$52</f>
        <v>0</v>
      </c>
      <c r="C33" s="95">
        <f>'[3]Allegiant '!$IH$52</f>
        <v>0</v>
      </c>
      <c r="D33" s="95">
        <f>'[3]Aer Lingus'!$IH$52</f>
        <v>0</v>
      </c>
      <c r="E33" s="95">
        <f>'[3]Denver Air'!$IH$52</f>
        <v>0</v>
      </c>
      <c r="F33" s="95">
        <f>'[3]Boutique Air'!$IH$52</f>
        <v>0</v>
      </c>
      <c r="G33" s="95">
        <f>[3]Icelandair!$IH$52</f>
        <v>58</v>
      </c>
      <c r="H33" s="95">
        <f>[3]Southwest!$IH$52</f>
        <v>43218</v>
      </c>
      <c r="I33" s="95">
        <f>'[3]Sun Country'!$IH$52</f>
        <v>0</v>
      </c>
      <c r="J33" s="95">
        <f>[3]Alaska!$IH$52</f>
        <v>16006</v>
      </c>
      <c r="K33" s="118">
        <f>SUM(B33:J33)</f>
        <v>59282</v>
      </c>
    </row>
    <row r="34" spans="1:11" x14ac:dyDescent="0.2">
      <c r="A34" s="45" t="s">
        <v>38</v>
      </c>
      <c r="B34" s="95">
        <f>[3]Frontier!$IH$53</f>
        <v>0</v>
      </c>
      <c r="C34" s="95">
        <f>'[3]Allegiant '!$IH$53</f>
        <v>0</v>
      </c>
      <c r="D34" s="95">
        <f>'[3]Aer Lingus'!$IH$53</f>
        <v>0</v>
      </c>
      <c r="E34" s="95">
        <f>'[3]Denver Air'!$IH$53</f>
        <v>0</v>
      </c>
      <c r="F34" s="95">
        <f>'[3]Boutique Air'!$IH$53</f>
        <v>0</v>
      </c>
      <c r="G34" s="95">
        <f>[3]Icelandair!$IH$53</f>
        <v>0</v>
      </c>
      <c r="H34" s="95">
        <f>[3]Southwest!$IH$53</f>
        <v>0</v>
      </c>
      <c r="I34" s="95">
        <f>'[3]Sun Country'!$IH$53</f>
        <v>1159</v>
      </c>
      <c r="J34" s="95">
        <f>[3]Alaska!$IH$53</f>
        <v>0</v>
      </c>
      <c r="K34" s="134">
        <f>SUM(B34:J34)</f>
        <v>1159</v>
      </c>
    </row>
    <row r="35" spans="1:11" x14ac:dyDescent="0.2">
      <c r="A35" s="49" t="s">
        <v>41</v>
      </c>
      <c r="B35" s="119">
        <f t="shared" ref="B35" si="16">SUM(B33:B34)</f>
        <v>0</v>
      </c>
      <c r="C35" s="119">
        <f t="shared" ref="C35:F35" si="17">SUM(C33:C34)</f>
        <v>0</v>
      </c>
      <c r="D35" s="119">
        <f t="shared" si="17"/>
        <v>0</v>
      </c>
      <c r="E35" s="119">
        <f t="shared" si="17"/>
        <v>0</v>
      </c>
      <c r="F35" s="119">
        <f t="shared" si="17"/>
        <v>0</v>
      </c>
      <c r="G35" s="119">
        <f t="shared" ref="G35:J35" si="18">SUM(G33:G34)</f>
        <v>58</v>
      </c>
      <c r="H35" s="119">
        <f t="shared" si="18"/>
        <v>43218</v>
      </c>
      <c r="I35" s="119">
        <f t="shared" si="18"/>
        <v>1159</v>
      </c>
      <c r="J35" s="119">
        <f t="shared" si="18"/>
        <v>16006</v>
      </c>
      <c r="K35" s="135">
        <f>SUM(B35:J35)</f>
        <v>60441</v>
      </c>
    </row>
    <row r="36" spans="1:11" hidden="1" x14ac:dyDescent="0.2">
      <c r="A36" s="45"/>
      <c r="B36" s="125"/>
      <c r="C36" s="125"/>
      <c r="D36" s="359"/>
      <c r="E36" s="125"/>
      <c r="F36" s="125"/>
      <c r="G36" s="125"/>
      <c r="H36" s="125"/>
      <c r="I36" s="125"/>
      <c r="J36" s="125"/>
      <c r="K36" s="118"/>
    </row>
    <row r="37" spans="1:11" hidden="1" x14ac:dyDescent="0.2">
      <c r="A37" s="45" t="s">
        <v>42</v>
      </c>
      <c r="B37" s="125"/>
      <c r="C37" s="125"/>
      <c r="D37" s="359"/>
      <c r="E37" s="125"/>
      <c r="F37" s="125"/>
      <c r="G37" s="125"/>
      <c r="H37" s="125"/>
      <c r="I37" s="125"/>
      <c r="J37" s="125"/>
      <c r="K37" s="118"/>
    </row>
    <row r="38" spans="1:11" hidden="1" x14ac:dyDescent="0.2">
      <c r="A38" s="45" t="s">
        <v>37</v>
      </c>
      <c r="B38" s="125">
        <f>[3]Frontier!$IH$57</f>
        <v>0</v>
      </c>
      <c r="C38" s="125">
        <f>'[3]Allegiant '!$IH$57</f>
        <v>0</v>
      </c>
      <c r="D38" s="359">
        <f>'[3]Aer Lingus'!$IH$57</f>
        <v>0</v>
      </c>
      <c r="E38" s="125">
        <f>'[3]Denver Air'!$IH$57</f>
        <v>0</v>
      </c>
      <c r="F38" s="125">
        <f>'[3]Boutique Air'!$IH$57</f>
        <v>0</v>
      </c>
      <c r="G38" s="125">
        <f>[3]Icelandair!$IH$57</f>
        <v>0</v>
      </c>
      <c r="H38" s="125">
        <f>[3]Southwest!$IH$57</f>
        <v>0</v>
      </c>
      <c r="I38" s="125">
        <f>'[3]Sun Country'!$IH$57</f>
        <v>0</v>
      </c>
      <c r="J38" s="125">
        <f>[3]Alaska!$IH$57</f>
        <v>0</v>
      </c>
      <c r="K38" s="118">
        <f>SUM(B38:I38)</f>
        <v>0</v>
      </c>
    </row>
    <row r="39" spans="1:11" hidden="1" x14ac:dyDescent="0.2">
      <c r="A39" s="45" t="s">
        <v>38</v>
      </c>
      <c r="B39" s="128">
        <f>[3]Frontier!$IH$58</f>
        <v>0</v>
      </c>
      <c r="C39" s="128">
        <f>'[3]Allegiant '!$IH$58</f>
        <v>0</v>
      </c>
      <c r="D39" s="128">
        <f>'[3]Aer Lingus'!$IH$58</f>
        <v>0</v>
      </c>
      <c r="E39" s="128">
        <f>'[3]Denver Air'!$IH$58</f>
        <v>0</v>
      </c>
      <c r="F39" s="128">
        <f>'[3]Boutique Air'!$IH$58</f>
        <v>0</v>
      </c>
      <c r="G39" s="128">
        <f>[3]Icelandair!$IH$58</f>
        <v>0</v>
      </c>
      <c r="H39" s="128">
        <f>[3]Southwest!$IH$58</f>
        <v>0</v>
      </c>
      <c r="I39" s="128">
        <f>'[3]Sun Country'!$IH$58</f>
        <v>0</v>
      </c>
      <c r="J39" s="128">
        <f>[3]Alaska!$IH$58</f>
        <v>0</v>
      </c>
      <c r="K39" s="134">
        <f>SUM(B39:I39)</f>
        <v>0</v>
      </c>
    </row>
    <row r="40" spans="1:11" hidden="1" x14ac:dyDescent="0.2">
      <c r="A40" s="49" t="s">
        <v>43</v>
      </c>
      <c r="B40" s="136">
        <f t="shared" ref="B40" si="19">SUM(B38:B39)</f>
        <v>0</v>
      </c>
      <c r="C40" s="136">
        <f t="shared" ref="C40:F40" si="20">SUM(C38:C39)</f>
        <v>0</v>
      </c>
      <c r="D40" s="362">
        <f t="shared" si="20"/>
        <v>0</v>
      </c>
      <c r="E40" s="136">
        <f t="shared" si="20"/>
        <v>0</v>
      </c>
      <c r="F40" s="136">
        <f t="shared" si="20"/>
        <v>0</v>
      </c>
      <c r="G40" s="136">
        <f t="shared" ref="G40:J40" si="21">SUM(G38:G39)</f>
        <v>0</v>
      </c>
      <c r="H40" s="136">
        <f t="shared" si="21"/>
        <v>0</v>
      </c>
      <c r="I40" s="136">
        <f t="shared" si="21"/>
        <v>0</v>
      </c>
      <c r="J40" s="136">
        <f t="shared" si="21"/>
        <v>0</v>
      </c>
      <c r="K40" s="118">
        <f>SUM(B40:I40)</f>
        <v>0</v>
      </c>
    </row>
    <row r="41" spans="1:11" x14ac:dyDescent="0.2">
      <c r="A41" s="45"/>
      <c r="B41" s="125"/>
      <c r="C41" s="125"/>
      <c r="D41" s="359"/>
      <c r="E41" s="125"/>
      <c r="F41" s="125"/>
      <c r="G41" s="125"/>
      <c r="H41" s="125"/>
      <c r="I41" s="125"/>
      <c r="J41" s="125"/>
      <c r="K41" s="118"/>
    </row>
    <row r="42" spans="1:11" x14ac:dyDescent="0.2">
      <c r="A42" s="45" t="s">
        <v>44</v>
      </c>
      <c r="B42" s="125"/>
      <c r="C42" s="125"/>
      <c r="D42" s="359"/>
      <c r="E42" s="125"/>
      <c r="F42" s="125"/>
      <c r="G42" s="125"/>
      <c r="H42" s="125"/>
      <c r="I42" s="125"/>
      <c r="J42" s="125"/>
      <c r="K42" s="118"/>
    </row>
    <row r="43" spans="1:11" x14ac:dyDescent="0.2">
      <c r="A43" s="45" t="s">
        <v>45</v>
      </c>
      <c r="B43" s="125">
        <f t="shared" ref="B43" si="22">B28+B33+B38</f>
        <v>0</v>
      </c>
      <c r="C43" s="125">
        <f t="shared" ref="C43:F43" si="23">C28+C33+C38</f>
        <v>0</v>
      </c>
      <c r="D43" s="359">
        <f t="shared" si="23"/>
        <v>0</v>
      </c>
      <c r="E43" s="125">
        <f t="shared" si="23"/>
        <v>0</v>
      </c>
      <c r="F43" s="125">
        <f t="shared" si="23"/>
        <v>0</v>
      </c>
      <c r="G43" s="125">
        <f t="shared" ref="G43:J43" si="24">G28+G33+G38</f>
        <v>71</v>
      </c>
      <c r="H43" s="125">
        <f t="shared" si="24"/>
        <v>252153</v>
      </c>
      <c r="I43" s="125">
        <f t="shared" si="24"/>
        <v>0</v>
      </c>
      <c r="J43" s="125">
        <f t="shared" si="24"/>
        <v>39349</v>
      </c>
      <c r="K43" s="118">
        <f>SUM(B43:J43)</f>
        <v>291573</v>
      </c>
    </row>
    <row r="44" spans="1:11" x14ac:dyDescent="0.2">
      <c r="A44" s="45" t="s">
        <v>38</v>
      </c>
      <c r="B44" s="128">
        <f t="shared" ref="B44" si="25">+B39+B34+B29</f>
        <v>0</v>
      </c>
      <c r="C44" s="128">
        <f t="shared" ref="C44:F44" si="26">+C39+C34+C29</f>
        <v>0</v>
      </c>
      <c r="D44" s="128">
        <f t="shared" si="26"/>
        <v>0</v>
      </c>
      <c r="E44" s="128">
        <f t="shared" si="26"/>
        <v>0</v>
      </c>
      <c r="F44" s="128">
        <f t="shared" si="26"/>
        <v>0</v>
      </c>
      <c r="G44" s="128">
        <f t="shared" ref="G44:J44" si="27">+G39+G34+G29</f>
        <v>0</v>
      </c>
      <c r="H44" s="128">
        <f t="shared" si="27"/>
        <v>0</v>
      </c>
      <c r="I44" s="128">
        <f t="shared" si="27"/>
        <v>1275</v>
      </c>
      <c r="J44" s="128">
        <f t="shared" si="27"/>
        <v>0</v>
      </c>
      <c r="K44" s="118">
        <f>SUM(B44:J44)</f>
        <v>1275</v>
      </c>
    </row>
    <row r="45" spans="1:11" ht="15.75" thickBot="1" x14ac:dyDescent="0.3">
      <c r="A45" s="46" t="s">
        <v>46</v>
      </c>
      <c r="B45" s="137">
        <f t="shared" ref="B45" si="28">B43+B44</f>
        <v>0</v>
      </c>
      <c r="C45" s="137">
        <f t="shared" ref="C45:F45" si="29">C43+C44</f>
        <v>0</v>
      </c>
      <c r="D45" s="137">
        <f t="shared" si="29"/>
        <v>0</v>
      </c>
      <c r="E45" s="137">
        <f t="shared" si="29"/>
        <v>0</v>
      </c>
      <c r="F45" s="137">
        <f t="shared" si="29"/>
        <v>0</v>
      </c>
      <c r="G45" s="137">
        <f t="shared" ref="G45:J45" si="30">G43+G44</f>
        <v>71</v>
      </c>
      <c r="H45" s="137">
        <f t="shared" si="30"/>
        <v>252153</v>
      </c>
      <c r="I45" s="137">
        <f t="shared" si="30"/>
        <v>1275</v>
      </c>
      <c r="J45" s="137">
        <f t="shared" si="30"/>
        <v>39349</v>
      </c>
      <c r="K45" s="138">
        <f>SUM(B45:J45)</f>
        <v>292848</v>
      </c>
    </row>
    <row r="48" spans="1:11" x14ac:dyDescent="0.2">
      <c r="A48" s="276" t="s">
        <v>121</v>
      </c>
      <c r="B48" s="287"/>
      <c r="C48" s="287"/>
      <c r="D48" s="287"/>
      <c r="E48" s="287"/>
      <c r="F48" s="287"/>
      <c r="H48" s="242">
        <f>[3]Southwest!$IH$70+[3]Southwest!$IH$73</f>
        <v>68301</v>
      </c>
      <c r="I48" s="242">
        <f>'[3]Sun Country'!$IH$70+'[3]Sun Country'!$IH$73</f>
        <v>186180</v>
      </c>
      <c r="J48" s="287"/>
      <c r="K48" s="231">
        <f>SUM(B48:J48)</f>
        <v>254481</v>
      </c>
    </row>
    <row r="49" spans="1:11" x14ac:dyDescent="0.2">
      <c r="A49" s="289" t="s">
        <v>122</v>
      </c>
      <c r="B49" s="287"/>
      <c r="C49" s="287"/>
      <c r="D49" s="287"/>
      <c r="E49" s="287"/>
      <c r="F49" s="287"/>
      <c r="H49" s="242">
        <f>[3]Southwest!$IH$71+[3]Southwest!$IH$74</f>
        <v>285</v>
      </c>
      <c r="I49" s="242">
        <f>'[3]Sun Country'!$IH$71+'[3]Sun Country'!$IH$74</f>
        <v>0</v>
      </c>
      <c r="J49" s="287"/>
      <c r="K49" s="231">
        <f>SUM(B49:J49)</f>
        <v>285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March 2023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G15" sqref="G1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285"/>
    </row>
    <row r="2" spans="1:16" ht="51.75" thickBot="1" x14ac:dyDescent="0.25">
      <c r="A2" s="396">
        <v>44986</v>
      </c>
      <c r="B2" s="404" t="s">
        <v>157</v>
      </c>
      <c r="C2" s="404" t="s">
        <v>160</v>
      </c>
      <c r="D2" s="404" t="s">
        <v>168</v>
      </c>
      <c r="E2" s="404" t="s">
        <v>167</v>
      </c>
      <c r="F2" s="404" t="s">
        <v>169</v>
      </c>
      <c r="G2" s="404" t="s">
        <v>196</v>
      </c>
      <c r="H2" s="404" t="s">
        <v>173</v>
      </c>
      <c r="I2" s="404" t="s">
        <v>179</v>
      </c>
      <c r="J2" s="404" t="s">
        <v>194</v>
      </c>
      <c r="K2" s="404" t="s">
        <v>172</v>
      </c>
      <c r="L2" s="405" t="s">
        <v>115</v>
      </c>
      <c r="M2" s="405" t="s">
        <v>21</v>
      </c>
    </row>
    <row r="3" spans="1:16" ht="15.75" thickTop="1" x14ac:dyDescent="0.25">
      <c r="A3" s="203" t="s">
        <v>3</v>
      </c>
      <c r="B3" s="100"/>
      <c r="C3" s="101"/>
      <c r="D3" s="100"/>
      <c r="E3" s="100"/>
      <c r="F3" s="100"/>
      <c r="G3" s="100"/>
      <c r="H3" s="100"/>
      <c r="I3" s="100"/>
      <c r="J3" s="100"/>
      <c r="K3" s="100"/>
      <c r="L3" s="100"/>
      <c r="M3" s="102"/>
    </row>
    <row r="4" spans="1:16" x14ac:dyDescent="0.2">
      <c r="A4" s="45" t="s">
        <v>29</v>
      </c>
      <c r="B4" s="95"/>
      <c r="C4" s="87"/>
      <c r="D4" s="95"/>
      <c r="E4" s="95"/>
      <c r="F4" s="95"/>
      <c r="G4" s="95"/>
      <c r="H4" s="95"/>
      <c r="I4" s="95"/>
      <c r="J4" s="95"/>
      <c r="K4" s="95"/>
      <c r="L4" s="95"/>
      <c r="M4" s="88"/>
    </row>
    <row r="5" spans="1:16" x14ac:dyDescent="0.2">
      <c r="A5" s="45" t="s">
        <v>30</v>
      </c>
      <c r="B5" s="87">
        <f>[3]Pinnacle!$IH$22+[3]Pinnacle!$IH$32</f>
        <v>44582</v>
      </c>
      <c r="C5" s="87">
        <f>[3]MESA_UA!$IH$22</f>
        <v>1993</v>
      </c>
      <c r="D5" s="95">
        <f>'[3]Sky West'!$IH$22+'[3]Sky West'!$IH$32</f>
        <v>113641</v>
      </c>
      <c r="E5" s="95">
        <f>'[3]Sky West_UA'!$IH$22</f>
        <v>216</v>
      </c>
      <c r="F5" s="95">
        <f>'[3]Sky West_AS'!$IH$22</f>
        <v>0</v>
      </c>
      <c r="G5" s="95">
        <f>'[3]Sky West_AA'!$IH$22</f>
        <v>0</v>
      </c>
      <c r="H5" s="95">
        <f>[3]Republic!$IH$22</f>
        <v>9406</v>
      </c>
      <c r="I5" s="95">
        <f>[3]Republic_UA!$IH$22</f>
        <v>3081</v>
      </c>
      <c r="J5" s="95">
        <f>'[3]Sky Regional'!$IH$32</f>
        <v>0</v>
      </c>
      <c r="K5" s="95">
        <f>'[3]American Eagle'!$IH$22</f>
        <v>0</v>
      </c>
      <c r="L5" s="95">
        <f>'Other Regional'!L5</f>
        <v>7195</v>
      </c>
      <c r="M5" s="88">
        <f>SUM(B5:L5)</f>
        <v>180114</v>
      </c>
    </row>
    <row r="6" spans="1:16" s="6" customFormat="1" x14ac:dyDescent="0.2">
      <c r="A6" s="45" t="s">
        <v>31</v>
      </c>
      <c r="B6" s="87">
        <f>[3]Pinnacle!$IH$23+[3]Pinnacle!$IH$33</f>
        <v>44751</v>
      </c>
      <c r="C6" s="87">
        <f>[3]MESA_UA!$IH$23</f>
        <v>2168</v>
      </c>
      <c r="D6" s="95">
        <f>'[3]Sky West'!$IH$23+'[3]Sky West'!$IH$33</f>
        <v>116671</v>
      </c>
      <c r="E6" s="95">
        <f>'[3]Sky West_UA'!$IH$23</f>
        <v>223</v>
      </c>
      <c r="F6" s="95">
        <f>'[3]Sky West_AS'!$IH$23</f>
        <v>0</v>
      </c>
      <c r="G6" s="95">
        <f>'[3]Sky West_AA'!$IH$23</f>
        <v>0</v>
      </c>
      <c r="H6" s="95">
        <f>[3]Republic!$IH$23</f>
        <v>10390</v>
      </c>
      <c r="I6" s="95">
        <f>[3]Republic_UA!$IH$23</f>
        <v>3161</v>
      </c>
      <c r="J6" s="95">
        <f>'[3]Sky Regional'!$IH$33</f>
        <v>0</v>
      </c>
      <c r="K6" s="95">
        <f>'[3]American Eagle'!$IH$23</f>
        <v>0</v>
      </c>
      <c r="L6" s="95">
        <f>'Other Regional'!L6</f>
        <v>7869</v>
      </c>
      <c r="M6" s="92">
        <f>SUM(B6:L6)</f>
        <v>185233</v>
      </c>
    </row>
    <row r="7" spans="1:16" ht="15" thickBot="1" x14ac:dyDescent="0.25">
      <c r="A7" s="54" t="s">
        <v>7</v>
      </c>
      <c r="B7" s="105">
        <f>SUM(B5:B6)</f>
        <v>89333</v>
      </c>
      <c r="C7" s="105">
        <f t="shared" ref="C7:L7" si="0">SUM(C5:C6)</f>
        <v>4161</v>
      </c>
      <c r="D7" s="105">
        <f t="shared" si="0"/>
        <v>230312</v>
      </c>
      <c r="E7" s="105">
        <f t="shared" si="0"/>
        <v>439</v>
      </c>
      <c r="F7" s="105">
        <f t="shared" ref="F7:G7" si="1">SUM(F5:F6)</f>
        <v>0</v>
      </c>
      <c r="G7" s="105">
        <f t="shared" si="1"/>
        <v>0</v>
      </c>
      <c r="H7" s="105">
        <f t="shared" si="0"/>
        <v>19796</v>
      </c>
      <c r="I7" s="105">
        <f t="shared" si="0"/>
        <v>6242</v>
      </c>
      <c r="J7" s="105">
        <f t="shared" si="0"/>
        <v>0</v>
      </c>
      <c r="K7" s="105">
        <f t="shared" si="0"/>
        <v>0</v>
      </c>
      <c r="L7" s="105">
        <f t="shared" si="0"/>
        <v>15064</v>
      </c>
      <c r="M7" s="106">
        <f>SUM(B7:L7)</f>
        <v>365347</v>
      </c>
    </row>
    <row r="8" spans="1:16" ht="13.5" thickTop="1" x14ac:dyDescent="0.2">
      <c r="A8" s="45"/>
      <c r="B8" s="95"/>
      <c r="C8" s="87"/>
      <c r="D8" s="95"/>
      <c r="E8" s="95"/>
      <c r="F8" s="95"/>
      <c r="G8" s="95"/>
      <c r="H8" s="95"/>
      <c r="I8" s="95"/>
      <c r="J8" s="95"/>
      <c r="K8" s="95"/>
      <c r="L8" s="95"/>
      <c r="M8" s="107"/>
      <c r="P8" s="95"/>
    </row>
    <row r="9" spans="1:16" s="6" customFormat="1" x14ac:dyDescent="0.2">
      <c r="A9" s="45" t="s">
        <v>32</v>
      </c>
      <c r="B9" s="95"/>
      <c r="C9" s="87"/>
      <c r="D9" s="95"/>
      <c r="E9" s="95"/>
      <c r="F9" s="95"/>
      <c r="G9" s="95"/>
      <c r="H9" s="95"/>
      <c r="I9" s="95"/>
      <c r="J9" s="95"/>
      <c r="K9" s="95"/>
      <c r="L9" s="95"/>
      <c r="M9" s="88"/>
    </row>
    <row r="10" spans="1:16" x14ac:dyDescent="0.2">
      <c r="A10" s="45" t="s">
        <v>30</v>
      </c>
      <c r="B10" s="87">
        <f>[3]Pinnacle!$IH$27+[3]Pinnacle!$IH$37</f>
        <v>1433</v>
      </c>
      <c r="C10" s="87">
        <f>[3]MESA_UA!$IH$27</f>
        <v>68</v>
      </c>
      <c r="D10" s="95">
        <f>'[3]Sky West'!$IH$27+'[3]Sky West'!$IH$37</f>
        <v>3930</v>
      </c>
      <c r="E10" s="95">
        <f>'[3]Sky West_UA'!$IH$27</f>
        <v>7</v>
      </c>
      <c r="F10" s="95">
        <f>'[3]Sky West_AS'!$IH$27</f>
        <v>0</v>
      </c>
      <c r="G10" s="95">
        <f>'[3]Sky West_AA'!$IH$27</f>
        <v>0</v>
      </c>
      <c r="H10" s="95">
        <f>[3]Republic!$IH$27</f>
        <v>265</v>
      </c>
      <c r="I10" s="95">
        <f>[3]Republic_UA!$IH$27</f>
        <v>75</v>
      </c>
      <c r="J10" s="95">
        <f>'[3]Sky Regional'!$IH$37</f>
        <v>0</v>
      </c>
      <c r="K10" s="95">
        <f>'[3]American Eagle'!$IH$27</f>
        <v>0</v>
      </c>
      <c r="L10" s="95">
        <f>'Other Regional'!L10</f>
        <v>103</v>
      </c>
      <c r="M10" s="88">
        <f>SUM(B10:L10)</f>
        <v>5881</v>
      </c>
    </row>
    <row r="11" spans="1:16" x14ac:dyDescent="0.2">
      <c r="A11" s="45" t="s">
        <v>33</v>
      </c>
      <c r="B11" s="87">
        <f>[3]Pinnacle!$IH$28+[3]Pinnacle!$IH$38</f>
        <v>1524</v>
      </c>
      <c r="C11" s="87">
        <f>[3]MESA_UA!$IH$28</f>
        <v>69</v>
      </c>
      <c r="D11" s="95">
        <f>'[3]Sky West'!$IH$28+'[3]Sky West'!$IH$38</f>
        <v>3863</v>
      </c>
      <c r="E11" s="95">
        <f>'[3]Sky West_UA'!$IH$28</f>
        <v>4</v>
      </c>
      <c r="F11" s="95">
        <f>'[3]Sky West_AS'!$IH$28</f>
        <v>0</v>
      </c>
      <c r="G11" s="95">
        <f>'[3]Sky West_AA'!$IH$28</f>
        <v>0</v>
      </c>
      <c r="H11" s="95">
        <f>[3]Republic!$IH$28</f>
        <v>265</v>
      </c>
      <c r="I11" s="95">
        <f>[3]Republic_UA!$IH$28</f>
        <v>84</v>
      </c>
      <c r="J11" s="95">
        <f>'[3]Sky Regional'!$IH$38</f>
        <v>0</v>
      </c>
      <c r="K11" s="95">
        <f>'[3]American Eagle'!$IH$28</f>
        <v>0</v>
      </c>
      <c r="L11" s="95">
        <f>'Other Regional'!L11</f>
        <v>116</v>
      </c>
      <c r="M11" s="92">
        <f>SUM(B11:L11)</f>
        <v>5925</v>
      </c>
    </row>
    <row r="12" spans="1:16" ht="15" thickBot="1" x14ac:dyDescent="0.25">
      <c r="A12" s="55" t="s">
        <v>34</v>
      </c>
      <c r="B12" s="108">
        <f t="shared" ref="B12:L12" si="2">SUM(B10:B11)</f>
        <v>2957</v>
      </c>
      <c r="C12" s="108">
        <f t="shared" si="2"/>
        <v>137</v>
      </c>
      <c r="D12" s="108">
        <f t="shared" si="2"/>
        <v>7793</v>
      </c>
      <c r="E12" s="108">
        <f t="shared" si="2"/>
        <v>11</v>
      </c>
      <c r="F12" s="108">
        <f t="shared" ref="F12:G12" si="3">SUM(F10:F11)</f>
        <v>0</v>
      </c>
      <c r="G12" s="108">
        <f t="shared" si="3"/>
        <v>0</v>
      </c>
      <c r="H12" s="108">
        <f t="shared" si="2"/>
        <v>530</v>
      </c>
      <c r="I12" s="108">
        <f t="shared" si="2"/>
        <v>159</v>
      </c>
      <c r="J12" s="108">
        <f t="shared" si="2"/>
        <v>0</v>
      </c>
      <c r="K12" s="108">
        <f t="shared" si="2"/>
        <v>0</v>
      </c>
      <c r="L12" s="108">
        <f t="shared" si="2"/>
        <v>219</v>
      </c>
      <c r="M12" s="109">
        <f>SUM(B12:L12)</f>
        <v>11806</v>
      </c>
    </row>
    <row r="13" spans="1:16" ht="13.5" thickBot="1" x14ac:dyDescent="0.25"/>
    <row r="14" spans="1:16" ht="15.75" thickTop="1" x14ac:dyDescent="0.25">
      <c r="A14" s="44" t="s">
        <v>9</v>
      </c>
      <c r="B14" s="82"/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4">
        <f t="shared" ref="M14" si="4">SUM(B14:L14)</f>
        <v>0</v>
      </c>
    </row>
    <row r="15" spans="1:16" x14ac:dyDescent="0.2">
      <c r="A15" s="45" t="s">
        <v>53</v>
      </c>
      <c r="B15" s="12">
        <f>[3]Pinnacle!$IH$4+[3]Pinnacle!$IH$15</f>
        <v>746</v>
      </c>
      <c r="C15" s="86">
        <f>[3]MESA_UA!$IH$4</f>
        <v>31</v>
      </c>
      <c r="D15" s="85">
        <f>'[3]Sky West'!$IH$4+'[3]Sky West'!$IH$15</f>
        <v>2126</v>
      </c>
      <c r="E15" s="85">
        <f>'[3]Sky West_UA'!$IH$4</f>
        <v>3</v>
      </c>
      <c r="F15" s="85">
        <f>'[3]Sky West_AS'!$IH$4</f>
        <v>0</v>
      </c>
      <c r="G15" s="85">
        <f>'[3]Sky West_AA'!$IH$4</f>
        <v>0</v>
      </c>
      <c r="H15" s="87">
        <f>[3]Republic!$IH$4</f>
        <v>154</v>
      </c>
      <c r="I15" s="333">
        <f>[3]Republic_UA!$IH$4</f>
        <v>47</v>
      </c>
      <c r="J15" s="333">
        <f>'[3]Sky Regional'!$IH$15</f>
        <v>0</v>
      </c>
      <c r="K15" s="87">
        <f>'[3]American Eagle'!$IH$4</f>
        <v>1</v>
      </c>
      <c r="L15" s="86">
        <f>'Other Regional'!L15</f>
        <v>136</v>
      </c>
      <c r="M15" s="88">
        <f t="shared" ref="M15:M21" si="5">SUM(B15:L15)</f>
        <v>3244</v>
      </c>
    </row>
    <row r="16" spans="1:16" x14ac:dyDescent="0.2">
      <c r="A16" s="45" t="s">
        <v>54</v>
      </c>
      <c r="B16" s="7">
        <f>[3]Pinnacle!$IH$5+[3]Pinnacle!$IH$16</f>
        <v>744</v>
      </c>
      <c r="C16" s="90">
        <f>[3]MESA_UA!$IH$5</f>
        <v>31</v>
      </c>
      <c r="D16" s="89">
        <f>'[3]Sky West'!$IH$5+'[3]Sky West'!$IH$16</f>
        <v>2106</v>
      </c>
      <c r="E16" s="89">
        <f>'[3]Sky West_UA'!$IH$5</f>
        <v>3</v>
      </c>
      <c r="F16" s="89">
        <f>'[3]Sky West_AS'!$IH$5</f>
        <v>0</v>
      </c>
      <c r="G16" s="89">
        <f>'[3]Sky West_AA'!$IH$5</f>
        <v>0</v>
      </c>
      <c r="H16" s="91">
        <f>[3]Republic!$IH$5</f>
        <v>154</v>
      </c>
      <c r="I16" s="218">
        <f>[3]Republic_UA!$IH$5</f>
        <v>47</v>
      </c>
      <c r="J16" s="218">
        <f>'[3]Sky Regional'!$IH$16</f>
        <v>0</v>
      </c>
      <c r="K16" s="91">
        <f>'[3]American Eagle'!$IH$5</f>
        <v>1</v>
      </c>
      <c r="L16" s="90">
        <f>'Other Regional'!L16</f>
        <v>136</v>
      </c>
      <c r="M16" s="92">
        <f t="shared" si="5"/>
        <v>3222</v>
      </c>
      <c r="O16" s="95"/>
      <c r="P16" s="95"/>
    </row>
    <row r="17" spans="1:13" x14ac:dyDescent="0.2">
      <c r="A17" s="49" t="s">
        <v>55</v>
      </c>
      <c r="B17" s="93">
        <f t="shared" ref="B17:E17" si="6">SUM(B15:B16)</f>
        <v>1490</v>
      </c>
      <c r="C17" s="93">
        <f t="shared" si="6"/>
        <v>62</v>
      </c>
      <c r="D17" s="93">
        <f t="shared" si="6"/>
        <v>4232</v>
      </c>
      <c r="E17" s="93">
        <f t="shared" si="6"/>
        <v>6</v>
      </c>
      <c r="F17" s="93">
        <f t="shared" ref="F17:G17" si="7">SUM(F15:F16)</f>
        <v>0</v>
      </c>
      <c r="G17" s="93">
        <f t="shared" si="7"/>
        <v>0</v>
      </c>
      <c r="H17" s="93">
        <f>SUM(H15:H16)</f>
        <v>308</v>
      </c>
      <c r="I17" s="93">
        <f t="shared" ref="I17:J17" si="8">SUM(I15:I16)</f>
        <v>94</v>
      </c>
      <c r="J17" s="93">
        <f t="shared" si="8"/>
        <v>0</v>
      </c>
      <c r="K17" s="93">
        <f>SUM(K15:K16)</f>
        <v>2</v>
      </c>
      <c r="L17" s="93">
        <f>SUM(L15:L16)</f>
        <v>272</v>
      </c>
      <c r="M17" s="94">
        <f t="shared" si="5"/>
        <v>6466</v>
      </c>
    </row>
    <row r="18" spans="1:13" x14ac:dyDescent="0.2">
      <c r="A18" s="45" t="s">
        <v>56</v>
      </c>
      <c r="B18" s="95">
        <f>[3]Pinnacle!$IH$8</f>
        <v>0</v>
      </c>
      <c r="C18" s="87">
        <f>[3]MESA_UA!$IH$8</f>
        <v>0</v>
      </c>
      <c r="D18" s="95">
        <f>'[3]Sky West'!$IH$8</f>
        <v>0</v>
      </c>
      <c r="E18" s="95">
        <f>'[3]Sky West_UA'!$IH$8</f>
        <v>0</v>
      </c>
      <c r="F18" s="95">
        <f>'[3]Sky West_AS'!$IH$8</f>
        <v>0</v>
      </c>
      <c r="G18" s="95">
        <f>'[3]Sky West_AA'!$IH$8</f>
        <v>0</v>
      </c>
      <c r="H18" s="95">
        <f>[3]Republic!$IH$8</f>
        <v>0</v>
      </c>
      <c r="I18" s="95">
        <f>[3]Republic_UA!$IH$8</f>
        <v>0</v>
      </c>
      <c r="J18" s="95">
        <f>'[3]Sky Regional'!$IH$8</f>
        <v>0</v>
      </c>
      <c r="K18" s="95">
        <f>'[3]American Eagle'!$IH$8</f>
        <v>0</v>
      </c>
      <c r="L18" s="95">
        <f>'Other Regional'!L18</f>
        <v>0</v>
      </c>
      <c r="M18" s="88">
        <f t="shared" si="5"/>
        <v>0</v>
      </c>
    </row>
    <row r="19" spans="1:13" x14ac:dyDescent="0.2">
      <c r="A19" s="45" t="s">
        <v>57</v>
      </c>
      <c r="B19" s="96">
        <f>[3]Pinnacle!$IH$9</f>
        <v>1</v>
      </c>
      <c r="C19" s="91">
        <f>[3]MESA_UA!$IH$9</f>
        <v>0</v>
      </c>
      <c r="D19" s="96">
        <f>'[3]Sky West'!$IH$9</f>
        <v>5</v>
      </c>
      <c r="E19" s="96">
        <f>'[3]Sky West_UA'!$IH$9</f>
        <v>0</v>
      </c>
      <c r="F19" s="96">
        <f>'[3]Sky West_AS'!$IH$9</f>
        <v>0</v>
      </c>
      <c r="G19" s="96">
        <f>'[3]Sky West_AA'!$IH$9</f>
        <v>0</v>
      </c>
      <c r="H19" s="96">
        <f>[3]Republic!$IH$9</f>
        <v>0</v>
      </c>
      <c r="I19" s="96">
        <f>[3]Republic_UA!$IH$9</f>
        <v>0</v>
      </c>
      <c r="J19" s="96">
        <f>'[3]Sky Regional'!$IH$9</f>
        <v>0</v>
      </c>
      <c r="K19" s="96">
        <f>'[3]American Eagle'!$IH$9</f>
        <v>0</v>
      </c>
      <c r="L19" s="96">
        <f>'Other Regional'!L19</f>
        <v>0</v>
      </c>
      <c r="M19" s="92">
        <f t="shared" si="5"/>
        <v>6</v>
      </c>
    </row>
    <row r="20" spans="1:13" x14ac:dyDescent="0.2">
      <c r="A20" s="49" t="s">
        <v>58</v>
      </c>
      <c r="B20" s="93">
        <f t="shared" ref="B20:L20" si="9">SUM(B18:B19)</f>
        <v>1</v>
      </c>
      <c r="C20" s="93">
        <f t="shared" si="9"/>
        <v>0</v>
      </c>
      <c r="D20" s="93">
        <f t="shared" si="9"/>
        <v>5</v>
      </c>
      <c r="E20" s="93">
        <f t="shared" si="9"/>
        <v>0</v>
      </c>
      <c r="F20" s="93">
        <f t="shared" ref="F20:G20" si="10">SUM(F18:F19)</f>
        <v>0</v>
      </c>
      <c r="G20" s="93">
        <f t="shared" si="10"/>
        <v>0</v>
      </c>
      <c r="H20" s="93">
        <f t="shared" si="9"/>
        <v>0</v>
      </c>
      <c r="I20" s="93">
        <f t="shared" si="9"/>
        <v>0</v>
      </c>
      <c r="J20" s="93">
        <f t="shared" si="9"/>
        <v>0</v>
      </c>
      <c r="K20" s="93">
        <f t="shared" si="9"/>
        <v>0</v>
      </c>
      <c r="L20" s="93">
        <f t="shared" si="9"/>
        <v>0</v>
      </c>
      <c r="M20" s="94">
        <f t="shared" si="5"/>
        <v>6</v>
      </c>
    </row>
    <row r="21" spans="1:13" ht="15.75" thickBot="1" x14ac:dyDescent="0.3">
      <c r="A21" s="53" t="s">
        <v>28</v>
      </c>
      <c r="B21" s="97">
        <f>SUM(B20,B17)</f>
        <v>1491</v>
      </c>
      <c r="C21" s="97">
        <f t="shared" ref="C21:K21" si="11">SUM(C20,C17)</f>
        <v>62</v>
      </c>
      <c r="D21" s="97">
        <f t="shared" si="11"/>
        <v>4237</v>
      </c>
      <c r="E21" s="97">
        <f t="shared" si="11"/>
        <v>6</v>
      </c>
      <c r="F21" s="97">
        <f t="shared" ref="F21:G21" si="12">SUM(F20,F17)</f>
        <v>0</v>
      </c>
      <c r="G21" s="97">
        <f t="shared" si="12"/>
        <v>0</v>
      </c>
      <c r="H21" s="97">
        <f t="shared" si="11"/>
        <v>308</v>
      </c>
      <c r="I21" s="97">
        <f t="shared" si="11"/>
        <v>94</v>
      </c>
      <c r="J21" s="97">
        <f t="shared" si="11"/>
        <v>0</v>
      </c>
      <c r="K21" s="97">
        <f t="shared" si="11"/>
        <v>2</v>
      </c>
      <c r="L21" s="97">
        <f>SUM(L20,L17)</f>
        <v>272</v>
      </c>
      <c r="M21" s="98">
        <f t="shared" si="5"/>
        <v>6472</v>
      </c>
    </row>
    <row r="22" spans="1:13" ht="13.5" thickBot="1" x14ac:dyDescent="0.25"/>
    <row r="23" spans="1:13" ht="15.75" thickTop="1" x14ac:dyDescent="0.25">
      <c r="A23" s="48" t="s">
        <v>114</v>
      </c>
      <c r="B23" s="110"/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2"/>
    </row>
    <row r="24" spans="1:13" x14ac:dyDescent="0.2">
      <c r="A24" s="45" t="s">
        <v>36</v>
      </c>
      <c r="B24" s="95"/>
      <c r="C24" s="87"/>
      <c r="D24" s="95"/>
      <c r="E24" s="95"/>
      <c r="F24" s="95"/>
      <c r="G24" s="95"/>
      <c r="H24" s="95"/>
      <c r="I24" s="95"/>
      <c r="J24" s="95"/>
      <c r="K24" s="95"/>
      <c r="L24" s="95"/>
      <c r="M24" s="88"/>
    </row>
    <row r="25" spans="1:13" x14ac:dyDescent="0.2">
      <c r="A25" s="45" t="s">
        <v>37</v>
      </c>
      <c r="B25" s="95">
        <f>[3]Pinnacle!$IH$47</f>
        <v>0</v>
      </c>
      <c r="C25" s="87">
        <f>[3]MESA_UA!$IH$47</f>
        <v>0</v>
      </c>
      <c r="D25" s="95">
        <f>'[3]Sky West'!$IH$47</f>
        <v>0</v>
      </c>
      <c r="E25" s="95">
        <f>'[3]Sky West_UA'!$IH$47</f>
        <v>0</v>
      </c>
      <c r="F25" s="95">
        <f>'[3]Sky West_AS'!$IH$47</f>
        <v>0</v>
      </c>
      <c r="G25" s="95">
        <f>'[3]Sky West_AA'!$IH$47</f>
        <v>0</v>
      </c>
      <c r="H25" s="95">
        <f>[3]Republic!$IH$47</f>
        <v>4645</v>
      </c>
      <c r="I25" s="95">
        <f>[3]Republic_UA!$IH$47</f>
        <v>0</v>
      </c>
      <c r="J25" s="95">
        <f>'[3]Sky Regional'!$IH$47</f>
        <v>0</v>
      </c>
      <c r="K25" s="95">
        <f>'[3]American Eagle'!$IH$47</f>
        <v>0</v>
      </c>
      <c r="L25" s="95">
        <f>'Other Regional'!L25</f>
        <v>1430</v>
      </c>
      <c r="M25" s="88">
        <f>SUM(B25:L25)</f>
        <v>6075</v>
      </c>
    </row>
    <row r="26" spans="1:13" x14ac:dyDescent="0.2">
      <c r="A26" s="45" t="s">
        <v>38</v>
      </c>
      <c r="B26" s="95">
        <f>[3]Pinnacle!$IH$48</f>
        <v>0</v>
      </c>
      <c r="C26" s="87">
        <f>[3]MESA_UA!$IH$48</f>
        <v>0</v>
      </c>
      <c r="D26" s="95">
        <f>'[3]Sky West'!$IH$48</f>
        <v>0</v>
      </c>
      <c r="E26" s="95">
        <f>'[3]Sky West_UA'!$IH$48</f>
        <v>0</v>
      </c>
      <c r="F26" s="95">
        <f>'[3]Sky West_AS'!$IH$48</f>
        <v>0</v>
      </c>
      <c r="G26" s="95">
        <f>'[3]Sky West_AA'!$IH$48</f>
        <v>0</v>
      </c>
      <c r="H26" s="95">
        <f>[3]Republic!$IH$48</f>
        <v>0</v>
      </c>
      <c r="I26" s="95">
        <f>[3]Republic_UA!$IH$48</f>
        <v>0</v>
      </c>
      <c r="J26" s="95">
        <f>'[3]Sky Regional'!$IH$48</f>
        <v>0</v>
      </c>
      <c r="K26" s="95">
        <f>'[3]American Eagle'!$IH$48</f>
        <v>0</v>
      </c>
      <c r="L26" s="95">
        <f>'Other Regional'!L26</f>
        <v>0</v>
      </c>
      <c r="M26" s="88">
        <f>SUM(B26:L26)</f>
        <v>0</v>
      </c>
    </row>
    <row r="27" spans="1:13" ht="15" thickBot="1" x14ac:dyDescent="0.25">
      <c r="A27" s="54" t="s">
        <v>39</v>
      </c>
      <c r="B27" s="105">
        <f t="shared" ref="B27:L27" si="13">SUM(B25:B26)</f>
        <v>0</v>
      </c>
      <c r="C27" s="105">
        <f t="shared" si="13"/>
        <v>0</v>
      </c>
      <c r="D27" s="105">
        <f t="shared" si="13"/>
        <v>0</v>
      </c>
      <c r="E27" s="105">
        <f t="shared" si="13"/>
        <v>0</v>
      </c>
      <c r="F27" s="105">
        <f t="shared" ref="F27:G27" si="14">SUM(F25:F26)</f>
        <v>0</v>
      </c>
      <c r="G27" s="105">
        <f t="shared" si="14"/>
        <v>0</v>
      </c>
      <c r="H27" s="105">
        <f t="shared" si="13"/>
        <v>4645</v>
      </c>
      <c r="I27" s="105">
        <f t="shared" si="13"/>
        <v>0</v>
      </c>
      <c r="J27" s="105">
        <f t="shared" si="13"/>
        <v>0</v>
      </c>
      <c r="K27" s="105">
        <f t="shared" si="13"/>
        <v>0</v>
      </c>
      <c r="L27" s="105">
        <f t="shared" si="13"/>
        <v>1430</v>
      </c>
      <c r="M27" s="106">
        <f>SUM(B27:L27)</f>
        <v>6075</v>
      </c>
    </row>
    <row r="28" spans="1:13" ht="13.5" thickTop="1" x14ac:dyDescent="0.2">
      <c r="A28" s="45"/>
      <c r="B28" s="95"/>
      <c r="C28" s="87"/>
      <c r="D28" s="95"/>
      <c r="E28" s="95"/>
      <c r="F28" s="95"/>
      <c r="G28" s="95"/>
      <c r="H28" s="95"/>
      <c r="I28" s="95"/>
      <c r="J28" s="95"/>
      <c r="K28" s="95"/>
      <c r="L28" s="95"/>
      <c r="M28" s="88"/>
    </row>
    <row r="29" spans="1:13" x14ac:dyDescent="0.2">
      <c r="A29" s="45" t="s">
        <v>40</v>
      </c>
      <c r="B29" s="95"/>
      <c r="C29" s="87"/>
      <c r="D29" s="95"/>
      <c r="E29" s="95"/>
      <c r="F29" s="95"/>
      <c r="G29" s="95"/>
      <c r="H29" s="95"/>
      <c r="I29" s="95"/>
      <c r="J29" s="95"/>
      <c r="K29" s="95"/>
      <c r="M29" s="88"/>
    </row>
    <row r="30" spans="1:13" x14ac:dyDescent="0.2">
      <c r="A30" s="45" t="s">
        <v>59</v>
      </c>
      <c r="B30" s="95">
        <f>[3]Pinnacle!$IH$52</f>
        <v>0</v>
      </c>
      <c r="C30" s="87">
        <f>[3]MESA_UA!$IH$52</f>
        <v>0</v>
      </c>
      <c r="D30" s="95">
        <f>'[3]Sky West'!$IH$52</f>
        <v>0</v>
      </c>
      <c r="E30" s="95">
        <f>'[3]Sky West_UA'!$IH$52</f>
        <v>0</v>
      </c>
      <c r="F30" s="95">
        <f>'[3]Sky West_AS'!$IH$52</f>
        <v>0</v>
      </c>
      <c r="G30" s="95">
        <f>'[3]Sky West_AA'!$IH$52</f>
        <v>0</v>
      </c>
      <c r="H30" s="95">
        <f>[3]Republic!$IH$52</f>
        <v>0</v>
      </c>
      <c r="I30" s="95">
        <f>[3]Republic_UA!$IH$52</f>
        <v>0</v>
      </c>
      <c r="J30" s="95">
        <f>'[3]Sky Regional'!$IH$52</f>
        <v>0</v>
      </c>
      <c r="K30" s="95">
        <f>'[3]American Eagle'!$IH$52</f>
        <v>0</v>
      </c>
      <c r="L30" s="95">
        <f>'Other Regional'!L30</f>
        <v>1450</v>
      </c>
      <c r="M30" s="88">
        <f t="shared" ref="M30:M37" si="15">SUM(B30:L30)</f>
        <v>1450</v>
      </c>
    </row>
    <row r="31" spans="1:13" x14ac:dyDescent="0.2">
      <c r="A31" s="45" t="s">
        <v>60</v>
      </c>
      <c r="B31" s="95">
        <f>[3]Pinnacle!$IH$53</f>
        <v>0</v>
      </c>
      <c r="C31" s="87">
        <f>[3]MESA_UA!$IH$53</f>
        <v>0</v>
      </c>
      <c r="D31" s="95">
        <f>'[3]Sky West'!$IH$53</f>
        <v>0</v>
      </c>
      <c r="E31" s="95">
        <f>'[3]Sky West_UA'!$IH$53</f>
        <v>0</v>
      </c>
      <c r="F31" s="95">
        <f>'[3]Sky West_AS'!$IH$53</f>
        <v>0</v>
      </c>
      <c r="G31" s="95">
        <f>'[3]Sky West_AA'!$IH$53</f>
        <v>0</v>
      </c>
      <c r="H31" s="95">
        <f>[3]Republic!$IH$53</f>
        <v>0</v>
      </c>
      <c r="I31" s="95">
        <f>[3]Republic_UA!$IH$53</f>
        <v>0</v>
      </c>
      <c r="J31" s="95">
        <f>'[3]Sky Regional'!$IH$53</f>
        <v>0</v>
      </c>
      <c r="K31" s="95">
        <f>'[3]American Eagle'!$IH$53</f>
        <v>0</v>
      </c>
      <c r="L31" s="95">
        <f>'Other Regional'!L31</f>
        <v>0</v>
      </c>
      <c r="M31" s="88">
        <f t="shared" si="15"/>
        <v>0</v>
      </c>
    </row>
    <row r="32" spans="1:13" ht="15" thickBot="1" x14ac:dyDescent="0.25">
      <c r="A32" s="54" t="s">
        <v>41</v>
      </c>
      <c r="B32" s="105">
        <f t="shared" ref="B32:K32" si="16">SUM(B30:B31)</f>
        <v>0</v>
      </c>
      <c r="C32" s="105">
        <f t="shared" si="16"/>
        <v>0</v>
      </c>
      <c r="D32" s="105">
        <f t="shared" si="16"/>
        <v>0</v>
      </c>
      <c r="E32" s="105">
        <f t="shared" si="16"/>
        <v>0</v>
      </c>
      <c r="F32" s="105">
        <f t="shared" ref="F32:G32" si="17">SUM(F30:F31)</f>
        <v>0</v>
      </c>
      <c r="G32" s="105">
        <f t="shared" si="17"/>
        <v>0</v>
      </c>
      <c r="H32" s="105">
        <f t="shared" si="16"/>
        <v>0</v>
      </c>
      <c r="I32" s="105">
        <f t="shared" si="16"/>
        <v>0</v>
      </c>
      <c r="J32" s="105">
        <f t="shared" si="16"/>
        <v>0</v>
      </c>
      <c r="K32" s="105">
        <f t="shared" si="16"/>
        <v>0</v>
      </c>
      <c r="L32" s="105">
        <f>SUM(L30:L31)</f>
        <v>1450</v>
      </c>
      <c r="M32" s="106">
        <f t="shared" si="15"/>
        <v>1450</v>
      </c>
    </row>
    <row r="33" spans="1:13" ht="13.5" hidden="1" thickTop="1" x14ac:dyDescent="0.2">
      <c r="A33" s="45"/>
      <c r="B33" s="95"/>
      <c r="C33" s="87"/>
      <c r="D33" s="95"/>
      <c r="E33" s="95"/>
      <c r="F33" s="95"/>
      <c r="G33" s="95"/>
      <c r="H33" s="95"/>
      <c r="I33" s="95"/>
      <c r="J33" s="95"/>
      <c r="K33" s="95"/>
      <c r="L33" s="95"/>
      <c r="M33" s="88">
        <f t="shared" si="15"/>
        <v>0</v>
      </c>
    </row>
    <row r="34" spans="1:13" ht="13.5" hidden="1" thickTop="1" x14ac:dyDescent="0.2">
      <c r="A34" s="45" t="s">
        <v>42</v>
      </c>
      <c r="B34" s="95"/>
      <c r="C34" s="87"/>
      <c r="D34" s="95"/>
      <c r="E34" s="95"/>
      <c r="F34" s="95"/>
      <c r="G34" s="95"/>
      <c r="H34" s="95"/>
      <c r="I34" s="95"/>
      <c r="J34" s="95"/>
      <c r="K34" s="95"/>
      <c r="L34" s="95"/>
      <c r="M34" s="88">
        <f t="shared" si="15"/>
        <v>0</v>
      </c>
    </row>
    <row r="35" spans="1:13" ht="13.5" hidden="1" thickTop="1" x14ac:dyDescent="0.2">
      <c r="A35" s="45" t="s">
        <v>37</v>
      </c>
      <c r="B35" s="95">
        <f>[3]Pinnacle!$IH$57</f>
        <v>0</v>
      </c>
      <c r="C35" s="87">
        <f>[3]MESA_UA!$IH$57</f>
        <v>0</v>
      </c>
      <c r="D35" s="95">
        <f>'[3]Sky West'!$IH$57</f>
        <v>0</v>
      </c>
      <c r="E35" s="95">
        <f>'[3]Sky West_UA'!$IH$57</f>
        <v>0</v>
      </c>
      <c r="F35" s="95">
        <f>'[3]Sky West_AS'!$IH$57</f>
        <v>0</v>
      </c>
      <c r="G35" s="95">
        <f>'[3]Sky West_AA'!$IH$57</f>
        <v>0</v>
      </c>
      <c r="H35" s="95">
        <f>[3]Republic!$IH$57</f>
        <v>0</v>
      </c>
      <c r="I35" s="95">
        <f>[3]Republic!$IH$57</f>
        <v>0</v>
      </c>
      <c r="J35" s="95">
        <f>[3]Republic!$IH$57</f>
        <v>0</v>
      </c>
      <c r="K35" s="95">
        <f>'[3]American Eagle'!$IH$57</f>
        <v>0</v>
      </c>
      <c r="L35" s="95">
        <f>'Other Regional'!L35</f>
        <v>0</v>
      </c>
      <c r="M35" s="88">
        <f t="shared" si="15"/>
        <v>0</v>
      </c>
    </row>
    <row r="36" spans="1:13" ht="13.5" hidden="1" thickTop="1" x14ac:dyDescent="0.2">
      <c r="A36" s="45" t="s">
        <v>38</v>
      </c>
      <c r="B36" s="95">
        <f>[3]Pinnacle!$IH$58</f>
        <v>0</v>
      </c>
      <c r="C36" s="87">
        <f>[3]MESA_UA!$IH$58</f>
        <v>0</v>
      </c>
      <c r="D36" s="95">
        <f>'[3]Sky West'!$IH$58</f>
        <v>0</v>
      </c>
      <c r="E36" s="95">
        <f>'[3]Sky West_UA'!$IH$58</f>
        <v>0</v>
      </c>
      <c r="F36" s="95">
        <f>'[3]Sky West_AS'!$IH$58</f>
        <v>0</v>
      </c>
      <c r="G36" s="95">
        <f>'[3]Sky West_AA'!$IH$58</f>
        <v>0</v>
      </c>
      <c r="H36" s="95">
        <f>[3]Republic!$IH$58</f>
        <v>0</v>
      </c>
      <c r="I36" s="95">
        <f>[3]Republic!$IH$58</f>
        <v>0</v>
      </c>
      <c r="J36" s="95">
        <f>[3]Republic!$IH$58</f>
        <v>0</v>
      </c>
      <c r="K36" s="95">
        <f>'[3]American Eagle'!$IH$58</f>
        <v>0</v>
      </c>
      <c r="L36" s="95">
        <f>'Other Regional'!L36</f>
        <v>0</v>
      </c>
      <c r="M36" s="88">
        <f t="shared" si="15"/>
        <v>0</v>
      </c>
    </row>
    <row r="37" spans="1:13" ht="13.5" hidden="1" thickTop="1" x14ac:dyDescent="0.2">
      <c r="A37" s="56" t="s">
        <v>43</v>
      </c>
      <c r="B37" s="113">
        <f t="shared" ref="B37:K37" si="18">SUM(B35:B36)</f>
        <v>0</v>
      </c>
      <c r="C37" s="113">
        <f t="shared" si="18"/>
        <v>0</v>
      </c>
      <c r="D37" s="113">
        <f t="shared" si="18"/>
        <v>0</v>
      </c>
      <c r="E37" s="113">
        <f t="shared" si="18"/>
        <v>0</v>
      </c>
      <c r="F37" s="113">
        <f t="shared" ref="F37:G37" si="19">SUM(F35:F36)</f>
        <v>0</v>
      </c>
      <c r="G37" s="113">
        <f t="shared" si="19"/>
        <v>0</v>
      </c>
      <c r="H37" s="113">
        <f t="shared" si="18"/>
        <v>0</v>
      </c>
      <c r="I37" s="113">
        <f t="shared" si="18"/>
        <v>0</v>
      </c>
      <c r="J37" s="113">
        <f t="shared" si="18"/>
        <v>0</v>
      </c>
      <c r="K37" s="113">
        <f t="shared" si="18"/>
        <v>0</v>
      </c>
      <c r="L37" s="113">
        <f>SUM(L35:L36)</f>
        <v>0</v>
      </c>
      <c r="M37" s="115">
        <f t="shared" si="15"/>
        <v>0</v>
      </c>
    </row>
    <row r="38" spans="1:13" ht="13.5" thickTop="1" x14ac:dyDescent="0.2">
      <c r="A38" s="45"/>
      <c r="B38" s="95"/>
      <c r="C38" s="87"/>
      <c r="D38" s="95"/>
      <c r="E38" s="95"/>
      <c r="F38" s="95"/>
      <c r="G38" s="95"/>
      <c r="H38" s="95"/>
      <c r="I38" s="95"/>
      <c r="J38" s="95"/>
      <c r="K38" s="95"/>
      <c r="L38" s="95"/>
      <c r="M38" s="88"/>
    </row>
    <row r="39" spans="1:13" x14ac:dyDescent="0.2">
      <c r="A39" s="45" t="s">
        <v>44</v>
      </c>
      <c r="B39" s="95"/>
      <c r="C39" s="87"/>
      <c r="D39" s="95"/>
      <c r="E39" s="95"/>
      <c r="F39" s="95"/>
      <c r="G39" s="95"/>
      <c r="H39" s="95"/>
      <c r="I39" s="95"/>
      <c r="J39" s="95"/>
      <c r="K39" s="95"/>
      <c r="L39" s="95"/>
      <c r="M39" s="88"/>
    </row>
    <row r="40" spans="1:13" x14ac:dyDescent="0.2">
      <c r="A40" s="45" t="s">
        <v>45</v>
      </c>
      <c r="B40" s="95">
        <f t="shared" ref="B40:J42" si="20">SUM(B35,B30,B25)</f>
        <v>0</v>
      </c>
      <c r="C40" s="95">
        <f>SUM(C35,C30,C25)</f>
        <v>0</v>
      </c>
      <c r="D40" s="95">
        <f t="shared" si="20"/>
        <v>0</v>
      </c>
      <c r="E40" s="95">
        <f t="shared" ref="E40:F42" si="21">SUM(E35,E30,E25)</f>
        <v>0</v>
      </c>
      <c r="F40" s="95">
        <f t="shared" si="21"/>
        <v>0</v>
      </c>
      <c r="G40" s="95">
        <f t="shared" ref="G40" si="22">SUM(G35,G30,G25)</f>
        <v>0</v>
      </c>
      <c r="H40" s="95">
        <f t="shared" si="20"/>
        <v>4645</v>
      </c>
      <c r="I40" s="95">
        <f t="shared" si="20"/>
        <v>0</v>
      </c>
      <c r="J40" s="95">
        <f t="shared" si="20"/>
        <v>0</v>
      </c>
      <c r="K40" s="95">
        <f>SUM(K35,K30,K25)</f>
        <v>0</v>
      </c>
      <c r="L40" s="95">
        <f>L35+L30+L25</f>
        <v>2880</v>
      </c>
      <c r="M40" s="88">
        <f>SUM(B40:L40)</f>
        <v>7525</v>
      </c>
    </row>
    <row r="41" spans="1:13" x14ac:dyDescent="0.2">
      <c r="A41" s="45" t="s">
        <v>38</v>
      </c>
      <c r="B41" s="95">
        <f t="shared" si="20"/>
        <v>0</v>
      </c>
      <c r="C41" s="95">
        <f>SUM(C36,C31,C26)</f>
        <v>0</v>
      </c>
      <c r="D41" s="95">
        <f t="shared" si="20"/>
        <v>0</v>
      </c>
      <c r="E41" s="95">
        <f t="shared" si="21"/>
        <v>0</v>
      </c>
      <c r="F41" s="95">
        <f t="shared" si="21"/>
        <v>0</v>
      </c>
      <c r="G41" s="95">
        <f t="shared" ref="G41" si="23">SUM(G36,G31,G26)</f>
        <v>0</v>
      </c>
      <c r="H41" s="95">
        <f t="shared" si="20"/>
        <v>0</v>
      </c>
      <c r="I41" s="95">
        <f t="shared" si="20"/>
        <v>0</v>
      </c>
      <c r="J41" s="95">
        <f t="shared" si="20"/>
        <v>0</v>
      </c>
      <c r="K41" s="95">
        <f>SUM(K36,K31,K26)</f>
        <v>0</v>
      </c>
      <c r="L41" s="95">
        <f>L36+L31+L26</f>
        <v>0</v>
      </c>
      <c r="M41" s="88">
        <f>SUM(B41:L41)</f>
        <v>0</v>
      </c>
    </row>
    <row r="42" spans="1:13" ht="15" thickBot="1" x14ac:dyDescent="0.25">
      <c r="A42" s="55" t="s">
        <v>46</v>
      </c>
      <c r="B42" s="108">
        <f t="shared" si="20"/>
        <v>0</v>
      </c>
      <c r="C42" s="108">
        <f>SUM(C37,C32,C27)</f>
        <v>0</v>
      </c>
      <c r="D42" s="108">
        <f t="shared" si="20"/>
        <v>0</v>
      </c>
      <c r="E42" s="108">
        <f t="shared" si="21"/>
        <v>0</v>
      </c>
      <c r="F42" s="108">
        <f t="shared" si="21"/>
        <v>0</v>
      </c>
      <c r="G42" s="108">
        <f t="shared" ref="G42" si="24">SUM(G37,G32,G27)</f>
        <v>0</v>
      </c>
      <c r="H42" s="108">
        <f t="shared" si="20"/>
        <v>4645</v>
      </c>
      <c r="I42" s="108">
        <f t="shared" si="20"/>
        <v>0</v>
      </c>
      <c r="J42" s="108">
        <f t="shared" si="20"/>
        <v>0</v>
      </c>
      <c r="K42" s="108">
        <f>SUM(K37,K32,K27)</f>
        <v>0</v>
      </c>
      <c r="L42" s="108">
        <f>SUM(L37,L32,L27)</f>
        <v>2880</v>
      </c>
      <c r="M42" s="109">
        <f>SUM(B42:L42)</f>
        <v>7525</v>
      </c>
    </row>
    <row r="44" spans="1:13" x14ac:dyDescent="0.2">
      <c r="A44" s="276" t="s">
        <v>121</v>
      </c>
      <c r="B44" s="241">
        <f>[3]Pinnacle!$IH$70+[3]Pinnacle!$IH$73</f>
        <v>17045</v>
      </c>
      <c r="D44" s="242">
        <f>'[3]Sky West'!$IH$70+'[3]Sky West'!$IH$73</f>
        <v>35899</v>
      </c>
      <c r="E44" s="2"/>
      <c r="F44" s="2"/>
      <c r="G44" s="2"/>
      <c r="L44" s="242">
        <f>+'Other Regional'!L46</f>
        <v>0</v>
      </c>
      <c r="M44" s="231">
        <f>SUM(B44:L44)</f>
        <v>52944</v>
      </c>
    </row>
    <row r="45" spans="1:13" x14ac:dyDescent="0.2">
      <c r="A45" s="289" t="s">
        <v>122</v>
      </c>
      <c r="B45" s="241">
        <f>[3]Pinnacle!$IH$71+[3]Pinnacle!$IH$74</f>
        <v>27706</v>
      </c>
      <c r="D45" s="242">
        <f>'[3]Sky West'!$IH$71+'[3]Sky West'!$IH$74</f>
        <v>80772</v>
      </c>
      <c r="E45" s="2"/>
      <c r="F45" s="2"/>
      <c r="G45" s="2"/>
      <c r="L45" s="242">
        <f>+'Other Regional'!L47</f>
        <v>0</v>
      </c>
      <c r="M45" s="231">
        <f>SUM(B45:L45)</f>
        <v>108478</v>
      </c>
    </row>
    <row r="46" spans="1:13" x14ac:dyDescent="0.2">
      <c r="A46" s="232" t="s">
        <v>123</v>
      </c>
      <c r="B46" s="233">
        <f>SUM(B44:B45)</f>
        <v>44751</v>
      </c>
      <c r="L46" s="2"/>
      <c r="M46" s="217"/>
    </row>
    <row r="47" spans="1:13" x14ac:dyDescent="0.2">
      <c r="A47" s="234"/>
      <c r="B47" s="235" t="b">
        <f>IF(B46=B6,TRUE,FALSE)</f>
        <v>1</v>
      </c>
    </row>
    <row r="50" spans="13:13" x14ac:dyDescent="0.2">
      <c r="M50" s="9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March 2023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E4" sqref="E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85"/>
    </row>
    <row r="2" spans="1:12" ht="55.5" customHeight="1" thickBot="1" x14ac:dyDescent="0.25">
      <c r="A2" s="396">
        <v>44986</v>
      </c>
      <c r="B2" s="406" t="s">
        <v>171</v>
      </c>
      <c r="C2" s="406" t="s">
        <v>170</v>
      </c>
      <c r="D2" s="406" t="s">
        <v>195</v>
      </c>
      <c r="E2" s="406" t="s">
        <v>218</v>
      </c>
      <c r="F2" s="406" t="s">
        <v>223</v>
      </c>
      <c r="G2" s="406" t="s">
        <v>180</v>
      </c>
      <c r="H2" s="406" t="s">
        <v>175</v>
      </c>
      <c r="I2" s="406" t="s">
        <v>174</v>
      </c>
      <c r="J2" s="406" t="s">
        <v>159</v>
      </c>
      <c r="K2" s="406" t="s">
        <v>162</v>
      </c>
      <c r="L2" s="407" t="s">
        <v>21</v>
      </c>
    </row>
    <row r="3" spans="1:12" ht="15" x14ac:dyDescent="0.25">
      <c r="A3" s="203" t="s">
        <v>3</v>
      </c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57"/>
    </row>
    <row r="4" spans="1:12" x14ac:dyDescent="0.2">
      <c r="A4" s="45" t="s">
        <v>29</v>
      </c>
      <c r="B4" s="103"/>
      <c r="C4" s="103"/>
      <c r="D4" s="103"/>
      <c r="E4" s="103"/>
      <c r="F4" s="104"/>
      <c r="G4" s="104"/>
      <c r="H4" s="87"/>
      <c r="I4" s="87"/>
      <c r="J4" s="87"/>
      <c r="K4" s="87"/>
      <c r="L4" s="88"/>
    </row>
    <row r="5" spans="1:12" x14ac:dyDescent="0.2">
      <c r="A5" s="45" t="s">
        <v>30</v>
      </c>
      <c r="B5" s="87">
        <f>'[3]Shuttle America'!$IH$22</f>
        <v>0</v>
      </c>
      <c r="C5" s="87">
        <f>'[3]Shuttle America_Delta'!$IH$22</f>
        <v>0</v>
      </c>
      <c r="D5" s="333">
        <f>[3]Horizon_AS!$IH$22+[3]Horizon_AS!$IH$32</f>
        <v>0</v>
      </c>
      <c r="E5" s="333">
        <f>'[3]Air Wisconsin'!$IH$22</f>
        <v>0</v>
      </c>
      <c r="F5" s="333">
        <f>[3]Jazz_AC!$IH$22+[3]Jazz_AC!$IH$32</f>
        <v>4254</v>
      </c>
      <c r="G5" s="333">
        <f>[3]PSA!$IH$22</f>
        <v>2941</v>
      </c>
      <c r="H5" s="87">
        <f>'[3]Atlantic Southeast'!$IH$22+'[3]Atlantic Southeast'!$IH$32</f>
        <v>0</v>
      </c>
      <c r="I5" s="87">
        <f>'[3]Continental Express'!$IH$22</f>
        <v>0</v>
      </c>
      <c r="J5" s="95">
        <f>'[3]Go Jet_UA'!$IH$22</f>
        <v>0</v>
      </c>
      <c r="K5" s="12">
        <f>'[3]Go Jet'!$IH$22+'[3]Go Jet'!$IH$32</f>
        <v>0</v>
      </c>
      <c r="L5" s="88">
        <f>SUM(B5:K5)</f>
        <v>7195</v>
      </c>
    </row>
    <row r="6" spans="1:12" s="6" customFormat="1" x14ac:dyDescent="0.2">
      <c r="A6" s="45" t="s">
        <v>31</v>
      </c>
      <c r="B6" s="87">
        <f>'[3]Shuttle America'!$IH$23</f>
        <v>0</v>
      </c>
      <c r="C6" s="87">
        <f>'[3]Shuttle America_Delta'!$IH$23</f>
        <v>0</v>
      </c>
      <c r="D6" s="333">
        <f>[3]Horizon_AS!$IH$23+[3]Horizon_AS!$IH$33</f>
        <v>0</v>
      </c>
      <c r="E6" s="333">
        <f>'[3]Air Wisconsin'!$IH$23</f>
        <v>0</v>
      </c>
      <c r="F6" s="333">
        <f>[3]Jazz_AC!$IH$23+[3]Jazz_AC!$IH$33</f>
        <v>4797</v>
      </c>
      <c r="G6" s="333">
        <f>[3]PSA!$IH$23</f>
        <v>3072</v>
      </c>
      <c r="H6" s="87">
        <f>'[3]Atlantic Southeast'!$IH$23+'[3]Atlantic Southeast'!$IH$33</f>
        <v>0</v>
      </c>
      <c r="I6" s="87">
        <f>'[3]Continental Express'!$IH$23</f>
        <v>0</v>
      </c>
      <c r="J6" s="95">
        <f>'[3]Go Jet_UA'!$IH$23</f>
        <v>0</v>
      </c>
      <c r="K6" s="7">
        <f>'[3]Go Jet'!$IH$23+'[3]Go Jet'!$IH$33</f>
        <v>0</v>
      </c>
      <c r="L6" s="92">
        <f>SUM(B6:K6)</f>
        <v>7869</v>
      </c>
    </row>
    <row r="7" spans="1:12" ht="15" thickBot="1" x14ac:dyDescent="0.25">
      <c r="A7" s="54" t="s">
        <v>7</v>
      </c>
      <c r="B7" s="105">
        <f t="shared" ref="B7:J7" si="0">SUM(B5:B6)</f>
        <v>0</v>
      </c>
      <c r="C7" s="105">
        <f t="shared" si="0"/>
        <v>0</v>
      </c>
      <c r="D7" s="105">
        <f t="shared" ref="D7:F7" si="1">SUM(D5:D6)</f>
        <v>0</v>
      </c>
      <c r="E7" s="105">
        <f t="shared" si="1"/>
        <v>0</v>
      </c>
      <c r="F7" s="105">
        <f t="shared" si="1"/>
        <v>9051</v>
      </c>
      <c r="G7" s="105">
        <f t="shared" si="0"/>
        <v>6013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>SUM(K5:K6)</f>
        <v>0</v>
      </c>
      <c r="L7" s="106">
        <f>SUM(B7:K7)</f>
        <v>15064</v>
      </c>
    </row>
    <row r="8" spans="1:12" ht="13.5" thickTop="1" x14ac:dyDescent="0.2">
      <c r="A8" s="45"/>
      <c r="B8" s="87"/>
      <c r="C8" s="87"/>
      <c r="D8" s="333"/>
      <c r="E8" s="333"/>
      <c r="F8" s="333"/>
      <c r="G8" s="333"/>
      <c r="H8" s="87"/>
      <c r="I8" s="87"/>
      <c r="J8" s="95"/>
      <c r="K8" s="250"/>
      <c r="L8" s="107"/>
    </row>
    <row r="9" spans="1:12" s="6" customFormat="1" x14ac:dyDescent="0.2">
      <c r="A9" s="45" t="s">
        <v>32</v>
      </c>
      <c r="B9" s="87"/>
      <c r="C9" s="87"/>
      <c r="D9" s="333"/>
      <c r="E9" s="333"/>
      <c r="F9" s="333"/>
      <c r="G9" s="333"/>
      <c r="H9" s="87"/>
      <c r="I9" s="87"/>
      <c r="J9" s="95"/>
      <c r="K9" s="12"/>
      <c r="L9" s="88"/>
    </row>
    <row r="10" spans="1:12" x14ac:dyDescent="0.2">
      <c r="A10" s="45" t="s">
        <v>30</v>
      </c>
      <c r="B10" s="87">
        <f>'[3]Shuttle America'!$IH$27</f>
        <v>0</v>
      </c>
      <c r="C10" s="87">
        <f>'[3]Shuttle America_Delta'!$IH$27</f>
        <v>0</v>
      </c>
      <c r="D10" s="333">
        <f>[3]Horizon_AS!$IH$27+[3]Horizon_AS!$IH$37</f>
        <v>0</v>
      </c>
      <c r="E10" s="333">
        <f>'[3]Air Wisconsin'!$IH$27</f>
        <v>0</v>
      </c>
      <c r="F10" s="333">
        <f>[3]Jazz_AC!$IH$27+[3]Jazz_AC!$IH$37</f>
        <v>46</v>
      </c>
      <c r="G10" s="333">
        <f>[3]PSA!$IH$27</f>
        <v>57</v>
      </c>
      <c r="H10" s="12">
        <f>'[3]Atlantic Southeast'!$IH$27+'[3]Atlantic Southeast'!$IH$37</f>
        <v>0</v>
      </c>
      <c r="I10" s="87">
        <f>'[3]Continental Express'!$IH$27</f>
        <v>0</v>
      </c>
      <c r="J10" s="95">
        <f>'[3]Go Jet_UA'!$IH$27</f>
        <v>0</v>
      </c>
      <c r="K10" s="12">
        <f>'[3]Go Jet'!$IH$27+'[3]Go Jet'!$IH$37</f>
        <v>0</v>
      </c>
      <c r="L10" s="88">
        <f>SUM(B10:K10)</f>
        <v>103</v>
      </c>
    </row>
    <row r="11" spans="1:12" x14ac:dyDescent="0.2">
      <c r="A11" s="45" t="s">
        <v>33</v>
      </c>
      <c r="B11" s="87">
        <f>'[3]Shuttle America'!$IH$28</f>
        <v>0</v>
      </c>
      <c r="C11" s="87">
        <f>'[3]Shuttle America_Delta'!$IH$28</f>
        <v>0</v>
      </c>
      <c r="D11" s="333">
        <f>[3]Horizon_AS!$IH$28+[3]Horizon_AS!$IH$38</f>
        <v>0</v>
      </c>
      <c r="E11" s="333">
        <f>'[3]Air Wisconsin'!$IH$28</f>
        <v>0</v>
      </c>
      <c r="F11" s="333">
        <f>[3]Jazz_AC!$IH$28+[3]Jazz_AC!$IH$38</f>
        <v>59</v>
      </c>
      <c r="G11" s="333">
        <f>[3]PSA!$IH$28</f>
        <v>57</v>
      </c>
      <c r="H11" s="7">
        <f>'[3]Atlantic Southeast'!$IH$28+'[3]Atlantic Southeast'!$IH$38</f>
        <v>0</v>
      </c>
      <c r="I11" s="87">
        <f>'[3]Continental Express'!$IH$28</f>
        <v>0</v>
      </c>
      <c r="J11" s="95">
        <f>'[3]Go Jet_UA'!$IH$28</f>
        <v>0</v>
      </c>
      <c r="K11" s="7">
        <f>'[3]Go Jet'!$IH$28+'[3]Go Jet'!$IH$38</f>
        <v>0</v>
      </c>
      <c r="L11" s="92">
        <f>SUM(B11:K11)</f>
        <v>116</v>
      </c>
    </row>
    <row r="12" spans="1:12" ht="15" thickBot="1" x14ac:dyDescent="0.25">
      <c r="A12" s="55" t="s">
        <v>34</v>
      </c>
      <c r="B12" s="108">
        <f>SUM(B10:B11)</f>
        <v>0</v>
      </c>
      <c r="C12" s="108">
        <f>SUM(C10:C11)</f>
        <v>0</v>
      </c>
      <c r="D12" s="108">
        <f t="shared" ref="D12:G12" si="2">SUM(D10:D11)</f>
        <v>0</v>
      </c>
      <c r="E12" s="108">
        <f t="shared" ref="E12:F12" si="3">SUM(E10:E11)</f>
        <v>0</v>
      </c>
      <c r="F12" s="108">
        <f t="shared" si="3"/>
        <v>105</v>
      </c>
      <c r="G12" s="108">
        <f t="shared" si="2"/>
        <v>114</v>
      </c>
      <c r="H12" s="108">
        <f t="shared" ref="H12:J12" si="4">SUM(H10:H11)</f>
        <v>0</v>
      </c>
      <c r="I12" s="108">
        <f t="shared" si="4"/>
        <v>0</v>
      </c>
      <c r="J12" s="108">
        <f t="shared" si="4"/>
        <v>0</v>
      </c>
      <c r="K12" s="108">
        <f t="shared" ref="K12" si="5">SUM(K10:K11)</f>
        <v>0</v>
      </c>
      <c r="L12" s="109">
        <f>SUM(B12:K12)</f>
        <v>219</v>
      </c>
    </row>
    <row r="13" spans="1:12" ht="6" customHeight="1" thickBot="1" x14ac:dyDescent="0.25"/>
    <row r="14" spans="1:12" ht="15.75" thickTop="1" x14ac:dyDescent="0.25">
      <c r="A14" s="44" t="s">
        <v>9</v>
      </c>
      <c r="B14" s="82"/>
      <c r="C14" s="82"/>
      <c r="D14" s="82"/>
      <c r="E14" s="82"/>
      <c r="F14" s="82"/>
      <c r="G14" s="82"/>
      <c r="H14" s="83"/>
      <c r="I14" s="83"/>
      <c r="J14" s="82"/>
      <c r="K14" s="82"/>
      <c r="L14" s="84"/>
    </row>
    <row r="15" spans="1:12" x14ac:dyDescent="0.2">
      <c r="A15" s="45" t="s">
        <v>53</v>
      </c>
      <c r="B15" s="85">
        <f>'[3]Shuttle America'!$IH$4</f>
        <v>0</v>
      </c>
      <c r="C15" s="85">
        <f>'[3]Shuttle America_Delta'!$IH$4</f>
        <v>0</v>
      </c>
      <c r="D15" s="334">
        <f>[3]Horizon_AS!$IH$4</f>
        <v>0</v>
      </c>
      <c r="E15" s="334">
        <f>'[3]Air Wisconsin'!$IH$4</f>
        <v>0</v>
      </c>
      <c r="F15" s="334">
        <f>[3]Jazz_AC!$IH$4+[3]Jazz_AC!$IH$15</f>
        <v>82</v>
      </c>
      <c r="G15" s="334">
        <f>[3]PSA!$IH$4</f>
        <v>54</v>
      </c>
      <c r="H15" s="86">
        <f>'[3]Atlantic Southeast'!$IH$4+'[3]Atlantic Southeast'!$IH$15</f>
        <v>0</v>
      </c>
      <c r="I15" s="86">
        <f>'[3]Continental Express'!$IH$4</f>
        <v>0</v>
      </c>
      <c r="J15" s="85">
        <f>'[3]Go Jet_UA'!$IH$4</f>
        <v>0</v>
      </c>
      <c r="K15" s="12">
        <f>'[3]Go Jet'!$IH$4+'[3]Go Jet'!$IH$15</f>
        <v>0</v>
      </c>
      <c r="L15" s="88">
        <f t="shared" ref="L15:L21" si="6">SUM(B15:K15)</f>
        <v>136</v>
      </c>
    </row>
    <row r="16" spans="1:12" x14ac:dyDescent="0.2">
      <c r="A16" s="45" t="s">
        <v>54</v>
      </c>
      <c r="B16" s="89">
        <f>'[3]Shuttle America'!$IH$5</f>
        <v>0</v>
      </c>
      <c r="C16" s="89">
        <f>'[3]Shuttle America_Delta'!$IH$5</f>
        <v>0</v>
      </c>
      <c r="D16" s="335">
        <f>[3]Horizon_AS!$IH$5</f>
        <v>0</v>
      </c>
      <c r="E16" s="335">
        <f>'[3]Air Wisconsin'!$IH$5</f>
        <v>0</v>
      </c>
      <c r="F16" s="335">
        <f>[3]Jazz_AC!$IH$5+[3]Jazz_AC!$IH$16</f>
        <v>82</v>
      </c>
      <c r="G16" s="335">
        <f>[3]PSA!$IH$5</f>
        <v>54</v>
      </c>
      <c r="H16" s="90">
        <f>'[3]Atlantic Southeast'!$IH$5+'[3]Atlantic Southeast'!$IH$16</f>
        <v>0</v>
      </c>
      <c r="I16" s="90">
        <f>'[3]Continental Express'!$IH$5</f>
        <v>0</v>
      </c>
      <c r="J16" s="89">
        <f>'[3]Go Jet_UA'!$IH$5</f>
        <v>0</v>
      </c>
      <c r="K16" s="7">
        <f>'[3]Go Jet'!$IH$5+'[3]Go Jet'!$IH$16</f>
        <v>0</v>
      </c>
      <c r="L16" s="92">
        <f t="shared" si="6"/>
        <v>136</v>
      </c>
    </row>
    <row r="17" spans="1:15" x14ac:dyDescent="0.2">
      <c r="A17" s="49" t="s">
        <v>55</v>
      </c>
      <c r="B17" s="93">
        <f>SUM(B15:B16)</f>
        <v>0</v>
      </c>
      <c r="C17" s="93">
        <f>SUM(C15:C16)</f>
        <v>0</v>
      </c>
      <c r="D17" s="93">
        <f t="shared" ref="D17:G17" si="7">SUM(D15:D16)</f>
        <v>0</v>
      </c>
      <c r="E17" s="93">
        <f t="shared" ref="E17:F17" si="8">SUM(E15:E16)</f>
        <v>0</v>
      </c>
      <c r="F17" s="93">
        <f t="shared" si="8"/>
        <v>164</v>
      </c>
      <c r="G17" s="93">
        <f t="shared" si="7"/>
        <v>108</v>
      </c>
      <c r="H17" s="93">
        <f t="shared" ref="H17:J17" si="9">SUM(H15:H16)</f>
        <v>0</v>
      </c>
      <c r="I17" s="93">
        <f t="shared" si="9"/>
        <v>0</v>
      </c>
      <c r="J17" s="93">
        <f t="shared" si="9"/>
        <v>0</v>
      </c>
      <c r="K17" s="210">
        <f>SUM(K15:K16)</f>
        <v>0</v>
      </c>
      <c r="L17" s="94">
        <f t="shared" si="6"/>
        <v>272</v>
      </c>
    </row>
    <row r="18" spans="1:15" x14ac:dyDescent="0.2">
      <c r="A18" s="45" t="s">
        <v>56</v>
      </c>
      <c r="B18" s="95">
        <f>'[3]Shuttle America'!$IH$8</f>
        <v>0</v>
      </c>
      <c r="C18" s="95">
        <f>'[3]Shuttle America_Delta'!$IH$8</f>
        <v>0</v>
      </c>
      <c r="D18" s="95">
        <f>[3]Horizon_AS!$IH$8</f>
        <v>0</v>
      </c>
      <c r="E18" s="95">
        <f>'[3]Air Wisconsin'!$IH$8</f>
        <v>0</v>
      </c>
      <c r="F18" s="95">
        <f>[3]Jazz_AC!$IH$8</f>
        <v>0</v>
      </c>
      <c r="G18" s="95">
        <f>[3]PSA!$IH$8</f>
        <v>0</v>
      </c>
      <c r="H18" s="87">
        <f>'[3]Atlantic Southeast'!$IH$8</f>
        <v>0</v>
      </c>
      <c r="I18" s="87">
        <f>'[3]Continental Express'!$IH$8</f>
        <v>0</v>
      </c>
      <c r="J18" s="95">
        <f>'[3]Go Jet_UA'!$IH$8</f>
        <v>0</v>
      </c>
      <c r="K18" s="12">
        <f>'[3]Go Jet'!$IH$8</f>
        <v>0</v>
      </c>
      <c r="L18" s="88">
        <f t="shared" si="6"/>
        <v>0</v>
      </c>
      <c r="O18" s="279"/>
    </row>
    <row r="19" spans="1:15" x14ac:dyDescent="0.2">
      <c r="A19" s="45" t="s">
        <v>57</v>
      </c>
      <c r="B19" s="96">
        <f>'[3]Shuttle America'!$IH$9</f>
        <v>0</v>
      </c>
      <c r="C19" s="96">
        <f>'[3]Shuttle America_Delta'!$IH$9</f>
        <v>0</v>
      </c>
      <c r="D19" s="96">
        <f>[3]Horizon_AS!$IH$9</f>
        <v>0</v>
      </c>
      <c r="E19" s="96">
        <f>'[3]Air Wisconsin'!$IH$9</f>
        <v>0</v>
      </c>
      <c r="F19" s="96">
        <f>[3]Jazz_AC!$IH$9</f>
        <v>0</v>
      </c>
      <c r="G19" s="96">
        <f>[3]PSA!$IH$9</f>
        <v>0</v>
      </c>
      <c r="H19" s="91">
        <f>'[3]Atlantic Southeast'!$IH$9</f>
        <v>0</v>
      </c>
      <c r="I19" s="91">
        <f>'[3]Continental Express'!$IH$9</f>
        <v>0</v>
      </c>
      <c r="J19" s="96">
        <f>'[3]Go Jet_UA'!$IH$9</f>
        <v>0</v>
      </c>
      <c r="K19" s="7">
        <f>'[3]Go Jet'!$IH$9</f>
        <v>0</v>
      </c>
      <c r="L19" s="92">
        <f t="shared" si="6"/>
        <v>0</v>
      </c>
    </row>
    <row r="20" spans="1:15" x14ac:dyDescent="0.2">
      <c r="A20" s="49" t="s">
        <v>58</v>
      </c>
      <c r="B20" s="93">
        <f>SUM(B18:B19)</f>
        <v>0</v>
      </c>
      <c r="C20" s="93">
        <f>SUM(C18:C19)</f>
        <v>0</v>
      </c>
      <c r="D20" s="93">
        <f t="shared" ref="D20:G20" si="10">SUM(D18:D19)</f>
        <v>0</v>
      </c>
      <c r="E20" s="93">
        <f t="shared" ref="E20:F20" si="11">SUM(E18:E19)</f>
        <v>0</v>
      </c>
      <c r="F20" s="93">
        <f t="shared" si="11"/>
        <v>0</v>
      </c>
      <c r="G20" s="93">
        <f t="shared" si="10"/>
        <v>0</v>
      </c>
      <c r="H20" s="93">
        <f t="shared" ref="H20:J20" si="12">SUM(H18:H19)</f>
        <v>0</v>
      </c>
      <c r="I20" s="93">
        <f t="shared" si="12"/>
        <v>0</v>
      </c>
      <c r="J20" s="93">
        <f t="shared" si="12"/>
        <v>0</v>
      </c>
      <c r="K20" s="210">
        <f>SUM(K18:K19)</f>
        <v>0</v>
      </c>
      <c r="L20" s="94">
        <f t="shared" si="6"/>
        <v>0</v>
      </c>
    </row>
    <row r="21" spans="1:15" ht="15.75" thickBot="1" x14ac:dyDescent="0.3">
      <c r="A21" s="53" t="s">
        <v>28</v>
      </c>
      <c r="B21" s="97">
        <f>SUM(B20,B17)</f>
        <v>0</v>
      </c>
      <c r="C21" s="97">
        <f>SUM(C20,C17)</f>
        <v>0</v>
      </c>
      <c r="D21" s="97">
        <f t="shared" ref="D21:G21" si="13">SUM(D20,D17)</f>
        <v>0</v>
      </c>
      <c r="E21" s="97">
        <f t="shared" ref="E21:F21" si="14">SUM(E20,E17)</f>
        <v>0</v>
      </c>
      <c r="F21" s="97">
        <f t="shared" si="14"/>
        <v>164</v>
      </c>
      <c r="G21" s="97">
        <f t="shared" si="13"/>
        <v>108</v>
      </c>
      <c r="H21" s="97">
        <f t="shared" ref="H21:J21" si="15">SUM(H20,H17)</f>
        <v>0</v>
      </c>
      <c r="I21" s="97">
        <f t="shared" si="15"/>
        <v>0</v>
      </c>
      <c r="J21" s="97">
        <f t="shared" si="15"/>
        <v>0</v>
      </c>
      <c r="K21" s="97">
        <f t="shared" ref="K21" si="16">SUM(K20,K17)</f>
        <v>0</v>
      </c>
      <c r="L21" s="98">
        <f t="shared" si="6"/>
        <v>272</v>
      </c>
    </row>
    <row r="22" spans="1:15" ht="3.75" customHeight="1" thickBot="1" x14ac:dyDescent="0.25"/>
    <row r="23" spans="1:15" ht="15.75" thickTop="1" x14ac:dyDescent="0.25">
      <c r="A23" s="48" t="s">
        <v>114</v>
      </c>
      <c r="B23" s="110"/>
      <c r="C23" s="110"/>
      <c r="D23" s="110"/>
      <c r="E23" s="110"/>
      <c r="F23" s="110"/>
      <c r="G23" s="110"/>
      <c r="H23" s="111"/>
      <c r="I23" s="111"/>
      <c r="J23" s="110"/>
      <c r="K23" s="110"/>
      <c r="L23" s="112"/>
    </row>
    <row r="24" spans="1:15" x14ac:dyDescent="0.2">
      <c r="A24" s="45" t="s">
        <v>36</v>
      </c>
      <c r="B24" s="95"/>
      <c r="C24" s="95"/>
      <c r="D24" s="95"/>
      <c r="E24" s="95"/>
      <c r="F24" s="95"/>
      <c r="G24" s="95"/>
      <c r="H24" s="87"/>
      <c r="I24" s="87"/>
      <c r="J24" s="95"/>
      <c r="L24" s="88"/>
    </row>
    <row r="25" spans="1:15" x14ac:dyDescent="0.2">
      <c r="A25" s="45" t="s">
        <v>37</v>
      </c>
      <c r="B25" s="95">
        <f>'[3]Shuttle America'!$IH$47</f>
        <v>0</v>
      </c>
      <c r="C25" s="95">
        <f>'[3]Shuttle America_Delta'!$IH$47</f>
        <v>0</v>
      </c>
      <c r="D25" s="95">
        <f>[3]Horizon_AS!$IH$47</f>
        <v>0</v>
      </c>
      <c r="E25" s="95">
        <f>'[3]Air Wisconsin'!$IH$47</f>
        <v>0</v>
      </c>
      <c r="F25" s="95">
        <f>[3]Jazz_AC!$IH$47</f>
        <v>1430</v>
      </c>
      <c r="G25" s="95">
        <f>[3]PSA!$IH$47</f>
        <v>0</v>
      </c>
      <c r="H25" s="87">
        <f>'[3]Atlantic Southeast'!$IH$47</f>
        <v>0</v>
      </c>
      <c r="I25" s="87">
        <f>'[3]Continental Express'!$IH$47</f>
        <v>0</v>
      </c>
      <c r="J25" s="95">
        <f>'[3]Go Jet_UA'!$IH$47</f>
        <v>0</v>
      </c>
      <c r="K25" s="95">
        <f>'[3]Go Jet'!$IH$47</f>
        <v>0</v>
      </c>
      <c r="L25" s="88">
        <f>SUM(B25:K25)</f>
        <v>1430</v>
      </c>
    </row>
    <row r="26" spans="1:15" x14ac:dyDescent="0.2">
      <c r="A26" s="45" t="s">
        <v>38</v>
      </c>
      <c r="B26" s="95">
        <f>'[3]Shuttle America'!$IH$48</f>
        <v>0</v>
      </c>
      <c r="C26" s="95">
        <f>'[3]Shuttle America_Delta'!$IH$48</f>
        <v>0</v>
      </c>
      <c r="D26" s="95">
        <f>[3]Horizon_AS!$IH$48</f>
        <v>0</v>
      </c>
      <c r="E26" s="95">
        <f>'[3]Air Wisconsin'!$IH$48</f>
        <v>0</v>
      </c>
      <c r="F26" s="95">
        <f>[3]Jazz_AC!$IH$48</f>
        <v>0</v>
      </c>
      <c r="G26" s="95">
        <f>[3]PSA!$IH$48</f>
        <v>0</v>
      </c>
      <c r="H26" s="87">
        <f>'[3]Atlantic Southeast'!$IH$48</f>
        <v>0</v>
      </c>
      <c r="I26" s="87">
        <f>'[3]Continental Express'!$IH$48</f>
        <v>0</v>
      </c>
      <c r="J26" s="95">
        <f>'[3]Go Jet_UA'!$IH$48</f>
        <v>0</v>
      </c>
      <c r="K26" s="95">
        <f>'[3]Go Jet'!$IH$48</f>
        <v>0</v>
      </c>
      <c r="L26" s="88">
        <f>SUM(B26:K26)</f>
        <v>0</v>
      </c>
    </row>
    <row r="27" spans="1:15" ht="15" thickBot="1" x14ac:dyDescent="0.25">
      <c r="A27" s="54" t="s">
        <v>39</v>
      </c>
      <c r="B27" s="105">
        <f>SUM(B25:B26)</f>
        <v>0</v>
      </c>
      <c r="C27" s="105">
        <f>SUM(C25:C26)</f>
        <v>0</v>
      </c>
      <c r="D27" s="105">
        <f t="shared" ref="D27:G27" si="17">SUM(D25:D26)</f>
        <v>0</v>
      </c>
      <c r="E27" s="105">
        <f t="shared" ref="E27:F27" si="18">SUM(E25:E26)</f>
        <v>0</v>
      </c>
      <c r="F27" s="105">
        <f t="shared" si="18"/>
        <v>1430</v>
      </c>
      <c r="G27" s="105">
        <f t="shared" si="17"/>
        <v>0</v>
      </c>
      <c r="H27" s="105">
        <f t="shared" ref="H27:J27" si="19">SUM(H25:H26)</f>
        <v>0</v>
      </c>
      <c r="I27" s="105">
        <f t="shared" si="19"/>
        <v>0</v>
      </c>
      <c r="J27" s="105">
        <f t="shared" si="19"/>
        <v>0</v>
      </c>
      <c r="K27" s="105">
        <f>SUM(K25:K26)</f>
        <v>0</v>
      </c>
      <c r="L27" s="106">
        <f>SUM(B27:K27)</f>
        <v>1430</v>
      </c>
    </row>
    <row r="28" spans="1:15" ht="7.5" customHeight="1" thickTop="1" x14ac:dyDescent="0.2">
      <c r="A28" s="45"/>
      <c r="B28" s="95"/>
      <c r="C28" s="95"/>
      <c r="D28" s="95"/>
      <c r="E28" s="95"/>
      <c r="F28" s="95"/>
      <c r="G28" s="95"/>
      <c r="H28" s="87"/>
      <c r="I28" s="87"/>
      <c r="J28" s="95"/>
      <c r="K28" s="95"/>
      <c r="L28" s="88"/>
    </row>
    <row r="29" spans="1:15" x14ac:dyDescent="0.2">
      <c r="A29" s="45" t="s">
        <v>40</v>
      </c>
      <c r="B29" s="95"/>
      <c r="C29" s="95"/>
      <c r="D29" s="95"/>
      <c r="E29" s="95"/>
      <c r="F29" s="95"/>
      <c r="G29" s="95"/>
      <c r="H29" s="87"/>
      <c r="I29" s="87"/>
      <c r="J29" s="95"/>
      <c r="K29" s="95"/>
      <c r="L29" s="88"/>
    </row>
    <row r="30" spans="1:15" x14ac:dyDescent="0.2">
      <c r="A30" s="45" t="s">
        <v>59</v>
      </c>
      <c r="B30" s="95">
        <f>'[3]Shuttle America'!$IH$52</f>
        <v>0</v>
      </c>
      <c r="C30" s="95">
        <f>'[3]Shuttle America_Delta'!$IH$52</f>
        <v>0</v>
      </c>
      <c r="D30" s="95">
        <f>[3]Horizon_AS!$IH$52</f>
        <v>0</v>
      </c>
      <c r="E30" s="95">
        <f>'[3]Air Wisconsin'!$IH$52</f>
        <v>0</v>
      </c>
      <c r="F30" s="95">
        <f>[3]Jazz_AC!$IH$52</f>
        <v>1450</v>
      </c>
      <c r="G30" s="95">
        <f>[3]PSA!$IH$52</f>
        <v>0</v>
      </c>
      <c r="H30" s="87">
        <f>'[3]Atlantic Southeast'!$IH$52</f>
        <v>0</v>
      </c>
      <c r="I30" s="87">
        <f>'[3]Continental Express'!$IH$52</f>
        <v>0</v>
      </c>
      <c r="J30" s="95">
        <f>'[3]Go Jet_UA'!$IH$52</f>
        <v>0</v>
      </c>
      <c r="K30" s="95">
        <f>'[3]Go Jet'!$IH$52</f>
        <v>0</v>
      </c>
      <c r="L30" s="88">
        <f>SUM(B30:K30)</f>
        <v>1450</v>
      </c>
    </row>
    <row r="31" spans="1:15" x14ac:dyDescent="0.2">
      <c r="A31" s="45" t="s">
        <v>60</v>
      </c>
      <c r="B31" s="95">
        <f>'[3]Shuttle America'!$IH$53</f>
        <v>0</v>
      </c>
      <c r="C31" s="95">
        <f>'[3]Shuttle America_Delta'!$IH$53</f>
        <v>0</v>
      </c>
      <c r="D31" s="95">
        <f>[3]Horizon_AS!$IH$53</f>
        <v>0</v>
      </c>
      <c r="E31" s="95">
        <f>'[3]Air Wisconsin'!$IH$53</f>
        <v>0</v>
      </c>
      <c r="F31" s="95">
        <f>[3]Jazz_AC!$IH$53</f>
        <v>0</v>
      </c>
      <c r="G31" s="95">
        <f>[3]PSA!$IH$53</f>
        <v>0</v>
      </c>
      <c r="H31" s="87">
        <f>'[3]Atlantic Southeast'!$IH$53</f>
        <v>0</v>
      </c>
      <c r="I31" s="87">
        <f>'[3]Continental Express'!$IH$53</f>
        <v>0</v>
      </c>
      <c r="J31" s="95">
        <f>'[3]Go Jet_UA'!$IH$53</f>
        <v>0</v>
      </c>
      <c r="K31" s="95">
        <f>'[3]Go Jet'!$IH$53</f>
        <v>0</v>
      </c>
      <c r="L31" s="88">
        <f>SUM(B31:K31)</f>
        <v>0</v>
      </c>
    </row>
    <row r="32" spans="1:15" ht="15" thickBot="1" x14ac:dyDescent="0.25">
      <c r="A32" s="54" t="s">
        <v>41</v>
      </c>
      <c r="B32" s="105">
        <f t="shared" ref="B32:J32" si="20">SUM(B30:B31)</f>
        <v>0</v>
      </c>
      <c r="C32" s="105">
        <f t="shared" si="20"/>
        <v>0</v>
      </c>
      <c r="D32" s="105">
        <f t="shared" ref="D32:F32" si="21">SUM(D30:D31)</f>
        <v>0</v>
      </c>
      <c r="E32" s="105">
        <f t="shared" si="21"/>
        <v>0</v>
      </c>
      <c r="F32" s="105">
        <f t="shared" si="21"/>
        <v>1450</v>
      </c>
      <c r="G32" s="105">
        <f t="shared" si="20"/>
        <v>0</v>
      </c>
      <c r="H32" s="105">
        <f t="shared" si="20"/>
        <v>0</v>
      </c>
      <c r="I32" s="105">
        <f t="shared" si="20"/>
        <v>0</v>
      </c>
      <c r="J32" s="105">
        <f t="shared" si="20"/>
        <v>0</v>
      </c>
      <c r="K32" s="105">
        <f t="shared" ref="K32" si="22">SUM(K30:K31)</f>
        <v>0</v>
      </c>
      <c r="L32" s="106">
        <f>SUM(B32:K32)</f>
        <v>1450</v>
      </c>
    </row>
    <row r="33" spans="1:12" ht="13.5" hidden="1" thickTop="1" x14ac:dyDescent="0.2">
      <c r="A33" s="45"/>
      <c r="B33" s="95"/>
      <c r="C33" s="95"/>
      <c r="D33" s="95"/>
      <c r="E33" s="95"/>
      <c r="F33" s="95"/>
      <c r="G33" s="95"/>
      <c r="H33" s="87"/>
      <c r="I33" s="87"/>
      <c r="J33" s="95"/>
      <c r="K33" s="95"/>
      <c r="L33" s="88"/>
    </row>
    <row r="34" spans="1:12" ht="13.5" hidden="1" thickTop="1" x14ac:dyDescent="0.2">
      <c r="A34" s="45" t="s">
        <v>42</v>
      </c>
      <c r="B34" s="95"/>
      <c r="C34" s="95"/>
      <c r="D34" s="95"/>
      <c r="E34" s="95"/>
      <c r="F34" s="95"/>
      <c r="G34" s="95"/>
      <c r="H34" s="87"/>
      <c r="I34" s="87"/>
      <c r="J34" s="95"/>
      <c r="K34" s="95"/>
      <c r="L34" s="88"/>
    </row>
    <row r="35" spans="1:12" ht="13.5" hidden="1" thickTop="1" x14ac:dyDescent="0.2">
      <c r="A35" s="45" t="s">
        <v>37</v>
      </c>
      <c r="B35" s="95">
        <f>'[3]Shuttle America'!$IH$57</f>
        <v>0</v>
      </c>
      <c r="C35" s="95">
        <f>'[3]Shuttle America_Delta'!$IH$57</f>
        <v>0</v>
      </c>
      <c r="D35" s="95">
        <f>[3]Horizon_AS!$IH$57</f>
        <v>0</v>
      </c>
      <c r="E35" s="95">
        <f>'[3]Air Wisconsin'!$IH$57</f>
        <v>0</v>
      </c>
      <c r="F35" s="95">
        <f>[3]Jazz_AC!$IH$57</f>
        <v>0</v>
      </c>
      <c r="G35" s="95">
        <f>[3]PSA!$IH$57</f>
        <v>0</v>
      </c>
      <c r="H35" s="87">
        <f>'[3]Atlantic Southeast'!$IH$57</f>
        <v>0</v>
      </c>
      <c r="I35" s="87">
        <f>'[3]Continental Express'!$IH$57</f>
        <v>0</v>
      </c>
      <c r="J35" s="95">
        <f>'[3]Go Jet_UA'!$AJ$57</f>
        <v>0</v>
      </c>
      <c r="K35" s="95">
        <f>'[3]Go Jet'!$IH$57</f>
        <v>0</v>
      </c>
      <c r="L35" s="88">
        <f>SUM(B35:K35)</f>
        <v>0</v>
      </c>
    </row>
    <row r="36" spans="1:12" ht="13.5" hidden="1" thickTop="1" x14ac:dyDescent="0.2">
      <c r="A36" s="45" t="s">
        <v>38</v>
      </c>
      <c r="B36" s="95">
        <f>'[3]Shuttle America'!BG$58</f>
        <v>0</v>
      </c>
      <c r="C36" s="95">
        <f>'[3]Shuttle America_Delta'!BH$58</f>
        <v>0</v>
      </c>
      <c r="D36" s="95">
        <f>[3]Horizon_AS!BF$58</f>
        <v>0</v>
      </c>
      <c r="E36" s="95">
        <f>'[3]Air Wisconsin'!BG$58</f>
        <v>0</v>
      </c>
      <c r="F36" s="95">
        <f>[3]Jazz_AC!BF$58</f>
        <v>0</v>
      </c>
      <c r="G36" s="95">
        <f>[3]PSA!BG$58</f>
        <v>0</v>
      </c>
      <c r="H36" s="87">
        <f>'[3]Atlantic Southeast'!BG$58</f>
        <v>0</v>
      </c>
      <c r="I36" s="87">
        <f>'[3]Continental Express'!BG$58</f>
        <v>0</v>
      </c>
      <c r="J36" s="95">
        <f>'[3]Go Jet_UA'!$AJ$58</f>
        <v>0</v>
      </c>
      <c r="K36" s="95">
        <f>'[3]Go Jet'!BK$58</f>
        <v>0</v>
      </c>
      <c r="L36" s="88">
        <f>SUM(B36:K36)</f>
        <v>0</v>
      </c>
    </row>
    <row r="37" spans="1:12" ht="13.5" hidden="1" thickTop="1" x14ac:dyDescent="0.2">
      <c r="A37" s="56" t="s">
        <v>43</v>
      </c>
      <c r="B37" s="113">
        <f>SUM(B35:B36)</f>
        <v>0</v>
      </c>
      <c r="C37" s="113">
        <f>SUM(C35:C36)</f>
        <v>0</v>
      </c>
      <c r="D37" s="113">
        <f t="shared" ref="D37:G37" si="23">SUM(D35:D36)</f>
        <v>0</v>
      </c>
      <c r="E37" s="113">
        <f t="shared" ref="E37:F37" si="24">SUM(E35:E36)</f>
        <v>0</v>
      </c>
      <c r="F37" s="113">
        <f t="shared" si="24"/>
        <v>0</v>
      </c>
      <c r="G37" s="113">
        <f t="shared" si="23"/>
        <v>0</v>
      </c>
      <c r="H37" s="114">
        <f t="shared" ref="H37:J37" si="25">SUM(H35:H36)</f>
        <v>0</v>
      </c>
      <c r="I37" s="114">
        <f t="shared" si="25"/>
        <v>0</v>
      </c>
      <c r="J37" s="113">
        <f t="shared" si="25"/>
        <v>0</v>
      </c>
      <c r="K37" s="113">
        <f>SUM(K35:K36)</f>
        <v>0</v>
      </c>
      <c r="L37" s="115">
        <f>SUM(B37:K37)</f>
        <v>0</v>
      </c>
    </row>
    <row r="38" spans="1:12" ht="6.75" customHeight="1" thickTop="1" x14ac:dyDescent="0.2">
      <c r="A38" s="45"/>
      <c r="B38" s="95"/>
      <c r="C38" s="95"/>
      <c r="D38" s="95"/>
      <c r="E38" s="95"/>
      <c r="F38" s="95"/>
      <c r="G38" s="95"/>
      <c r="H38" s="87"/>
      <c r="I38" s="87"/>
      <c r="J38" s="95"/>
      <c r="K38" s="95"/>
      <c r="L38" s="88"/>
    </row>
    <row r="39" spans="1:12" x14ac:dyDescent="0.2">
      <c r="A39" s="45" t="s">
        <v>44</v>
      </c>
      <c r="B39" s="95"/>
      <c r="C39" s="95"/>
      <c r="D39" s="95"/>
      <c r="E39" s="95"/>
      <c r="F39" s="95"/>
      <c r="G39" s="95"/>
      <c r="H39" s="87"/>
      <c r="I39" s="87"/>
      <c r="J39" s="95"/>
      <c r="K39" s="95"/>
      <c r="L39" s="88"/>
    </row>
    <row r="40" spans="1:12" x14ac:dyDescent="0.2">
      <c r="A40" s="45" t="s">
        <v>45</v>
      </c>
      <c r="B40" s="95">
        <f t="shared" ref="B40:I40" si="26">SUM(B35,B30,B25)</f>
        <v>0</v>
      </c>
      <c r="C40" s="95">
        <f>SUM(C35,C30,C25)</f>
        <v>0</v>
      </c>
      <c r="D40" s="95">
        <f t="shared" ref="D40:G41" si="27">SUM(D35,D30,D25)</f>
        <v>0</v>
      </c>
      <c r="E40" s="95">
        <f t="shared" ref="E40:F40" si="28">SUM(E35,E30,E25)</f>
        <v>0</v>
      </c>
      <c r="F40" s="95">
        <f t="shared" si="28"/>
        <v>2880</v>
      </c>
      <c r="G40" s="95">
        <f t="shared" si="27"/>
        <v>0</v>
      </c>
      <c r="H40" s="95">
        <f t="shared" si="26"/>
        <v>0</v>
      </c>
      <c r="I40" s="95">
        <f t="shared" si="26"/>
        <v>0</v>
      </c>
      <c r="J40" s="95">
        <f>SUM(J35,J30,J25)</f>
        <v>0</v>
      </c>
      <c r="K40" s="95">
        <f t="shared" ref="K40" si="29">SUM(K35,K30,K25)</f>
        <v>0</v>
      </c>
      <c r="L40" s="88">
        <f>SUM(B40:K40)</f>
        <v>2880</v>
      </c>
    </row>
    <row r="41" spans="1:12" x14ac:dyDescent="0.2">
      <c r="A41" s="45" t="s">
        <v>38</v>
      </c>
      <c r="B41" s="95">
        <f>SUM(B36,B31,B26)</f>
        <v>0</v>
      </c>
      <c r="C41" s="95">
        <f>SUM(C36,C31,C26)</f>
        <v>0</v>
      </c>
      <c r="D41" s="95">
        <f t="shared" si="27"/>
        <v>0</v>
      </c>
      <c r="E41" s="95">
        <f t="shared" ref="E41:F41" si="30">SUM(E36,E31,E26)</f>
        <v>0</v>
      </c>
      <c r="F41" s="95">
        <f t="shared" si="30"/>
        <v>0</v>
      </c>
      <c r="G41" s="95">
        <f t="shared" si="27"/>
        <v>0</v>
      </c>
      <c r="H41" s="95">
        <f t="shared" ref="H41:I41" si="31">SUM(H36,H31,H26)</f>
        <v>0</v>
      </c>
      <c r="I41" s="95">
        <f t="shared" si="31"/>
        <v>0</v>
      </c>
      <c r="J41" s="95">
        <f>SUM(J36,J31,J26)</f>
        <v>0</v>
      </c>
      <c r="K41" s="95">
        <f t="shared" ref="K41" si="32">SUM(K36,K31,K26)</f>
        <v>0</v>
      </c>
      <c r="L41" s="88">
        <f>SUM(B41:K41)</f>
        <v>0</v>
      </c>
    </row>
    <row r="42" spans="1:12" ht="15" thickBot="1" x14ac:dyDescent="0.25">
      <c r="A42" s="55" t="s">
        <v>46</v>
      </c>
      <c r="B42" s="108">
        <f>SUM(B40:B41)</f>
        <v>0</v>
      </c>
      <c r="C42" s="108">
        <f>SUM(C40:C41)</f>
        <v>0</v>
      </c>
      <c r="D42" s="108">
        <f t="shared" ref="D42:G42" si="33">SUM(D40:D41)</f>
        <v>0</v>
      </c>
      <c r="E42" s="108">
        <f t="shared" ref="E42:F42" si="34">SUM(E40:E41)</f>
        <v>0</v>
      </c>
      <c r="F42" s="108">
        <f t="shared" si="34"/>
        <v>2880</v>
      </c>
      <c r="G42" s="108">
        <f t="shared" si="33"/>
        <v>0</v>
      </c>
      <c r="H42" s="108">
        <f t="shared" ref="H42:J42" si="35">SUM(H40:H41)</f>
        <v>0</v>
      </c>
      <c r="I42" s="108">
        <f t="shared" si="35"/>
        <v>0</v>
      </c>
      <c r="J42" s="108">
        <f t="shared" si="35"/>
        <v>0</v>
      </c>
      <c r="K42" s="108">
        <f t="shared" ref="K42" si="36">SUM(K40:K41)</f>
        <v>0</v>
      </c>
      <c r="L42" s="109">
        <f>SUM(B42:K42)</f>
        <v>2880</v>
      </c>
    </row>
    <row r="43" spans="1:12" ht="4.5" customHeight="1" x14ac:dyDescent="0.2"/>
    <row r="44" spans="1:12" hidden="1" x14ac:dyDescent="0.2">
      <c r="A44" s="243" t="s">
        <v>124</v>
      </c>
      <c r="H44" s="229"/>
      <c r="K44" s="242">
        <f>'[3]Go Jet'!BK$70+'[3]Go Jet'!BK$73</f>
        <v>0</v>
      </c>
      <c r="L44" s="231" t="e">
        <f>SUM(#REF!)</f>
        <v>#REF!</v>
      </c>
    </row>
    <row r="45" spans="1:12" hidden="1" x14ac:dyDescent="0.2">
      <c r="A45" s="243" t="s">
        <v>125</v>
      </c>
      <c r="H45" s="246"/>
      <c r="K45" s="242">
        <f>'[3]Go Jet'!BK$71+'[3]Go Jet'!BK$74</f>
        <v>0</v>
      </c>
      <c r="L45" s="231" t="e">
        <f>SUM(#REF!)</f>
        <v>#REF!</v>
      </c>
    </row>
    <row r="46" spans="1:12" x14ac:dyDescent="0.2">
      <c r="A46" s="276" t="s">
        <v>121</v>
      </c>
      <c r="C46" s="242">
        <f>'[3]Shuttle America_Delta'!$IH$70+'[3]Shuttle America_Delta'!$IH$73</f>
        <v>0</v>
      </c>
      <c r="D46" s="2"/>
      <c r="E46" s="2"/>
      <c r="H46" s="242">
        <f>'[3]Atlantic Southeast'!$IH$70+'[3]Atlantic Southeast'!$IH$73</f>
        <v>0</v>
      </c>
      <c r="K46" s="242">
        <f>'[3]Go Jet'!$IH$70+'[3]Go Jet'!$IH$73</f>
        <v>0</v>
      </c>
      <c r="L46" s="288">
        <f>SUM(B46:K46)</f>
        <v>0</v>
      </c>
    </row>
    <row r="47" spans="1:12" x14ac:dyDescent="0.2">
      <c r="A47" s="289" t="s">
        <v>122</v>
      </c>
      <c r="C47" s="242">
        <f>'[3]Shuttle America_Delta'!$IH$71+'[3]Shuttle America_Delta'!$IH$74</f>
        <v>0</v>
      </c>
      <c r="D47" s="2"/>
      <c r="E47" s="2"/>
      <c r="H47" s="242">
        <f>'[3]Atlantic Southeast'!$IH$71+'[3]Atlantic Southeast'!$IH$74</f>
        <v>0</v>
      </c>
      <c r="K47" s="242">
        <f>'[3]Go Jet'!$IH$71+'[3]Go Jet'!$IH$74</f>
        <v>0</v>
      </c>
      <c r="L47" s="288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March 2023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I11" sqref="I1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6">
        <v>44986</v>
      </c>
      <c r="B2" s="147" t="s">
        <v>116</v>
      </c>
      <c r="C2" s="147" t="s">
        <v>152</v>
      </c>
      <c r="D2" s="81" t="s">
        <v>77</v>
      </c>
      <c r="E2" s="81" t="s">
        <v>153</v>
      </c>
      <c r="F2" s="147" t="s">
        <v>130</v>
      </c>
      <c r="G2" s="144" t="s">
        <v>78</v>
      </c>
    </row>
    <row r="3" spans="1:17" x14ac:dyDescent="0.2">
      <c r="A3" s="202" t="s">
        <v>3</v>
      </c>
      <c r="B3" s="153"/>
      <c r="C3" s="152"/>
      <c r="D3" s="152"/>
      <c r="E3" s="152"/>
      <c r="F3" s="152"/>
      <c r="G3" s="194"/>
    </row>
    <row r="4" spans="1:17" x14ac:dyDescent="0.2">
      <c r="A4" s="45" t="s">
        <v>29</v>
      </c>
      <c r="B4" s="313"/>
      <c r="C4" s="151"/>
      <c r="D4" s="151"/>
      <c r="E4" s="151"/>
      <c r="F4" s="151"/>
      <c r="G4" s="184"/>
    </row>
    <row r="5" spans="1:17" x14ac:dyDescent="0.2">
      <c r="A5" s="45" t="s">
        <v>30</v>
      </c>
      <c r="B5" s="313">
        <f>'[3]Charter Misc'!$IH$22</f>
        <v>60</v>
      </c>
      <c r="C5" s="151">
        <f>[3]Ryan!$IH$22</f>
        <v>0</v>
      </c>
      <c r="D5" s="151">
        <f>'[3]Charter Misc'!$IH$32</f>
        <v>0</v>
      </c>
      <c r="E5" s="151">
        <f>[3]Omni!$IH$32+[3]Omni!$IH$22</f>
        <v>0</v>
      </c>
      <c r="F5" s="151">
        <f>[3]Xtra!$IH$32+[3]Xtra!$IH$22</f>
        <v>0</v>
      </c>
      <c r="G5" s="249">
        <f>SUM(B5:F5)</f>
        <v>60</v>
      </c>
    </row>
    <row r="6" spans="1:17" x14ac:dyDescent="0.2">
      <c r="A6" s="45" t="s">
        <v>31</v>
      </c>
      <c r="B6" s="314">
        <f>'[3]Charter Misc'!$IH$23</f>
        <v>0</v>
      </c>
      <c r="C6" s="154">
        <f>[3]Ryan!$IH$23</f>
        <v>0</v>
      </c>
      <c r="D6" s="154">
        <f>'[3]Charter Misc'!$IH$33</f>
        <v>0</v>
      </c>
      <c r="E6" s="154">
        <f>[3]Omni!$IH$33+[3]Omni!$IH$23</f>
        <v>0</v>
      </c>
      <c r="F6" s="154">
        <f>[3]Xtra!$IH$33+[3]Xtra!$IH$23</f>
        <v>0</v>
      </c>
      <c r="G6" s="248">
        <f>SUM(B6:F6)</f>
        <v>0</v>
      </c>
    </row>
    <row r="7" spans="1:17" ht="15.75" thickBot="1" x14ac:dyDescent="0.3">
      <c r="A7" s="150" t="s">
        <v>7</v>
      </c>
      <c r="B7" s="315">
        <f>SUM(B5:B6)</f>
        <v>60</v>
      </c>
      <c r="C7" s="219">
        <f>SUM(C5:C6)</f>
        <v>0</v>
      </c>
      <c r="D7" s="219">
        <f>SUM(D5:D6)</f>
        <v>0</v>
      </c>
      <c r="E7" s="219">
        <f>SUM(E5:E6)</f>
        <v>0</v>
      </c>
      <c r="F7" s="219">
        <f>SUM(F5:F6)</f>
        <v>0</v>
      </c>
      <c r="G7" s="220">
        <f>SUM(B7:F7)</f>
        <v>60</v>
      </c>
    </row>
    <row r="8" spans="1:17" ht="13.5" thickBot="1" x14ac:dyDescent="0.25"/>
    <row r="9" spans="1:17" x14ac:dyDescent="0.2">
      <c r="A9" s="148" t="s">
        <v>9</v>
      </c>
      <c r="B9" s="316"/>
      <c r="C9" s="29"/>
      <c r="D9" s="29"/>
      <c r="E9" s="29"/>
      <c r="F9" s="29"/>
      <c r="G9" s="40"/>
    </row>
    <row r="10" spans="1:17" x14ac:dyDescent="0.2">
      <c r="A10" s="149" t="s">
        <v>79</v>
      </c>
      <c r="B10" s="313">
        <f>'[3]Charter Misc'!$IH$4</f>
        <v>0</v>
      </c>
      <c r="C10" s="151">
        <f>[3]Ryan!$IH$4</f>
        <v>0</v>
      </c>
      <c r="D10" s="151">
        <f>'[3]Charter Misc'!$IH$15</f>
        <v>1</v>
      </c>
      <c r="E10" s="151">
        <f>[3]Omni!$IH$15+[3]Omni!$IH$4</f>
        <v>0</v>
      </c>
      <c r="F10" s="151">
        <f>[3]Xtra!$IH$15+[3]Xtra!$IH$4</f>
        <v>0</v>
      </c>
      <c r="G10" s="248">
        <f>SUM(B10:F10)</f>
        <v>1</v>
      </c>
    </row>
    <row r="11" spans="1:17" x14ac:dyDescent="0.2">
      <c r="A11" s="149" t="s">
        <v>80</v>
      </c>
      <c r="B11" s="313">
        <f>'[3]Charter Misc'!$IH$5</f>
        <v>0</v>
      </c>
      <c r="C11" s="151">
        <f>[3]Ryan!$IH$5</f>
        <v>0</v>
      </c>
      <c r="D11" s="151">
        <f>'[3]Charter Misc'!$IH$16</f>
        <v>0</v>
      </c>
      <c r="E11" s="151">
        <f>[3]Omni!$IH$16+[3]Omni!$IH$5</f>
        <v>0</v>
      </c>
      <c r="F11" s="151">
        <f>[3]Xtra!$IH$16+[3]Xtra!$IH$5</f>
        <v>0</v>
      </c>
      <c r="G11" s="248">
        <f>SUM(B11:F11)</f>
        <v>0</v>
      </c>
    </row>
    <row r="12" spans="1:17" ht="15.75" thickBot="1" x14ac:dyDescent="0.3">
      <c r="A12" s="201" t="s">
        <v>28</v>
      </c>
      <c r="B12" s="317">
        <f>SUM(B10:B11)</f>
        <v>0</v>
      </c>
      <c r="C12" s="221">
        <f>SUM(C10:C11)</f>
        <v>0</v>
      </c>
      <c r="D12" s="221">
        <f>SUM(D10:D11)</f>
        <v>1</v>
      </c>
      <c r="E12" s="221">
        <f>SUM(E10:E11)</f>
        <v>0</v>
      </c>
      <c r="F12" s="221">
        <f>SUM(F10:F11)</f>
        <v>0</v>
      </c>
      <c r="G12" s="222">
        <f>SUM(B12:F12)</f>
        <v>1</v>
      </c>
      <c r="Q12" s="95"/>
    </row>
    <row r="17" spans="1:16" x14ac:dyDescent="0.2">
      <c r="B17" s="443" t="s">
        <v>150</v>
      </c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5"/>
    </row>
    <row r="18" spans="1:16" ht="13.5" thickBot="1" x14ac:dyDescent="0.25">
      <c r="A18" s="237"/>
      <c r="E18" s="169"/>
      <c r="G18" s="169"/>
      <c r="H18" s="169"/>
      <c r="L18" s="173"/>
      <c r="N18" s="4"/>
    </row>
    <row r="19" spans="1:16" ht="13.5" customHeight="1" thickBot="1" x14ac:dyDescent="0.25">
      <c r="A19" s="303"/>
      <c r="B19" s="446" t="s">
        <v>118</v>
      </c>
      <c r="C19" s="447"/>
      <c r="D19" s="447"/>
      <c r="E19" s="448"/>
      <c r="G19" s="446" t="s">
        <v>119</v>
      </c>
      <c r="H19" s="449"/>
      <c r="I19" s="449"/>
      <c r="J19" s="450"/>
      <c r="L19" s="451" t="s">
        <v>120</v>
      </c>
      <c r="M19" s="452"/>
      <c r="N19" s="452"/>
      <c r="O19" s="453"/>
    </row>
    <row r="20" spans="1:16" ht="13.5" thickBot="1" x14ac:dyDescent="0.25">
      <c r="A20" s="175" t="s">
        <v>99</v>
      </c>
      <c r="B20" s="436" t="s">
        <v>100</v>
      </c>
      <c r="C20" s="436" t="s">
        <v>101</v>
      </c>
      <c r="D20" s="436" t="s">
        <v>242</v>
      </c>
      <c r="E20" s="436" t="s">
        <v>228</v>
      </c>
      <c r="F20" s="436" t="s">
        <v>96</v>
      </c>
      <c r="G20" s="436" t="s">
        <v>100</v>
      </c>
      <c r="H20" s="436" t="s">
        <v>101</v>
      </c>
      <c r="I20" s="436" t="s">
        <v>242</v>
      </c>
      <c r="J20" s="436" t="s">
        <v>228</v>
      </c>
      <c r="K20" s="436" t="s">
        <v>96</v>
      </c>
      <c r="L20" s="436" t="s">
        <v>100</v>
      </c>
      <c r="M20" s="436" t="s">
        <v>101</v>
      </c>
      <c r="N20" s="436" t="s">
        <v>242</v>
      </c>
      <c r="O20" s="436" t="s">
        <v>228</v>
      </c>
      <c r="P20" s="436" t="s">
        <v>96</v>
      </c>
    </row>
    <row r="21" spans="1:16" ht="14.1" customHeight="1" x14ac:dyDescent="0.2">
      <c r="A21" s="180" t="s">
        <v>102</v>
      </c>
      <c r="B21" s="435">
        <f>+[4]Charter!B21</f>
        <v>129651</v>
      </c>
      <c r="C21" s="435">
        <f>+[4]Charter!C21</f>
        <v>126303</v>
      </c>
      <c r="D21" s="435">
        <f t="shared" ref="D21" si="0">SUM(B21:C21)</f>
        <v>255954</v>
      </c>
      <c r="E21" s="435">
        <f>[5]Charter!$D$21</f>
        <v>154314</v>
      </c>
      <c r="F21" s="426">
        <f t="shared" ref="F21:F32" si="1">(D21-E21)/E21</f>
        <v>0.65865702399004622</v>
      </c>
      <c r="G21" s="435">
        <f>+[4]Charter!G21</f>
        <v>1051268</v>
      </c>
      <c r="H21" s="435">
        <f>+[4]Charter!H21</f>
        <v>1085708</v>
      </c>
      <c r="I21" s="435">
        <f t="shared" ref="I21" si="2">SUM(G21:H21)</f>
        <v>2136976</v>
      </c>
      <c r="J21" s="435">
        <f>[5]Charter!I21</f>
        <v>1842508</v>
      </c>
      <c r="K21" s="432">
        <f t="shared" ref="K21:K32" si="3">(I21-J21)/J21</f>
        <v>0.15981911611781333</v>
      </c>
      <c r="L21" s="435">
        <f>+[4]Charter!L21</f>
        <v>1180919</v>
      </c>
      <c r="M21" s="435">
        <f>+[4]Charter!M21</f>
        <v>1212011</v>
      </c>
      <c r="N21" s="435">
        <f>SUM(L21:M21)</f>
        <v>2392930</v>
      </c>
      <c r="O21" s="435">
        <f>[5]Charter!N21</f>
        <v>1996822</v>
      </c>
      <c r="P21" s="431">
        <f>(N21-O21)/O21</f>
        <v>0.19836920867258073</v>
      </c>
    </row>
    <row r="22" spans="1:16" ht="14.1" customHeight="1" x14ac:dyDescent="0.2">
      <c r="A22" s="181" t="s">
        <v>103</v>
      </c>
      <c r="B22" s="435">
        <f>+[2]Charter!B22</f>
        <v>124840</v>
      </c>
      <c r="C22" s="435">
        <f>+[2]Charter!C22</f>
        <v>126281</v>
      </c>
      <c r="D22" s="435">
        <f t="shared" ref="D22" si="4">SUM(B22:C22)</f>
        <v>251121</v>
      </c>
      <c r="E22" s="425">
        <f>[6]Charter!D22</f>
        <v>169898</v>
      </c>
      <c r="F22" s="427">
        <f t="shared" si="1"/>
        <v>0.47806919445785118</v>
      </c>
      <c r="G22" s="425">
        <f t="shared" ref="G22" si="5">L22-B22</f>
        <v>996328</v>
      </c>
      <c r="H22" s="425">
        <f t="shared" ref="H22" si="6">M22-C22</f>
        <v>1014184</v>
      </c>
      <c r="I22" s="425">
        <f t="shared" ref="I22" si="7">SUM(G22:H22)</f>
        <v>2010512</v>
      </c>
      <c r="J22" s="425">
        <f>[6]Charter!I22</f>
        <v>1925453</v>
      </c>
      <c r="K22" s="433">
        <f t="shared" si="3"/>
        <v>4.4176097780626172E-2</v>
      </c>
      <c r="L22" s="435">
        <f>+[2]Charter!L22</f>
        <v>1121168</v>
      </c>
      <c r="M22" s="435">
        <f>+[2]Charter!M22</f>
        <v>1140465</v>
      </c>
      <c r="N22" s="435">
        <f>SUM(L22:M22)</f>
        <v>2261633</v>
      </c>
      <c r="O22" s="425">
        <f>[6]Charter!N22</f>
        <v>2095351</v>
      </c>
      <c r="P22" s="422">
        <f t="shared" ref="P22:P32" si="8">(N22-O22)/O22</f>
        <v>7.9357587344554684E-2</v>
      </c>
    </row>
    <row r="23" spans="1:16" ht="14.1" customHeight="1" x14ac:dyDescent="0.2">
      <c r="A23" s="181" t="s">
        <v>104</v>
      </c>
      <c r="B23" s="425">
        <f>+'Intl Detail'!$Q$4+'Intl Detail'!$Q$9</f>
        <v>169369</v>
      </c>
      <c r="C23" s="425">
        <f>+'Intl Detail'!$Q$5+'Intl Detail'!$Q$10</f>
        <v>172194</v>
      </c>
      <c r="D23" s="425">
        <f t="shared" ref="D23" si="9">SUM(B23:C23)</f>
        <v>341563</v>
      </c>
      <c r="E23" s="425">
        <f>[1]Charter!D23</f>
        <v>248666</v>
      </c>
      <c r="F23" s="428">
        <f t="shared" si="1"/>
        <v>0.37358143051321852</v>
      </c>
      <c r="G23" s="425">
        <f t="shared" ref="G23" si="10">L23-B23</f>
        <v>1336750</v>
      </c>
      <c r="H23" s="425">
        <f t="shared" ref="H23" si="11">M23-C23</f>
        <v>1356247</v>
      </c>
      <c r="I23" s="425">
        <f t="shared" ref="I23" si="12">SUM(G23:H23)</f>
        <v>2692997</v>
      </c>
      <c r="J23" s="425">
        <f>[1]Charter!I23</f>
        <v>2580302</v>
      </c>
      <c r="K23" s="433">
        <f t="shared" si="3"/>
        <v>4.3675120199108478E-2</v>
      </c>
      <c r="L23" s="425">
        <f>+'Monthly Summary'!$B$11</f>
        <v>1506119</v>
      </c>
      <c r="M23" s="425">
        <f>+'Monthly Summary'!$C$11</f>
        <v>1528441</v>
      </c>
      <c r="N23" s="425">
        <f>SUM(L23:M23)</f>
        <v>3034560</v>
      </c>
      <c r="O23" s="425">
        <f>[1]Charter!N23</f>
        <v>2828968</v>
      </c>
      <c r="P23" s="422">
        <f t="shared" si="8"/>
        <v>7.2673851383260615E-2</v>
      </c>
    </row>
    <row r="24" spans="1:16" ht="14.1" customHeight="1" x14ac:dyDescent="0.2">
      <c r="A24" s="181" t="s">
        <v>105</v>
      </c>
      <c r="B24" s="425"/>
      <c r="C24" s="425"/>
      <c r="D24" s="425"/>
      <c r="E24" s="425"/>
      <c r="F24" s="428" t="e">
        <f t="shared" si="1"/>
        <v>#DIV/0!</v>
      </c>
      <c r="G24" s="425"/>
      <c r="H24" s="425"/>
      <c r="I24" s="425"/>
      <c r="J24" s="425"/>
      <c r="K24" s="433" t="e">
        <f t="shared" si="3"/>
        <v>#DIV/0!</v>
      </c>
      <c r="L24" s="425"/>
      <c r="M24" s="425"/>
      <c r="N24" s="425"/>
      <c r="O24" s="425"/>
      <c r="P24" s="422" t="e">
        <f t="shared" si="8"/>
        <v>#DIV/0!</v>
      </c>
    </row>
    <row r="25" spans="1:16" ht="14.1" customHeight="1" x14ac:dyDescent="0.2">
      <c r="A25" s="174" t="s">
        <v>75</v>
      </c>
      <c r="B25" s="425"/>
      <c r="C25" s="425"/>
      <c r="D25" s="425"/>
      <c r="E25" s="425"/>
      <c r="F25" s="429" t="e">
        <f t="shared" si="1"/>
        <v>#DIV/0!</v>
      </c>
      <c r="G25" s="425"/>
      <c r="H25" s="425"/>
      <c r="I25" s="425"/>
      <c r="J25" s="425"/>
      <c r="K25" s="434" t="e">
        <f t="shared" si="3"/>
        <v>#DIV/0!</v>
      </c>
      <c r="L25" s="425"/>
      <c r="M25" s="425"/>
      <c r="N25" s="425"/>
      <c r="O25" s="425"/>
      <c r="P25" s="423" t="e">
        <f t="shared" si="8"/>
        <v>#DIV/0!</v>
      </c>
    </row>
    <row r="26" spans="1:16" ht="14.1" customHeight="1" x14ac:dyDescent="0.2">
      <c r="A26" s="181" t="s">
        <v>106</v>
      </c>
      <c r="B26" s="425"/>
      <c r="C26" s="425"/>
      <c r="D26" s="425"/>
      <c r="E26" s="425"/>
      <c r="F26" s="428" t="e">
        <f t="shared" si="1"/>
        <v>#DIV/0!</v>
      </c>
      <c r="G26" s="425"/>
      <c r="H26" s="425"/>
      <c r="I26" s="425"/>
      <c r="J26" s="425"/>
      <c r="K26" s="433" t="e">
        <f t="shared" si="3"/>
        <v>#DIV/0!</v>
      </c>
      <c r="L26" s="425"/>
      <c r="M26" s="425"/>
      <c r="N26" s="425"/>
      <c r="O26" s="425"/>
      <c r="P26" s="422" t="e">
        <f t="shared" si="8"/>
        <v>#DIV/0!</v>
      </c>
    </row>
    <row r="27" spans="1:16" ht="14.1" customHeight="1" x14ac:dyDescent="0.2">
      <c r="A27" s="174" t="s">
        <v>107</v>
      </c>
      <c r="B27" s="425"/>
      <c r="C27" s="425"/>
      <c r="D27" s="425"/>
      <c r="E27" s="425"/>
      <c r="F27" s="429" t="e">
        <f t="shared" si="1"/>
        <v>#DIV/0!</v>
      </c>
      <c r="G27" s="425"/>
      <c r="H27" s="425"/>
      <c r="I27" s="425"/>
      <c r="J27" s="425"/>
      <c r="K27" s="434" t="e">
        <f t="shared" si="3"/>
        <v>#DIV/0!</v>
      </c>
      <c r="L27" s="425"/>
      <c r="M27" s="425"/>
      <c r="N27" s="425"/>
      <c r="O27" s="425"/>
      <c r="P27" s="423" t="e">
        <f t="shared" si="8"/>
        <v>#DIV/0!</v>
      </c>
    </row>
    <row r="28" spans="1:16" ht="14.1" customHeight="1" x14ac:dyDescent="0.2">
      <c r="A28" s="181" t="s">
        <v>108</v>
      </c>
      <c r="B28" s="425"/>
      <c r="C28" s="425"/>
      <c r="D28" s="425"/>
      <c r="E28" s="425"/>
      <c r="F28" s="428" t="e">
        <f t="shared" si="1"/>
        <v>#DIV/0!</v>
      </c>
      <c r="G28" s="425"/>
      <c r="H28" s="425"/>
      <c r="I28" s="425"/>
      <c r="J28" s="425"/>
      <c r="K28" s="433" t="e">
        <f t="shared" si="3"/>
        <v>#DIV/0!</v>
      </c>
      <c r="L28" s="425"/>
      <c r="M28" s="425"/>
      <c r="N28" s="425"/>
      <c r="O28" s="425"/>
      <c r="P28" s="422" t="e">
        <f t="shared" si="8"/>
        <v>#DIV/0!</v>
      </c>
    </row>
    <row r="29" spans="1:16" ht="14.1" customHeight="1" x14ac:dyDescent="0.2">
      <c r="A29" s="174" t="s">
        <v>109</v>
      </c>
      <c r="B29" s="425"/>
      <c r="C29" s="425"/>
      <c r="D29" s="425"/>
      <c r="E29" s="425"/>
      <c r="F29" s="429" t="e">
        <f t="shared" si="1"/>
        <v>#DIV/0!</v>
      </c>
      <c r="G29" s="425"/>
      <c r="H29" s="425"/>
      <c r="I29" s="425"/>
      <c r="J29" s="425"/>
      <c r="K29" s="434" t="e">
        <f t="shared" si="3"/>
        <v>#DIV/0!</v>
      </c>
      <c r="L29" s="425"/>
      <c r="M29" s="425"/>
      <c r="N29" s="425"/>
      <c r="O29" s="425"/>
      <c r="P29" s="423" t="e">
        <f t="shared" si="8"/>
        <v>#DIV/0!</v>
      </c>
    </row>
    <row r="30" spans="1:16" ht="14.1" customHeight="1" x14ac:dyDescent="0.2">
      <c r="A30" s="181" t="s">
        <v>110</v>
      </c>
      <c r="B30" s="425"/>
      <c r="C30" s="425"/>
      <c r="D30" s="425"/>
      <c r="E30" s="425"/>
      <c r="F30" s="428" t="e">
        <f t="shared" si="1"/>
        <v>#DIV/0!</v>
      </c>
      <c r="G30" s="425"/>
      <c r="H30" s="425"/>
      <c r="I30" s="425"/>
      <c r="J30" s="425"/>
      <c r="K30" s="433" t="e">
        <f t="shared" si="3"/>
        <v>#DIV/0!</v>
      </c>
      <c r="L30" s="425"/>
      <c r="M30" s="425"/>
      <c r="N30" s="425"/>
      <c r="O30" s="425"/>
      <c r="P30" s="422" t="e">
        <f t="shared" si="8"/>
        <v>#DIV/0!</v>
      </c>
    </row>
    <row r="31" spans="1:16" ht="14.1" customHeight="1" x14ac:dyDescent="0.2">
      <c r="A31" s="174" t="s">
        <v>111</v>
      </c>
      <c r="B31" s="425"/>
      <c r="C31" s="425"/>
      <c r="D31" s="425"/>
      <c r="E31" s="425"/>
      <c r="F31" s="429" t="e">
        <f t="shared" si="1"/>
        <v>#DIV/0!</v>
      </c>
      <c r="G31" s="425"/>
      <c r="H31" s="425"/>
      <c r="I31" s="425"/>
      <c r="J31" s="425"/>
      <c r="K31" s="434" t="e">
        <f t="shared" si="3"/>
        <v>#DIV/0!</v>
      </c>
      <c r="L31" s="425"/>
      <c r="M31" s="425"/>
      <c r="N31" s="425"/>
      <c r="O31" s="425"/>
      <c r="P31" s="423" t="e">
        <f t="shared" si="8"/>
        <v>#DIV/0!</v>
      </c>
    </row>
    <row r="32" spans="1:16" ht="14.1" customHeight="1" x14ac:dyDescent="0.2">
      <c r="A32" s="182" t="s">
        <v>112</v>
      </c>
      <c r="B32" s="425"/>
      <c r="C32" s="425"/>
      <c r="D32" s="425"/>
      <c r="E32" s="425"/>
      <c r="F32" s="430" t="e">
        <f t="shared" si="1"/>
        <v>#DIV/0!</v>
      </c>
      <c r="G32" s="425"/>
      <c r="H32" s="425"/>
      <c r="I32" s="425"/>
      <c r="J32" s="425"/>
      <c r="K32" s="430" t="e">
        <f t="shared" si="3"/>
        <v>#DIV/0!</v>
      </c>
      <c r="L32" s="425"/>
      <c r="M32" s="425"/>
      <c r="N32" s="425"/>
      <c r="O32" s="425"/>
      <c r="P32" s="424" t="e">
        <f t="shared" si="8"/>
        <v>#DIV/0!</v>
      </c>
    </row>
    <row r="33" spans="1:16" ht="13.5" thickBot="1" x14ac:dyDescent="0.25">
      <c r="A33" s="179" t="s">
        <v>76</v>
      </c>
      <c r="B33" s="185">
        <f>SUM(B21:B32)</f>
        <v>423860</v>
      </c>
      <c r="C33" s="186">
        <f>SUM(C21:C32)</f>
        <v>424778</v>
      </c>
      <c r="D33" s="186">
        <f>SUM(D21:D32)</f>
        <v>848638</v>
      </c>
      <c r="E33" s="187">
        <f>SUM(E21:E32)</f>
        <v>572878</v>
      </c>
      <c r="F33" s="177">
        <f>(D33-E33)/E33</f>
        <v>0.48135903281326914</v>
      </c>
      <c r="G33" s="188">
        <f>SUM(G21:G32)</f>
        <v>3384346</v>
      </c>
      <c r="H33" s="186">
        <f>SUM(H21:H32)</f>
        <v>3456139</v>
      </c>
      <c r="I33" s="186">
        <f>SUM(I21:I32)</f>
        <v>6840485</v>
      </c>
      <c r="J33" s="189">
        <f>SUM(J21:J32)</f>
        <v>6348263</v>
      </c>
      <c r="K33" s="178">
        <f>(I33-J33)/J33</f>
        <v>7.7536485177126399E-2</v>
      </c>
      <c r="L33" s="188">
        <f>SUM(L21:L32)</f>
        <v>3808206</v>
      </c>
      <c r="M33" s="186">
        <f>SUM(M21:M32)</f>
        <v>3880917</v>
      </c>
      <c r="N33" s="186">
        <f>SUM(N21:N32)</f>
        <v>7689123</v>
      </c>
      <c r="O33" s="187">
        <f>SUM(O21:O32)</f>
        <v>6921141</v>
      </c>
      <c r="P33" s="176">
        <f>(N33-O33)/O33</f>
        <v>0.11096176194069735</v>
      </c>
    </row>
    <row r="35" spans="1:16" x14ac:dyDescent="0.2">
      <c r="N35" s="95"/>
      <c r="O35" s="95"/>
    </row>
    <row r="36" spans="1:16" x14ac:dyDescent="0.2">
      <c r="O36" s="95"/>
    </row>
    <row r="37" spans="1:16" x14ac:dyDescent="0.2">
      <c r="N37" s="95"/>
      <c r="O37" s="95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 xml:space="preserve">&amp;L
Schedule 6
&amp;CMinneapolis-St. Paul International Airport
&amp;"Arial,Bold"Charters and Passenger Summary
March 2023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G7" sqref="G7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2" customFormat="1" ht="16.5" thickBot="1" x14ac:dyDescent="0.3">
      <c r="B1" s="454" t="s">
        <v>202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6"/>
    </row>
    <row r="2" spans="1:23" s="27" customFormat="1" ht="43.5" customHeight="1" thickBot="1" x14ac:dyDescent="0.25">
      <c r="A2" s="396">
        <v>44986</v>
      </c>
      <c r="B2" s="325" t="s">
        <v>198</v>
      </c>
      <c r="C2" s="325" t="s">
        <v>251</v>
      </c>
      <c r="D2" s="325" t="s">
        <v>220</v>
      </c>
      <c r="E2" s="358" t="s">
        <v>222</v>
      </c>
      <c r="F2" s="358" t="s">
        <v>221</v>
      </c>
      <c r="G2" s="325" t="s">
        <v>203</v>
      </c>
      <c r="H2" s="358" t="s">
        <v>246</v>
      </c>
      <c r="I2" s="358" t="s">
        <v>200</v>
      </c>
      <c r="J2" s="326" t="s">
        <v>81</v>
      </c>
      <c r="K2" s="358" t="s">
        <v>176</v>
      </c>
      <c r="L2" s="325" t="s">
        <v>204</v>
      </c>
      <c r="M2" s="358" t="s">
        <v>85</v>
      </c>
      <c r="N2" s="325" t="s">
        <v>244</v>
      </c>
      <c r="O2" s="325" t="s">
        <v>205</v>
      </c>
      <c r="P2" s="325" t="s">
        <v>206</v>
      </c>
      <c r="Q2" s="326" t="s">
        <v>82</v>
      </c>
      <c r="R2" s="358" t="s">
        <v>127</v>
      </c>
      <c r="S2" s="358" t="s">
        <v>21</v>
      </c>
    </row>
    <row r="3" spans="1:23" ht="15" x14ac:dyDescent="0.25">
      <c r="A3" s="157" t="s">
        <v>9</v>
      </c>
      <c r="B3" s="366"/>
      <c r="C3" s="158"/>
      <c r="D3" s="158"/>
      <c r="E3" s="158"/>
      <c r="F3" s="29"/>
      <c r="G3" s="158"/>
      <c r="H3" s="158"/>
      <c r="I3" s="29"/>
      <c r="J3" s="158"/>
      <c r="K3" s="29"/>
      <c r="L3" s="158"/>
      <c r="M3" s="29"/>
      <c r="N3" s="158"/>
      <c r="O3" s="158"/>
      <c r="P3" s="158"/>
      <c r="Q3" s="158"/>
      <c r="R3" s="29"/>
      <c r="S3" s="367"/>
      <c r="U3" s="340"/>
      <c r="V3" s="340"/>
      <c r="W3" s="340"/>
    </row>
    <row r="4" spans="1:23" x14ac:dyDescent="0.2">
      <c r="A4" s="37" t="s">
        <v>53</v>
      </c>
      <c r="B4" s="183">
        <f>'[3]Atlas Air'!$IH$4</f>
        <v>31</v>
      </c>
      <c r="C4" s="132">
        <f>[3]DHL!$IH$8+[3]DHL!$IH$4</f>
        <v>0</v>
      </c>
      <c r="D4" s="132">
        <f>[3]Airborne!$IH$4+[3]Airborne!$IH$15</f>
        <v>0</v>
      </c>
      <c r="E4" s="95">
        <f>[3]DHL_Bemidji!$IH$4</f>
        <v>38</v>
      </c>
      <c r="F4" s="95">
        <f>[3]Bemidji!$IH$4</f>
        <v>194</v>
      </c>
      <c r="G4" s="132">
        <f>[3]DHL_Encore!$IH$4+[3]DHL_Encore!$IH$15</f>
        <v>0</v>
      </c>
      <c r="H4" s="132">
        <f>[3]DHL_Mesa!$IH$4+[3]DHL_Mesa!$IH$15</f>
        <v>41</v>
      </c>
      <c r="I4" s="132">
        <f>[3]Encore!$IH$4+[3]Encore!$IH$15</f>
        <v>0</v>
      </c>
      <c r="J4" s="132">
        <f>[3]FedEx!$IH$4+[3]FedEx!$IH$15</f>
        <v>111</v>
      </c>
      <c r="K4" s="132">
        <f>[3]IFL!$IH$4+[3]IFL!$IH$15</f>
        <v>17</v>
      </c>
      <c r="L4" s="132">
        <f>[3]DHL_Kalitta!$IH$4+[3]DHL_Kalitta!$IH$15</f>
        <v>0</v>
      </c>
      <c r="M4" s="95">
        <f>'[3]Mountain Cargo'!$IH$4</f>
        <v>23</v>
      </c>
      <c r="N4" s="132">
        <f>[3]DHL_Amerijet!$IH$4+[3]DHL_Amerijet!$IH$15</f>
        <v>0</v>
      </c>
      <c r="O4" s="132">
        <f>[3]DHL_Swift!$IH$4+[3]DHL_Swift!$IH$15</f>
        <v>4</v>
      </c>
      <c r="P4" s="132">
        <f>+'[3]Sun Country Cargo'!$IH$4+'[3]Sun Country Cargo'!$IH$8+'[3]Sun Country Cargo'!$IH$15</f>
        <v>61</v>
      </c>
      <c r="Q4" s="132">
        <f>[3]UPS!$IH$4+[3]UPS!$IH$15</f>
        <v>136</v>
      </c>
      <c r="R4" s="95">
        <f>'[3]Misc Cargo'!$IH$4</f>
        <v>0</v>
      </c>
      <c r="S4" s="368">
        <f>SUM(B4:R4)</f>
        <v>656</v>
      </c>
      <c r="U4" s="340"/>
      <c r="V4" s="340"/>
      <c r="W4" s="217"/>
    </row>
    <row r="5" spans="1:23" x14ac:dyDescent="0.2">
      <c r="A5" s="37" t="s">
        <v>54</v>
      </c>
      <c r="B5" s="369">
        <f>'[3]Atlas Air'!$IH$5</f>
        <v>31</v>
      </c>
      <c r="C5" s="156">
        <f>[3]DHL!$IH$9+[3]DHL!$IH$5</f>
        <v>0</v>
      </c>
      <c r="D5" s="156">
        <f>[3]Airborne!$IH$5</f>
        <v>0</v>
      </c>
      <c r="E5" s="96">
        <f>[3]DHL_Bemidji!$IH$5</f>
        <v>38</v>
      </c>
      <c r="F5" s="96">
        <f>[3]Bemidji!$IH$5</f>
        <v>194</v>
      </c>
      <c r="G5" s="156">
        <f>[3]DHL_Encore!$IH$5</f>
        <v>0</v>
      </c>
      <c r="H5" s="156">
        <f>[3]DHL_Mesa!$IH$5</f>
        <v>41</v>
      </c>
      <c r="I5" s="156">
        <f>[3]Encore!$IH$5</f>
        <v>0</v>
      </c>
      <c r="J5" s="156">
        <f>[3]FedEx!$IH$5</f>
        <v>111</v>
      </c>
      <c r="K5" s="156">
        <f>[3]IFL!$IH$5</f>
        <v>17</v>
      </c>
      <c r="L5" s="156">
        <f>[3]DHL_Kalitta!$IH$5</f>
        <v>0</v>
      </c>
      <c r="M5" s="96">
        <f>'[3]Mountain Cargo'!$IH$5</f>
        <v>23</v>
      </c>
      <c r="N5" s="156">
        <f>[3]DHL_Amerijet!$IH$5</f>
        <v>0</v>
      </c>
      <c r="O5" s="156">
        <f>[3]DHL_Swift!$IH$5</f>
        <v>4</v>
      </c>
      <c r="P5" s="156">
        <f>+'[3]Sun Country Cargo'!$IH$5+'[3]Sun Country Cargo'!$IH$9+'[3]Sun Country Cargo'!$IH$16</f>
        <v>63</v>
      </c>
      <c r="Q5" s="156">
        <f>[3]UPS!$IH$5+[3]UPS!$IH$16</f>
        <v>136</v>
      </c>
      <c r="R5" s="96">
        <f>'[3]Misc Cargo'!$IH$5</f>
        <v>0</v>
      </c>
      <c r="S5" s="368">
        <f>SUM(B5:R5)</f>
        <v>658</v>
      </c>
      <c r="U5" s="340"/>
      <c r="V5" s="340"/>
      <c r="W5" s="217"/>
    </row>
    <row r="6" spans="1:23" s="155" customFormat="1" x14ac:dyDescent="0.2">
      <c r="A6" s="159" t="s">
        <v>55</v>
      </c>
      <c r="B6" s="370">
        <f t="shared" ref="B6:R6" si="0">SUM(B4:B5)</f>
        <v>62</v>
      </c>
      <c r="C6" s="371">
        <f t="shared" si="0"/>
        <v>0</v>
      </c>
      <c r="D6" s="371">
        <f t="shared" ref="D6:E6" si="1">SUM(D4:D5)</f>
        <v>0</v>
      </c>
      <c r="E6" s="93">
        <f t="shared" si="1"/>
        <v>76</v>
      </c>
      <c r="F6" s="93">
        <f t="shared" si="0"/>
        <v>388</v>
      </c>
      <c r="G6" s="371">
        <f t="shared" si="0"/>
        <v>0</v>
      </c>
      <c r="H6" s="371">
        <f t="shared" ref="H6" si="2">SUM(H4:H5)</f>
        <v>82</v>
      </c>
      <c r="I6" s="371">
        <f t="shared" si="0"/>
        <v>0</v>
      </c>
      <c r="J6" s="371">
        <f t="shared" si="0"/>
        <v>222</v>
      </c>
      <c r="K6" s="371">
        <f t="shared" si="0"/>
        <v>34</v>
      </c>
      <c r="L6" s="371">
        <f t="shared" si="0"/>
        <v>0</v>
      </c>
      <c r="M6" s="93">
        <f t="shared" si="0"/>
        <v>46</v>
      </c>
      <c r="N6" s="371">
        <f t="shared" si="0"/>
        <v>0</v>
      </c>
      <c r="O6" s="371">
        <f t="shared" si="0"/>
        <v>8</v>
      </c>
      <c r="P6" s="371">
        <f t="shared" si="0"/>
        <v>124</v>
      </c>
      <c r="Q6" s="371">
        <f t="shared" si="0"/>
        <v>272</v>
      </c>
      <c r="R6" s="93">
        <f t="shared" si="0"/>
        <v>0</v>
      </c>
      <c r="S6" s="368">
        <f t="shared" ref="S6:S10" si="3">SUM(B6:R6)</f>
        <v>1314</v>
      </c>
      <c r="W6" s="287"/>
    </row>
    <row r="7" spans="1:23" x14ac:dyDescent="0.2">
      <c r="A7" s="37"/>
      <c r="B7" s="183"/>
      <c r="C7" s="132"/>
      <c r="D7" s="132"/>
      <c r="E7" s="95"/>
      <c r="F7" s="95"/>
      <c r="G7" s="132"/>
      <c r="H7" s="132"/>
      <c r="I7" s="132"/>
      <c r="J7" s="132"/>
      <c r="K7" s="132"/>
      <c r="L7" s="132"/>
      <c r="M7" s="95"/>
      <c r="N7" s="132"/>
      <c r="O7" s="132"/>
      <c r="P7" s="132"/>
      <c r="Q7" s="132"/>
      <c r="R7" s="95"/>
      <c r="S7" s="368"/>
      <c r="U7" s="323"/>
      <c r="V7" s="340"/>
      <c r="W7" s="217"/>
    </row>
    <row r="8" spans="1:23" x14ac:dyDescent="0.2">
      <c r="A8" s="37" t="s">
        <v>56</v>
      </c>
      <c r="B8" s="183"/>
      <c r="C8" s="132"/>
      <c r="D8" s="132"/>
      <c r="E8" s="95"/>
      <c r="F8" s="95"/>
      <c r="G8" s="132"/>
      <c r="H8" s="132"/>
      <c r="I8" s="132"/>
      <c r="J8" s="132"/>
      <c r="K8" s="132"/>
      <c r="L8" s="132"/>
      <c r="M8" s="95"/>
      <c r="N8" s="132"/>
      <c r="O8" s="132"/>
      <c r="P8" s="132"/>
      <c r="Q8" s="132"/>
      <c r="R8" s="95">
        <f>'[3]Misc Cargo'!$IH$8</f>
        <v>0</v>
      </c>
      <c r="S8" s="368">
        <f t="shared" si="3"/>
        <v>0</v>
      </c>
      <c r="U8" s="340"/>
      <c r="V8" s="340"/>
      <c r="W8" s="217"/>
    </row>
    <row r="9" spans="1:23" ht="15" x14ac:dyDescent="0.25">
      <c r="A9" s="37" t="s">
        <v>57</v>
      </c>
      <c r="B9" s="369"/>
      <c r="C9" s="156"/>
      <c r="D9" s="156"/>
      <c r="E9" s="96"/>
      <c r="F9" s="96"/>
      <c r="G9" s="156"/>
      <c r="H9" s="156"/>
      <c r="I9" s="156"/>
      <c r="J9" s="156"/>
      <c r="K9" s="156"/>
      <c r="L9" s="156"/>
      <c r="M9" s="96"/>
      <c r="N9" s="156"/>
      <c r="O9" s="156"/>
      <c r="P9" s="156"/>
      <c r="Q9" s="156"/>
      <c r="R9" s="96">
        <f>'[3]Misc Cargo'!$IH$9</f>
        <v>0</v>
      </c>
      <c r="S9" s="368">
        <f t="shared" si="3"/>
        <v>0</v>
      </c>
      <c r="U9" s="340"/>
      <c r="V9" s="8"/>
      <c r="W9" s="217"/>
    </row>
    <row r="10" spans="1:23" s="155" customFormat="1" x14ac:dyDescent="0.2">
      <c r="A10" s="159" t="s">
        <v>58</v>
      </c>
      <c r="B10" s="370">
        <f t="shared" ref="B10:R10" si="4">SUM(B8:B9)</f>
        <v>0</v>
      </c>
      <c r="C10" s="371">
        <f t="shared" si="4"/>
        <v>0</v>
      </c>
      <c r="D10" s="371">
        <f t="shared" ref="D10:E10" si="5">SUM(D8:D9)</f>
        <v>0</v>
      </c>
      <c r="E10" s="93">
        <f t="shared" si="5"/>
        <v>0</v>
      </c>
      <c r="F10" s="93">
        <f t="shared" si="4"/>
        <v>0</v>
      </c>
      <c r="G10" s="371">
        <f t="shared" si="4"/>
        <v>0</v>
      </c>
      <c r="H10" s="371">
        <f t="shared" ref="H10" si="6">SUM(H8:H9)</f>
        <v>0</v>
      </c>
      <c r="I10" s="371">
        <f t="shared" si="4"/>
        <v>0</v>
      </c>
      <c r="J10" s="371">
        <f t="shared" si="4"/>
        <v>0</v>
      </c>
      <c r="K10" s="371">
        <f t="shared" si="4"/>
        <v>0</v>
      </c>
      <c r="L10" s="371">
        <f t="shared" si="4"/>
        <v>0</v>
      </c>
      <c r="M10" s="93">
        <f t="shared" si="4"/>
        <v>0</v>
      </c>
      <c r="N10" s="371">
        <f t="shared" si="4"/>
        <v>0</v>
      </c>
      <c r="O10" s="371">
        <f t="shared" si="4"/>
        <v>0</v>
      </c>
      <c r="P10" s="371">
        <f t="shared" si="4"/>
        <v>0</v>
      </c>
      <c r="Q10" s="371">
        <f t="shared" si="4"/>
        <v>0</v>
      </c>
      <c r="R10" s="93">
        <f t="shared" si="4"/>
        <v>0</v>
      </c>
      <c r="S10" s="368">
        <f t="shared" si="3"/>
        <v>0</v>
      </c>
      <c r="W10" s="287"/>
    </row>
    <row r="11" spans="1:23" x14ac:dyDescent="0.2">
      <c r="A11" s="37"/>
      <c r="B11" s="183"/>
      <c r="C11" s="132"/>
      <c r="D11" s="132"/>
      <c r="E11" s="95"/>
      <c r="F11" s="95"/>
      <c r="G11" s="132"/>
      <c r="H11" s="132"/>
      <c r="I11" s="132"/>
      <c r="J11" s="132"/>
      <c r="K11" s="132"/>
      <c r="L11" s="132"/>
      <c r="M11" s="95"/>
      <c r="N11" s="132"/>
      <c r="O11" s="132"/>
      <c r="P11" s="132"/>
      <c r="Q11" s="132"/>
      <c r="R11" s="95"/>
      <c r="S11" s="372"/>
      <c r="U11" s="340"/>
      <c r="V11" s="340"/>
      <c r="W11" s="217"/>
    </row>
    <row r="12" spans="1:23" ht="18" customHeight="1" thickBot="1" x14ac:dyDescent="0.25">
      <c r="A12" s="160" t="s">
        <v>28</v>
      </c>
      <c r="B12" s="373">
        <f t="shared" ref="B12:R12" si="7">B6+B10</f>
        <v>62</v>
      </c>
      <c r="C12" s="161">
        <f t="shared" si="7"/>
        <v>0</v>
      </c>
      <c r="D12" s="161">
        <f t="shared" ref="D12:E12" si="8">D6+D10</f>
        <v>0</v>
      </c>
      <c r="E12" s="162">
        <f t="shared" si="8"/>
        <v>76</v>
      </c>
      <c r="F12" s="162">
        <f t="shared" si="7"/>
        <v>388</v>
      </c>
      <c r="G12" s="161">
        <f t="shared" si="7"/>
        <v>0</v>
      </c>
      <c r="H12" s="161">
        <f t="shared" ref="H12" si="9">H6+H10</f>
        <v>82</v>
      </c>
      <c r="I12" s="161">
        <f t="shared" si="7"/>
        <v>0</v>
      </c>
      <c r="J12" s="161">
        <f t="shared" si="7"/>
        <v>222</v>
      </c>
      <c r="K12" s="161">
        <f t="shared" si="7"/>
        <v>34</v>
      </c>
      <c r="L12" s="161">
        <f t="shared" si="7"/>
        <v>0</v>
      </c>
      <c r="M12" s="162">
        <f t="shared" si="7"/>
        <v>46</v>
      </c>
      <c r="N12" s="161">
        <f t="shared" si="7"/>
        <v>0</v>
      </c>
      <c r="O12" s="161">
        <f t="shared" si="7"/>
        <v>8</v>
      </c>
      <c r="P12" s="161">
        <f t="shared" si="7"/>
        <v>124</v>
      </c>
      <c r="Q12" s="161">
        <f t="shared" si="7"/>
        <v>272</v>
      </c>
      <c r="R12" s="162">
        <f t="shared" si="7"/>
        <v>0</v>
      </c>
      <c r="S12" s="374">
        <f>SUM(B12:R12)</f>
        <v>1314</v>
      </c>
      <c r="U12" s="340"/>
      <c r="V12" s="340"/>
      <c r="W12" s="217"/>
    </row>
    <row r="13" spans="1:23" ht="18" customHeight="1" thickBot="1" x14ac:dyDescent="0.25">
      <c r="A13" s="146"/>
      <c r="B13" s="375"/>
      <c r="C13" s="376"/>
      <c r="D13" s="376"/>
      <c r="E13" s="261"/>
      <c r="F13" s="261"/>
      <c r="G13" s="376"/>
      <c r="H13" s="376"/>
      <c r="I13" s="376"/>
      <c r="J13" s="376"/>
      <c r="K13" s="376"/>
      <c r="L13" s="376"/>
      <c r="M13" s="261"/>
      <c r="N13" s="376"/>
      <c r="O13" s="376"/>
      <c r="P13" s="376"/>
      <c r="Q13" s="376"/>
      <c r="R13" s="261"/>
      <c r="S13" s="2"/>
      <c r="U13" s="340"/>
      <c r="V13" s="340"/>
      <c r="W13" s="217"/>
    </row>
    <row r="14" spans="1:23" ht="15" x14ac:dyDescent="0.25">
      <c r="A14" s="163" t="s">
        <v>92</v>
      </c>
      <c r="B14" s="377"/>
      <c r="C14" s="164"/>
      <c r="D14" s="164"/>
      <c r="E14" s="61"/>
      <c r="F14" s="61"/>
      <c r="G14" s="164"/>
      <c r="H14" s="164"/>
      <c r="I14" s="164"/>
      <c r="J14" s="164"/>
      <c r="K14" s="164"/>
      <c r="L14" s="164"/>
      <c r="M14" s="61"/>
      <c r="N14" s="164"/>
      <c r="O14" s="164"/>
      <c r="P14" s="164"/>
      <c r="Q14" s="164"/>
      <c r="R14" s="61"/>
      <c r="S14" s="378"/>
      <c r="U14" s="340"/>
      <c r="V14" s="340"/>
      <c r="W14" s="217"/>
    </row>
    <row r="15" spans="1:23" x14ac:dyDescent="0.2">
      <c r="A15" s="165" t="s">
        <v>93</v>
      </c>
      <c r="B15" s="183"/>
      <c r="C15" s="132"/>
      <c r="D15" s="132"/>
      <c r="E15" s="2"/>
      <c r="F15" s="2"/>
      <c r="G15" s="132"/>
      <c r="H15" s="132"/>
      <c r="I15" s="132"/>
      <c r="J15" s="132"/>
      <c r="K15" s="132"/>
      <c r="L15" s="132"/>
      <c r="M15" s="2"/>
      <c r="N15" s="132"/>
      <c r="O15" s="132"/>
      <c r="P15" s="132"/>
      <c r="Q15" s="132"/>
      <c r="R15" s="2"/>
      <c r="S15" s="149"/>
      <c r="U15" s="340"/>
      <c r="V15" s="340"/>
      <c r="W15" s="217"/>
    </row>
    <row r="16" spans="1:23" ht="12.75" customHeight="1" x14ac:dyDescent="0.2">
      <c r="A16" s="37" t="s">
        <v>37</v>
      </c>
      <c r="B16" s="183">
        <f>'[3]Atlas Air'!$IH$47</f>
        <v>1734935</v>
      </c>
      <c r="C16" s="132">
        <f>[3]DHL!$IH$47</f>
        <v>0</v>
      </c>
      <c r="D16" s="132">
        <f>[3]Airborne!$IH$47</f>
        <v>0</v>
      </c>
      <c r="E16" s="132">
        <f>[3]DHL_Bemidji!$IH$47</f>
        <v>48455</v>
      </c>
      <c r="F16" s="457" t="s">
        <v>86</v>
      </c>
      <c r="G16" s="132">
        <f>[3]DHL_Encore!$IH$47</f>
        <v>0</v>
      </c>
      <c r="H16" s="132">
        <f>[3]DHL_Mesa!$IH$47</f>
        <v>874446</v>
      </c>
      <c r="I16" s="132">
        <f>[3]Encore!$IH$47</f>
        <v>0</v>
      </c>
      <c r="J16" s="132">
        <f>[3]FedEx!$IH$47</f>
        <v>6979641</v>
      </c>
      <c r="K16" s="132">
        <f>[3]IFL!$IH$47</f>
        <v>64773</v>
      </c>
      <c r="L16" s="132">
        <f>[3]DHL_Kalitta!$IH$47</f>
        <v>0</v>
      </c>
      <c r="M16" s="95">
        <f>'[3]Mountain Cargo'!$IH$47</f>
        <v>0</v>
      </c>
      <c r="N16" s="132">
        <f>[3]DHL_Amerijet!$IH$47</f>
        <v>0</v>
      </c>
      <c r="O16" s="132">
        <f>[3]DHL_Swift!$IH$47</f>
        <v>105669</v>
      </c>
      <c r="P16" s="132">
        <f>+'[3]Sun Country Cargo'!$IH$47</f>
        <v>1670860</v>
      </c>
      <c r="Q16" s="132">
        <f>[3]UPS!$IH$47</f>
        <v>5576375</v>
      </c>
      <c r="R16" s="95">
        <f>'[3]Misc Cargo'!$IH$47</f>
        <v>0</v>
      </c>
      <c r="S16" s="368">
        <f>SUM(B16:E16)+SUM(G16:R16)</f>
        <v>17055154</v>
      </c>
      <c r="U16" s="340"/>
      <c r="V16" s="340"/>
      <c r="W16" s="217"/>
    </row>
    <row r="17" spans="1:23" x14ac:dyDescent="0.2">
      <c r="A17" s="37" t="s">
        <v>38</v>
      </c>
      <c r="B17" s="183">
        <f>'[3]Atlas Air'!$IH$48</f>
        <v>0</v>
      </c>
      <c r="C17" s="132">
        <f>[3]DHL!$IH$48</f>
        <v>0</v>
      </c>
      <c r="D17" s="132">
        <f>[3]Airborne!$IH$48</f>
        <v>0</v>
      </c>
      <c r="E17" s="132">
        <f>[3]DHL_Bemidji!$IH$48</f>
        <v>0</v>
      </c>
      <c r="F17" s="458"/>
      <c r="G17" s="132">
        <f>[3]DHL_Encore!$IH$48</f>
        <v>0</v>
      </c>
      <c r="H17" s="132">
        <f>[3]DHL_Mesa!$IH$48</f>
        <v>0</v>
      </c>
      <c r="I17" s="132">
        <f>[3]Encore!$IH$48</f>
        <v>0</v>
      </c>
      <c r="J17" s="132">
        <f>[3]FedEx!$IH$48</f>
        <v>0</v>
      </c>
      <c r="K17" s="132">
        <f>[3]IFL!$IH$48</f>
        <v>0</v>
      </c>
      <c r="L17" s="132">
        <f>[3]DHL_Kalitta!$IH$48</f>
        <v>0</v>
      </c>
      <c r="M17" s="95">
        <f>'[3]Mountain Cargo'!$IH$48</f>
        <v>52367</v>
      </c>
      <c r="N17" s="132">
        <f>[3]DHL_Amerijet!$IH$48</f>
        <v>0</v>
      </c>
      <c r="O17" s="132">
        <f>[3]DHL_Swift!$IH$48</f>
        <v>0</v>
      </c>
      <c r="P17" s="132">
        <f>+'[3]Sun Country Cargo'!$IH$48</f>
        <v>0</v>
      </c>
      <c r="Q17" s="132">
        <f>[3]UPS!$IH$48</f>
        <v>612503</v>
      </c>
      <c r="R17" s="95">
        <f>'[3]Misc Cargo'!$IH$48</f>
        <v>0</v>
      </c>
      <c r="S17" s="368">
        <f>SUM(B17:E17)+SUM(G17:R17)</f>
        <v>664870</v>
      </c>
      <c r="U17" s="340"/>
      <c r="V17" s="340"/>
      <c r="W17" s="217"/>
    </row>
    <row r="18" spans="1:23" ht="18" customHeight="1" x14ac:dyDescent="0.2">
      <c r="A18" s="166" t="s">
        <v>39</v>
      </c>
      <c r="B18" s="379">
        <f>SUM(B16:B17)</f>
        <v>1734935</v>
      </c>
      <c r="C18" s="223">
        <f>SUM(C16:C17)</f>
        <v>0</v>
      </c>
      <c r="D18" s="223">
        <f>SUM(D16:D17)</f>
        <v>0</v>
      </c>
      <c r="E18" s="223">
        <f>SUM(E16:E17)</f>
        <v>48455</v>
      </c>
      <c r="F18" s="458"/>
      <c r="G18" s="223">
        <f>SUM(G16:G17)</f>
        <v>0</v>
      </c>
      <c r="H18" s="223">
        <f>SUM(H16:H17)</f>
        <v>874446</v>
      </c>
      <c r="I18" s="223">
        <f>SUM(I16:I17)</f>
        <v>0</v>
      </c>
      <c r="J18" s="223">
        <f>SUM(J16:J17)</f>
        <v>6979641</v>
      </c>
      <c r="K18" s="223">
        <f>SUM(K16:K17)</f>
        <v>64773</v>
      </c>
      <c r="L18" s="223">
        <f t="shared" ref="L18:R18" si="10">SUM(L16:L17)</f>
        <v>0</v>
      </c>
      <c r="M18" s="224">
        <f t="shared" si="10"/>
        <v>52367</v>
      </c>
      <c r="N18" s="223">
        <f t="shared" si="10"/>
        <v>0</v>
      </c>
      <c r="O18" s="223">
        <f t="shared" si="10"/>
        <v>105669</v>
      </c>
      <c r="P18" s="223">
        <f t="shared" si="10"/>
        <v>1670860</v>
      </c>
      <c r="Q18" s="223">
        <f t="shared" si="10"/>
        <v>6188878</v>
      </c>
      <c r="R18" s="224">
        <f t="shared" si="10"/>
        <v>0</v>
      </c>
      <c r="S18" s="380">
        <f>SUM(B18:D18)+SUM(G18:R18)</f>
        <v>17671569</v>
      </c>
      <c r="U18" s="340"/>
      <c r="V18" s="340"/>
      <c r="W18" s="217"/>
    </row>
    <row r="19" spans="1:23" x14ac:dyDescent="0.2">
      <c r="A19" s="37"/>
      <c r="B19" s="183"/>
      <c r="C19" s="132"/>
      <c r="D19" s="132"/>
      <c r="E19" s="132"/>
      <c r="F19" s="458"/>
      <c r="G19" s="132"/>
      <c r="H19" s="132"/>
      <c r="I19" s="132"/>
      <c r="J19" s="132"/>
      <c r="K19" s="132"/>
      <c r="L19" s="132"/>
      <c r="M19" s="95"/>
      <c r="N19" s="132"/>
      <c r="O19" s="132"/>
      <c r="P19" s="132"/>
      <c r="Q19" s="132"/>
      <c r="R19" s="95"/>
      <c r="S19" s="368"/>
      <c r="U19" s="323"/>
      <c r="V19" s="340"/>
      <c r="W19" s="217"/>
    </row>
    <row r="20" spans="1:23" x14ac:dyDescent="0.2">
      <c r="A20" s="165" t="s">
        <v>87</v>
      </c>
      <c r="B20" s="183"/>
      <c r="C20" s="132"/>
      <c r="D20" s="132"/>
      <c r="E20" s="132"/>
      <c r="F20" s="458"/>
      <c r="G20" s="132"/>
      <c r="H20" s="132"/>
      <c r="I20" s="132"/>
      <c r="J20" s="132"/>
      <c r="K20" s="132"/>
      <c r="L20" s="132"/>
      <c r="M20" s="95"/>
      <c r="N20" s="132"/>
      <c r="O20" s="132"/>
      <c r="P20" s="132"/>
      <c r="Q20" s="132"/>
      <c r="R20" s="95"/>
      <c r="S20" s="368"/>
      <c r="U20" s="323"/>
      <c r="V20" s="340"/>
      <c r="W20" s="217"/>
    </row>
    <row r="21" spans="1:23" x14ac:dyDescent="0.2">
      <c r="A21" s="37" t="s">
        <v>59</v>
      </c>
      <c r="B21" s="183">
        <f>'[3]Atlas Air'!$IH$52</f>
        <v>1474503</v>
      </c>
      <c r="C21" s="132">
        <f>[3]DHL!$IH$52</f>
        <v>0</v>
      </c>
      <c r="D21" s="132">
        <f>[3]Airborne!$IH$52</f>
        <v>0</v>
      </c>
      <c r="E21" s="132">
        <f>[3]DHL_Bemidji!$IH$52</f>
        <v>58603</v>
      </c>
      <c r="F21" s="458"/>
      <c r="G21" s="132">
        <f>[3]DHL_Encore!$IH$52</f>
        <v>0</v>
      </c>
      <c r="H21" s="132">
        <f>[3]DHL_Mesa!$IH$52</f>
        <v>495826</v>
      </c>
      <c r="I21" s="132">
        <f>[3]Encore!$IH$52</f>
        <v>0</v>
      </c>
      <c r="J21" s="132">
        <f>[3]FedEx!$IH$52</f>
        <v>6752753</v>
      </c>
      <c r="K21" s="132">
        <f>[3]IFL!$IH$52</f>
        <v>0</v>
      </c>
      <c r="L21" s="132">
        <f>[3]DHL_Kalitta!$IH$52</f>
        <v>0</v>
      </c>
      <c r="M21" s="95">
        <f>'[3]Mountain Cargo'!$IH$52</f>
        <v>0</v>
      </c>
      <c r="N21" s="132">
        <f>[3]DHL_Amerijet!$IH$52</f>
        <v>0</v>
      </c>
      <c r="O21" s="132">
        <f>[3]DHL_Swift!$IH$52</f>
        <v>33512</v>
      </c>
      <c r="P21" s="132">
        <f>+'[3]Sun Country Cargo'!$IH$52</f>
        <v>1229172</v>
      </c>
      <c r="Q21" s="132">
        <f>[3]UPS!$IH$52</f>
        <v>5191054</v>
      </c>
      <c r="R21" s="95">
        <f>'[3]Misc Cargo'!$IH$52</f>
        <v>0</v>
      </c>
      <c r="S21" s="368">
        <f>SUM(B21:E21)+SUM(G21:R21)</f>
        <v>15235423</v>
      </c>
      <c r="U21" s="340"/>
      <c r="V21" s="340"/>
      <c r="W21" s="217"/>
    </row>
    <row r="22" spans="1:23" x14ac:dyDescent="0.2">
      <c r="A22" s="37" t="s">
        <v>60</v>
      </c>
      <c r="B22" s="183">
        <f>'[3]Atlas Air'!$IH$53</f>
        <v>0</v>
      </c>
      <c r="C22" s="132">
        <f>[3]DHL!$IH$53</f>
        <v>0</v>
      </c>
      <c r="D22" s="132">
        <f>[3]Airborne!$IH$53</f>
        <v>0</v>
      </c>
      <c r="E22" s="132">
        <f>[3]DHL_Bemidji!$IH$53</f>
        <v>0</v>
      </c>
      <c r="F22" s="458"/>
      <c r="G22" s="132">
        <f>[3]DHL_Encore!$IH$53</f>
        <v>0</v>
      </c>
      <c r="H22" s="132">
        <f>[3]DHL_Mesa!$IH$53</f>
        <v>0</v>
      </c>
      <c r="I22" s="132">
        <f>[3]Encore!$IH$53</f>
        <v>0</v>
      </c>
      <c r="J22" s="132">
        <f>[3]FedEx!$IH$53</f>
        <v>0</v>
      </c>
      <c r="K22" s="132">
        <f>[3]IFL!$IH$53</f>
        <v>0</v>
      </c>
      <c r="L22" s="132">
        <f>[3]DHL_Kalitta!$IH$53</f>
        <v>0</v>
      </c>
      <c r="M22" s="95">
        <f>'[3]Mountain Cargo'!$IH$53</f>
        <v>103874</v>
      </c>
      <c r="N22" s="132">
        <f>[3]DHL_Amerijet!$IH$53</f>
        <v>0</v>
      </c>
      <c r="O22" s="132">
        <f>[3]DHL_Swift!$IH$53</f>
        <v>0</v>
      </c>
      <c r="P22" s="132">
        <f>+'[3]Sun Country Cargo'!$IH$53</f>
        <v>0</v>
      </c>
      <c r="Q22" s="132">
        <f>[3]UPS!$IH$53</f>
        <v>431845</v>
      </c>
      <c r="R22" s="95">
        <f>'[3]Misc Cargo'!$IH$53</f>
        <v>0</v>
      </c>
      <c r="S22" s="368">
        <f>SUM(B22:E22)+SUM(G22:R22)</f>
        <v>535719</v>
      </c>
      <c r="U22" s="340"/>
      <c r="V22" s="340"/>
      <c r="W22" s="217"/>
    </row>
    <row r="23" spans="1:23" ht="18" customHeight="1" x14ac:dyDescent="0.2">
      <c r="A23" s="166" t="s">
        <v>41</v>
      </c>
      <c r="B23" s="379">
        <f>SUM(B21:B22)</f>
        <v>1474503</v>
      </c>
      <c r="C23" s="223">
        <f>SUM(C21:C22)</f>
        <v>0</v>
      </c>
      <c r="D23" s="223">
        <f t="shared" ref="D23:E23" si="11">SUM(D21:D22)</f>
        <v>0</v>
      </c>
      <c r="E23" s="223">
        <f t="shared" si="11"/>
        <v>58603</v>
      </c>
      <c r="F23" s="458"/>
      <c r="G23" s="223">
        <f t="shared" ref="G23:R23" si="12">SUM(G21:G22)</f>
        <v>0</v>
      </c>
      <c r="H23" s="223">
        <f t="shared" ref="H23" si="13">SUM(H21:H22)</f>
        <v>495826</v>
      </c>
      <c r="I23" s="223">
        <f t="shared" si="12"/>
        <v>0</v>
      </c>
      <c r="J23" s="223">
        <f t="shared" si="12"/>
        <v>6752753</v>
      </c>
      <c r="K23" s="223">
        <f t="shared" si="12"/>
        <v>0</v>
      </c>
      <c r="L23" s="223">
        <f t="shared" si="12"/>
        <v>0</v>
      </c>
      <c r="M23" s="224">
        <f t="shared" si="12"/>
        <v>103874</v>
      </c>
      <c r="N23" s="223">
        <f t="shared" si="12"/>
        <v>0</v>
      </c>
      <c r="O23" s="223">
        <f t="shared" si="12"/>
        <v>33512</v>
      </c>
      <c r="P23" s="223">
        <f t="shared" si="12"/>
        <v>1229172</v>
      </c>
      <c r="Q23" s="223">
        <f t="shared" si="12"/>
        <v>5622899</v>
      </c>
      <c r="R23" s="224">
        <f t="shared" si="12"/>
        <v>0</v>
      </c>
      <c r="S23" s="380">
        <f>SUM(B23:D23)+SUM(G23:R23)</f>
        <v>15712539</v>
      </c>
      <c r="U23" s="340"/>
      <c r="V23" s="340"/>
      <c r="W23" s="217"/>
    </row>
    <row r="24" spans="1:23" x14ac:dyDescent="0.2">
      <c r="A24" s="37"/>
      <c r="B24" s="183"/>
      <c r="C24" s="132"/>
      <c r="D24" s="132"/>
      <c r="E24" s="132"/>
      <c r="F24" s="458"/>
      <c r="G24" s="132"/>
      <c r="H24" s="132"/>
      <c r="I24" s="132"/>
      <c r="J24" s="132"/>
      <c r="K24" s="132"/>
      <c r="L24" s="132"/>
      <c r="M24" s="95"/>
      <c r="N24" s="132"/>
      <c r="O24" s="132"/>
      <c r="P24" s="132"/>
      <c r="Q24" s="132"/>
      <c r="R24" s="95"/>
      <c r="S24" s="368"/>
      <c r="U24" s="340"/>
      <c r="V24" s="340"/>
      <c r="W24" s="217"/>
    </row>
    <row r="25" spans="1:23" x14ac:dyDescent="0.2">
      <c r="A25" s="165" t="s">
        <v>94</v>
      </c>
      <c r="B25" s="183"/>
      <c r="C25" s="132"/>
      <c r="D25" s="132"/>
      <c r="E25" s="132"/>
      <c r="F25" s="458"/>
      <c r="G25" s="132"/>
      <c r="H25" s="132"/>
      <c r="I25" s="132"/>
      <c r="J25" s="132"/>
      <c r="K25" s="132"/>
      <c r="L25" s="132"/>
      <c r="M25" s="95"/>
      <c r="N25" s="132"/>
      <c r="O25" s="132"/>
      <c r="P25" s="132"/>
      <c r="Q25" s="132"/>
      <c r="R25" s="95"/>
      <c r="S25" s="368"/>
      <c r="U25" s="340"/>
      <c r="V25" s="340"/>
      <c r="W25" s="217"/>
    </row>
    <row r="26" spans="1:23" x14ac:dyDescent="0.2">
      <c r="A26" s="37" t="s">
        <v>59</v>
      </c>
      <c r="B26" s="183">
        <f>'[3]Atlas Air'!$IH$57</f>
        <v>0</v>
      </c>
      <c r="C26" s="132">
        <f>[3]DHL!$IH$57</f>
        <v>0</v>
      </c>
      <c r="D26" s="132">
        <f>[3]Airborne!$IH$57</f>
        <v>0</v>
      </c>
      <c r="E26" s="132">
        <f>[3]DHL_Bemidji!$IH$57</f>
        <v>0</v>
      </c>
      <c r="F26" s="458"/>
      <c r="G26" s="132">
        <f>[3]DHL_Encore!$IH$57</f>
        <v>0</v>
      </c>
      <c r="H26" s="132">
        <f>[3]DHL_Mesa!$IH$57</f>
        <v>0</v>
      </c>
      <c r="I26" s="132">
        <f>[3]Encore!$IH$57</f>
        <v>0</v>
      </c>
      <c r="J26" s="132">
        <f>[3]FedEx!$IH$57</f>
        <v>0</v>
      </c>
      <c r="K26" s="132">
        <f>[3]IFL!$IH$57</f>
        <v>0</v>
      </c>
      <c r="L26" s="132">
        <f>[3]DHL_Kalitta!$IH$57</f>
        <v>0</v>
      </c>
      <c r="M26" s="95">
        <f>'[3]Mountain Cargo'!$IH$57</f>
        <v>0</v>
      </c>
      <c r="N26" s="132">
        <f>[3]DHL_Amerijet!$IH$57</f>
        <v>0</v>
      </c>
      <c r="O26" s="132">
        <f>[3]DHL_Swift!$IH$57</f>
        <v>0</v>
      </c>
      <c r="P26" s="132">
        <f>+'[3]Sun Country Cargo'!$IH$57</f>
        <v>0</v>
      </c>
      <c r="Q26" s="132">
        <f>[3]UPS!$IH$57</f>
        <v>0</v>
      </c>
      <c r="R26" s="95">
        <f>'[3]Misc Cargo'!$IH$57</f>
        <v>0</v>
      </c>
      <c r="S26" s="368">
        <f>SUM(B26:D26)+SUM(G26:R26)</f>
        <v>0</v>
      </c>
      <c r="U26" s="340"/>
      <c r="V26" s="340"/>
      <c r="W26" s="340"/>
    </row>
    <row r="27" spans="1:23" x14ac:dyDescent="0.2">
      <c r="A27" s="37" t="s">
        <v>60</v>
      </c>
      <c r="B27" s="183">
        <f>'[3]Atlas Air'!$IH$58</f>
        <v>0</v>
      </c>
      <c r="C27" s="132">
        <f>[3]DHL!$IH$58</f>
        <v>0</v>
      </c>
      <c r="D27" s="132">
        <f>[3]Airborne!$IH$58</f>
        <v>0</v>
      </c>
      <c r="E27" s="132">
        <f>[3]DHL_Bemidji!$IH$58</f>
        <v>0</v>
      </c>
      <c r="F27" s="458"/>
      <c r="G27" s="132">
        <f>[3]DHL_Encore!$IH$58</f>
        <v>0</v>
      </c>
      <c r="H27" s="132">
        <f>[3]DHL_Mesa!$IH$58</f>
        <v>0</v>
      </c>
      <c r="I27" s="132">
        <f>[3]Encore!$IH$58</f>
        <v>0</v>
      </c>
      <c r="J27" s="132">
        <f>[3]FedEx!$IH$58</f>
        <v>0</v>
      </c>
      <c r="K27" s="132">
        <f>[3]IFL!$IH$58</f>
        <v>0</v>
      </c>
      <c r="L27" s="132">
        <f>[3]DHL_Kalitta!$IH$58</f>
        <v>0</v>
      </c>
      <c r="M27" s="95">
        <f>'[3]Mountain Cargo'!$IH$58</f>
        <v>0</v>
      </c>
      <c r="N27" s="132">
        <f>[3]DHL_Amerijet!$IH$58</f>
        <v>0</v>
      </c>
      <c r="O27" s="132">
        <f>[3]DHL_Swift!$IH$58</f>
        <v>0</v>
      </c>
      <c r="P27" s="132">
        <f>+'[3]Sun Country Cargo'!$IH$58</f>
        <v>0</v>
      </c>
      <c r="Q27" s="132">
        <f>[3]UPS!$IH$58</f>
        <v>0</v>
      </c>
      <c r="R27" s="95">
        <f>'[3]Misc Cargo'!$IH$58</f>
        <v>0</v>
      </c>
      <c r="S27" s="368">
        <f>SUM(B27:D27)+SUM(G27:R27)</f>
        <v>0</v>
      </c>
      <c r="U27" s="340"/>
      <c r="V27" s="340"/>
      <c r="W27" s="217"/>
    </row>
    <row r="28" spans="1:23" ht="18" customHeight="1" x14ac:dyDescent="0.2">
      <c r="A28" s="166" t="s">
        <v>43</v>
      </c>
      <c r="B28" s="379">
        <f>SUM(B26:B27)</f>
        <v>0</v>
      </c>
      <c r="C28" s="223">
        <f>SUM(C26:C27)</f>
        <v>0</v>
      </c>
      <c r="D28" s="223">
        <f t="shared" ref="D28:E28" si="14">SUM(D26:D27)</f>
        <v>0</v>
      </c>
      <c r="E28" s="223">
        <f t="shared" si="14"/>
        <v>0</v>
      </c>
      <c r="F28" s="458"/>
      <c r="G28" s="223">
        <f t="shared" ref="G28:R28" si="15">SUM(G26:G27)</f>
        <v>0</v>
      </c>
      <c r="H28" s="223">
        <f t="shared" ref="H28" si="16">SUM(H26:H27)</f>
        <v>0</v>
      </c>
      <c r="I28" s="223">
        <f t="shared" si="15"/>
        <v>0</v>
      </c>
      <c r="J28" s="223">
        <f t="shared" si="15"/>
        <v>0</v>
      </c>
      <c r="K28" s="223">
        <f t="shared" si="15"/>
        <v>0</v>
      </c>
      <c r="L28" s="223">
        <f t="shared" si="15"/>
        <v>0</v>
      </c>
      <c r="M28" s="224">
        <f t="shared" si="15"/>
        <v>0</v>
      </c>
      <c r="N28" s="223">
        <f t="shared" si="15"/>
        <v>0</v>
      </c>
      <c r="O28" s="223">
        <f t="shared" si="15"/>
        <v>0</v>
      </c>
      <c r="P28" s="223">
        <f t="shared" si="15"/>
        <v>0</v>
      </c>
      <c r="Q28" s="223">
        <f t="shared" si="15"/>
        <v>0</v>
      </c>
      <c r="R28" s="224">
        <f t="shared" si="15"/>
        <v>0</v>
      </c>
      <c r="S28" s="380">
        <f>SUM(B28:D28)+SUM(G28:R28)</f>
        <v>0</v>
      </c>
      <c r="U28" s="340"/>
      <c r="V28" s="340"/>
      <c r="W28" s="340"/>
    </row>
    <row r="29" spans="1:23" x14ac:dyDescent="0.2">
      <c r="A29" s="37"/>
      <c r="B29" s="183"/>
      <c r="C29" s="132"/>
      <c r="D29" s="132"/>
      <c r="E29" s="132"/>
      <c r="F29" s="458"/>
      <c r="G29" s="132"/>
      <c r="H29" s="132"/>
      <c r="I29" s="132"/>
      <c r="J29" s="132"/>
      <c r="K29" s="132"/>
      <c r="L29" s="132"/>
      <c r="M29" s="95"/>
      <c r="N29" s="132"/>
      <c r="O29" s="132"/>
      <c r="P29" s="132"/>
      <c r="Q29" s="132"/>
      <c r="R29" s="95"/>
      <c r="S29" s="368"/>
      <c r="U29" s="340"/>
      <c r="V29" s="340"/>
      <c r="W29" s="340"/>
    </row>
    <row r="30" spans="1:23" x14ac:dyDescent="0.2">
      <c r="A30" s="167" t="s">
        <v>44</v>
      </c>
      <c r="B30" s="183"/>
      <c r="C30" s="132"/>
      <c r="D30" s="132"/>
      <c r="E30" s="132"/>
      <c r="F30" s="458"/>
      <c r="G30" s="132"/>
      <c r="H30" s="132"/>
      <c r="I30" s="132"/>
      <c r="J30" s="132"/>
      <c r="K30" s="132"/>
      <c r="L30" s="132"/>
      <c r="M30" s="95"/>
      <c r="N30" s="132"/>
      <c r="O30" s="132"/>
      <c r="P30" s="132"/>
      <c r="Q30" s="132"/>
      <c r="R30" s="95"/>
      <c r="S30" s="368"/>
      <c r="U30" s="340"/>
      <c r="V30" s="340"/>
      <c r="W30" s="340"/>
    </row>
    <row r="31" spans="1:23" x14ac:dyDescent="0.2">
      <c r="A31" s="37" t="s">
        <v>88</v>
      </c>
      <c r="B31" s="183">
        <f>B26+B21+B16</f>
        <v>3209438</v>
      </c>
      <c r="C31" s="132">
        <f t="shared" ref="C31:R33" si="17">C26+C21+C16</f>
        <v>0</v>
      </c>
      <c r="D31" s="132">
        <f t="shared" si="17"/>
        <v>0</v>
      </c>
      <c r="E31" s="132">
        <f t="shared" si="17"/>
        <v>107058</v>
      </c>
      <c r="F31" s="458"/>
      <c r="G31" s="132">
        <f t="shared" ref="G31:P33" si="18">G26+G21+G16</f>
        <v>0</v>
      </c>
      <c r="H31" s="132">
        <f t="shared" ref="H31" si="19">H26+H21+H16</f>
        <v>1370272</v>
      </c>
      <c r="I31" s="132">
        <f t="shared" si="18"/>
        <v>0</v>
      </c>
      <c r="J31" s="132">
        <f t="shared" si="18"/>
        <v>13732394</v>
      </c>
      <c r="K31" s="132">
        <f t="shared" si="18"/>
        <v>64773</v>
      </c>
      <c r="L31" s="132">
        <f t="shared" si="18"/>
        <v>0</v>
      </c>
      <c r="M31" s="95">
        <f>M26+M21+M16</f>
        <v>0</v>
      </c>
      <c r="N31" s="132">
        <f t="shared" si="18"/>
        <v>0</v>
      </c>
      <c r="O31" s="132">
        <f t="shared" si="18"/>
        <v>139181</v>
      </c>
      <c r="P31" s="132">
        <f t="shared" si="18"/>
        <v>2900032</v>
      </c>
      <c r="Q31" s="132">
        <f t="shared" si="17"/>
        <v>10767429</v>
      </c>
      <c r="R31" s="95">
        <f>R26+R21+R16</f>
        <v>0</v>
      </c>
      <c r="S31" s="368">
        <f>SUM(B31:E31)+SUM(G31:R31)</f>
        <v>32290577</v>
      </c>
    </row>
    <row r="32" spans="1:23" x14ac:dyDescent="0.2">
      <c r="A32" s="37" t="s">
        <v>60</v>
      </c>
      <c r="B32" s="183">
        <f>B27+B22+B17</f>
        <v>0</v>
      </c>
      <c r="C32" s="132">
        <f t="shared" si="17"/>
        <v>0</v>
      </c>
      <c r="D32" s="132">
        <f t="shared" si="17"/>
        <v>0</v>
      </c>
      <c r="E32" s="132">
        <f t="shared" si="17"/>
        <v>0</v>
      </c>
      <c r="F32" s="459"/>
      <c r="G32" s="132">
        <f t="shared" si="18"/>
        <v>0</v>
      </c>
      <c r="H32" s="132">
        <f t="shared" ref="H32" si="20">H27+H22+H17</f>
        <v>0</v>
      </c>
      <c r="I32" s="132">
        <f t="shared" si="18"/>
        <v>0</v>
      </c>
      <c r="J32" s="132">
        <f t="shared" si="18"/>
        <v>0</v>
      </c>
      <c r="K32" s="132">
        <f t="shared" si="18"/>
        <v>0</v>
      </c>
      <c r="L32" s="132">
        <f t="shared" si="18"/>
        <v>0</v>
      </c>
      <c r="M32" s="95">
        <f>M27+M22+M17</f>
        <v>156241</v>
      </c>
      <c r="N32" s="132">
        <f t="shared" si="18"/>
        <v>0</v>
      </c>
      <c r="O32" s="132">
        <f t="shared" si="18"/>
        <v>0</v>
      </c>
      <c r="P32" s="132">
        <f t="shared" si="18"/>
        <v>0</v>
      </c>
      <c r="Q32" s="132">
        <f t="shared" si="17"/>
        <v>1044348</v>
      </c>
      <c r="R32" s="95">
        <f>R27+R22+R17</f>
        <v>0</v>
      </c>
      <c r="S32" s="368">
        <f>SUM(B32:E32)+SUM(G32:R32)</f>
        <v>1200589</v>
      </c>
    </row>
    <row r="33" spans="1:19" ht="18" customHeight="1" thickBot="1" x14ac:dyDescent="0.25">
      <c r="A33" s="160" t="s">
        <v>46</v>
      </c>
      <c r="B33" s="373">
        <f>B28+B23+B18</f>
        <v>3209438</v>
      </c>
      <c r="C33" s="161">
        <f t="shared" ref="C33:I33" si="21">C28+C23+C18</f>
        <v>0</v>
      </c>
      <c r="D33" s="161">
        <f t="shared" si="21"/>
        <v>0</v>
      </c>
      <c r="E33" s="161">
        <f t="shared" si="21"/>
        <v>107058</v>
      </c>
      <c r="F33" s="225">
        <f t="shared" si="21"/>
        <v>0</v>
      </c>
      <c r="G33" s="161">
        <f t="shared" si="21"/>
        <v>0</v>
      </c>
      <c r="H33" s="161">
        <f t="shared" ref="H33" si="22">H28+H23+H18</f>
        <v>1370272</v>
      </c>
      <c r="I33" s="161">
        <f t="shared" si="21"/>
        <v>0</v>
      </c>
      <c r="J33" s="161">
        <f t="shared" si="18"/>
        <v>13732394</v>
      </c>
      <c r="K33" s="161">
        <f t="shared" si="18"/>
        <v>64773</v>
      </c>
      <c r="L33" s="161">
        <f t="shared" si="18"/>
        <v>0</v>
      </c>
      <c r="M33" s="162">
        <f>M28+M23+M18</f>
        <v>156241</v>
      </c>
      <c r="N33" s="161">
        <f t="shared" si="18"/>
        <v>0</v>
      </c>
      <c r="O33" s="161">
        <f t="shared" si="18"/>
        <v>139181</v>
      </c>
      <c r="P33" s="161">
        <f t="shared" si="17"/>
        <v>2900032</v>
      </c>
      <c r="Q33" s="161">
        <f t="shared" si="17"/>
        <v>11811777</v>
      </c>
      <c r="R33" s="162">
        <f t="shared" si="17"/>
        <v>0</v>
      </c>
      <c r="S33" s="374">
        <f>SUM(B33:E33)+SUM(G33:R33)</f>
        <v>33491166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95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March 2023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J5" sqref="J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5" customWidth="1"/>
    <col min="7" max="7" width="12.28515625" style="25" customWidth="1"/>
    <col min="8" max="8" width="11.42578125" style="3" customWidth="1"/>
    <col min="9" max="9" width="11.5703125" style="25" customWidth="1"/>
    <col min="10" max="10" width="12" style="25" bestFit="1" customWidth="1"/>
    <col min="11" max="11" width="13.140625" style="3" bestFit="1" customWidth="1"/>
    <col min="13" max="13" width="4.7109375" style="391" bestFit="1" customWidth="1"/>
    <col min="15" max="15" width="13.7109375" customWidth="1"/>
  </cols>
  <sheetData>
    <row r="1" spans="1:18" s="27" customFormat="1" ht="12" customHeight="1" x14ac:dyDescent="0.2">
      <c r="A1" s="14"/>
      <c r="L1" s="9"/>
      <c r="M1" s="401"/>
      <c r="N1" s="9"/>
      <c r="O1" s="9"/>
      <c r="P1" s="9"/>
      <c r="Q1" s="9"/>
      <c r="R1" s="9"/>
    </row>
    <row r="2" spans="1:18" s="9" customFormat="1" ht="30" customHeight="1" thickBot="1" x14ac:dyDescent="0.25">
      <c r="A2" s="396">
        <v>44986</v>
      </c>
      <c r="B2" s="57" t="s">
        <v>219</v>
      </c>
      <c r="C2" s="57" t="s">
        <v>63</v>
      </c>
      <c r="D2" s="57" t="s">
        <v>64</v>
      </c>
      <c r="E2" s="236" t="s">
        <v>74</v>
      </c>
      <c r="F2" s="58" t="s">
        <v>243</v>
      </c>
      <c r="G2" s="58" t="s">
        <v>229</v>
      </c>
      <c r="H2" s="59" t="s">
        <v>65</v>
      </c>
      <c r="I2" s="60" t="s">
        <v>235</v>
      </c>
      <c r="J2" s="60" t="s">
        <v>227</v>
      </c>
      <c r="K2" s="69" t="s">
        <v>2</v>
      </c>
      <c r="M2" s="401"/>
    </row>
    <row r="3" spans="1:18" ht="20.25" customHeight="1" x14ac:dyDescent="0.2">
      <c r="A3" s="66" t="s">
        <v>66</v>
      </c>
      <c r="B3" s="68"/>
      <c r="C3" s="61"/>
      <c r="D3" s="61"/>
      <c r="E3" s="61"/>
      <c r="F3" s="62"/>
      <c r="G3" s="62"/>
      <c r="H3" s="63"/>
      <c r="I3" s="62"/>
      <c r="J3" s="62"/>
      <c r="K3" s="64"/>
    </row>
    <row r="4" spans="1:18" x14ac:dyDescent="0.2">
      <c r="A4" s="45" t="s">
        <v>67</v>
      </c>
      <c r="B4" s="139"/>
      <c r="C4" s="95"/>
      <c r="D4" s="95"/>
      <c r="E4" s="95"/>
      <c r="F4" s="95"/>
      <c r="G4" s="95"/>
      <c r="H4" s="95"/>
      <c r="I4" s="95"/>
      <c r="J4" s="95"/>
      <c r="K4" s="140"/>
    </row>
    <row r="5" spans="1:18" x14ac:dyDescent="0.2">
      <c r="A5" s="45" t="s">
        <v>68</v>
      </c>
      <c r="B5" s="139">
        <f>'Major Airline Stats'!K28</f>
        <v>3728070</v>
      </c>
      <c r="C5" s="95">
        <f>'Regional Major'!M25</f>
        <v>6075</v>
      </c>
      <c r="D5" s="95">
        <f>Cargo!S16</f>
        <v>17055154</v>
      </c>
      <c r="E5" s="95">
        <f>SUM(B5:D5)</f>
        <v>20789299</v>
      </c>
      <c r="F5" s="95">
        <f>E5*0.00045359237</f>
        <v>9429.8674040486294</v>
      </c>
      <c r="G5" s="95">
        <f>'[1]Cargo Summary'!F5</f>
        <v>10758.297481366819</v>
      </c>
      <c r="H5" s="77">
        <f>(F5-G5)/G5</f>
        <v>-0.12347958211966223</v>
      </c>
      <c r="I5" s="95">
        <f>+'[2]Cargo Summary'!I5+F5</f>
        <v>25176.32335345204</v>
      </c>
      <c r="J5" s="95">
        <f>+'[1]Cargo Summary'!I5</f>
        <v>28980.808945170385</v>
      </c>
      <c r="K5" s="65">
        <f>(I5-J5)/J5</f>
        <v>-0.1312760316289362</v>
      </c>
      <c r="M5" s="13"/>
      <c r="O5" s="400"/>
    </row>
    <row r="6" spans="1:18" x14ac:dyDescent="0.2">
      <c r="A6" s="45" t="s">
        <v>16</v>
      </c>
      <c r="B6" s="139">
        <f>'Major Airline Stats'!K29</f>
        <v>850846</v>
      </c>
      <c r="C6" s="95">
        <f>'Regional Major'!M26</f>
        <v>0</v>
      </c>
      <c r="D6" s="95">
        <f>Cargo!S17</f>
        <v>664870</v>
      </c>
      <c r="E6" s="95">
        <f>SUM(B6:D6)</f>
        <v>1515716</v>
      </c>
      <c r="F6" s="95">
        <f>E6*0.00045359237</f>
        <v>687.51721268691995</v>
      </c>
      <c r="G6" s="95">
        <f>'[1]Cargo Summary'!F6</f>
        <v>1106.1838773816601</v>
      </c>
      <c r="H6" s="3">
        <f>(F6-G6)/G6</f>
        <v>-0.37847836445214256</v>
      </c>
      <c r="I6" s="95">
        <f>+'[2]Cargo Summary'!I6+F6</f>
        <v>2057.1987945023902</v>
      </c>
      <c r="J6" s="95">
        <f>+'[1]Cargo Summary'!I6</f>
        <v>3094.3631496801099</v>
      </c>
      <c r="K6" s="65">
        <f>(I6-J6)/J6</f>
        <v>-0.33517861511663233</v>
      </c>
      <c r="M6" s="13"/>
    </row>
    <row r="7" spans="1:18" ht="18" customHeight="1" thickBot="1" x14ac:dyDescent="0.25">
      <c r="A7" s="54" t="s">
        <v>71</v>
      </c>
      <c r="B7" s="141">
        <f>SUM(B5:B6)</f>
        <v>4578916</v>
      </c>
      <c r="C7" s="105">
        <f t="shared" ref="C7:J7" si="0">SUM(C5:C6)</f>
        <v>6075</v>
      </c>
      <c r="D7" s="105">
        <f t="shared" si="0"/>
        <v>17720024</v>
      </c>
      <c r="E7" s="105">
        <f t="shared" si="0"/>
        <v>22305015</v>
      </c>
      <c r="F7" s="105">
        <f t="shared" si="0"/>
        <v>10117.38461673555</v>
      </c>
      <c r="G7" s="105">
        <f t="shared" si="0"/>
        <v>11864.481358748479</v>
      </c>
      <c r="H7" s="28">
        <f>(F7-G7)/G7</f>
        <v>-0.14725437119294535</v>
      </c>
      <c r="I7" s="105">
        <f t="shared" si="0"/>
        <v>27233.522147954431</v>
      </c>
      <c r="J7" s="105">
        <f t="shared" si="0"/>
        <v>32075.172094850495</v>
      </c>
      <c r="K7" s="238">
        <f>(I7-J7)/J7</f>
        <v>-0.15094696709899702</v>
      </c>
      <c r="M7" s="13"/>
    </row>
    <row r="8" spans="1:18" ht="13.5" thickTop="1" x14ac:dyDescent="0.2">
      <c r="A8" s="45"/>
      <c r="B8" s="139"/>
      <c r="C8" s="95"/>
      <c r="D8" s="95"/>
      <c r="E8" s="95"/>
      <c r="F8" s="95"/>
      <c r="G8" s="95"/>
      <c r="I8" s="95"/>
      <c r="J8" s="95"/>
      <c r="K8" s="65"/>
      <c r="M8" s="13"/>
    </row>
    <row r="9" spans="1:18" x14ac:dyDescent="0.2">
      <c r="A9" s="45" t="s">
        <v>69</v>
      </c>
      <c r="B9" s="139"/>
      <c r="C9" s="95"/>
      <c r="D9" s="95"/>
      <c r="E9" s="95"/>
      <c r="F9" s="95"/>
      <c r="G9" s="95"/>
      <c r="I9" s="95"/>
      <c r="J9" s="95"/>
      <c r="K9" s="65"/>
      <c r="M9" s="13"/>
    </row>
    <row r="10" spans="1:18" x14ac:dyDescent="0.2">
      <c r="A10" s="45" t="s">
        <v>68</v>
      </c>
      <c r="B10" s="139">
        <f>'Major Airline Stats'!K33</f>
        <v>2058848</v>
      </c>
      <c r="C10" s="95">
        <f>'Regional Major'!M30</f>
        <v>1450</v>
      </c>
      <c r="D10" s="95">
        <f>Cargo!S21</f>
        <v>15235423</v>
      </c>
      <c r="E10" s="95">
        <f>SUM(B10:D10)</f>
        <v>17295721</v>
      </c>
      <c r="F10" s="95">
        <f>E10*0.00045359237</f>
        <v>7845.2070792487702</v>
      </c>
      <c r="G10" s="95">
        <f>'[1]Cargo Summary'!F10</f>
        <v>8004.9881667278596</v>
      </c>
      <c r="H10" s="3">
        <f>(F10-G10)/G10</f>
        <v>-1.9960190340219067E-2</v>
      </c>
      <c r="I10" s="95">
        <f>+'[2]Cargo Summary'!I10+F10</f>
        <v>21353.690891787097</v>
      </c>
      <c r="J10" s="95">
        <f>+'[1]Cargo Summary'!I10</f>
        <v>21261.224726385488</v>
      </c>
      <c r="K10" s="65">
        <f>(I10-J10)/J10</f>
        <v>4.3490516934735742E-3</v>
      </c>
      <c r="M10" s="13"/>
      <c r="O10" s="400"/>
    </row>
    <row r="11" spans="1:18" x14ac:dyDescent="0.2">
      <c r="A11" s="45" t="s">
        <v>16</v>
      </c>
      <c r="B11" s="139">
        <f>'Major Airline Stats'!K34</f>
        <v>1137685</v>
      </c>
      <c r="C11" s="95">
        <f>'Regional Major'!M31</f>
        <v>0</v>
      </c>
      <c r="D11" s="95">
        <f>Cargo!S22</f>
        <v>535719</v>
      </c>
      <c r="E11" s="95">
        <f>SUM(B11:D11)</f>
        <v>1673404</v>
      </c>
      <c r="F11" s="95">
        <f>E11*0.00045359237</f>
        <v>759.04328632748002</v>
      </c>
      <c r="G11" s="95">
        <f>'[1]Cargo Summary'!F11</f>
        <v>930.54202550078003</v>
      </c>
      <c r="H11" s="25">
        <f>(F11-G11)/G11</f>
        <v>-0.1842998322198359</v>
      </c>
      <c r="I11" s="95">
        <f>+'[2]Cargo Summary'!I11+F11</f>
        <v>1979.71433148951</v>
      </c>
      <c r="J11" s="95">
        <f>+'[1]Cargo Summary'!I11</f>
        <v>2617.7205762138201</v>
      </c>
      <c r="K11" s="65">
        <f>(I11-J11)/J11</f>
        <v>-0.24372587759045702</v>
      </c>
      <c r="M11" s="13"/>
    </row>
    <row r="12" spans="1:18" ht="18" customHeight="1" thickBot="1" x14ac:dyDescent="0.25">
      <c r="A12" s="54" t="s">
        <v>72</v>
      </c>
      <c r="B12" s="141">
        <f>SUM(B10:B11)</f>
        <v>3196533</v>
      </c>
      <c r="C12" s="105">
        <f t="shared" ref="C12:J12" si="1">SUM(C10:C11)</f>
        <v>1450</v>
      </c>
      <c r="D12" s="105">
        <f t="shared" si="1"/>
        <v>15771142</v>
      </c>
      <c r="E12" s="105">
        <f t="shared" si="1"/>
        <v>18969125</v>
      </c>
      <c r="F12" s="105">
        <f t="shared" si="1"/>
        <v>8604.2503655762503</v>
      </c>
      <c r="G12" s="105">
        <f t="shared" si="1"/>
        <v>8935.5301922286399</v>
      </c>
      <c r="H12" s="28">
        <f>(F12-G12)/G12</f>
        <v>-3.7074445447065743E-2</v>
      </c>
      <c r="I12" s="105">
        <f>SUM(I10:I11)</f>
        <v>23333.405223276608</v>
      </c>
      <c r="J12" s="105">
        <f t="shared" si="1"/>
        <v>23878.945302599306</v>
      </c>
      <c r="K12" s="238">
        <f>(I12-J12)/J12</f>
        <v>-2.2846070980501565E-2</v>
      </c>
      <c r="M12" s="13"/>
    </row>
    <row r="13" spans="1:18" ht="13.5" thickTop="1" x14ac:dyDescent="0.2">
      <c r="A13" s="45"/>
      <c r="B13" s="139"/>
      <c r="C13" s="95"/>
      <c r="D13" s="95"/>
      <c r="E13" s="95"/>
      <c r="F13" s="95"/>
      <c r="G13" s="95"/>
      <c r="I13" s="95"/>
      <c r="J13" s="95"/>
      <c r="K13" s="65"/>
      <c r="M13" s="13"/>
    </row>
    <row r="14" spans="1:18" x14ac:dyDescent="0.2">
      <c r="A14" s="45" t="s">
        <v>70</v>
      </c>
      <c r="B14" s="139"/>
      <c r="C14" s="95"/>
      <c r="D14" s="95"/>
      <c r="E14" s="95"/>
      <c r="F14" s="95"/>
      <c r="G14" s="95"/>
      <c r="I14" s="95"/>
      <c r="J14" s="95"/>
      <c r="K14" s="65"/>
      <c r="M14" s="13"/>
    </row>
    <row r="15" spans="1:18" x14ac:dyDescent="0.2">
      <c r="A15" s="45" t="s">
        <v>68</v>
      </c>
      <c r="B15" s="139">
        <f>'Major Airline Stats'!K38</f>
        <v>0</v>
      </c>
      <c r="C15" s="95">
        <f>'Regional Major'!M35</f>
        <v>0</v>
      </c>
      <c r="D15" s="95">
        <f>Cargo!S26</f>
        <v>0</v>
      </c>
      <c r="E15" s="95">
        <f>SUM(B15:D15)</f>
        <v>0</v>
      </c>
      <c r="F15" s="95">
        <f>E15*0.00045359237</f>
        <v>0</v>
      </c>
      <c r="G15" s="95">
        <f>'[1]Cargo Summary'!F15</f>
        <v>0</v>
      </c>
      <c r="H15" t="e">
        <f>(F15-G15)/G15</f>
        <v>#DIV/0!</v>
      </c>
      <c r="I15" s="95">
        <f>+'[2]Cargo Summary'!I15+F15</f>
        <v>0</v>
      </c>
      <c r="J15" s="95">
        <f>+'[1]Cargo Summary'!I15</f>
        <v>0</v>
      </c>
      <c r="K15" s="65" t="e">
        <f>(I15-J15)/J15</f>
        <v>#DIV/0!</v>
      </c>
      <c r="M15" s="13"/>
    </row>
    <row r="16" spans="1:18" ht="15" customHeight="1" x14ac:dyDescent="0.2">
      <c r="A16" s="45" t="s">
        <v>16</v>
      </c>
      <c r="B16" s="139">
        <f>'Major Airline Stats'!K39</f>
        <v>0</v>
      </c>
      <c r="C16" s="95">
        <f>'Regional Major'!M36</f>
        <v>0</v>
      </c>
      <c r="D16" s="95">
        <f>Cargo!S27</f>
        <v>0</v>
      </c>
      <c r="E16" s="95">
        <f>SUM(B16:D16)</f>
        <v>0</v>
      </c>
      <c r="F16" s="95">
        <f>E16*0.00045359237</f>
        <v>0</v>
      </c>
      <c r="G16" s="95">
        <f>'[1]Cargo Summary'!F16</f>
        <v>0</v>
      </c>
      <c r="H16" s="3" t="e">
        <f>(F16-G16)/G16</f>
        <v>#DIV/0!</v>
      </c>
      <c r="I16" s="95">
        <f>+'[2]Cargo Summary'!I16+F16</f>
        <v>0</v>
      </c>
      <c r="J16" s="95">
        <f>+'[1]Cargo Summary'!I16</f>
        <v>0</v>
      </c>
      <c r="K16" s="65">
        <v>1</v>
      </c>
      <c r="M16" s="13"/>
    </row>
    <row r="17" spans="1:13" ht="18" customHeight="1" thickBot="1" x14ac:dyDescent="0.25">
      <c r="A17" s="54" t="s">
        <v>73</v>
      </c>
      <c r="B17" s="141">
        <f>SUM(B15:B16)</f>
        <v>0</v>
      </c>
      <c r="C17" s="105">
        <f t="shared" ref="C17:J17" si="2">SUM(C15:C16)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28" t="e">
        <f>(F17-G17)/G17</f>
        <v>#DIV/0!</v>
      </c>
      <c r="I17" s="105">
        <f>SUM(I15:I16)</f>
        <v>0</v>
      </c>
      <c r="J17" s="105">
        <f t="shared" si="2"/>
        <v>0</v>
      </c>
      <c r="K17" s="238" t="e">
        <f>(I17-J17)/J17</f>
        <v>#DIV/0!</v>
      </c>
      <c r="M17" s="13"/>
    </row>
    <row r="18" spans="1:13" ht="13.5" thickTop="1" x14ac:dyDescent="0.2">
      <c r="A18" s="45"/>
      <c r="B18" s="139"/>
      <c r="C18" s="95"/>
      <c r="D18" s="95"/>
      <c r="E18" s="95"/>
      <c r="F18" s="95"/>
      <c r="G18" s="95"/>
      <c r="I18" s="95"/>
      <c r="J18" s="95"/>
      <c r="K18" s="65"/>
      <c r="M18" s="13"/>
    </row>
    <row r="19" spans="1:13" x14ac:dyDescent="0.2">
      <c r="A19" s="45" t="s">
        <v>14</v>
      </c>
      <c r="B19" s="139"/>
      <c r="C19" s="95"/>
      <c r="D19" s="95"/>
      <c r="E19" s="95"/>
      <c r="F19" s="95"/>
      <c r="G19" s="95"/>
      <c r="I19" s="95"/>
      <c r="J19" s="95"/>
      <c r="K19" s="65"/>
      <c r="M19" s="13"/>
    </row>
    <row r="20" spans="1:13" x14ac:dyDescent="0.2">
      <c r="A20" s="45" t="s">
        <v>68</v>
      </c>
      <c r="B20" s="139">
        <f t="shared" ref="B20:D21" si="3">B15+B10+B5</f>
        <v>5786918</v>
      </c>
      <c r="C20" s="95">
        <f t="shared" si="3"/>
        <v>7525</v>
      </c>
      <c r="D20" s="95">
        <f t="shared" si="3"/>
        <v>32290577</v>
      </c>
      <c r="E20" s="95">
        <f>SUM(B20:D20)</f>
        <v>38085020</v>
      </c>
      <c r="F20" s="95">
        <f>E20*0.00045359237</f>
        <v>17275.074483297398</v>
      </c>
      <c r="G20" s="95">
        <f>'[1]Cargo Summary'!F20</f>
        <v>18763.285648094679</v>
      </c>
      <c r="H20" s="3">
        <f>(F20-G20)/G20</f>
        <v>-7.9315062015719098E-2</v>
      </c>
      <c r="I20" s="95">
        <f>+'[2]Cargo Summary'!I20+F20</f>
        <v>46530.014245239137</v>
      </c>
      <c r="J20" s="95">
        <f>+'[1]Cargo Summary'!I20</f>
        <v>50242.033671555881</v>
      </c>
      <c r="K20" s="65">
        <f>(I20-J20)/J20</f>
        <v>-7.3882746279402153E-2</v>
      </c>
      <c r="M20" s="13"/>
    </row>
    <row r="21" spans="1:13" x14ac:dyDescent="0.2">
      <c r="A21" s="45" t="s">
        <v>16</v>
      </c>
      <c r="B21" s="139">
        <f t="shared" si="3"/>
        <v>1988531</v>
      </c>
      <c r="C21" s="96">
        <f t="shared" si="3"/>
        <v>0</v>
      </c>
      <c r="D21" s="96">
        <f t="shared" si="3"/>
        <v>1200589</v>
      </c>
      <c r="E21" s="95">
        <f>SUM(B21:D21)</f>
        <v>3189120</v>
      </c>
      <c r="F21" s="95">
        <f>E21*0.00045359237</f>
        <v>1446.5604990144</v>
      </c>
      <c r="G21" s="95">
        <f>'[1]Cargo Summary'!F21</f>
        <v>2036.7259028824399</v>
      </c>
      <c r="H21" s="3">
        <f>(F21-G21)/G21</f>
        <v>-0.28976181970918075</v>
      </c>
      <c r="I21" s="95">
        <f>+'[2]Cargo Summary'!I21+F21</f>
        <v>4036.9131259919004</v>
      </c>
      <c r="J21" s="95">
        <f>+'[1]Cargo Summary'!I21</f>
        <v>5712.08372589393</v>
      </c>
      <c r="K21" s="65">
        <f>(I21-J21)/J21</f>
        <v>-0.29326786515893877</v>
      </c>
      <c r="M21" s="13"/>
    </row>
    <row r="22" spans="1:13" ht="18" customHeight="1" thickBot="1" x14ac:dyDescent="0.25">
      <c r="A22" s="67" t="s">
        <v>62</v>
      </c>
      <c r="B22" s="142">
        <f>SUM(B20:B21)</f>
        <v>7775449</v>
      </c>
      <c r="C22" s="143">
        <f t="shared" ref="C22:J22" si="4">SUM(C20:C21)</f>
        <v>7525</v>
      </c>
      <c r="D22" s="143">
        <f t="shared" si="4"/>
        <v>33491166</v>
      </c>
      <c r="E22" s="143">
        <f t="shared" si="4"/>
        <v>41274140</v>
      </c>
      <c r="F22" s="143">
        <f t="shared" si="4"/>
        <v>18721.634982311796</v>
      </c>
      <c r="G22" s="143">
        <f t="shared" si="4"/>
        <v>20800.01155097712</v>
      </c>
      <c r="H22" s="244">
        <f>(F22-G22)/G22</f>
        <v>-9.9921894926432789E-2</v>
      </c>
      <c r="I22" s="143">
        <f>SUM(I20:I21)</f>
        <v>50566.927371231039</v>
      </c>
      <c r="J22" s="143">
        <f t="shared" si="4"/>
        <v>55954.117397449809</v>
      </c>
      <c r="K22" s="245">
        <f>(I22-J22)/J22</f>
        <v>-9.6278706139761208E-2</v>
      </c>
      <c r="M22" s="13"/>
    </row>
    <row r="23" spans="1:13" x14ac:dyDescent="0.2">
      <c r="G23" s="2"/>
    </row>
    <row r="26" spans="1:13" x14ac:dyDescent="0.2">
      <c r="A26" s="2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March 2023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Normal="100" workbookViewId="0">
      <selection activeCell="G39" sqref="G39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8.85546875" bestFit="1" customWidth="1"/>
    <col min="15" max="15" width="10.140625" bestFit="1" customWidth="1"/>
    <col min="16" max="16" width="11.140625" bestFit="1" customWidth="1"/>
    <col min="17" max="17" width="8.8554687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71"/>
      <c r="G1" s="2"/>
      <c r="H1" s="3"/>
      <c r="I1" s="3"/>
      <c r="J1" s="3"/>
      <c r="L1" s="2"/>
      <c r="M1" s="2"/>
      <c r="N1" s="3"/>
      <c r="T1" s="391"/>
    </row>
    <row r="2" spans="1:20" s="9" customFormat="1" ht="26.25" thickBot="1" x14ac:dyDescent="0.25">
      <c r="A2" s="466" t="s">
        <v>186</v>
      </c>
      <c r="B2" s="467"/>
      <c r="C2" s="336" t="s">
        <v>237</v>
      </c>
      <c r="D2" s="337" t="s">
        <v>230</v>
      </c>
      <c r="E2" s="394" t="s">
        <v>95</v>
      </c>
      <c r="F2" s="339" t="s">
        <v>238</v>
      </c>
      <c r="G2" s="337" t="s">
        <v>231</v>
      </c>
      <c r="H2" s="395" t="s">
        <v>96</v>
      </c>
      <c r="I2" s="338" t="s">
        <v>137</v>
      </c>
      <c r="J2" s="466" t="s">
        <v>182</v>
      </c>
      <c r="K2" s="467"/>
      <c r="L2" s="336" t="s">
        <v>247</v>
      </c>
      <c r="M2" s="337" t="s">
        <v>248</v>
      </c>
      <c r="N2" s="394" t="s">
        <v>95</v>
      </c>
      <c r="O2" s="339" t="s">
        <v>249</v>
      </c>
      <c r="P2" s="337" t="s">
        <v>250</v>
      </c>
      <c r="Q2" s="395" t="s">
        <v>96</v>
      </c>
      <c r="R2" s="338" t="s">
        <v>137</v>
      </c>
      <c r="T2" s="392"/>
    </row>
    <row r="3" spans="1:20" s="9" customFormat="1" ht="13.5" customHeight="1" thickBot="1" x14ac:dyDescent="0.25">
      <c r="A3" s="468">
        <v>44986</v>
      </c>
      <c r="B3" s="469"/>
      <c r="C3" s="470" t="s">
        <v>9</v>
      </c>
      <c r="D3" s="471"/>
      <c r="E3" s="471"/>
      <c r="F3" s="471"/>
      <c r="G3" s="471"/>
      <c r="H3" s="472"/>
      <c r="I3" s="365"/>
      <c r="J3" s="468">
        <f>+A3</f>
        <v>44986</v>
      </c>
      <c r="K3" s="469"/>
      <c r="L3" s="463" t="s">
        <v>183</v>
      </c>
      <c r="M3" s="464"/>
      <c r="N3" s="464"/>
      <c r="O3" s="464"/>
      <c r="P3" s="464"/>
      <c r="Q3" s="464"/>
      <c r="R3" s="465"/>
      <c r="T3" s="392"/>
    </row>
    <row r="4" spans="1:20" x14ac:dyDescent="0.2">
      <c r="A4" s="251"/>
      <c r="B4" s="252"/>
      <c r="C4" s="253"/>
      <c r="D4" s="254"/>
      <c r="E4" s="255"/>
      <c r="F4" s="381"/>
      <c r="G4" s="254"/>
      <c r="H4" s="348"/>
      <c r="I4" s="255"/>
      <c r="J4" s="256"/>
      <c r="K4" s="252"/>
      <c r="L4" s="263"/>
      <c r="M4" s="2"/>
      <c r="N4" s="65"/>
      <c r="O4" s="37"/>
      <c r="R4" s="39"/>
      <c r="T4" s="391"/>
    </row>
    <row r="5" spans="1:20" ht="14.1" customHeight="1" x14ac:dyDescent="0.2">
      <c r="A5" s="258" t="s">
        <v>207</v>
      </c>
      <c r="B5" s="39"/>
      <c r="C5" s="382">
        <f>SUM(C6:C7)</f>
        <v>186</v>
      </c>
      <c r="D5" s="382">
        <f>SUM(D6:D7)</f>
        <v>198</v>
      </c>
      <c r="E5" s="383">
        <f>(C5-D5)/D5</f>
        <v>-6.0606060606060608E-2</v>
      </c>
      <c r="F5" s="382">
        <f>SUM(F6:F7)</f>
        <v>530</v>
      </c>
      <c r="G5" s="382">
        <f>SUM(G6:G7)</f>
        <v>549</v>
      </c>
      <c r="H5" s="384">
        <f>(F5-G5)/G5</f>
        <v>-3.4608378870673952E-2</v>
      </c>
      <c r="I5" s="383">
        <f>+F5/$F$34</f>
        <v>0.15082527034718271</v>
      </c>
      <c r="J5" s="258" t="s">
        <v>207</v>
      </c>
      <c r="K5" s="39"/>
      <c r="L5" s="382">
        <f>SUM(L6:L7)</f>
        <v>6109470</v>
      </c>
      <c r="M5" s="382">
        <f>SUM(M6:M7)</f>
        <v>6063154</v>
      </c>
      <c r="N5" s="383">
        <f>(L5-M5)/M5</f>
        <v>7.6389285180617217E-3</v>
      </c>
      <c r="O5" s="382">
        <f>SUM(O6:O7)</f>
        <v>17069216</v>
      </c>
      <c r="P5" s="382">
        <f>SUM(P6:P7)</f>
        <v>17949849</v>
      </c>
      <c r="Q5" s="384">
        <f>(O5-P5)/P5</f>
        <v>-4.906074697341465E-2</v>
      </c>
      <c r="R5" s="383">
        <f>O5/$O$34</f>
        <v>0.18868081743467838</v>
      </c>
      <c r="T5" s="391"/>
    </row>
    <row r="6" spans="1:20" ht="14.1" customHeight="1" x14ac:dyDescent="0.2">
      <c r="A6" s="37"/>
      <c r="B6" s="318" t="s">
        <v>208</v>
      </c>
      <c r="C6" s="322">
        <f>+'[3]Atlas Air'!$IH$19</f>
        <v>62</v>
      </c>
      <c r="D6" s="217">
        <f>+'[3]Atlas Air'!$HT$19</f>
        <v>64</v>
      </c>
      <c r="E6" s="324">
        <f>(C6-D6)/D6</f>
        <v>-3.125E-2</v>
      </c>
      <c r="F6" s="322">
        <f>+SUM('[3]Atlas Air'!$IF$19:$IH$19)</f>
        <v>182</v>
      </c>
      <c r="G6" s="217">
        <f>+SUM('[3]Atlas Air'!$HR$19:$HT$19)</f>
        <v>178</v>
      </c>
      <c r="H6" s="323">
        <f>(F6-G6)/G6</f>
        <v>2.247191011235955E-2</v>
      </c>
      <c r="I6" s="324">
        <f>+F6/$F$34</f>
        <v>5.1792828685258967E-2</v>
      </c>
      <c r="J6" s="37"/>
      <c r="K6" s="318" t="s">
        <v>208</v>
      </c>
      <c r="L6" s="322">
        <f>+'[3]Atlas Air'!$IH$64</f>
        <v>3209438</v>
      </c>
      <c r="M6" s="217">
        <f>+'[3]Atlas Air'!$HT$64</f>
        <v>2985762</v>
      </c>
      <c r="N6" s="324">
        <f>(L6-M6)/M6</f>
        <v>7.4914209504977292E-2</v>
      </c>
      <c r="O6" s="217">
        <f>+SUM('[3]Atlas Air'!$IF$64:$IH$64)</f>
        <v>8773572</v>
      </c>
      <c r="P6" s="217">
        <f>+SUM('[3]Atlas Air'!$HR$64:$HT$64)</f>
        <v>8836930</v>
      </c>
      <c r="Q6" s="323">
        <f>(O6-P6)/P6</f>
        <v>-7.1696844945020495E-3</v>
      </c>
      <c r="R6" s="324">
        <f>O6/$O$34</f>
        <v>9.6981884626804529E-2</v>
      </c>
      <c r="T6" s="391">
        <f>+L6-Cargo!B33</f>
        <v>0</v>
      </c>
    </row>
    <row r="7" spans="1:20" ht="14.1" customHeight="1" x14ac:dyDescent="0.2">
      <c r="A7" s="37"/>
      <c r="B7" s="318" t="s">
        <v>49</v>
      </c>
      <c r="C7" s="322">
        <f>+'[3]Sun Country Cargo'!$IH$19</f>
        <v>124</v>
      </c>
      <c r="D7" s="217">
        <f>+'[3]Sun Country Cargo'!$HT$19</f>
        <v>134</v>
      </c>
      <c r="E7" s="324">
        <f>(C7-D7)/D7</f>
        <v>-7.4626865671641784E-2</v>
      </c>
      <c r="F7" s="322">
        <f>+SUM('[3]Sun Country Cargo'!$IF$19:$IH$19)</f>
        <v>348</v>
      </c>
      <c r="G7" s="217">
        <f>+SUM('[3]Sun Country Cargo'!$HR$19:$HT$19)</f>
        <v>371</v>
      </c>
      <c r="H7" s="323">
        <f>(F7-G7)/G7</f>
        <v>-6.1994609164420483E-2</v>
      </c>
      <c r="I7" s="324">
        <f>+F7/$F$34</f>
        <v>9.9032441661923737E-2</v>
      </c>
      <c r="J7" s="37"/>
      <c r="K7" s="318" t="s">
        <v>49</v>
      </c>
      <c r="L7" s="322">
        <f>+'[3]Sun Country Cargo'!$IH$64</f>
        <v>2900032</v>
      </c>
      <c r="M7" s="217">
        <f>+'[3]Sun Country Cargo'!$HT$64</f>
        <v>3077392</v>
      </c>
      <c r="N7" s="324">
        <f>(L7-M7)/M7</f>
        <v>-5.7633216697775262E-2</v>
      </c>
      <c r="O7" s="217">
        <f>+SUM('[3]Sun Country Cargo'!$IF$64:$IH$64)</f>
        <v>8295644</v>
      </c>
      <c r="P7" s="217">
        <f>+SUM('[3]Sun Country Cargo'!$HR$64:$HT$64)</f>
        <v>9112919</v>
      </c>
      <c r="Q7" s="323">
        <f>(O7-P7)/P7</f>
        <v>-8.9683119097185002E-2</v>
      </c>
      <c r="R7" s="324">
        <f>O7/$O$34</f>
        <v>9.1698932807873834E-2</v>
      </c>
      <c r="T7" s="391">
        <f>+L7-Cargo!P33</f>
        <v>0</v>
      </c>
    </row>
    <row r="8" spans="1:20" ht="14.1" customHeight="1" x14ac:dyDescent="0.2">
      <c r="A8" s="37"/>
      <c r="B8" s="39"/>
      <c r="C8" s="2"/>
      <c r="D8" s="2"/>
      <c r="E8" s="3"/>
      <c r="F8" s="385"/>
      <c r="G8" s="2"/>
      <c r="H8" s="3"/>
      <c r="I8" s="65"/>
      <c r="J8" s="363"/>
      <c r="K8" s="39"/>
      <c r="L8" s="2"/>
      <c r="M8" s="2"/>
      <c r="N8" s="65"/>
      <c r="R8" s="39"/>
      <c r="T8" s="391"/>
    </row>
    <row r="9" spans="1:20" ht="14.1" customHeight="1" x14ac:dyDescent="0.2">
      <c r="A9" s="258" t="s">
        <v>209</v>
      </c>
      <c r="B9" s="39"/>
      <c r="C9" s="382">
        <f>SUM(C10:C18)</f>
        <v>166</v>
      </c>
      <c r="D9" s="382">
        <f>SUM(D10:D18)</f>
        <v>166</v>
      </c>
      <c r="E9" s="383">
        <f>(C9-D9)/D9</f>
        <v>0</v>
      </c>
      <c r="F9" s="382">
        <f>SUM(F10:F18)</f>
        <v>392</v>
      </c>
      <c r="G9" s="382">
        <f>SUM(G10:G18)</f>
        <v>418</v>
      </c>
      <c r="H9" s="384">
        <f>(F9-G9)/G9</f>
        <v>-6.2200956937799042E-2</v>
      </c>
      <c r="I9" s="383">
        <f t="shared" ref="I9:I18" si="0">+F9/$F$34</f>
        <v>0.11155378486055777</v>
      </c>
      <c r="J9" s="258" t="s">
        <v>209</v>
      </c>
      <c r="K9" s="39"/>
      <c r="L9" s="382">
        <f>SUM(L10:L18)</f>
        <v>1616511</v>
      </c>
      <c r="M9" s="382">
        <f>SUM(M10:M18)</f>
        <v>1810589</v>
      </c>
      <c r="N9" s="383">
        <f t="shared" ref="N9:N18" si="1">(L9-M9)/M9</f>
        <v>-0.10719053302544089</v>
      </c>
      <c r="O9" s="382">
        <f>SUM(O10:O18)</f>
        <v>4147700</v>
      </c>
      <c r="P9" s="382">
        <f>SUM(P10:P18)</f>
        <v>4545492</v>
      </c>
      <c r="Q9" s="384">
        <f t="shared" ref="Q9:Q18" si="2">(O9-P9)/P9</f>
        <v>-8.7513518888604355E-2</v>
      </c>
      <c r="R9" s="383">
        <f t="shared" ref="R9:R18" si="3">O9/$O$34</f>
        <v>4.584811783234892E-2</v>
      </c>
      <c r="T9" s="391"/>
    </row>
    <row r="10" spans="1:20" ht="14.1" customHeight="1" x14ac:dyDescent="0.2">
      <c r="A10" s="258"/>
      <c r="B10" s="318" t="s">
        <v>210</v>
      </c>
      <c r="C10" s="322">
        <f>+[3]Airborne!$IH$19</f>
        <v>0</v>
      </c>
      <c r="D10" s="217">
        <f>+[3]Airborne!$HT$19</f>
        <v>6</v>
      </c>
      <c r="E10" s="324">
        <f>(C10-D10)/D10</f>
        <v>-1</v>
      </c>
      <c r="F10" s="322">
        <f>+SUM([3]Airborne!$IF$19:$IH$19)</f>
        <v>12</v>
      </c>
      <c r="G10" s="217">
        <f>+SUM([3]Airborne!$HR$19:$HT$19)</f>
        <v>6</v>
      </c>
      <c r="H10" s="323">
        <f>(F10-G10)/G10</f>
        <v>1</v>
      </c>
      <c r="I10" s="324">
        <f t="shared" si="0"/>
        <v>3.4149117814456461E-3</v>
      </c>
      <c r="J10" s="258"/>
      <c r="K10" s="318" t="s">
        <v>210</v>
      </c>
      <c r="L10" s="322">
        <f>+[3]Airborne!$IH$64</f>
        <v>0</v>
      </c>
      <c r="M10" s="217">
        <f>+[3]Airborne!$HT$64</f>
        <v>169434</v>
      </c>
      <c r="N10" s="324">
        <f t="shared" si="1"/>
        <v>-1</v>
      </c>
      <c r="O10" s="322">
        <f>+SUM([3]Airborne!$IF$64:$IH$64)</f>
        <v>273646</v>
      </c>
      <c r="P10" s="217">
        <f>+SUM([3]Airborne!$HR$64:$HT$64)</f>
        <v>169434</v>
      </c>
      <c r="Q10" s="323">
        <f t="shared" si="2"/>
        <v>0.61505955121168121</v>
      </c>
      <c r="R10" s="324">
        <f t="shared" si="3"/>
        <v>3.0248460718834418E-3</v>
      </c>
      <c r="T10" s="391">
        <f>+L10-Cargo!D33</f>
        <v>0</v>
      </c>
    </row>
    <row r="11" spans="1:20" ht="14.1" customHeight="1" x14ac:dyDescent="0.2">
      <c r="A11" s="258"/>
      <c r="B11" s="39" t="s">
        <v>208</v>
      </c>
      <c r="C11" s="322">
        <f>+[3]DHL_Atlas!$IH$19</f>
        <v>0</v>
      </c>
      <c r="D11" s="217">
        <f>+[3]DHL_Atlas!$HT$19</f>
        <v>0</v>
      </c>
      <c r="E11" s="324" t="e">
        <f t="shared" ref="E11:E18" si="4">(C11-D11)/D11</f>
        <v>#DIV/0!</v>
      </c>
      <c r="F11" s="322">
        <f>+SUM([3]DHL_Atlas!$IF$19:$IH$19)</f>
        <v>0</v>
      </c>
      <c r="G11" s="217">
        <f>+SUM([3]DHL_Atlas!$HR$19:$HT$19)</f>
        <v>0</v>
      </c>
      <c r="H11" s="323" t="e">
        <f t="shared" ref="H11:H18" si="5">(F11-G11)/G11</f>
        <v>#DIV/0!</v>
      </c>
      <c r="I11" s="324">
        <f t="shared" si="0"/>
        <v>0</v>
      </c>
      <c r="J11" s="258"/>
      <c r="K11" s="39" t="s">
        <v>208</v>
      </c>
      <c r="L11" s="322">
        <f>+[3]DHL_Atlas!$IH$64</f>
        <v>0</v>
      </c>
      <c r="M11" s="217">
        <f>+[3]DHL_Atlas!$HT$64</f>
        <v>0</v>
      </c>
      <c r="N11" s="324" t="e">
        <f t="shared" si="1"/>
        <v>#DIV/0!</v>
      </c>
      <c r="O11" s="322">
        <f>+SUM([3]DHL_Atlas!$IF$64:$IH$64)</f>
        <v>0</v>
      </c>
      <c r="P11" s="217">
        <f>+SUM([3]DHL_Atlas!$HR$64:$HT$64)</f>
        <v>0</v>
      </c>
      <c r="Q11" s="323" t="e">
        <f t="shared" si="2"/>
        <v>#DIV/0!</v>
      </c>
      <c r="R11" s="324">
        <f t="shared" si="3"/>
        <v>0</v>
      </c>
      <c r="T11" s="391"/>
    </row>
    <row r="12" spans="1:20" ht="14.1" customHeight="1" x14ac:dyDescent="0.2">
      <c r="A12" s="258"/>
      <c r="B12" s="39" t="s">
        <v>211</v>
      </c>
      <c r="C12" s="322">
        <f>+[3]DHL!$IH$19</f>
        <v>0</v>
      </c>
      <c r="D12" s="217">
        <f>+[3]DHL!$HT$19</f>
        <v>0</v>
      </c>
      <c r="E12" s="324" t="e">
        <f t="shared" si="4"/>
        <v>#DIV/0!</v>
      </c>
      <c r="F12" s="322">
        <f>+SUM([3]DHL!$IF$19:$IH$19)</f>
        <v>2</v>
      </c>
      <c r="G12" s="217">
        <f>+SUM([3]DHL!$HR$19:$HT$19)</f>
        <v>0</v>
      </c>
      <c r="H12" s="323" t="e">
        <f t="shared" si="5"/>
        <v>#DIV/0!</v>
      </c>
      <c r="I12" s="324">
        <f t="shared" si="0"/>
        <v>5.6915196357427435E-4</v>
      </c>
      <c r="J12" s="258"/>
      <c r="K12" s="39" t="s">
        <v>211</v>
      </c>
      <c r="L12" s="322">
        <f>+[3]DHL!$IH$64</f>
        <v>0</v>
      </c>
      <c r="M12" s="217">
        <f>+[3]DHL!$HT$64</f>
        <v>0</v>
      </c>
      <c r="N12" s="324" t="e">
        <f t="shared" si="1"/>
        <v>#DIV/0!</v>
      </c>
      <c r="O12" s="322">
        <f>+SUM([3]DHL!$IF$64:$IH$64)</f>
        <v>51951</v>
      </c>
      <c r="P12" s="217">
        <f>+SUM([3]DHL!$HR$64:$HT$64)</f>
        <v>0</v>
      </c>
      <c r="Q12" s="323" t="e">
        <f t="shared" si="2"/>
        <v>#DIV/0!</v>
      </c>
      <c r="R12" s="324">
        <f t="shared" si="3"/>
        <v>5.7425936531291049E-4</v>
      </c>
      <c r="T12" s="391"/>
    </row>
    <row r="13" spans="1:20" ht="14.1" customHeight="1" x14ac:dyDescent="0.2">
      <c r="A13" s="258"/>
      <c r="B13" s="318" t="s">
        <v>83</v>
      </c>
      <c r="C13" s="322">
        <f>+[3]DHL_Bemidji!$IH$19</f>
        <v>76</v>
      </c>
      <c r="D13" s="217">
        <f>+[3]DHL_Bemidji!$HT$19</f>
        <v>90</v>
      </c>
      <c r="E13" s="324">
        <f>(C13-D13)/D13</f>
        <v>-0.15555555555555556</v>
      </c>
      <c r="F13" s="322">
        <f>+SUM([3]DHL_Bemidji!$IF$19:$IH$19)</f>
        <v>198</v>
      </c>
      <c r="G13" s="217">
        <f>+SUM([3]DHL_Bemidji!$HR$19:$HT$19)</f>
        <v>230</v>
      </c>
      <c r="H13" s="323">
        <f t="shared" si="5"/>
        <v>-0.1391304347826087</v>
      </c>
      <c r="I13" s="324">
        <f t="shared" si="0"/>
        <v>5.6346044393853156E-2</v>
      </c>
      <c r="J13" s="258"/>
      <c r="K13" s="318" t="s">
        <v>83</v>
      </c>
      <c r="L13" s="322">
        <f>+[3]DHL_Bemidji!$IH$64</f>
        <v>107058</v>
      </c>
      <c r="M13" s="217">
        <f>+[3]DHL_Bemidji!$HT$64</f>
        <v>132717</v>
      </c>
      <c r="N13" s="324">
        <f t="shared" ref="N13" si="6">(L13-M13)/M13</f>
        <v>-0.19333619656863854</v>
      </c>
      <c r="O13" s="322">
        <f>+SUM([3]DHL_Bemidji!$IF$64:$IH$64)</f>
        <v>273182</v>
      </c>
      <c r="P13" s="217">
        <f>+SUM([3]DHL_Bemidji!$HR$64:$HT$64)</f>
        <v>339025</v>
      </c>
      <c r="Q13" s="323">
        <f t="shared" ref="Q13" si="7">(O13-P13)/P13</f>
        <v>-0.19421281616399971</v>
      </c>
      <c r="R13" s="324">
        <f t="shared" si="3"/>
        <v>3.0197170783028528E-3</v>
      </c>
      <c r="T13" s="391"/>
    </row>
    <row r="14" spans="1:20" ht="14.1" customHeight="1" x14ac:dyDescent="0.2">
      <c r="A14" s="258"/>
      <c r="B14" s="39" t="s">
        <v>199</v>
      </c>
      <c r="C14" s="322">
        <f>+[3]Encore!$IH$19+[3]DHL_Encore!$IH$12</f>
        <v>0</v>
      </c>
      <c r="D14" s="217">
        <f>+[3]Encore!$HT$19+[3]DHL_Encore!$HT$19</f>
        <v>0</v>
      </c>
      <c r="E14" s="324" t="e">
        <f t="shared" si="4"/>
        <v>#DIV/0!</v>
      </c>
      <c r="F14" s="322">
        <f>+SUM([3]Encore!$IF$19:$IH$19)+SUM([3]DHL_Encore!$IF$19:$IH$19)</f>
        <v>0</v>
      </c>
      <c r="G14" s="217">
        <f>+SUM([3]Encore!$HR$19:$HT$19)+SUM([3]DHL_Encore!$HR$19:$HT$19)</f>
        <v>0</v>
      </c>
      <c r="H14" s="323" t="e">
        <f t="shared" si="5"/>
        <v>#DIV/0!</v>
      </c>
      <c r="I14" s="324">
        <f t="shared" si="0"/>
        <v>0</v>
      </c>
      <c r="J14" s="258"/>
      <c r="K14" s="39" t="s">
        <v>199</v>
      </c>
      <c r="L14" s="322">
        <f>+[3]Encore!$IH$64+[3]DHL_Encore!$IH$64</f>
        <v>0</v>
      </c>
      <c r="M14" s="217">
        <f>+[3]Encore!$HT$64+[3]DHL_Encore!$HT$64</f>
        <v>0</v>
      </c>
      <c r="N14" s="324" t="e">
        <f t="shared" si="1"/>
        <v>#DIV/0!</v>
      </c>
      <c r="O14" s="322">
        <f>+SUM([3]Encore!$IF$64:$IH$64)+SUM([3]DHL_Encore!$IF$64:$IH$64)</f>
        <v>0</v>
      </c>
      <c r="P14" s="217">
        <f>+SUM([3]Encore!$HR$64:$HT$64)+SUM([3]DHL_Encore!$HR$64:$HT$64)</f>
        <v>0</v>
      </c>
      <c r="Q14" s="323" t="e">
        <f t="shared" si="2"/>
        <v>#DIV/0!</v>
      </c>
      <c r="R14" s="324">
        <f t="shared" si="3"/>
        <v>0</v>
      </c>
      <c r="T14" s="391"/>
    </row>
    <row r="15" spans="1:20" ht="14.1" customHeight="1" x14ac:dyDescent="0.2">
      <c r="A15" s="258"/>
      <c r="B15" s="39" t="s">
        <v>212</v>
      </c>
      <c r="C15" s="322">
        <f>+[3]DHL_Kalitta!$IH$19</f>
        <v>0</v>
      </c>
      <c r="D15" s="217">
        <f>+[3]DHL_Kalitta!$HT$19</f>
        <v>0</v>
      </c>
      <c r="E15" s="324" t="e">
        <f t="shared" si="4"/>
        <v>#DIV/0!</v>
      </c>
      <c r="F15" s="322">
        <f>+SUM([3]DHL_Kalitta!$IF$19:$IH$19)</f>
        <v>0</v>
      </c>
      <c r="G15" s="217">
        <f>+SUM([3]DHL_Kalitta!$HR$19:$HT$19)</f>
        <v>2</v>
      </c>
      <c r="H15" s="323">
        <f t="shared" si="5"/>
        <v>-1</v>
      </c>
      <c r="I15" s="324">
        <f t="shared" si="0"/>
        <v>0</v>
      </c>
      <c r="J15" s="258"/>
      <c r="K15" s="39" t="s">
        <v>212</v>
      </c>
      <c r="L15" s="322">
        <f>+[3]DHL_Kalitta!$IH$64</f>
        <v>0</v>
      </c>
      <c r="M15" s="217">
        <f>+[3]DHL_Kalitta!$HT$64</f>
        <v>0</v>
      </c>
      <c r="N15" s="324" t="e">
        <f t="shared" si="1"/>
        <v>#DIV/0!</v>
      </c>
      <c r="O15" s="322">
        <f>+SUM([3]DHL_Kalitta!$IF$64:$IH$64)</f>
        <v>0</v>
      </c>
      <c r="P15" s="217">
        <f>+SUM([3]DHL_Kalitta!$HR$64:$HT$64)</f>
        <v>43161</v>
      </c>
      <c r="Q15" s="323">
        <f t="shared" si="2"/>
        <v>-1</v>
      </c>
      <c r="R15" s="324">
        <f t="shared" si="3"/>
        <v>0</v>
      </c>
      <c r="T15" s="391"/>
    </row>
    <row r="16" spans="1:20" ht="14.1" customHeight="1" x14ac:dyDescent="0.2">
      <c r="A16" s="258"/>
      <c r="B16" s="39" t="s">
        <v>51</v>
      </c>
      <c r="C16" s="322">
        <f>+[3]DHL_Mesa!$IH$19</f>
        <v>82</v>
      </c>
      <c r="D16" s="217">
        <f>+[3]DHL_Mesa!$HT$19</f>
        <v>0</v>
      </c>
      <c r="E16" s="324" t="e">
        <f t="shared" ref="E16" si="8">(C16-D16)/D16</f>
        <v>#DIV/0!</v>
      </c>
      <c r="F16" s="322">
        <f>+SUM([3]DHL_Mesa!$IF$19:$IH$19)</f>
        <v>100</v>
      </c>
      <c r="G16" s="217">
        <f>+SUM([3]DHL_Mesa!$HR$19:$HT$19)</f>
        <v>0</v>
      </c>
      <c r="H16" s="323" t="e">
        <f t="shared" ref="H16" si="9">(F16-G16)/G16</f>
        <v>#DIV/0!</v>
      </c>
      <c r="I16" s="324">
        <f t="shared" ref="I16" si="10">+F16/$F$34</f>
        <v>2.8457598178713718E-2</v>
      </c>
      <c r="J16" s="258"/>
      <c r="K16" s="39" t="s">
        <v>51</v>
      </c>
      <c r="L16" s="322">
        <f>+[3]DHL_Mesa!$IH$64</f>
        <v>1370272</v>
      </c>
      <c r="M16" s="217">
        <f>+[3]DHL_Mesa!$HT$64</f>
        <v>0</v>
      </c>
      <c r="N16" s="324" t="e">
        <f t="shared" ref="N16" si="11">(L16-M16)/M16</f>
        <v>#DIV/0!</v>
      </c>
      <c r="O16" s="322">
        <f>+SUM([3]DHL_Mesa!$IF$64:$IH$64)</f>
        <v>1678863</v>
      </c>
      <c r="P16" s="217">
        <f>+SUM([3]DHL_Mesa!$HR$64:$HT$64)</f>
        <v>0</v>
      </c>
      <c r="Q16" s="323" t="e">
        <f t="shared" ref="Q16" si="12">(O16-P16)/P16</f>
        <v>#DIV/0!</v>
      </c>
      <c r="R16" s="324">
        <f t="shared" ref="R16" si="13">O16/$O$34</f>
        <v>1.855792575363956E-2</v>
      </c>
      <c r="T16" s="391"/>
    </row>
    <row r="17" spans="1:20" x14ac:dyDescent="0.2">
      <c r="A17" s="258"/>
      <c r="B17" s="39" t="s">
        <v>245</v>
      </c>
      <c r="C17" s="322">
        <f>+[3]DHL_Amerijet!$IH$19</f>
        <v>0</v>
      </c>
      <c r="D17" s="217">
        <f>+[3]DHL_Amerijet!$HT$19</f>
        <v>0</v>
      </c>
      <c r="E17" s="324" t="e">
        <f t="shared" si="4"/>
        <v>#DIV/0!</v>
      </c>
      <c r="F17" s="322">
        <f>+SUM([3]DHL_Amerijet!$IF$19:$IH$19)</f>
        <v>54</v>
      </c>
      <c r="G17" s="217">
        <f>+SUM([3]DHL_Amerijet!$HR$19:$HT$19)</f>
        <v>0</v>
      </c>
      <c r="H17" s="323" t="e">
        <f t="shared" si="5"/>
        <v>#DIV/0!</v>
      </c>
      <c r="I17" s="324">
        <f t="shared" si="0"/>
        <v>1.5367103016505406E-2</v>
      </c>
      <c r="J17" s="258"/>
      <c r="K17" s="39" t="s">
        <v>245</v>
      </c>
      <c r="L17" s="322">
        <f>+[3]DHL_Amerijet!$IH$64</f>
        <v>0</v>
      </c>
      <c r="M17" s="217">
        <f>+[3]DHL_Amerijet!$HT$64</f>
        <v>0</v>
      </c>
      <c r="N17" s="324" t="e">
        <f t="shared" si="1"/>
        <v>#DIV/0!</v>
      </c>
      <c r="O17" s="322">
        <f>+SUM([3]DHL_Amerijet!$IF$64:$IH$64)</f>
        <v>1487861</v>
      </c>
      <c r="P17" s="217">
        <f>+SUM([3]DHL_Amerijet!$HR$64:$HT$64)</f>
        <v>0</v>
      </c>
      <c r="Q17" s="323" t="e">
        <f t="shared" si="2"/>
        <v>#DIV/0!</v>
      </c>
      <c r="R17" s="324">
        <f t="shared" si="3"/>
        <v>1.6446615340105719E-2</v>
      </c>
      <c r="T17" s="391"/>
    </row>
    <row r="18" spans="1:20" ht="14.1" customHeight="1" x14ac:dyDescent="0.2">
      <c r="A18" s="258"/>
      <c r="B18" s="39" t="s">
        <v>213</v>
      </c>
      <c r="C18" s="322">
        <f>+[3]DHL_Swift!$IH$19</f>
        <v>8</v>
      </c>
      <c r="D18" s="217">
        <f>+[3]DHL_Swift!$HT$19</f>
        <v>70</v>
      </c>
      <c r="E18" s="324">
        <f t="shared" si="4"/>
        <v>-0.88571428571428568</v>
      </c>
      <c r="F18" s="322">
        <f>+SUM([3]DHL_Swift!$IF$19:$IH$19)</f>
        <v>26</v>
      </c>
      <c r="G18" s="217">
        <f>+SUM([3]DHL_Swift!$HR$19:$HT$19)</f>
        <v>180</v>
      </c>
      <c r="H18" s="323">
        <f t="shared" si="5"/>
        <v>-0.85555555555555551</v>
      </c>
      <c r="I18" s="324">
        <f t="shared" si="0"/>
        <v>7.3989755264655659E-3</v>
      </c>
      <c r="J18" s="258"/>
      <c r="K18" s="39" t="s">
        <v>213</v>
      </c>
      <c r="L18" s="322">
        <f>+[3]DHL_Swift!$IH$64</f>
        <v>139181</v>
      </c>
      <c r="M18" s="217">
        <f>+[3]DHL_Swift!$HT$64</f>
        <v>1508438</v>
      </c>
      <c r="N18" s="324">
        <f t="shared" si="1"/>
        <v>-0.90773170657328972</v>
      </c>
      <c r="O18" s="322">
        <f>+SUM([3]DHL_Swift!$IF$64:$IH$64)</f>
        <v>382197</v>
      </c>
      <c r="P18" s="217">
        <f>+SUM([3]DHL_Swift!$HR$64:$HT$64)</f>
        <v>3993872</v>
      </c>
      <c r="Q18" s="323">
        <f t="shared" si="2"/>
        <v>-0.90430414394852909</v>
      </c>
      <c r="R18" s="324">
        <f t="shared" si="3"/>
        <v>4.2247542231044341E-3</v>
      </c>
      <c r="T18" s="391"/>
    </row>
    <row r="19" spans="1:20" ht="14.1" customHeight="1" x14ac:dyDescent="0.2">
      <c r="A19" s="258"/>
      <c r="B19" s="39"/>
      <c r="C19" s="259"/>
      <c r="D19" s="261"/>
      <c r="E19" s="262"/>
      <c r="F19" s="259"/>
      <c r="G19" s="261"/>
      <c r="H19" s="260"/>
      <c r="I19" s="262"/>
      <c r="J19" s="258"/>
      <c r="K19" s="39"/>
      <c r="L19" s="263"/>
      <c r="M19" s="2"/>
      <c r="N19" s="65"/>
      <c r="O19" s="263"/>
      <c r="P19" s="261"/>
      <c r="Q19" s="3"/>
      <c r="R19" s="65"/>
      <c r="T19" s="391"/>
    </row>
    <row r="20" spans="1:20" ht="14.1" customHeight="1" x14ac:dyDescent="0.2">
      <c r="A20" s="258" t="s">
        <v>184</v>
      </c>
      <c r="B20" s="39"/>
      <c r="C20" s="386">
        <f>SUM(C21:C24)</f>
        <v>302</v>
      </c>
      <c r="D20" s="382">
        <f>SUM(D21:D24)</f>
        <v>372</v>
      </c>
      <c r="E20" s="383">
        <f>(C20-D20)/D20</f>
        <v>-0.18817204301075269</v>
      </c>
      <c r="F20" s="386">
        <f>SUM(F21:F24)</f>
        <v>788</v>
      </c>
      <c r="G20" s="382">
        <f>SUM(G21:G24)</f>
        <v>974</v>
      </c>
      <c r="H20" s="384">
        <f t="shared" ref="H20:H21" si="14">(F20-G20)/G20</f>
        <v>-0.19096509240246407</v>
      </c>
      <c r="I20" s="383">
        <f>+F20/$F$34</f>
        <v>0.22424587364826409</v>
      </c>
      <c r="J20" s="258" t="s">
        <v>184</v>
      </c>
      <c r="K20" s="39"/>
      <c r="L20" s="386">
        <f>SUM(L21:L24)</f>
        <v>13953408</v>
      </c>
      <c r="M20" s="382">
        <f>SUM(M21:M24)</f>
        <v>16596537</v>
      </c>
      <c r="N20" s="383">
        <f>(L20-M20)/M20</f>
        <v>-0.15925786204676312</v>
      </c>
      <c r="O20" s="386">
        <f>SUM(O21:O24)</f>
        <v>37707595</v>
      </c>
      <c r="P20" s="382">
        <f>SUM(P21:P24)</f>
        <v>43519483</v>
      </c>
      <c r="Q20" s="384">
        <f t="shared" ref="Q20:Q22" si="15">(O20-P20)/P20</f>
        <v>-0.1335468070702954</v>
      </c>
      <c r="R20" s="383">
        <f>O20/$O$34</f>
        <v>0.41681468253115966</v>
      </c>
      <c r="T20" s="391"/>
    </row>
    <row r="21" spans="1:20" ht="14.1" customHeight="1" x14ac:dyDescent="0.2">
      <c r="A21" s="37"/>
      <c r="B21" s="318" t="s">
        <v>184</v>
      </c>
      <c r="C21" s="322">
        <f>+[3]FedEx!$IH$19</f>
        <v>222</v>
      </c>
      <c r="D21" s="217">
        <f>+[3]FedEx!$HT$19</f>
        <v>290</v>
      </c>
      <c r="E21" s="324">
        <f>(C21-D21)/D21</f>
        <v>-0.23448275862068965</v>
      </c>
      <c r="F21" s="322">
        <f>+SUM([3]FedEx!$IF$19:$IH$19)</f>
        <v>588</v>
      </c>
      <c r="G21" s="217">
        <f>+SUM([3]FedEx!$HR$19:$HT$19)</f>
        <v>774</v>
      </c>
      <c r="H21" s="323">
        <f t="shared" si="14"/>
        <v>-0.24031007751937986</v>
      </c>
      <c r="I21" s="324">
        <f>+F21/$F$34</f>
        <v>0.16733067729083664</v>
      </c>
      <c r="J21" s="258"/>
      <c r="K21" s="318" t="s">
        <v>184</v>
      </c>
      <c r="L21" s="322">
        <f>+[3]FedEx!$IH$64</f>
        <v>13732394</v>
      </c>
      <c r="M21" s="217">
        <f>+[3]FedEx!$HT$64</f>
        <v>16384794</v>
      </c>
      <c r="N21" s="324">
        <f>(L21-M21)/M21</f>
        <v>-0.16188180333545849</v>
      </c>
      <c r="O21" s="322">
        <f>+SUM([3]FedEx!$IF$64:$IH$64)</f>
        <v>37116089</v>
      </c>
      <c r="P21" s="217">
        <f>+SUM([3]FedEx!$HR$64:$HT$64)</f>
        <v>42994656</v>
      </c>
      <c r="Q21" s="323">
        <f t="shared" si="15"/>
        <v>-0.13672785287548295</v>
      </c>
      <c r="R21" s="324">
        <f>O21/$O$34</f>
        <v>0.41027625477926311</v>
      </c>
      <c r="T21" s="391"/>
    </row>
    <row r="22" spans="1:20" ht="14.1" customHeight="1" x14ac:dyDescent="0.2">
      <c r="A22" s="37"/>
      <c r="B22" s="318" t="s">
        <v>214</v>
      </c>
      <c r="C22" s="322">
        <f>+'[3]Mountain Cargo'!$IH$19</f>
        <v>46</v>
      </c>
      <c r="D22" s="217">
        <f>+'[3]Mountain Cargo'!$HT$19</f>
        <v>44</v>
      </c>
      <c r="E22" s="324">
        <f>(C22-D22)/D22</f>
        <v>4.5454545454545456E-2</v>
      </c>
      <c r="F22" s="322">
        <f>+SUM('[3]Mountain Cargo'!$IF$19:$IH$19)</f>
        <v>120</v>
      </c>
      <c r="G22" s="217">
        <f>+SUM('[3]Mountain Cargo'!$HR$19:$HT$19)</f>
        <v>118</v>
      </c>
      <c r="H22" s="323">
        <f>(F22-G22)/G22</f>
        <v>1.6949152542372881E-2</v>
      </c>
      <c r="I22" s="324">
        <f>+F22/$F$34</f>
        <v>3.414911781445646E-2</v>
      </c>
      <c r="J22" s="363"/>
      <c r="K22" s="318" t="s">
        <v>214</v>
      </c>
      <c r="L22" s="322">
        <f>+'[3]Mountain Cargo'!$IH$64</f>
        <v>156241</v>
      </c>
      <c r="M22" s="217">
        <f>+'[3]Mountain Cargo'!$HT$64</f>
        <v>139285</v>
      </c>
      <c r="N22" s="324">
        <f>(L22-M22)/M22</f>
        <v>0.12173600890260976</v>
      </c>
      <c r="O22" s="322">
        <f>+SUM('[3]Mountain Cargo'!$IF$64:$IH$64)</f>
        <v>415355</v>
      </c>
      <c r="P22" s="217">
        <f>+SUM('[3]Mountain Cargo'!$HR$64:$HT$64)</f>
        <v>376202</v>
      </c>
      <c r="Q22" s="323">
        <f t="shared" si="15"/>
        <v>0.10407440683462608</v>
      </c>
      <c r="R22" s="324">
        <f>O22/$O$34</f>
        <v>4.5912782945380058E-3</v>
      </c>
      <c r="T22" s="391"/>
    </row>
    <row r="23" spans="1:20" ht="14.1" customHeight="1" x14ac:dyDescent="0.2">
      <c r="A23" s="37"/>
      <c r="B23" s="318" t="s">
        <v>176</v>
      </c>
      <c r="C23" s="322">
        <f>+[3]IFL!$IH$19</f>
        <v>34</v>
      </c>
      <c r="D23" s="217">
        <f>+[3]IFL!$HT$19</f>
        <v>38</v>
      </c>
      <c r="E23" s="324">
        <f>(C23-D23)/D23</f>
        <v>-0.10526315789473684</v>
      </c>
      <c r="F23" s="322">
        <f>+SUM([3]IFL!$IF$19:$IH$19)</f>
        <v>80</v>
      </c>
      <c r="G23" s="217">
        <f>+SUM([3]IFL!$HR$19:$HT$19)</f>
        <v>82</v>
      </c>
      <c r="H23" s="323">
        <f>(F23-G23)/G23</f>
        <v>-2.4390243902439025E-2</v>
      </c>
      <c r="I23" s="324">
        <f>+F23/$F$34</f>
        <v>2.2766078542970972E-2</v>
      </c>
      <c r="J23" s="363"/>
      <c r="K23" s="318" t="s">
        <v>176</v>
      </c>
      <c r="L23" s="322">
        <f>+[3]IFL!$IH$64</f>
        <v>64773</v>
      </c>
      <c r="M23" s="217">
        <f>+[3]IFL!$HT$64</f>
        <v>72458</v>
      </c>
      <c r="N23" s="324">
        <f>(L23-M23)/M23</f>
        <v>-0.10606144249082226</v>
      </c>
      <c r="O23" s="322">
        <f>+SUM([3]IFL!$IF$64:$IH$64)</f>
        <v>176151</v>
      </c>
      <c r="P23" s="217">
        <f>+SUM([3]IFL!$HR$64:$HT$64)</f>
        <v>148625</v>
      </c>
      <c r="Q23" s="323">
        <f>(O23-P23)/P23</f>
        <v>0.18520437342304458</v>
      </c>
      <c r="R23" s="324">
        <f>O23/$O$34</f>
        <v>1.9471494573585588E-3</v>
      </c>
      <c r="T23" s="391"/>
    </row>
    <row r="24" spans="1:20" ht="14.1" customHeight="1" x14ac:dyDescent="0.2">
      <c r="A24" s="258"/>
      <c r="B24" s="318" t="s">
        <v>84</v>
      </c>
      <c r="C24" s="322">
        <f>+'[3]CSA Air'!$IH$19</f>
        <v>0</v>
      </c>
      <c r="D24" s="217">
        <f>+'[3]CSA Air'!$HT$19</f>
        <v>0</v>
      </c>
      <c r="E24" s="324" t="e">
        <f>(C24-D24)/D24</f>
        <v>#DIV/0!</v>
      </c>
      <c r="F24" s="322">
        <f>+SUM('[3]CSA Air'!$IF$19:$IH$19)</f>
        <v>0</v>
      </c>
      <c r="G24" s="217">
        <f>+SUM('[3]CSA Air'!$HR$19:$HT$19)</f>
        <v>0</v>
      </c>
      <c r="H24" s="323" t="e">
        <f t="shared" ref="H24" si="16">(F24-G24)/G24</f>
        <v>#DIV/0!</v>
      </c>
      <c r="I24" s="324">
        <f>+F24/$F$34</f>
        <v>0</v>
      </c>
      <c r="J24" s="258"/>
      <c r="K24" s="318" t="s">
        <v>84</v>
      </c>
      <c r="L24" s="322">
        <f>+'[3]CSA Air'!$IH$64</f>
        <v>0</v>
      </c>
      <c r="M24" s="217">
        <f>+'[3]CSA Air'!$HT$64</f>
        <v>0</v>
      </c>
      <c r="N24" s="324" t="e">
        <f>(L24-M24)/M24</f>
        <v>#DIV/0!</v>
      </c>
      <c r="O24" s="322">
        <f>+SUM('[3]CSA Air'!$IF$64:$IH$64)</f>
        <v>0</v>
      </c>
      <c r="P24" s="217">
        <f>+SUM('[3]CSA Air'!$HR$64:$HT$64)</f>
        <v>0</v>
      </c>
      <c r="Q24" s="323" t="e">
        <f t="shared" ref="Q24" si="17">(O24-P24)/P24</f>
        <v>#DIV/0!</v>
      </c>
      <c r="R24" s="324">
        <f>O24/$O$34</f>
        <v>0</v>
      </c>
      <c r="T24" s="391"/>
    </row>
    <row r="25" spans="1:20" ht="14.1" customHeight="1" x14ac:dyDescent="0.2">
      <c r="A25" s="258"/>
      <c r="B25" s="39"/>
      <c r="C25" s="259"/>
      <c r="D25" s="261"/>
      <c r="E25" s="262"/>
      <c r="F25" s="259"/>
      <c r="G25" s="261"/>
      <c r="H25" s="260"/>
      <c r="I25" s="262"/>
      <c r="J25" s="258"/>
      <c r="K25" s="39"/>
      <c r="L25" s="263"/>
      <c r="M25" s="2"/>
      <c r="N25" s="65"/>
      <c r="O25" s="263"/>
      <c r="P25" s="2"/>
      <c r="Q25" s="3"/>
      <c r="R25" s="65"/>
      <c r="S25" s="247"/>
      <c r="T25" s="391"/>
    </row>
    <row r="26" spans="1:20" ht="14.1" customHeight="1" x14ac:dyDescent="0.2">
      <c r="A26" s="258" t="s">
        <v>82</v>
      </c>
      <c r="B26" s="39"/>
      <c r="C26" s="382">
        <f>SUM(C27:C28)</f>
        <v>660</v>
      </c>
      <c r="D26" s="382">
        <f>SUM(D27:D28)</f>
        <v>725</v>
      </c>
      <c r="E26" s="383">
        <f>(C26-D26)/D26</f>
        <v>-8.9655172413793102E-2</v>
      </c>
      <c r="F26" s="382">
        <f>SUM(F27:F28)</f>
        <v>1804</v>
      </c>
      <c r="G26" s="382">
        <f>SUM(G27:G28)</f>
        <v>2029</v>
      </c>
      <c r="H26" s="384">
        <f>(F26-G26)/G26</f>
        <v>-0.11089206505667816</v>
      </c>
      <c r="I26" s="383">
        <f>+F26/$F$34</f>
        <v>0.5133750711439955</v>
      </c>
      <c r="J26" s="258" t="s">
        <v>82</v>
      </c>
      <c r="K26" s="39"/>
      <c r="L26" s="382">
        <f>SUM(L27:L28)</f>
        <v>11811777</v>
      </c>
      <c r="M26" s="382">
        <f>SUM(M27:M28)</f>
        <v>14118023</v>
      </c>
      <c r="N26" s="383">
        <f>(L26-M26)/M26</f>
        <v>-0.16335474166602504</v>
      </c>
      <c r="O26" s="382">
        <f>SUM(O27:O28)</f>
        <v>31541580</v>
      </c>
      <c r="P26" s="382">
        <f>SUM(P27:P28)</f>
        <v>37716675</v>
      </c>
      <c r="Q26" s="384">
        <f>(O26-P26)/P26</f>
        <v>-0.16372320730817339</v>
      </c>
      <c r="R26" s="383">
        <f>O26/$O$34</f>
        <v>0.34865638220181305</v>
      </c>
      <c r="S26" s="340"/>
      <c r="T26" s="393"/>
    </row>
    <row r="27" spans="1:20" ht="14.1" customHeight="1" x14ac:dyDescent="0.2">
      <c r="A27" s="258"/>
      <c r="B27" s="318" t="s">
        <v>82</v>
      </c>
      <c r="C27" s="322">
        <f>+[3]UPS!$IH$19</f>
        <v>272</v>
      </c>
      <c r="D27" s="217">
        <f>+[3]UPS!$HT$19</f>
        <v>315</v>
      </c>
      <c r="E27" s="324">
        <f>(C27-D27)/D27</f>
        <v>-0.13650793650793649</v>
      </c>
      <c r="F27" s="322">
        <f>+SUM([3]UPS!$IF$19:$IH$19)</f>
        <v>732</v>
      </c>
      <c r="G27" s="217">
        <f>+SUM([3]UPS!$HR$19:$HT$19)</f>
        <v>865</v>
      </c>
      <c r="H27" s="323">
        <f>(F27-G27)/G27</f>
        <v>-0.15375722543352602</v>
      </c>
      <c r="I27" s="324">
        <f>+F27/$F$34</f>
        <v>0.2083096186681844</v>
      </c>
      <c r="J27" s="258"/>
      <c r="K27" s="318" t="s">
        <v>82</v>
      </c>
      <c r="L27" s="322">
        <f>+[3]UPS!$IH$64</f>
        <v>11811777</v>
      </c>
      <c r="M27" s="217">
        <f>+[3]UPS!$HT$64</f>
        <v>14118023</v>
      </c>
      <c r="N27" s="324">
        <f>(L27-M27)/M27</f>
        <v>-0.16335474166602504</v>
      </c>
      <c r="O27" s="322">
        <f>+SUM([3]UPS!$IF$64:$IH$64)</f>
        <v>31541580</v>
      </c>
      <c r="P27" s="217">
        <f>+SUM([3]UPS!$HR$64:$HT$64)</f>
        <v>37716675</v>
      </c>
      <c r="Q27" s="323">
        <f>(O27-P27)/P27</f>
        <v>-0.16372320730817339</v>
      </c>
      <c r="R27" s="324">
        <f>O27/$O$34</f>
        <v>0.34865638220181305</v>
      </c>
      <c r="S27" s="340"/>
      <c r="T27" s="393"/>
    </row>
    <row r="28" spans="1:20" x14ac:dyDescent="0.2">
      <c r="A28" s="258"/>
      <c r="B28" s="318" t="s">
        <v>83</v>
      </c>
      <c r="C28" s="322">
        <f>+[3]Bemidji!$IH$19</f>
        <v>388</v>
      </c>
      <c r="D28" s="217">
        <f>+[3]Bemidji!$HT$19</f>
        <v>410</v>
      </c>
      <c r="E28" s="324">
        <f>(C28-D28)/D28</f>
        <v>-5.3658536585365853E-2</v>
      </c>
      <c r="F28" s="322">
        <f>+SUM([3]Bemidji!$IF$19:$IH$19)</f>
        <v>1072</v>
      </c>
      <c r="G28" s="217">
        <f>+SUM([3]Bemidji!$HR$19:$HT$19)</f>
        <v>1164</v>
      </c>
      <c r="H28" s="323">
        <f t="shared" ref="H28" si="18">(F28-G28)/G28</f>
        <v>-7.903780068728522E-2</v>
      </c>
      <c r="I28" s="324">
        <f>+F28/$F$34</f>
        <v>0.30506545247581102</v>
      </c>
      <c r="J28" s="258"/>
      <c r="K28" s="318" t="s">
        <v>83</v>
      </c>
      <c r="L28" s="460" t="s">
        <v>187</v>
      </c>
      <c r="M28" s="461"/>
      <c r="N28" s="461"/>
      <c r="O28" s="461"/>
      <c r="P28" s="461"/>
      <c r="Q28" s="461"/>
      <c r="R28" s="462"/>
      <c r="T28" s="391"/>
    </row>
    <row r="29" spans="1:20" x14ac:dyDescent="0.2">
      <c r="A29" s="37"/>
      <c r="B29" s="39"/>
      <c r="C29" s="259"/>
      <c r="D29" s="2"/>
      <c r="E29" s="65"/>
      <c r="F29" s="263"/>
      <c r="G29" s="2"/>
      <c r="H29" s="3"/>
      <c r="I29" s="65"/>
      <c r="J29" s="37"/>
      <c r="K29" s="39"/>
      <c r="L29" s="263"/>
      <c r="M29" s="2"/>
      <c r="N29" s="65"/>
      <c r="O29" s="263"/>
      <c r="P29" s="2"/>
      <c r="Q29" s="3"/>
      <c r="R29" s="65"/>
      <c r="T29" s="391"/>
    </row>
    <row r="30" spans="1:20" x14ac:dyDescent="0.2">
      <c r="A30" s="258" t="s">
        <v>127</v>
      </c>
      <c r="B30" s="39"/>
      <c r="C30" s="386">
        <f>+'[3]Misc Cargo'!$IH$19</f>
        <v>0</v>
      </c>
      <c r="D30" s="382">
        <f>+'[3]Misc Cargo'!$HT$19</f>
        <v>0</v>
      </c>
      <c r="E30" s="383" t="e">
        <f>(C30-D30)/D30</f>
        <v>#DIV/0!</v>
      </c>
      <c r="F30" s="386">
        <f>+SUM('[3]Misc Cargo'!$IF$19:$IH$19)</f>
        <v>0</v>
      </c>
      <c r="G30" s="382">
        <f>+SUM('[3]Misc Cargo'!$HR$19:$HT$19)</f>
        <v>2</v>
      </c>
      <c r="H30" s="384">
        <f>(F30-G30)/G30</f>
        <v>-1</v>
      </c>
      <c r="I30" s="383">
        <f>+F30/$F$34</f>
        <v>0</v>
      </c>
      <c r="J30" s="258" t="s">
        <v>127</v>
      </c>
      <c r="K30" s="39"/>
      <c r="L30" s="386">
        <f>+'[3]Misc Cargo'!$IH$64</f>
        <v>0</v>
      </c>
      <c r="M30" s="382">
        <f>+'[3]Misc Cargo'!$HT$64</f>
        <v>0</v>
      </c>
      <c r="N30" s="383" t="e">
        <f>(L30-M30)/M30</f>
        <v>#DIV/0!</v>
      </c>
      <c r="O30" s="386">
        <f>+SUM('[3]Misc Cargo'!$IF$64:$IH$64)</f>
        <v>0</v>
      </c>
      <c r="P30" s="382">
        <f>+SUM('[3]Misc Cargo'!$HR$64:$HT$64)</f>
        <v>0</v>
      </c>
      <c r="Q30" s="384" t="e">
        <f>(O30-P30)/P30</f>
        <v>#DIV/0!</v>
      </c>
      <c r="R30" s="383">
        <f>O30/$O$34</f>
        <v>0</v>
      </c>
      <c r="T30" s="391"/>
    </row>
    <row r="31" spans="1:20" x14ac:dyDescent="0.2">
      <c r="A31" s="37"/>
      <c r="B31" s="39"/>
      <c r="C31" s="259"/>
      <c r="D31" s="2"/>
      <c r="E31" s="65"/>
      <c r="F31" s="263"/>
      <c r="G31" s="2"/>
      <c r="H31" s="3"/>
      <c r="I31" s="65"/>
      <c r="J31" s="37"/>
      <c r="K31" s="39"/>
      <c r="L31" s="263"/>
      <c r="M31" s="2"/>
      <c r="N31" s="65"/>
      <c r="O31" s="263"/>
      <c r="P31" s="2"/>
      <c r="Q31" s="3"/>
      <c r="R31" s="65"/>
      <c r="T31" s="391"/>
    </row>
    <row r="32" spans="1:20" ht="13.5" thickBot="1" x14ac:dyDescent="0.25">
      <c r="A32" s="341"/>
      <c r="B32" s="342"/>
      <c r="C32" s="387"/>
      <c r="D32" s="388"/>
      <c r="E32" s="389"/>
      <c r="F32" s="387"/>
      <c r="G32" s="388"/>
      <c r="H32" s="390"/>
      <c r="I32" s="389"/>
      <c r="J32" s="258"/>
      <c r="K32" s="39"/>
      <c r="L32" s="267"/>
      <c r="M32" s="269"/>
      <c r="N32" s="270"/>
      <c r="O32" s="267"/>
      <c r="P32" s="269"/>
      <c r="Q32" s="268"/>
      <c r="R32" s="342"/>
      <c r="T32" s="391"/>
    </row>
    <row r="33" spans="2:20" ht="13.5" thickBot="1" x14ac:dyDescent="0.25">
      <c r="C33" s="2"/>
      <c r="D33" s="3"/>
      <c r="E33" s="3"/>
      <c r="F33" s="2"/>
      <c r="L33" s="2"/>
      <c r="T33" s="391"/>
    </row>
    <row r="34" spans="2:20" ht="15.75" thickBot="1" x14ac:dyDescent="0.3">
      <c r="B34" s="343" t="s">
        <v>185</v>
      </c>
      <c r="C34" s="344">
        <f>+C30+C26+C20+C9+C5</f>
        <v>1314</v>
      </c>
      <c r="D34" s="344">
        <f>+D30+D26+D20+D9+D5</f>
        <v>1461</v>
      </c>
      <c r="E34" s="345">
        <f>(C34-D34)/D34</f>
        <v>-0.10061601642710473</v>
      </c>
      <c r="F34" s="344">
        <f>+F30+F26+F20+F9+F5</f>
        <v>3514</v>
      </c>
      <c r="G34" s="344">
        <f>+G30+G26+G20+G9+G5</f>
        <v>3972</v>
      </c>
      <c r="H34" s="346">
        <f>(F34-G34)/G34</f>
        <v>-0.11530715005035247</v>
      </c>
      <c r="I34" s="352"/>
      <c r="K34" s="343" t="s">
        <v>185</v>
      </c>
      <c r="L34" s="344">
        <f>+L30+L26+L20+L9+L5</f>
        <v>33491166</v>
      </c>
      <c r="M34" s="344">
        <f>+M30+M26+M20+M9+M5</f>
        <v>38588303</v>
      </c>
      <c r="N34" s="347">
        <f>(L34-M34)/M34</f>
        <v>-0.13209020878684402</v>
      </c>
      <c r="O34" s="344">
        <f>+O30+O26+O20+O9+O5</f>
        <v>90466091</v>
      </c>
      <c r="P34" s="344">
        <f>+P30+P26+P20+P9+P5</f>
        <v>103731499</v>
      </c>
      <c r="Q34" s="346">
        <f t="shared" ref="Q34" si="19">(O34-P34)/P34</f>
        <v>-0.12788215853315685</v>
      </c>
      <c r="R34" s="352"/>
      <c r="T34" s="391"/>
    </row>
    <row r="35" spans="2:20" x14ac:dyDescent="0.2">
      <c r="C35" s="2"/>
      <c r="D35" s="3"/>
      <c r="E35" s="3"/>
      <c r="T35" s="391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91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5" fitToHeight="0" orientation="landscape" r:id="rId1"/>
  <headerFooter>
    <oddHeader>&amp;CMinneapolis-St. Paul International Airport&amp;"Arial,Bold"
Cargo YTD
March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Q11" activeCellId="1" sqref="Q6 Q1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396">
        <v>44986</v>
      </c>
      <c r="B1" s="326" t="s">
        <v>18</v>
      </c>
      <c r="C1" s="325" t="s">
        <v>193</v>
      </c>
      <c r="D1" s="364" t="s">
        <v>157</v>
      </c>
      <c r="E1" s="325" t="s">
        <v>163</v>
      </c>
      <c r="F1" s="325" t="s">
        <v>162</v>
      </c>
      <c r="G1" s="325" t="s">
        <v>49</v>
      </c>
      <c r="H1" s="325" t="s">
        <v>113</v>
      </c>
      <c r="I1" s="325" t="s">
        <v>192</v>
      </c>
      <c r="J1" s="325" t="s">
        <v>253</v>
      </c>
      <c r="K1" s="325" t="s">
        <v>194</v>
      </c>
      <c r="L1" s="325" t="s">
        <v>161</v>
      </c>
      <c r="M1" s="325" t="s">
        <v>201</v>
      </c>
      <c r="N1" s="325" t="s">
        <v>156</v>
      </c>
      <c r="O1" s="325" t="s">
        <v>47</v>
      </c>
      <c r="P1" s="325" t="s">
        <v>139</v>
      </c>
      <c r="Q1" s="325" t="s">
        <v>21</v>
      </c>
    </row>
    <row r="2" spans="1:17" ht="15" x14ac:dyDescent="0.25">
      <c r="A2" s="473" t="s">
        <v>140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5"/>
    </row>
    <row r="3" spans="1:17" x14ac:dyDescent="0.2">
      <c r="A3" s="45" t="s">
        <v>29</v>
      </c>
      <c r="Q3" s="39"/>
    </row>
    <row r="4" spans="1:17" x14ac:dyDescent="0.2">
      <c r="A4" s="45" t="s">
        <v>30</v>
      </c>
      <c r="B4" s="12">
        <f>[3]Delta!$IH$32</f>
        <v>100578</v>
      </c>
      <c r="C4" s="12">
        <f>'[3]Atlantic Southeast'!$IH$32</f>
        <v>0</v>
      </c>
      <c r="D4" s="12">
        <f>[3]Pinnacle!$IH$32</f>
        <v>1240</v>
      </c>
      <c r="E4" s="12">
        <f>'[3]Sky West'!$IH$32</f>
        <v>3693</v>
      </c>
      <c r="F4" s="12">
        <f>'[3]Go Jet'!$IH$32</f>
        <v>0</v>
      </c>
      <c r="G4" s="12">
        <f>'[3]Sun Country'!$IH$32</f>
        <v>51594</v>
      </c>
      <c r="H4" s="12">
        <f>[3]Icelandair!$IH$32</f>
        <v>516</v>
      </c>
      <c r="I4" s="12">
        <f>[3]KLM!$IH$32</f>
        <v>4441</v>
      </c>
      <c r="J4" s="12">
        <f>[3]Jazz_AC!$IH$32</f>
        <v>4254</v>
      </c>
      <c r="K4" s="12">
        <f>'[3]Sky Regional'!$IH$32</f>
        <v>0</v>
      </c>
      <c r="L4" s="12">
        <f>[3]Condor!$IH$32</f>
        <v>0</v>
      </c>
      <c r="M4" s="12">
        <f>'[3]Aer Lingus'!$IH$32</f>
        <v>0</v>
      </c>
      <c r="N4" s="12">
        <f>'[3]Air France'!$IH$32</f>
        <v>0</v>
      </c>
      <c r="O4" s="12">
        <f>[3]Frontier!$IH$32</f>
        <v>0</v>
      </c>
      <c r="P4" s="12">
        <f>'[3]Charter Misc'!$IH$32+[3]Ryan!$IH$32+[3]Omni!$IH$32</f>
        <v>0</v>
      </c>
      <c r="Q4" s="205">
        <f>SUM(B4:P4)</f>
        <v>166316</v>
      </c>
    </row>
    <row r="5" spans="1:17" x14ac:dyDescent="0.2">
      <c r="A5" s="45" t="s">
        <v>31</v>
      </c>
      <c r="B5" s="7">
        <f>[3]Delta!$IH$33</f>
        <v>102362</v>
      </c>
      <c r="C5" s="7">
        <f>'[3]Atlantic Southeast'!$IH$33</f>
        <v>0</v>
      </c>
      <c r="D5" s="7">
        <f>[3]Pinnacle!$IH$33</f>
        <v>1517</v>
      </c>
      <c r="E5" s="7">
        <f>'[3]Sky West'!$IH$33</f>
        <v>4191</v>
      </c>
      <c r="F5" s="7">
        <f>'[3]Go Jet'!$IH$33</f>
        <v>0</v>
      </c>
      <c r="G5" s="7">
        <f>'[3]Sun Country'!$IH$33</f>
        <v>50993</v>
      </c>
      <c r="H5" s="7">
        <f>[3]Icelandair!$IH$33</f>
        <v>907</v>
      </c>
      <c r="I5" s="7">
        <f>[3]KLM!$IH$33</f>
        <v>3919</v>
      </c>
      <c r="J5" s="7">
        <f>[3]Jazz_AC!$IH$33</f>
        <v>4797</v>
      </c>
      <c r="K5" s="7">
        <f>'[3]Sky Regional'!$IH$33</f>
        <v>0</v>
      </c>
      <c r="L5" s="7">
        <f>[3]Condor!$IH$33</f>
        <v>0</v>
      </c>
      <c r="M5" s="7">
        <f>'[3]Aer Lingus'!$IH$33</f>
        <v>0</v>
      </c>
      <c r="N5" s="7">
        <f>'[3]Air France'!$IH$33</f>
        <v>0</v>
      </c>
      <c r="O5" s="7">
        <f>[3]Frontier!$IH$33</f>
        <v>0</v>
      </c>
      <c r="P5" s="7">
        <f>'[3]Charter Misc'!$IH$33++[3]Ryan!$IH$33+[3]Omni!$IH$33</f>
        <v>0</v>
      </c>
      <c r="Q5" s="206">
        <f>SUM(B5:P5)</f>
        <v>168686</v>
      </c>
    </row>
    <row r="6" spans="1:17" ht="15" x14ac:dyDescent="0.25">
      <c r="A6" s="43" t="s">
        <v>7</v>
      </c>
      <c r="B6" s="24">
        <f t="shared" ref="B6:P6" si="0">SUM(B4:B5)</f>
        <v>202940</v>
      </c>
      <c r="C6" s="24">
        <f t="shared" si="0"/>
        <v>0</v>
      </c>
      <c r="D6" s="24">
        <f t="shared" si="0"/>
        <v>2757</v>
      </c>
      <c r="E6" s="24">
        <f t="shared" si="0"/>
        <v>7884</v>
      </c>
      <c r="F6" s="24">
        <f t="shared" ref="F6" si="1">SUM(F4:F5)</f>
        <v>0</v>
      </c>
      <c r="G6" s="24">
        <f t="shared" si="0"/>
        <v>102587</v>
      </c>
      <c r="H6" s="24">
        <f t="shared" si="0"/>
        <v>1423</v>
      </c>
      <c r="I6" s="24">
        <f t="shared" ref="I6" si="2">SUM(I4:I5)</f>
        <v>8360</v>
      </c>
      <c r="J6" s="24">
        <f t="shared" si="0"/>
        <v>9051</v>
      </c>
      <c r="K6" s="24">
        <f t="shared" ref="K6" si="3">SUM(K4:K5)</f>
        <v>0</v>
      </c>
      <c r="L6" s="24">
        <f t="shared" ref="L6:M6" si="4">SUM(L4:L5)</f>
        <v>0</v>
      </c>
      <c r="M6" s="24">
        <f t="shared" si="4"/>
        <v>0</v>
      </c>
      <c r="N6" s="24">
        <f t="shared" si="0"/>
        <v>0</v>
      </c>
      <c r="O6" s="24">
        <f t="shared" si="0"/>
        <v>0</v>
      </c>
      <c r="P6" s="24">
        <f t="shared" si="0"/>
        <v>0</v>
      </c>
      <c r="Q6" s="207">
        <f>SUM(B6:P6)</f>
        <v>335002</v>
      </c>
    </row>
    <row r="7" spans="1:17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5"/>
    </row>
    <row r="8" spans="1:17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5">
        <f>SUM(B8:P8)</f>
        <v>0</v>
      </c>
    </row>
    <row r="9" spans="1:17" x14ac:dyDescent="0.2">
      <c r="A9" s="45" t="s">
        <v>30</v>
      </c>
      <c r="B9" s="12">
        <f>[3]Delta!$IH$37</f>
        <v>2346</v>
      </c>
      <c r="C9" s="12">
        <f>'[3]Atlantic Southeast'!$IH$37</f>
        <v>0</v>
      </c>
      <c r="D9" s="12">
        <f>[3]Pinnacle!$IH$37</f>
        <v>20</v>
      </c>
      <c r="E9" s="12">
        <f>'[3]Sky West'!$IH$37</f>
        <v>69</v>
      </c>
      <c r="F9" s="12">
        <f>'[3]Go Jet'!$IH$37</f>
        <v>0</v>
      </c>
      <c r="G9" s="12">
        <f>'[3]Sun Country'!$IH$37</f>
        <v>550</v>
      </c>
      <c r="H9" s="12">
        <f>[3]Icelandair!$IH$37</f>
        <v>14</v>
      </c>
      <c r="I9" s="12">
        <f>[3]KLM!$IH$37</f>
        <v>8</v>
      </c>
      <c r="J9" s="12">
        <f>[3]Jazz_AC!$IH$37</f>
        <v>46</v>
      </c>
      <c r="K9" s="12">
        <f>'[3]Sky Regional'!$IH$37</f>
        <v>0</v>
      </c>
      <c r="L9" s="12">
        <f>[3]Condor!$IH$37</f>
        <v>0</v>
      </c>
      <c r="M9" s="12">
        <f>'[3]Aer Lingus'!$IH$37</f>
        <v>0</v>
      </c>
      <c r="N9" s="12">
        <f>'[3]Air France'!$IH$37</f>
        <v>0</v>
      </c>
      <c r="O9" s="12">
        <f>[3]Frontier!$IH$37</f>
        <v>0</v>
      </c>
      <c r="P9" s="12">
        <f>'[3]Charter Misc'!$IH$37+[3]Ryan!$IH$37+[3]Omni!$IH$37</f>
        <v>0</v>
      </c>
      <c r="Q9" s="205">
        <f>SUM(B9:P9)</f>
        <v>3053</v>
      </c>
    </row>
    <row r="10" spans="1:17" x14ac:dyDescent="0.2">
      <c r="A10" s="45" t="s">
        <v>33</v>
      </c>
      <c r="B10" s="7">
        <f>[3]Delta!$IH$38</f>
        <v>2712</v>
      </c>
      <c r="C10" s="7">
        <f>'[3]Atlantic Southeast'!$IH$38</f>
        <v>0</v>
      </c>
      <c r="D10" s="7">
        <f>[3]Pinnacle!$IH$38</f>
        <v>25</v>
      </c>
      <c r="E10" s="7">
        <f>'[3]Sky West'!$IH$38</f>
        <v>63</v>
      </c>
      <c r="F10" s="7">
        <f>'[3]Go Jet'!$IH$38</f>
        <v>0</v>
      </c>
      <c r="G10" s="7">
        <f>'[3]Sun Country'!$IH$38</f>
        <v>645</v>
      </c>
      <c r="H10" s="7">
        <f>[3]Icelandair!$IH$38</f>
        <v>4</v>
      </c>
      <c r="I10" s="7">
        <f>[3]KLM!$IH$38</f>
        <v>0</v>
      </c>
      <c r="J10" s="7">
        <f>[3]Jazz_AC!$IH$38</f>
        <v>59</v>
      </c>
      <c r="K10" s="7">
        <f>'[3]Sky Regional'!$IH$38</f>
        <v>0</v>
      </c>
      <c r="L10" s="7">
        <f>[3]Condor!$IH$38</f>
        <v>0</v>
      </c>
      <c r="M10" s="7">
        <f>'[3]Aer Lingus'!$IH$38</f>
        <v>0</v>
      </c>
      <c r="N10" s="7">
        <f>'[3]Air France'!$IH$38</f>
        <v>0</v>
      </c>
      <c r="O10" s="7">
        <f>[3]Frontier!$IH$38</f>
        <v>0</v>
      </c>
      <c r="P10" s="7">
        <f>'[3]Charter Misc'!$IH$38+[3]Ryan!$IH$38+[3]Omni!$IH$38</f>
        <v>0</v>
      </c>
      <c r="Q10" s="206">
        <f>SUM(B10:P10)</f>
        <v>3508</v>
      </c>
    </row>
    <row r="11" spans="1:17" ht="15.75" thickBot="1" x14ac:dyDescent="0.3">
      <c r="A11" s="46" t="s">
        <v>34</v>
      </c>
      <c r="B11" s="208">
        <f t="shared" ref="B11:G11" si="5">SUM(B9:B10)</f>
        <v>5058</v>
      </c>
      <c r="C11" s="208">
        <f t="shared" si="5"/>
        <v>0</v>
      </c>
      <c r="D11" s="208">
        <f t="shared" si="5"/>
        <v>45</v>
      </c>
      <c r="E11" s="208">
        <f t="shared" si="5"/>
        <v>132</v>
      </c>
      <c r="F11" s="208">
        <f t="shared" ref="F11" si="6">SUM(F9:F10)</f>
        <v>0</v>
      </c>
      <c r="G11" s="208">
        <f t="shared" si="5"/>
        <v>1195</v>
      </c>
      <c r="H11" s="208">
        <f t="shared" ref="H11:P11" si="7">SUM(H9:H10)</f>
        <v>18</v>
      </c>
      <c r="I11" s="208">
        <f t="shared" ref="I11" si="8">SUM(I9:I10)</f>
        <v>8</v>
      </c>
      <c r="J11" s="208">
        <f t="shared" si="7"/>
        <v>105</v>
      </c>
      <c r="K11" s="208">
        <f t="shared" ref="K11" si="9">SUM(K9:K10)</f>
        <v>0</v>
      </c>
      <c r="L11" s="208">
        <f t="shared" si="7"/>
        <v>0</v>
      </c>
      <c r="M11" s="208">
        <f t="shared" ref="M11" si="10">SUM(M9:M10)</f>
        <v>0</v>
      </c>
      <c r="N11" s="208">
        <f t="shared" si="7"/>
        <v>0</v>
      </c>
      <c r="O11" s="208">
        <f t="shared" si="7"/>
        <v>0</v>
      </c>
      <c r="P11" s="208">
        <f t="shared" si="7"/>
        <v>0</v>
      </c>
      <c r="Q11" s="209">
        <f>SUM(B11:P11)</f>
        <v>6561</v>
      </c>
    </row>
    <row r="12" spans="1:17" ht="15" x14ac:dyDescent="0.25">
      <c r="A12" s="284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1"/>
    </row>
    <row r="13" spans="1:17" ht="39" thickBot="1" x14ac:dyDescent="0.25">
      <c r="B13" s="326" t="s">
        <v>18</v>
      </c>
      <c r="C13" s="325" t="s">
        <v>193</v>
      </c>
      <c r="D13" s="364" t="s">
        <v>157</v>
      </c>
      <c r="E13" s="325" t="s">
        <v>163</v>
      </c>
      <c r="F13" s="325" t="s">
        <v>162</v>
      </c>
      <c r="G13" s="325" t="s">
        <v>49</v>
      </c>
      <c r="H13" s="325" t="s">
        <v>113</v>
      </c>
      <c r="I13" s="325" t="s">
        <v>192</v>
      </c>
      <c r="J13" s="325" t="s">
        <v>253</v>
      </c>
      <c r="K13" s="325" t="s">
        <v>194</v>
      </c>
      <c r="L13" s="325" t="s">
        <v>161</v>
      </c>
      <c r="M13" s="325" t="s">
        <v>201</v>
      </c>
      <c r="N13" s="325" t="s">
        <v>156</v>
      </c>
      <c r="O13" s="325" t="s">
        <v>47</v>
      </c>
      <c r="P13" s="325" t="s">
        <v>139</v>
      </c>
      <c r="Q13" s="325" t="s">
        <v>21</v>
      </c>
    </row>
    <row r="14" spans="1:17" ht="15" x14ac:dyDescent="0.25">
      <c r="A14" s="476" t="s">
        <v>141</v>
      </c>
      <c r="B14" s="477"/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8"/>
    </row>
    <row r="15" spans="1:17" x14ac:dyDescent="0.2">
      <c r="A15" s="45" t="s">
        <v>29</v>
      </c>
      <c r="Q15" s="39"/>
    </row>
    <row r="16" spans="1:17" x14ac:dyDescent="0.2">
      <c r="A16" s="45"/>
      <c r="Q16" s="39"/>
    </row>
    <row r="17" spans="1:20" x14ac:dyDescent="0.2">
      <c r="A17" s="45" t="s">
        <v>30</v>
      </c>
      <c r="B17" s="12">
        <f>SUM([3]Delta!$IF$32:$IH$32)</f>
        <v>265671</v>
      </c>
      <c r="C17" s="12">
        <f>SUM('[3]Atlantic Southeast'!$IF$32:$IH$32)</f>
        <v>0</v>
      </c>
      <c r="D17" s="12">
        <f>SUM([3]Pinnacle!$IF$32:$IH$32)</f>
        <v>1240</v>
      </c>
      <c r="E17" s="12">
        <f>SUM('[3]Sky West'!$IF$32:$IH$32)</f>
        <v>10956</v>
      </c>
      <c r="F17" s="12">
        <f>SUM('[3]Go Jet'!$IF$32:$IH$32)</f>
        <v>0</v>
      </c>
      <c r="G17" s="12">
        <f>SUM('[3]Sun Country'!$IF$32:$IH$32)</f>
        <v>114229</v>
      </c>
      <c r="H17" s="12">
        <f>SUM([3]Icelandair!$IF$32:$IH$32)</f>
        <v>973</v>
      </c>
      <c r="I17" s="12">
        <f>SUM([3]KLM!$IF$32:$IH$32)</f>
        <v>10766</v>
      </c>
      <c r="J17" s="12">
        <f>SUM([3]Jazz_AC!$IF$32:$IH$32)</f>
        <v>10706</v>
      </c>
      <c r="K17" s="12">
        <f>SUM('[3]Sky Regional'!$IF$32:$IH$32)</f>
        <v>0</v>
      </c>
      <c r="L17" s="12">
        <f>SUM([3]Condor!$IF$32:$IH$32)</f>
        <v>0</v>
      </c>
      <c r="M17" s="12">
        <f>SUM('[3]Aer Lingus'!$IF$32:$IH$32)</f>
        <v>0</v>
      </c>
      <c r="N17" s="12">
        <f>SUM('[3]Air France'!$IF$32:$IH$32)</f>
        <v>0</v>
      </c>
      <c r="O17" s="12">
        <f>SUM([3]Frontier!$IF$32:$IH$32)</f>
        <v>0</v>
      </c>
      <c r="P17" s="12">
        <f>SUM('[3]Charter Misc'!$IF$32:$IH$32)+SUM([3]Ryan!$IF$32:$IH$32)+SUM([3]Omni!$IF$32:$IH$32)</f>
        <v>336</v>
      </c>
      <c r="Q17" s="205">
        <f>SUM(B17:P17)</f>
        <v>414877</v>
      </c>
    </row>
    <row r="18" spans="1:20" x14ac:dyDescent="0.2">
      <c r="A18" s="45" t="s">
        <v>31</v>
      </c>
      <c r="B18" s="7">
        <f>SUM([3]Delta!$IF$33:$IH$33)</f>
        <v>264529</v>
      </c>
      <c r="C18" s="7">
        <f>SUM('[3]Atlantic Southeast'!$IF$33:$IH$33)</f>
        <v>0</v>
      </c>
      <c r="D18" s="7">
        <f>SUM([3]Pinnacle!$IF$33:$IH$33)</f>
        <v>1517</v>
      </c>
      <c r="E18" s="7">
        <f>SUM('[3]Sky West'!$IF$33:$IH$33)</f>
        <v>11432</v>
      </c>
      <c r="F18" s="7">
        <f>SUM('[3]Go Jet'!$IF$33:$IH$33)</f>
        <v>0</v>
      </c>
      <c r="G18" s="7">
        <f>SUM('[3]Sun Country'!$IF$33:$IH$33)</f>
        <v>116737</v>
      </c>
      <c r="H18" s="7">
        <f>SUM([3]Icelandair!$IF$33:$IH$33)</f>
        <v>1181</v>
      </c>
      <c r="I18" s="7">
        <f>SUM([3]KLM!$IF$33:$IH$33)</f>
        <v>8785</v>
      </c>
      <c r="J18" s="7">
        <f>SUM([3]Jazz_AC!$IF$33:$IH$33)</f>
        <v>10810</v>
      </c>
      <c r="K18" s="7">
        <f>SUM('[3]Sky Regional'!$IF$33:$IH$33)</f>
        <v>0</v>
      </c>
      <c r="L18" s="7">
        <f>SUM([3]Condor!$IF$33:$IH$33)</f>
        <v>0</v>
      </c>
      <c r="M18" s="7">
        <f>SUM('[3]Aer Lingus'!$IF$33:$IH$33)</f>
        <v>0</v>
      </c>
      <c r="N18" s="7">
        <f>SUM('[3]Air France'!$IF$33:$IH$33)</f>
        <v>0</v>
      </c>
      <c r="O18" s="7">
        <f>SUM([3]Frontier!$IF$33:$IH$33)</f>
        <v>0</v>
      </c>
      <c r="P18" s="7">
        <f>SUM('[3]Charter Misc'!$IF$33:$IH$33)++SUM([3]Ryan!$IF$33:$IH$33)+SUM([3]Omni!$IF$33:$IH$33)</f>
        <v>332</v>
      </c>
      <c r="Q18" s="206">
        <f>SUM(B18:P18)</f>
        <v>415323</v>
      </c>
    </row>
    <row r="19" spans="1:20" ht="15" x14ac:dyDescent="0.25">
      <c r="A19" s="43" t="s">
        <v>7</v>
      </c>
      <c r="B19" s="24">
        <f t="shared" ref="B19:P19" si="11">SUM(B17:B18)</f>
        <v>530200</v>
      </c>
      <c r="C19" s="24">
        <f t="shared" si="11"/>
        <v>0</v>
      </c>
      <c r="D19" s="24">
        <f t="shared" si="11"/>
        <v>2757</v>
      </c>
      <c r="E19" s="24">
        <f t="shared" si="11"/>
        <v>22388</v>
      </c>
      <c r="F19" s="24">
        <f t="shared" ref="F19" si="12">SUM(F17:F18)</f>
        <v>0</v>
      </c>
      <c r="G19" s="24">
        <f t="shared" si="11"/>
        <v>230966</v>
      </c>
      <c r="H19" s="24">
        <f t="shared" si="11"/>
        <v>2154</v>
      </c>
      <c r="I19" s="24">
        <f t="shared" ref="I19" si="13">SUM(I17:I18)</f>
        <v>19551</v>
      </c>
      <c r="J19" s="24">
        <f t="shared" si="11"/>
        <v>21516</v>
      </c>
      <c r="K19" s="24">
        <f t="shared" ref="K19" si="14">SUM(K17:K18)</f>
        <v>0</v>
      </c>
      <c r="L19" s="24">
        <f t="shared" ref="L19:M19" si="15">SUM(L17:L18)</f>
        <v>0</v>
      </c>
      <c r="M19" s="24">
        <f t="shared" si="15"/>
        <v>0</v>
      </c>
      <c r="N19" s="24">
        <f t="shared" si="11"/>
        <v>0</v>
      </c>
      <c r="O19" s="24">
        <f t="shared" si="11"/>
        <v>0</v>
      </c>
      <c r="P19" s="24">
        <f t="shared" si="11"/>
        <v>668</v>
      </c>
      <c r="Q19" s="207">
        <f>SUM(B19:P19)</f>
        <v>830200</v>
      </c>
      <c r="T19" s="230"/>
    </row>
    <row r="20" spans="1:20" x14ac:dyDescent="0.2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05"/>
      <c r="T20" s="95"/>
    </row>
    <row r="21" spans="1:20" x14ac:dyDescent="0.2">
      <c r="A21" s="45" t="s">
        <v>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05">
        <f>SUM(B21:P21)</f>
        <v>0</v>
      </c>
    </row>
    <row r="22" spans="1:20" x14ac:dyDescent="0.2">
      <c r="A22" s="45" t="s">
        <v>30</v>
      </c>
      <c r="B22" s="12">
        <f>SUM([3]Delta!$IF$37:$IH$37)</f>
        <v>7140</v>
      </c>
      <c r="C22" s="12">
        <f>SUM('[3]Atlantic Southeast'!$IF$37:$IH$37)</f>
        <v>0</v>
      </c>
      <c r="D22" s="12">
        <f>SUM([3]Pinnacle!$IF$37:$IH$37)</f>
        <v>20</v>
      </c>
      <c r="E22" s="12">
        <f>SUM('[3]Sky West'!$IF$37:$IH$37)</f>
        <v>249</v>
      </c>
      <c r="F22" s="12">
        <f>SUM('[3]Go Jet'!$IF$37:$IH$37)</f>
        <v>0</v>
      </c>
      <c r="G22" s="12">
        <f>SUM('[3]Sun Country'!$IF$37:$IH$37)</f>
        <v>1366</v>
      </c>
      <c r="H22" s="12">
        <f>SUM([3]Icelandair!$IF$37:$IH$37)</f>
        <v>14</v>
      </c>
      <c r="I22" s="12">
        <f>SUM([3]KLM!$IF$37:$IH$37)</f>
        <v>21</v>
      </c>
      <c r="J22" s="12">
        <f>SUM([3]Jazz_AC!$IF$37:$IH$37)</f>
        <v>173</v>
      </c>
      <c r="K22" s="12">
        <f>SUM('[3]Sky Regional'!$IF$37:$IH$37)</f>
        <v>0</v>
      </c>
      <c r="L22" s="12">
        <f>SUM([3]Condor!$IF$37:$IH$37)</f>
        <v>0</v>
      </c>
      <c r="M22" s="12">
        <f>SUM('[3]Aer Lingus'!$IF$37:$IH$37)</f>
        <v>0</v>
      </c>
      <c r="N22" s="12">
        <f>SUM('[3]Air France'!$IF$37:$IH$37)</f>
        <v>0</v>
      </c>
      <c r="O22" s="12">
        <f>SUM([3]Frontier!$IF$37:$IH$37)</f>
        <v>0</v>
      </c>
      <c r="P22" s="12">
        <f>SUM('[3]Charter Misc'!$IF$37:$IH$37)++SUM([3]Ryan!$IF$37:$IH$37)+SUM([3]Omni!$IF$37:$IH$37)</f>
        <v>0</v>
      </c>
      <c r="Q22" s="205">
        <f>SUM(B22:P22)</f>
        <v>8983</v>
      </c>
    </row>
    <row r="23" spans="1:20" x14ac:dyDescent="0.2">
      <c r="A23" s="45" t="s">
        <v>33</v>
      </c>
      <c r="B23" s="7">
        <f>SUM([3]Delta!$IF$38:$IH$38)</f>
        <v>7498</v>
      </c>
      <c r="C23" s="7">
        <f>SUM('[3]Atlantic Southeast'!$IF$38:$IH$38)</f>
        <v>0</v>
      </c>
      <c r="D23" s="7">
        <f>SUM([3]Pinnacle!$IF$38:$IH$38)</f>
        <v>25</v>
      </c>
      <c r="E23" s="7">
        <f>SUM('[3]Sky West'!$IF$38:$IH$38)</f>
        <v>223</v>
      </c>
      <c r="F23" s="7">
        <f>SUM('[3]Go Jet'!$IF$38:$IH$38)</f>
        <v>0</v>
      </c>
      <c r="G23" s="7">
        <f>SUM('[3]Sun Country'!$IF$38:$IH$38)</f>
        <v>1512</v>
      </c>
      <c r="H23" s="7">
        <f>SUM([3]Icelandair!$IF$38:$IH$38)</f>
        <v>14</v>
      </c>
      <c r="I23" s="7">
        <f>SUM([3]KLM!$IF$38:$IH$38)</f>
        <v>3</v>
      </c>
      <c r="J23" s="7">
        <f>SUM([3]Jazz_AC!$IF$38:$IH$38)</f>
        <v>180</v>
      </c>
      <c r="K23" s="7">
        <f>SUM('[3]Sky Regional'!$IF$38:$IH$38)</f>
        <v>0</v>
      </c>
      <c r="L23" s="7">
        <f>SUM([3]Condor!$IF$38:$IH$38)</f>
        <v>0</v>
      </c>
      <c r="M23" s="7">
        <f>SUM('[3]Aer Lingus'!$IF$38:$IH$38)</f>
        <v>0</v>
      </c>
      <c r="N23" s="7">
        <f>SUM('[3]Air France'!$IF$38:$IH$38)</f>
        <v>0</v>
      </c>
      <c r="O23" s="7">
        <f>SUM([3]Frontier!$IF$38:$IH$38)</f>
        <v>0</v>
      </c>
      <c r="P23" s="7">
        <f>SUM('[3]Charter Misc'!$IF$38:$IH$38)++SUM([3]Ryan!$IF$38:$IH$38)+SUM([3]Omni!$IF$38:$IH$38)</f>
        <v>0</v>
      </c>
      <c r="Q23" s="206">
        <f>SUM(B23:P23)</f>
        <v>9455</v>
      </c>
    </row>
    <row r="24" spans="1:20" ht="15.75" thickBot="1" x14ac:dyDescent="0.3">
      <c r="A24" s="46" t="s">
        <v>34</v>
      </c>
      <c r="B24" s="208">
        <f t="shared" ref="B24:P24" si="16">SUM(B22:B23)</f>
        <v>14638</v>
      </c>
      <c r="C24" s="208">
        <f t="shared" si="16"/>
        <v>0</v>
      </c>
      <c r="D24" s="208">
        <f t="shared" si="16"/>
        <v>45</v>
      </c>
      <c r="E24" s="208">
        <f t="shared" si="16"/>
        <v>472</v>
      </c>
      <c r="F24" s="208">
        <f t="shared" ref="F24" si="17">SUM(F22:F23)</f>
        <v>0</v>
      </c>
      <c r="G24" s="208">
        <f t="shared" si="16"/>
        <v>2878</v>
      </c>
      <c r="H24" s="208">
        <f t="shared" si="16"/>
        <v>28</v>
      </c>
      <c r="I24" s="208">
        <f t="shared" ref="I24" si="18">SUM(I22:I23)</f>
        <v>24</v>
      </c>
      <c r="J24" s="208">
        <f t="shared" si="16"/>
        <v>353</v>
      </c>
      <c r="K24" s="208">
        <f t="shared" ref="K24" si="19">SUM(K22:K23)</f>
        <v>0</v>
      </c>
      <c r="L24" s="208">
        <f t="shared" ref="L24:M24" si="20">SUM(L22:L23)</f>
        <v>0</v>
      </c>
      <c r="M24" s="208">
        <f t="shared" si="20"/>
        <v>0</v>
      </c>
      <c r="N24" s="208">
        <f t="shared" si="16"/>
        <v>0</v>
      </c>
      <c r="O24" s="208">
        <f t="shared" si="16"/>
        <v>0</v>
      </c>
      <c r="P24" s="208">
        <f t="shared" si="16"/>
        <v>0</v>
      </c>
      <c r="Q24" s="209">
        <f>SUM(B24:P24)</f>
        <v>18438</v>
      </c>
    </row>
    <row r="26" spans="1:20" ht="39" thickBot="1" x14ac:dyDescent="0.25">
      <c r="B26" s="326" t="s">
        <v>18</v>
      </c>
      <c r="C26" s="325" t="s">
        <v>193</v>
      </c>
      <c r="D26" s="364" t="s">
        <v>157</v>
      </c>
      <c r="E26" s="325" t="s">
        <v>163</v>
      </c>
      <c r="F26" s="325" t="s">
        <v>162</v>
      </c>
      <c r="G26" s="325" t="s">
        <v>49</v>
      </c>
      <c r="H26" s="325" t="s">
        <v>113</v>
      </c>
      <c r="I26" s="325" t="s">
        <v>192</v>
      </c>
      <c r="J26" s="325" t="s">
        <v>253</v>
      </c>
      <c r="K26" s="325" t="s">
        <v>194</v>
      </c>
      <c r="L26" s="325" t="s">
        <v>161</v>
      </c>
      <c r="M26" s="325" t="s">
        <v>201</v>
      </c>
      <c r="N26" s="325" t="s">
        <v>156</v>
      </c>
      <c r="O26" s="325" t="s">
        <v>47</v>
      </c>
      <c r="P26" s="325" t="s">
        <v>139</v>
      </c>
      <c r="Q26" s="325" t="s">
        <v>21</v>
      </c>
    </row>
    <row r="27" spans="1:20" ht="15" x14ac:dyDescent="0.25">
      <c r="A27" s="479" t="s">
        <v>142</v>
      </c>
      <c r="B27" s="480"/>
      <c r="C27" s="480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1"/>
    </row>
    <row r="28" spans="1:20" x14ac:dyDescent="0.2">
      <c r="A28" s="45" t="s">
        <v>22</v>
      </c>
      <c r="B28" s="12">
        <f>[3]Delta!$IH$15</f>
        <v>597</v>
      </c>
      <c r="C28" s="12">
        <f>'[3]Atlantic Southeast'!$IH$15</f>
        <v>0</v>
      </c>
      <c r="D28" s="12">
        <f>[3]Pinnacle!$IH$15</f>
        <v>23</v>
      </c>
      <c r="E28" s="12">
        <f>'[3]Sky West'!$IH$15</f>
        <v>65</v>
      </c>
      <c r="F28" s="12">
        <f>'[3]Go Jet'!$IH$15</f>
        <v>0</v>
      </c>
      <c r="G28" s="12">
        <f>'[3]Sun Country'!$IH$15</f>
        <v>316</v>
      </c>
      <c r="H28" s="12">
        <f>[3]Icelandair!$IH$15</f>
        <v>6</v>
      </c>
      <c r="I28" s="12">
        <f>[3]KLM!$IH$15</f>
        <v>18</v>
      </c>
      <c r="J28" s="12">
        <f>[3]Jazz_AC!$IH$15</f>
        <v>82</v>
      </c>
      <c r="K28" s="12">
        <f>'[3]Sky Regional'!$IH$15</f>
        <v>0</v>
      </c>
      <c r="L28" s="12">
        <f>[3]Condor!$IH$15</f>
        <v>0</v>
      </c>
      <c r="M28" s="12">
        <f>'[3]Aer Lingus'!$IH$15</f>
        <v>0</v>
      </c>
      <c r="N28" s="12">
        <f>'[3]Air France'!$IH$15</f>
        <v>0</v>
      </c>
      <c r="O28" s="12">
        <f>[3]Frontier!$IH$15</f>
        <v>0</v>
      </c>
      <c r="P28" s="12">
        <f>'[3]Charter Misc'!$IH$15+[3]Ryan!$IH$15+[3]Omni!$IH$15</f>
        <v>1</v>
      </c>
      <c r="Q28" s="205">
        <f>SUM(B28:P28)</f>
        <v>1108</v>
      </c>
    </row>
    <row r="29" spans="1:20" x14ac:dyDescent="0.2">
      <c r="A29" s="45" t="s">
        <v>23</v>
      </c>
      <c r="B29" s="12">
        <f>[3]Delta!$IH$16</f>
        <v>598</v>
      </c>
      <c r="C29" s="12">
        <f>'[3]Atlantic Southeast'!$IH$16</f>
        <v>0</v>
      </c>
      <c r="D29" s="12">
        <f>[3]Pinnacle!$IH$16</f>
        <v>23</v>
      </c>
      <c r="E29" s="12">
        <f>'[3]Sky West'!$IH$16</f>
        <v>63</v>
      </c>
      <c r="F29" s="12">
        <f>'[3]Go Jet'!$IH$16</f>
        <v>0</v>
      </c>
      <c r="G29" s="12">
        <f>'[3]Sun Country'!$IH$16</f>
        <v>316</v>
      </c>
      <c r="H29" s="12">
        <f>[3]Icelandair!$IH$16</f>
        <v>6</v>
      </c>
      <c r="I29" s="12">
        <f>[3]KLM!$IH$16</f>
        <v>18</v>
      </c>
      <c r="J29" s="12">
        <f>[3]Jazz_AC!$IH$16</f>
        <v>82</v>
      </c>
      <c r="K29" s="12">
        <f>'[3]Sky Regional'!$IH$16</f>
        <v>0</v>
      </c>
      <c r="L29" s="12">
        <f>[3]Condor!$IH$16</f>
        <v>0</v>
      </c>
      <c r="M29" s="12">
        <f>'[3]Aer Lingus'!$IH$16</f>
        <v>0</v>
      </c>
      <c r="N29" s="12">
        <f>'[3]Air France'!$IH$16</f>
        <v>0</v>
      </c>
      <c r="O29" s="12">
        <f>[3]Frontier!$IH$16</f>
        <v>0</v>
      </c>
      <c r="P29" s="12">
        <f>'[3]Charter Misc'!$IH$16+[3]Ryan!$IH$16+[3]Omni!$IH$16</f>
        <v>0</v>
      </c>
      <c r="Q29" s="205">
        <f>SUM(B29:P29)</f>
        <v>1106</v>
      </c>
    </row>
    <row r="30" spans="1:20" x14ac:dyDescent="0.2">
      <c r="A30" s="4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05"/>
    </row>
    <row r="31" spans="1:20" ht="15.75" thickBot="1" x14ac:dyDescent="0.3">
      <c r="A31" s="46" t="s">
        <v>28</v>
      </c>
      <c r="B31" s="282">
        <f t="shared" ref="B31:J31" si="21">SUM(B28:B29)</f>
        <v>1195</v>
      </c>
      <c r="C31" s="282">
        <f t="shared" si="21"/>
        <v>0</v>
      </c>
      <c r="D31" s="282">
        <f t="shared" si="21"/>
        <v>46</v>
      </c>
      <c r="E31" s="282">
        <f>SUM(E28:E29)</f>
        <v>128</v>
      </c>
      <c r="F31" s="282">
        <f>SUM(F28:F29)</f>
        <v>0</v>
      </c>
      <c r="G31" s="282">
        <f t="shared" si="21"/>
        <v>632</v>
      </c>
      <c r="H31" s="282">
        <f t="shared" si="21"/>
        <v>12</v>
      </c>
      <c r="I31" s="282">
        <f t="shared" ref="I31" si="22">SUM(I28:I29)</f>
        <v>36</v>
      </c>
      <c r="J31" s="282">
        <f t="shared" si="21"/>
        <v>164</v>
      </c>
      <c r="K31" s="282">
        <f t="shared" ref="K31" si="23">SUM(K28:K29)</f>
        <v>0</v>
      </c>
      <c r="L31" s="282">
        <f>SUM(L28:L29)</f>
        <v>0</v>
      </c>
      <c r="M31" s="282">
        <f>SUM(M28:M29)</f>
        <v>0</v>
      </c>
      <c r="N31" s="282">
        <f>SUM(N28:N29)</f>
        <v>0</v>
      </c>
      <c r="O31" s="282">
        <f t="shared" ref="O31" si="24">SUM(O28:O29)</f>
        <v>0</v>
      </c>
      <c r="P31" s="282">
        <f>SUM(P28:P29)</f>
        <v>1</v>
      </c>
      <c r="Q31" s="283">
        <f>SUM(B31:P31)</f>
        <v>2214</v>
      </c>
    </row>
    <row r="32" spans="1:20" ht="15" x14ac:dyDescent="0.25">
      <c r="A32" s="284"/>
    </row>
    <row r="33" spans="1:17" ht="39" thickBot="1" x14ac:dyDescent="0.25">
      <c r="B33" s="326" t="s">
        <v>18</v>
      </c>
      <c r="C33" s="325" t="s">
        <v>193</v>
      </c>
      <c r="D33" s="364" t="s">
        <v>157</v>
      </c>
      <c r="E33" s="325" t="s">
        <v>163</v>
      </c>
      <c r="F33" s="325" t="s">
        <v>162</v>
      </c>
      <c r="G33" s="325" t="s">
        <v>49</v>
      </c>
      <c r="H33" s="325" t="s">
        <v>113</v>
      </c>
      <c r="I33" s="325" t="s">
        <v>192</v>
      </c>
      <c r="J33" s="325" t="s">
        <v>253</v>
      </c>
      <c r="K33" s="325" t="s">
        <v>194</v>
      </c>
      <c r="L33" s="325" t="s">
        <v>161</v>
      </c>
      <c r="M33" s="325" t="s">
        <v>201</v>
      </c>
      <c r="N33" s="325" t="s">
        <v>156</v>
      </c>
      <c r="O33" s="325" t="s">
        <v>47</v>
      </c>
      <c r="P33" s="325" t="s">
        <v>139</v>
      </c>
      <c r="Q33" s="325" t="s">
        <v>21</v>
      </c>
    </row>
    <row r="34" spans="1:17" ht="15" x14ac:dyDescent="0.25">
      <c r="A34" s="482" t="s">
        <v>143</v>
      </c>
      <c r="B34" s="483"/>
      <c r="C34" s="483"/>
      <c r="D34" s="483"/>
      <c r="E34" s="483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4"/>
    </row>
    <row r="35" spans="1:17" x14ac:dyDescent="0.2">
      <c r="A35" s="45" t="s">
        <v>22</v>
      </c>
      <c r="B35" s="12">
        <f>SUM([3]Delta!$IF$15:$IH$15)</f>
        <v>1631</v>
      </c>
      <c r="C35" s="12">
        <f>SUM('[3]Atlantic Southeast'!$IF$15:$IH$15)</f>
        <v>0</v>
      </c>
      <c r="D35" s="12">
        <f>SUM([3]Pinnacle!$IF$15:$IH$15)</f>
        <v>24</v>
      </c>
      <c r="E35" s="12">
        <f>SUM('[3]Sky West'!$IF$15:$IH$15)</f>
        <v>213</v>
      </c>
      <c r="F35" s="12">
        <f>SUM('[3]Go Jet'!$IF$15:$IH$15)</f>
        <v>0</v>
      </c>
      <c r="G35" s="12">
        <f>SUM('[3]Sun Country'!$IF$15:$IH$15)</f>
        <v>718</v>
      </c>
      <c r="H35" s="12">
        <f>SUM([3]Icelandair!$IF$15:$IH$15)</f>
        <v>9</v>
      </c>
      <c r="I35" s="12">
        <f>SUM([3]KLM!$IF$15:$IH$15)</f>
        <v>50</v>
      </c>
      <c r="J35" s="12">
        <f>SUM([3]Jazz_AC!$IF$15:$IH$15)</f>
        <v>232</v>
      </c>
      <c r="K35" s="12">
        <f>SUM('[3]Sky Regional'!$IF$15:$IH$15)</f>
        <v>0</v>
      </c>
      <c r="L35" s="12">
        <f>SUM([3]Condor!$IF$15:$IH$15)</f>
        <v>0</v>
      </c>
      <c r="M35" s="12">
        <f>SUM('[3]Aer Lingus'!$IF$15:$IH$15)</f>
        <v>0</v>
      </c>
      <c r="N35" s="12">
        <f>SUM('[3]Air France'!$IF$15:$IH$15)</f>
        <v>0</v>
      </c>
      <c r="O35" s="12">
        <f>SUM([3]Frontier!$IF$15:$IH$15)</f>
        <v>0</v>
      </c>
      <c r="P35" s="12">
        <f>SUM('[3]Charter Misc'!$IF$15:$IH$15)+SUM([3]Ryan!$IF$15:$IH$15)+SUM([3]Omni!$IF$15:$IH$15)</f>
        <v>5</v>
      </c>
      <c r="Q35" s="205">
        <f>SUM(B35:P35)</f>
        <v>2882</v>
      </c>
    </row>
    <row r="36" spans="1:17" x14ac:dyDescent="0.2">
      <c r="A36" s="45" t="s">
        <v>23</v>
      </c>
      <c r="B36" s="12">
        <f>SUM([3]Delta!$IF$16:$IH$16)</f>
        <v>1642</v>
      </c>
      <c r="C36" s="12">
        <f>SUM('[3]Atlantic Southeast'!$IF$16:$IH$16)</f>
        <v>0</v>
      </c>
      <c r="D36" s="12">
        <f>SUM([3]Pinnacle!$IF$16:$IH$16)</f>
        <v>24</v>
      </c>
      <c r="E36" s="12">
        <f>SUM('[3]Sky West'!$IF$16:$IH$16)</f>
        <v>211</v>
      </c>
      <c r="F36" s="12">
        <f>SUM('[3]Go Jet'!$IF$16:$IH$16)</f>
        <v>0</v>
      </c>
      <c r="G36" s="12">
        <f>SUM('[3]Sun Country'!$IF$16:$IH$16)</f>
        <v>718</v>
      </c>
      <c r="H36" s="12">
        <f>SUM([3]Icelandair!$IF$16:$IH$16)</f>
        <v>9</v>
      </c>
      <c r="I36" s="12">
        <f>SUM([3]KLM!$IF$16:$IH$16)</f>
        <v>50</v>
      </c>
      <c r="J36" s="12">
        <f>SUM([3]Jazz_AC!$IF$16:$IH$16)</f>
        <v>163</v>
      </c>
      <c r="K36" s="12">
        <f>SUM('[3]Sky Regional'!$IF$16:$IH$16)</f>
        <v>0</v>
      </c>
      <c r="L36" s="12">
        <f>SUM([3]Condor!$IF$16:$IH$16)</f>
        <v>0</v>
      </c>
      <c r="M36" s="12">
        <f>SUM('[3]Aer Lingus'!$IF$16:$IH$16)</f>
        <v>0</v>
      </c>
      <c r="N36" s="12">
        <f>SUM('[3]Air France'!$IF$16:$IH$16)</f>
        <v>0</v>
      </c>
      <c r="O36" s="12">
        <f>SUM([3]Frontier!$IF$16:$IH$16)</f>
        <v>0</v>
      </c>
      <c r="P36" s="12">
        <f>SUM('[3]Charter Misc'!$IF$16:$IH$16)+SUM([3]Ryan!$IF$16:$IH$16)+SUM([3]Omni!$IF$16:$IH$16)</f>
        <v>2</v>
      </c>
      <c r="Q36" s="205">
        <f>SUM(B36:P36)</f>
        <v>2819</v>
      </c>
    </row>
    <row r="37" spans="1:17" x14ac:dyDescent="0.2">
      <c r="A37" s="4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05"/>
    </row>
    <row r="38" spans="1:17" ht="15.75" thickBot="1" x14ac:dyDescent="0.3">
      <c r="A38" s="46" t="s">
        <v>28</v>
      </c>
      <c r="B38" s="282">
        <f t="shared" ref="B38:J38" si="25">+SUM(B35:B36)</f>
        <v>3273</v>
      </c>
      <c r="C38" s="282">
        <f t="shared" si="25"/>
        <v>0</v>
      </c>
      <c r="D38" s="282">
        <f t="shared" si="25"/>
        <v>48</v>
      </c>
      <c r="E38" s="282">
        <f>+SUM(E35:E36)</f>
        <v>424</v>
      </c>
      <c r="F38" s="282">
        <f>+SUM(F35:F36)</f>
        <v>0</v>
      </c>
      <c r="G38" s="282">
        <f t="shared" si="25"/>
        <v>1436</v>
      </c>
      <c r="H38" s="282">
        <f t="shared" si="25"/>
        <v>18</v>
      </c>
      <c r="I38" s="282">
        <f t="shared" ref="I38" si="26">+SUM(I35:I36)</f>
        <v>100</v>
      </c>
      <c r="J38" s="282">
        <f t="shared" si="25"/>
        <v>395</v>
      </c>
      <c r="K38" s="282">
        <f t="shared" ref="K38" si="27">+SUM(K35:K36)</f>
        <v>0</v>
      </c>
      <c r="L38" s="282">
        <f>+SUM(L35:L36)</f>
        <v>0</v>
      </c>
      <c r="M38" s="282">
        <f>+SUM(M35:M36)</f>
        <v>0</v>
      </c>
      <c r="N38" s="282">
        <f>+SUM(N35:N36)</f>
        <v>0</v>
      </c>
      <c r="O38" s="282">
        <f t="shared" ref="O38" si="28">+SUM(O35:O36)</f>
        <v>0</v>
      </c>
      <c r="P38" s="282">
        <f>+SUM(P35:P36)</f>
        <v>7</v>
      </c>
      <c r="Q38" s="283">
        <f>SUM(B38:P38)</f>
        <v>5701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60" orientation="landscape" r:id="rId1"/>
  <headerFooter alignWithMargins="0">
    <oddHeader>&amp;LSchedule 9&amp;CMinneapolis-St. Paul International Airport
&amp;"Arial,Bold"International Detail&amp;"Arial,Regular"
&amp;"Arial,Bold"March 2023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selection activeCell="L31" sqref="L31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68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2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1" width="10" bestFit="1" customWidth="1"/>
    <col min="22" max="22" width="10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</cols>
  <sheetData>
    <row r="1" spans="1:27" s="9" customFormat="1" ht="39" thickBot="1" x14ac:dyDescent="0.25">
      <c r="A1" s="493" t="s">
        <v>132</v>
      </c>
      <c r="B1" s="494"/>
      <c r="C1" s="409" t="s">
        <v>237</v>
      </c>
      <c r="D1" s="409" t="s">
        <v>230</v>
      </c>
      <c r="E1" s="408" t="s">
        <v>95</v>
      </c>
      <c r="F1" s="410" t="s">
        <v>238</v>
      </c>
      <c r="G1" s="409" t="s">
        <v>231</v>
      </c>
      <c r="H1" s="411" t="s">
        <v>96</v>
      </c>
      <c r="I1" s="408" t="s">
        <v>239</v>
      </c>
      <c r="J1" s="497" t="s">
        <v>136</v>
      </c>
      <c r="K1" s="498"/>
      <c r="L1" s="412" t="s">
        <v>240</v>
      </c>
      <c r="M1" s="412" t="s">
        <v>232</v>
      </c>
      <c r="N1" s="413" t="s">
        <v>96</v>
      </c>
      <c r="O1" s="414" t="s">
        <v>241</v>
      </c>
      <c r="P1" s="414" t="s">
        <v>233</v>
      </c>
      <c r="Q1" s="415" t="s">
        <v>96</v>
      </c>
      <c r="R1" s="416" t="s">
        <v>239</v>
      </c>
      <c r="S1" s="485" t="s">
        <v>215</v>
      </c>
      <c r="T1" s="486"/>
      <c r="U1" s="417" t="s">
        <v>240</v>
      </c>
      <c r="V1" s="417" t="s">
        <v>232</v>
      </c>
      <c r="W1" s="418" t="s">
        <v>96</v>
      </c>
      <c r="X1" s="419" t="s">
        <v>241</v>
      </c>
      <c r="Y1" s="419" t="s">
        <v>233</v>
      </c>
      <c r="Z1" s="420" t="s">
        <v>96</v>
      </c>
      <c r="AA1" s="421" t="s">
        <v>239</v>
      </c>
    </row>
    <row r="2" spans="1:27" s="9" customFormat="1" ht="13.5" customHeight="1" thickBot="1" x14ac:dyDescent="0.25">
      <c r="A2" s="468">
        <v>44986</v>
      </c>
      <c r="B2" s="469"/>
      <c r="C2" s="495" t="s">
        <v>9</v>
      </c>
      <c r="D2" s="496"/>
      <c r="E2" s="496"/>
      <c r="F2" s="496"/>
      <c r="G2" s="496"/>
      <c r="H2" s="496"/>
      <c r="I2" s="332"/>
      <c r="J2" s="468">
        <f>+A2</f>
        <v>44986</v>
      </c>
      <c r="K2" s="469"/>
      <c r="L2" s="490" t="s">
        <v>138</v>
      </c>
      <c r="M2" s="491"/>
      <c r="N2" s="491"/>
      <c r="O2" s="491"/>
      <c r="P2" s="491"/>
      <c r="Q2" s="491"/>
      <c r="R2" s="492"/>
      <c r="S2" s="468">
        <f>+J2</f>
        <v>44986</v>
      </c>
      <c r="T2" s="469"/>
      <c r="U2" s="487" t="s">
        <v>216</v>
      </c>
      <c r="V2" s="488"/>
      <c r="W2" s="488"/>
      <c r="X2" s="488"/>
      <c r="Y2" s="488"/>
      <c r="Z2" s="488"/>
      <c r="AA2" s="489"/>
    </row>
    <row r="3" spans="1:27" x14ac:dyDescent="0.2">
      <c r="A3" s="251"/>
      <c r="B3" s="252"/>
      <c r="C3" s="253"/>
      <c r="D3" s="254"/>
      <c r="E3" s="255"/>
      <c r="F3" s="310"/>
      <c r="G3" s="254"/>
      <c r="H3" s="348"/>
      <c r="I3" s="255"/>
      <c r="J3" s="256"/>
      <c r="K3" s="252"/>
      <c r="L3" s="263"/>
      <c r="N3" s="65"/>
      <c r="O3" s="251"/>
      <c r="P3" s="257"/>
      <c r="Q3" s="257"/>
      <c r="R3" s="252"/>
      <c r="S3" s="256"/>
      <c r="T3" s="252"/>
      <c r="U3" s="263"/>
      <c r="V3" s="2"/>
      <c r="W3" s="65"/>
      <c r="X3" s="251"/>
      <c r="Y3" s="257"/>
      <c r="Z3" s="257"/>
      <c r="AA3" s="252"/>
    </row>
    <row r="4" spans="1:27" x14ac:dyDescent="0.2">
      <c r="A4" s="258" t="s">
        <v>201</v>
      </c>
      <c r="B4" s="39"/>
      <c r="C4" s="259">
        <f>'[3]Aer Lingus'!$IH$19</f>
        <v>0</v>
      </c>
      <c r="D4" s="261">
        <f>'[3]Aer Lingus'!$HT$19</f>
        <v>0</v>
      </c>
      <c r="E4" s="262" t="e">
        <f>(C4-D4)/D4</f>
        <v>#DIV/0!</v>
      </c>
      <c r="F4" s="261">
        <f>SUM('[3]Aer Lingus'!$IF$19:$IH$19)</f>
        <v>0</v>
      </c>
      <c r="G4" s="261">
        <f>SUM('[3]Aer Lingus'!$HR$19:$HT$19)</f>
        <v>0</v>
      </c>
      <c r="H4" s="260" t="e">
        <f>(F4-G4)/G4</f>
        <v>#DIV/0!</v>
      </c>
      <c r="I4" s="262">
        <f>F4/$F$73</f>
        <v>0</v>
      </c>
      <c r="J4" s="258" t="s">
        <v>201</v>
      </c>
      <c r="K4" s="39"/>
      <c r="L4" s="259">
        <f>'[3]Aer Lingus'!$IH$41</f>
        <v>0</v>
      </c>
      <c r="M4" s="261">
        <f>'[3]Aer Lingus'!$HT$41</f>
        <v>0</v>
      </c>
      <c r="N4" s="262" t="e">
        <f>(L4-M4)/M4</f>
        <v>#DIV/0!</v>
      </c>
      <c r="O4" s="259">
        <f>SUM('[3]Aer Lingus'!$IF$41:$IH$41)</f>
        <v>0</v>
      </c>
      <c r="P4" s="261">
        <f>SUM('[3]Aer Lingus'!$HR$41:$HT$41)</f>
        <v>0</v>
      </c>
      <c r="Q4" s="260" t="e">
        <f>(O4-P4)/P4</f>
        <v>#DIV/0!</v>
      </c>
      <c r="R4" s="262">
        <f>O4/$O$73</f>
        <v>0</v>
      </c>
      <c r="S4" s="258" t="s">
        <v>201</v>
      </c>
      <c r="T4" s="39"/>
      <c r="U4" s="259">
        <f>'[3]Aer Lingus'!$IH$64</f>
        <v>0</v>
      </c>
      <c r="V4" s="261">
        <f>'[3]Aer Lingus'!$HT$64</f>
        <v>0</v>
      </c>
      <c r="W4" s="262" t="e">
        <f>(U4-V4)/V4</f>
        <v>#DIV/0!</v>
      </c>
      <c r="X4" s="259">
        <f>SUM('[3]Aer Lingus'!$IF$64:$IH$64)</f>
        <v>0</v>
      </c>
      <c r="Y4" s="261">
        <f>SUM('[3]Aer Lingus'!$HR$64:$HT$64)</f>
        <v>0</v>
      </c>
      <c r="Z4" s="260" t="e">
        <f>(X4-Y4)/Y4</f>
        <v>#DIV/0!</v>
      </c>
      <c r="AA4" s="262">
        <f>X4/$X$73</f>
        <v>0</v>
      </c>
    </row>
    <row r="5" spans="1:27" x14ac:dyDescent="0.2">
      <c r="A5" s="37"/>
      <c r="B5" s="39"/>
      <c r="C5" s="263"/>
      <c r="E5" s="65"/>
      <c r="F5" s="171"/>
      <c r="I5" s="65"/>
      <c r="J5" s="363"/>
      <c r="K5" s="39"/>
      <c r="L5" s="263"/>
      <c r="N5" s="65"/>
      <c r="O5" s="37"/>
      <c r="R5" s="39"/>
      <c r="S5" s="363"/>
      <c r="T5" s="39"/>
      <c r="U5" s="263"/>
      <c r="V5" s="2"/>
      <c r="W5" s="65"/>
      <c r="X5" s="37"/>
      <c r="AA5" s="39"/>
    </row>
    <row r="6" spans="1:27" ht="14.1" customHeight="1" x14ac:dyDescent="0.2">
      <c r="A6" s="258" t="s">
        <v>98</v>
      </c>
      <c r="B6" s="39"/>
      <c r="C6" s="259">
        <f>SUM(C7:C10)</f>
        <v>164</v>
      </c>
      <c r="D6" s="261">
        <f>SUM(D7:D10)</f>
        <v>114</v>
      </c>
      <c r="E6" s="262">
        <f>(C6-D6)/D6</f>
        <v>0.43859649122807015</v>
      </c>
      <c r="F6" s="259">
        <f>SUM(F7:F10)</f>
        <v>395</v>
      </c>
      <c r="G6" s="261">
        <f>SUM(G7:G10)</f>
        <v>210</v>
      </c>
      <c r="H6" s="260">
        <f>(F6-G6)/G6</f>
        <v>0.88095238095238093</v>
      </c>
      <c r="I6" s="262">
        <f>F6/$F$73</f>
        <v>5.9157418639828666E-3</v>
      </c>
      <c r="J6" s="258" t="s">
        <v>98</v>
      </c>
      <c r="K6" s="39"/>
      <c r="L6" s="259">
        <f>SUM(L7:L10)</f>
        <v>9051</v>
      </c>
      <c r="M6" s="261">
        <f>SUM(M7:M10)</f>
        <v>4473</v>
      </c>
      <c r="N6" s="262">
        <f>(L6-M6)/M6</f>
        <v>1.0234741784037558</v>
      </c>
      <c r="O6" s="259">
        <f>SUM(O7:O10)</f>
        <v>21516</v>
      </c>
      <c r="P6" s="261">
        <f>SUM(P7:P10)</f>
        <v>7489</v>
      </c>
      <c r="Q6" s="260">
        <f>(O6-P6)/P6</f>
        <v>1.8730137535051408</v>
      </c>
      <c r="R6" s="262">
        <f>O6/$O$73</f>
        <v>2.884545773864267E-3</v>
      </c>
      <c r="S6" s="258" t="s">
        <v>98</v>
      </c>
      <c r="T6" s="39"/>
      <c r="U6" s="259">
        <f>SUM(U7:U10)</f>
        <v>2880</v>
      </c>
      <c r="V6" s="261">
        <f>SUM(V7:V10)</f>
        <v>3272</v>
      </c>
      <c r="W6" s="262">
        <f>(U6-V6)/V6</f>
        <v>-0.11980440097799511</v>
      </c>
      <c r="X6" s="259">
        <f>SUM(X7:X10)</f>
        <v>7530</v>
      </c>
      <c r="Y6" s="261">
        <f>SUM(Y7:Y10)</f>
        <v>3272</v>
      </c>
      <c r="Z6" s="260">
        <f>(X6-Y6)/Y6</f>
        <v>1.3013447432762837</v>
      </c>
      <c r="AA6" s="262">
        <f>X6/$X$73</f>
        <v>3.5831717694030538E-4</v>
      </c>
    </row>
    <row r="7" spans="1:27" ht="14.1" customHeight="1" x14ac:dyDescent="0.2">
      <c r="A7" s="258"/>
      <c r="B7" s="318" t="s">
        <v>98</v>
      </c>
      <c r="C7" s="263">
        <f>+[3]AirCanada!$IH$19</f>
        <v>0</v>
      </c>
      <c r="D7" s="2">
        <f>+[3]AirCanada!$HT$19</f>
        <v>0</v>
      </c>
      <c r="E7" s="65" t="e">
        <f>(C7-D7)/D7</f>
        <v>#DIV/0!</v>
      </c>
      <c r="F7" s="217">
        <f>SUM([3]AirCanada!$IF$19:$IH$19)</f>
        <v>0</v>
      </c>
      <c r="G7" s="217">
        <f>SUM([3]AirCanada!$HR$19:$HT$19)</f>
        <v>0</v>
      </c>
      <c r="H7" s="323" t="e">
        <f>(F7-G7)/G7</f>
        <v>#DIV/0!</v>
      </c>
      <c r="I7" s="65">
        <f>F7/$F$73</f>
        <v>0</v>
      </c>
      <c r="J7" s="258"/>
      <c r="K7" s="318" t="s">
        <v>98</v>
      </c>
      <c r="L7" s="322">
        <f>+[3]AirCanada!$IH$41</f>
        <v>0</v>
      </c>
      <c r="M7" s="217">
        <f>+[3]AirCanada!$HT$41</f>
        <v>0</v>
      </c>
      <c r="N7" s="324" t="e">
        <f>(L7-M7)/M7</f>
        <v>#DIV/0!</v>
      </c>
      <c r="O7" s="322">
        <f>SUM([3]AirCanada!$IF$41:$IH$41)</f>
        <v>0</v>
      </c>
      <c r="P7" s="217">
        <f>SUM([3]AirCanada!$HR$41:$HT$41)</f>
        <v>0</v>
      </c>
      <c r="Q7" s="323" t="e">
        <f>(O7-P7)/P7</f>
        <v>#DIV/0!</v>
      </c>
      <c r="R7" s="324">
        <f>O7/$O$73</f>
        <v>0</v>
      </c>
      <c r="S7" s="258"/>
      <c r="T7" s="318" t="s">
        <v>98</v>
      </c>
      <c r="U7" s="322">
        <f>+[3]AirCanada!$IH$64</f>
        <v>0</v>
      </c>
      <c r="V7" s="217">
        <f>+[3]AirCanada!$HT$64</f>
        <v>0</v>
      </c>
      <c r="W7" s="324" t="e">
        <f>(U7-V7)/V7</f>
        <v>#DIV/0!</v>
      </c>
      <c r="X7" s="322">
        <f>SUM([3]AirCanada!$IF$64:$IH$64)</f>
        <v>0</v>
      </c>
      <c r="Y7" s="217">
        <f>SUM([3]AirCanada!$HR$64:$HT$64)</f>
        <v>0</v>
      </c>
      <c r="Z7" s="323" t="e">
        <f>(X7-Y7)/Y7</f>
        <v>#DIV/0!</v>
      </c>
      <c r="AA7" s="324">
        <f>X7/$X$73</f>
        <v>0</v>
      </c>
    </row>
    <row r="8" spans="1:27" ht="14.1" customHeight="1" x14ac:dyDescent="0.2">
      <c r="A8" s="258"/>
      <c r="B8" s="318" t="s">
        <v>164</v>
      </c>
      <c r="C8" s="263">
        <f>'[3]Air Georgian'!$IH$19</f>
        <v>0</v>
      </c>
      <c r="D8" s="2">
        <f>'[3]Air Georgian'!$HT$19</f>
        <v>0</v>
      </c>
      <c r="E8" s="65" t="e">
        <f>(C8-D8)/D8</f>
        <v>#DIV/0!</v>
      </c>
      <c r="F8" s="217">
        <f>SUM('[3]Air Georgian'!$IF$19:$IH$19)</f>
        <v>0</v>
      </c>
      <c r="G8" s="217">
        <f>SUM('[3]Air Georgian'!$HR$19:$HT$19)</f>
        <v>0</v>
      </c>
      <c r="H8" s="323" t="e">
        <f>(F8-G8)/G8</f>
        <v>#DIV/0!</v>
      </c>
      <c r="I8" s="65">
        <f>F8/$F$73</f>
        <v>0</v>
      </c>
      <c r="J8" s="258"/>
      <c r="K8" s="318" t="s">
        <v>164</v>
      </c>
      <c r="L8" s="263">
        <f>'[3]Air Georgian'!$IH$41</f>
        <v>0</v>
      </c>
      <c r="M8" s="2">
        <f>'[3]Air Georgian'!$HT$41</f>
        <v>0</v>
      </c>
      <c r="N8" s="65" t="e">
        <f>(L8-M8)/M8</f>
        <v>#DIV/0!</v>
      </c>
      <c r="O8" s="263">
        <f>SUM('[3]Air Georgian'!$IF$41:$IH$41)</f>
        <v>0</v>
      </c>
      <c r="P8" s="2">
        <f>SUM('[3]Air Georgian'!$HR$41:$HT$41)</f>
        <v>0</v>
      </c>
      <c r="Q8" s="3" t="e">
        <f>(O8-P8)/P8</f>
        <v>#DIV/0!</v>
      </c>
      <c r="R8" s="65">
        <f>O8/$O$73</f>
        <v>0</v>
      </c>
      <c r="S8" s="258"/>
      <c r="T8" s="318" t="s">
        <v>164</v>
      </c>
      <c r="U8" s="263">
        <f>'[3]Air Georgian'!$IH$64</f>
        <v>0</v>
      </c>
      <c r="V8" s="2">
        <f>'[3]Air Georgian'!$HT$64</f>
        <v>0</v>
      </c>
      <c r="W8" s="65" t="e">
        <f>(U8-V8)/V8</f>
        <v>#DIV/0!</v>
      </c>
      <c r="X8" s="263">
        <f>SUM('[3]Air Georgian'!$IF$64:$IH$64)</f>
        <v>0</v>
      </c>
      <c r="Y8" s="2">
        <f>SUM('[3]Air Georgian'!$HR$64:$HT$64)</f>
        <v>0</v>
      </c>
      <c r="Z8" s="3" t="e">
        <f>(X8-Y8)/Y8</f>
        <v>#DIV/0!</v>
      </c>
      <c r="AA8" s="65">
        <f>X8/$X$73</f>
        <v>0</v>
      </c>
    </row>
    <row r="9" spans="1:27" ht="14.1" customHeight="1" x14ac:dyDescent="0.2">
      <c r="A9" s="258"/>
      <c r="B9" s="318" t="s">
        <v>224</v>
      </c>
      <c r="C9" s="263">
        <f>[3]Jazz_AC!$IH$19</f>
        <v>164</v>
      </c>
      <c r="D9" s="2">
        <f>[3]Jazz_AC!$HT$19</f>
        <v>114</v>
      </c>
      <c r="E9" s="65">
        <f t="shared" ref="E9" si="0">(C9-D9)/D9</f>
        <v>0.43859649122807015</v>
      </c>
      <c r="F9" s="2">
        <f>SUM([3]Jazz_AC!$IF$19:$IH$19)</f>
        <v>395</v>
      </c>
      <c r="G9" s="2">
        <f>SUM([3]Jazz_AC!$HR$19:$HT$19)</f>
        <v>210</v>
      </c>
      <c r="H9" s="3">
        <f t="shared" ref="H9" si="1">(F9-G9)/G9</f>
        <v>0.88095238095238093</v>
      </c>
      <c r="I9" s="65">
        <f t="shared" ref="I9" si="2">F9/$F$73</f>
        <v>5.9157418639828666E-3</v>
      </c>
      <c r="J9" s="258"/>
      <c r="K9" s="318" t="s">
        <v>224</v>
      </c>
      <c r="L9" s="263">
        <f>[3]Jazz_AC!$IH$41</f>
        <v>9051</v>
      </c>
      <c r="M9" s="2">
        <f>[3]Jazz_AC!$HT$41</f>
        <v>4473</v>
      </c>
      <c r="N9" s="65">
        <f t="shared" ref="N9" si="3">(L9-M9)/M9</f>
        <v>1.0234741784037558</v>
      </c>
      <c r="O9" s="263">
        <f>SUM([3]Jazz_AC!$IF$41:$IH$41)</f>
        <v>21516</v>
      </c>
      <c r="P9" s="2">
        <f>SUM([3]Jazz_AC!$HR$41:$HT$41)</f>
        <v>7489</v>
      </c>
      <c r="Q9" s="3">
        <f t="shared" ref="Q9" si="4">(O9-P9)/P9</f>
        <v>1.8730137535051408</v>
      </c>
      <c r="R9" s="65">
        <f t="shared" ref="R9" si="5">O9/$O$73</f>
        <v>2.884545773864267E-3</v>
      </c>
      <c r="S9" s="258"/>
      <c r="T9" s="318" t="s">
        <v>224</v>
      </c>
      <c r="U9" s="263">
        <f>[3]Jazz_AC!$IH$64</f>
        <v>2880</v>
      </c>
      <c r="V9" s="2">
        <f>[3]Jazz_AC!$HT$64</f>
        <v>3272</v>
      </c>
      <c r="W9" s="65">
        <f t="shared" ref="W9" si="6">(U9-V9)/V9</f>
        <v>-0.11980440097799511</v>
      </c>
      <c r="X9" s="263">
        <f>SUM([3]Jazz_AC!$IF$64:$IH$64)</f>
        <v>7530</v>
      </c>
      <c r="Y9" s="2">
        <f>SUM([3]Jazz_AC!$HR$64:$HT$64)</f>
        <v>3272</v>
      </c>
      <c r="Z9" s="3">
        <f t="shared" ref="Z9" si="7">(X9-Y9)/Y9</f>
        <v>1.3013447432762837</v>
      </c>
      <c r="AA9" s="65">
        <f t="shared" ref="AA9" si="8">X9/$X$73</f>
        <v>3.5831717694030538E-4</v>
      </c>
    </row>
    <row r="10" spans="1:27" ht="14.1" customHeight="1" x14ac:dyDescent="0.2">
      <c r="A10" s="258"/>
      <c r="B10" s="318" t="s">
        <v>190</v>
      </c>
      <c r="C10" s="263">
        <f>'[3]Sky Regional'!$IH$19</f>
        <v>0</v>
      </c>
      <c r="D10" s="2">
        <f>'[3]Sky Regional'!$HT$19</f>
        <v>0</v>
      </c>
      <c r="E10" s="65" t="e">
        <f>(C10-D10)/D10</f>
        <v>#DIV/0!</v>
      </c>
      <c r="F10" s="217">
        <f>SUM('[3]Sky Regional'!$IF$19:$IH$19)</f>
        <v>0</v>
      </c>
      <c r="G10" s="217">
        <f>SUM('[3]Sky Regional'!$HR$19:$HT$19)</f>
        <v>0</v>
      </c>
      <c r="H10" s="323" t="e">
        <f>(F10-G10)/G10</f>
        <v>#DIV/0!</v>
      </c>
      <c r="I10" s="65">
        <f>F10/$F$73</f>
        <v>0</v>
      </c>
      <c r="J10" s="258"/>
      <c r="K10" s="318" t="s">
        <v>190</v>
      </c>
      <c r="L10" s="263">
        <f>'[3]Sky Regional'!$IH$41</f>
        <v>0</v>
      </c>
      <c r="M10" s="2">
        <f>'[3]Sky Regional'!$HT$41</f>
        <v>0</v>
      </c>
      <c r="N10" s="65" t="e">
        <f>(L10-M10)/M10</f>
        <v>#DIV/0!</v>
      </c>
      <c r="O10" s="263">
        <f>SUM('[3]Sky Regional'!$IF$41:$IH$41)</f>
        <v>0</v>
      </c>
      <c r="P10" s="2">
        <f>SUM('[3]Sky Regional'!$HR$41:$HT$41)</f>
        <v>0</v>
      </c>
      <c r="Q10" s="3" t="e">
        <f>(O10-P10)/P10</f>
        <v>#DIV/0!</v>
      </c>
      <c r="R10" s="65">
        <f>O10/$O$73</f>
        <v>0</v>
      </c>
      <c r="S10" s="258"/>
      <c r="T10" s="318" t="s">
        <v>190</v>
      </c>
      <c r="U10" s="263">
        <f>'[3]Sky Regional'!$IH$64</f>
        <v>0</v>
      </c>
      <c r="V10" s="2">
        <f>'[3]Sky Regional'!$HT$64</f>
        <v>0</v>
      </c>
      <c r="W10" s="65" t="e">
        <f>(U10-V10)/V10</f>
        <v>#DIV/0!</v>
      </c>
      <c r="X10" s="263">
        <f>SUM('[3]Sky Regional'!$IF$64:$IH$64)</f>
        <v>0</v>
      </c>
      <c r="Y10" s="2">
        <f>SUM('[3]Sky Regional'!$HR$64:$HT$64)</f>
        <v>0</v>
      </c>
      <c r="Z10" s="3" t="e">
        <f>(X10-Y10)/Y10</f>
        <v>#DIV/0!</v>
      </c>
      <c r="AA10" s="65">
        <f>X10/$X$73</f>
        <v>0</v>
      </c>
    </row>
    <row r="11" spans="1:27" ht="14.1" customHeight="1" x14ac:dyDescent="0.2">
      <c r="A11" s="258"/>
      <c r="B11" s="39"/>
      <c r="C11" s="259"/>
      <c r="D11" s="261"/>
      <c r="E11" s="262"/>
      <c r="F11" s="261"/>
      <c r="G11" s="261"/>
      <c r="H11" s="260"/>
      <c r="I11" s="262"/>
      <c r="J11" s="258"/>
      <c r="K11" s="39"/>
      <c r="L11" s="263"/>
      <c r="N11" s="65"/>
      <c r="O11" s="263"/>
      <c r="P11" s="2"/>
      <c r="Q11" s="3"/>
      <c r="R11" s="65"/>
      <c r="S11" s="258"/>
      <c r="T11" s="39"/>
      <c r="U11" s="263"/>
      <c r="V11" s="2"/>
      <c r="W11" s="65"/>
      <c r="X11" s="263"/>
      <c r="Y11" s="2"/>
      <c r="Z11" s="3"/>
      <c r="AA11" s="65"/>
    </row>
    <row r="12" spans="1:27" ht="14.1" customHeight="1" x14ac:dyDescent="0.2">
      <c r="A12" s="258" t="s">
        <v>177</v>
      </c>
      <c r="B12" s="39"/>
      <c r="C12" s="259">
        <f>'[3]Air Choice One'!$IH$19</f>
        <v>0</v>
      </c>
      <c r="D12" s="261">
        <f>'[3]Air Choice One'!$HT$19</f>
        <v>0</v>
      </c>
      <c r="E12" s="262" t="e">
        <f>(C12-D12)/D12</f>
        <v>#DIV/0!</v>
      </c>
      <c r="F12" s="261">
        <f>SUM('[3]Air Choice One'!$IF$19:$IH$19)</f>
        <v>0</v>
      </c>
      <c r="G12" s="261">
        <f>SUM('[3]Air Choice One'!$HR$19:$HT$19)</f>
        <v>0</v>
      </c>
      <c r="H12" s="260" t="e">
        <f>(F12-G12)/G12</f>
        <v>#DIV/0!</v>
      </c>
      <c r="I12" s="262">
        <f>F12/$F$73</f>
        <v>0</v>
      </c>
      <c r="J12" s="258" t="s">
        <v>177</v>
      </c>
      <c r="K12" s="39"/>
      <c r="L12" s="259">
        <f>'[3]Air Choice One'!$IH$41</f>
        <v>0</v>
      </c>
      <c r="M12" s="261">
        <f>'[3]Air Choice One'!$HT$41</f>
        <v>0</v>
      </c>
      <c r="N12" s="262" t="e">
        <f>(L12-M12)/M12</f>
        <v>#DIV/0!</v>
      </c>
      <c r="O12" s="259">
        <f>SUM('[3]Air Choice One'!$IF$41:$IH$41)</f>
        <v>0</v>
      </c>
      <c r="P12" s="261">
        <f>SUM('[3]Air Choice One'!$HR$41:$HT$41)</f>
        <v>0</v>
      </c>
      <c r="Q12" s="260" t="e">
        <f>(O12-P12)/P12</f>
        <v>#DIV/0!</v>
      </c>
      <c r="R12" s="262">
        <f>O12/$O$73</f>
        <v>0</v>
      </c>
      <c r="S12" s="258" t="s">
        <v>177</v>
      </c>
      <c r="T12" s="39"/>
      <c r="U12" s="259">
        <f>'[3]Air Choice One'!$IH$64</f>
        <v>0</v>
      </c>
      <c r="V12" s="261">
        <f>'[3]Air Choice One'!$HT$64</f>
        <v>0</v>
      </c>
      <c r="W12" s="262" t="e">
        <f>(U12-V12)/V12</f>
        <v>#DIV/0!</v>
      </c>
      <c r="X12" s="259">
        <f>SUM('[3]Air Choice One'!$IF$64:$IH$64)</f>
        <v>0</v>
      </c>
      <c r="Y12" s="261">
        <f>SUM('[3]Air Choice One'!$HR$64:$HT$64)</f>
        <v>0</v>
      </c>
      <c r="Z12" s="260" t="e">
        <f>(X12-Y12)/Y12</f>
        <v>#DIV/0!</v>
      </c>
      <c r="AA12" s="262">
        <f>X12/$X$73</f>
        <v>0</v>
      </c>
    </row>
    <row r="13" spans="1:27" ht="14.1" customHeight="1" x14ac:dyDescent="0.2">
      <c r="A13" s="258"/>
      <c r="B13" s="39"/>
      <c r="C13" s="259"/>
      <c r="D13" s="261"/>
      <c r="E13" s="262"/>
      <c r="F13" s="261"/>
      <c r="G13" s="261"/>
      <c r="H13" s="260"/>
      <c r="I13" s="262"/>
      <c r="J13" s="258"/>
      <c r="K13" s="39"/>
      <c r="L13" s="263"/>
      <c r="N13" s="65"/>
      <c r="O13" s="263"/>
      <c r="P13" s="2"/>
      <c r="Q13" s="3"/>
      <c r="R13" s="65"/>
      <c r="S13" s="258"/>
      <c r="T13" s="39"/>
      <c r="U13" s="263"/>
      <c r="V13" s="2"/>
      <c r="W13" s="65"/>
      <c r="X13" s="263"/>
      <c r="Y13" s="2"/>
      <c r="Z13" s="3"/>
      <c r="AA13" s="65"/>
    </row>
    <row r="14" spans="1:27" ht="14.1" customHeight="1" x14ac:dyDescent="0.2">
      <c r="A14" s="258" t="s">
        <v>156</v>
      </c>
      <c r="B14" s="39"/>
      <c r="C14" s="259">
        <f>'[3]Air France'!$IH$19</f>
        <v>0</v>
      </c>
      <c r="D14" s="261">
        <f>'[3]Air France'!$HT$19</f>
        <v>0</v>
      </c>
      <c r="E14" s="262" t="e">
        <f>(C14-D14)/D14</f>
        <v>#DIV/0!</v>
      </c>
      <c r="F14" s="261">
        <f>SUM('[3]Air France'!$IF$19:$IH$19)</f>
        <v>0</v>
      </c>
      <c r="G14" s="261">
        <f>SUM('[3]Air France'!$HR$19:$HT$19)</f>
        <v>0</v>
      </c>
      <c r="H14" s="260" t="e">
        <f>(F14-G14)/G14</f>
        <v>#DIV/0!</v>
      </c>
      <c r="I14" s="262">
        <f>F14/$F$73</f>
        <v>0</v>
      </c>
      <c r="J14" s="258" t="s">
        <v>156</v>
      </c>
      <c r="K14" s="39"/>
      <c r="L14" s="259">
        <f>'[3]Air France'!$IH$41</f>
        <v>0</v>
      </c>
      <c r="M14" s="261">
        <f>'[3]Air France'!$HT$41</f>
        <v>0</v>
      </c>
      <c r="N14" s="262" t="e">
        <f>(L14-M14)/M14</f>
        <v>#DIV/0!</v>
      </c>
      <c r="O14" s="259">
        <f>SUM('[3]Air France'!$IF$41:$IH$41)</f>
        <v>0</v>
      </c>
      <c r="P14" s="261">
        <f>SUM('[3]Air France'!$HR$41:$HT$41)</f>
        <v>0</v>
      </c>
      <c r="Q14" s="260" t="e">
        <f>(O14-P14)/P14</f>
        <v>#DIV/0!</v>
      </c>
      <c r="R14" s="262">
        <f>O14/$O$73</f>
        <v>0</v>
      </c>
      <c r="S14" s="258" t="s">
        <v>156</v>
      </c>
      <c r="T14" s="39"/>
      <c r="U14" s="259">
        <f>'[3]Air France'!$IH$64</f>
        <v>0</v>
      </c>
      <c r="V14" s="261">
        <f>'[3]Air France'!$HT$64</f>
        <v>0</v>
      </c>
      <c r="W14" s="262" t="e">
        <f>(U14-V14)/V14</f>
        <v>#DIV/0!</v>
      </c>
      <c r="X14" s="259">
        <f>SUM('[3]Air France'!$IF$64:$IH$64)</f>
        <v>0</v>
      </c>
      <c r="Y14" s="261">
        <f>SUM('[3]Air France'!$HR$64:$HT$64)</f>
        <v>0</v>
      </c>
      <c r="Z14" s="260" t="e">
        <f>(X14-Y14)/Y14</f>
        <v>#DIV/0!</v>
      </c>
      <c r="AA14" s="262">
        <f>X14/$X$73</f>
        <v>0</v>
      </c>
    </row>
    <row r="15" spans="1:27" ht="14.1" customHeight="1" x14ac:dyDescent="0.2">
      <c r="A15" s="258"/>
      <c r="B15" s="39"/>
      <c r="C15" s="259"/>
      <c r="D15" s="261"/>
      <c r="E15" s="262"/>
      <c r="F15" s="261"/>
      <c r="G15" s="261"/>
      <c r="H15" s="260"/>
      <c r="I15" s="262"/>
      <c r="J15" s="258"/>
      <c r="K15" s="39"/>
      <c r="L15" s="263"/>
      <c r="N15" s="65"/>
      <c r="O15" s="263"/>
      <c r="P15" s="2"/>
      <c r="Q15" s="3"/>
      <c r="R15" s="65"/>
      <c r="S15" s="258"/>
      <c r="T15" s="39"/>
      <c r="U15" s="263"/>
      <c r="V15" s="2"/>
      <c r="W15" s="65"/>
      <c r="X15" s="263"/>
      <c r="Y15" s="2"/>
      <c r="Z15" s="3"/>
      <c r="AA15" s="65"/>
    </row>
    <row r="16" spans="1:27" ht="14.1" customHeight="1" x14ac:dyDescent="0.2">
      <c r="A16" s="258" t="s">
        <v>225</v>
      </c>
      <c r="B16" s="39"/>
      <c r="C16" s="263">
        <f>'[3]Allegiant '!$IH$19</f>
        <v>126</v>
      </c>
      <c r="D16" s="2">
        <f>'[3]Allegiant '!$HT$19</f>
        <v>116</v>
      </c>
      <c r="E16" s="65">
        <f t="shared" ref="E16" si="9">(C16-D16)/D16</f>
        <v>8.6206896551724144E-2</v>
      </c>
      <c r="F16" s="2">
        <f>SUM('[3]Allegiant '!$IF$19:$IH$19)</f>
        <v>288</v>
      </c>
      <c r="G16" s="2">
        <f>SUM('[3]Allegiant '!$HR$19:$HT$19)</f>
        <v>292</v>
      </c>
      <c r="H16" s="3">
        <f t="shared" ref="H16" si="10">(F16-G16)/G16</f>
        <v>-1.3698630136986301E-2</v>
      </c>
      <c r="I16" s="65">
        <f t="shared" ref="I16" si="11">F16/$F$73</f>
        <v>4.3132497641191533E-3</v>
      </c>
      <c r="J16" s="258" t="s">
        <v>225</v>
      </c>
      <c r="K16" s="39"/>
      <c r="L16" s="263">
        <f>'[3]Allegiant '!$IH$41</f>
        <v>19528</v>
      </c>
      <c r="M16" s="2">
        <f>'[3]Allegiant '!$HT$41</f>
        <v>17318</v>
      </c>
      <c r="N16" s="65">
        <f t="shared" ref="N16" si="12">(L16-M16)/M16</f>
        <v>0.12761288832428688</v>
      </c>
      <c r="O16" s="263">
        <f>SUM('[3]Allegiant '!$IF$41:$IH$41)</f>
        <v>44432</v>
      </c>
      <c r="P16" s="2">
        <f>SUM('[3]Allegiant '!$HR$41:$HT$41)</f>
        <v>36636</v>
      </c>
      <c r="Q16" s="3">
        <f t="shared" ref="Q16" si="13">(O16-P16)/P16</f>
        <v>0.21279615678567529</v>
      </c>
      <c r="R16" s="65">
        <f t="shared" ref="R16" si="14">O16/$O$73</f>
        <v>5.9567827581491501E-3</v>
      </c>
      <c r="S16" s="258" t="s">
        <v>225</v>
      </c>
      <c r="T16" s="39"/>
      <c r="U16" s="263">
        <f>'[3]Allegiant '!$IH$64</f>
        <v>0</v>
      </c>
      <c r="V16" s="2">
        <f>'[3]Allegiant '!$HT$64</f>
        <v>0</v>
      </c>
      <c r="W16" s="65" t="e">
        <f t="shared" ref="W16" si="15">(U16-V16)/V16</f>
        <v>#DIV/0!</v>
      </c>
      <c r="X16" s="263">
        <f>SUM('[3]Allegiant '!$IF$64:$IH$64)</f>
        <v>0</v>
      </c>
      <c r="Y16" s="2">
        <f>SUM('[3]Allegiant '!$HR$64:$HT$64)</f>
        <v>0</v>
      </c>
      <c r="Z16" s="3" t="e">
        <f t="shared" ref="Z16" si="16">(X16-Y16)/Y16</f>
        <v>#DIV/0!</v>
      </c>
      <c r="AA16" s="65">
        <f t="shared" ref="AA16" si="17">X16/$X$73</f>
        <v>0</v>
      </c>
    </row>
    <row r="17" spans="1:27" ht="14.1" customHeight="1" x14ac:dyDescent="0.2">
      <c r="A17" s="258"/>
      <c r="B17" s="39"/>
      <c r="C17" s="259"/>
      <c r="D17" s="261"/>
      <c r="E17" s="262"/>
      <c r="F17" s="261"/>
      <c r="G17" s="261"/>
      <c r="H17" s="260"/>
      <c r="I17" s="262"/>
      <c r="J17" s="258"/>
      <c r="K17" s="39"/>
      <c r="L17" s="263"/>
      <c r="N17" s="65"/>
      <c r="O17" s="263"/>
      <c r="P17" s="2"/>
      <c r="Q17" s="3"/>
      <c r="R17" s="65"/>
      <c r="S17" s="258"/>
      <c r="T17" s="39"/>
      <c r="U17" s="263"/>
      <c r="V17" s="2"/>
      <c r="W17" s="65"/>
      <c r="X17" s="263"/>
      <c r="Y17" s="2"/>
      <c r="Z17" s="3"/>
      <c r="AA17" s="65"/>
    </row>
    <row r="18" spans="1:27" ht="14.1" customHeight="1" x14ac:dyDescent="0.2">
      <c r="A18" s="258" t="s">
        <v>128</v>
      </c>
      <c r="B18" s="39"/>
      <c r="C18" s="259">
        <f>SUM(C19:C21)</f>
        <v>109</v>
      </c>
      <c r="D18" s="261">
        <f>SUM(D19:D21)</f>
        <v>123</v>
      </c>
      <c r="E18" s="262">
        <f>(C18-D18)/D18</f>
        <v>-0.11382113821138211</v>
      </c>
      <c r="F18" s="261">
        <f>SUM(F19:F21)</f>
        <v>299</v>
      </c>
      <c r="G18" s="261">
        <f>SUM(G19:G21)</f>
        <v>369</v>
      </c>
      <c r="H18" s="260">
        <f>(F18-G18)/G18</f>
        <v>-0.18970189701897019</v>
      </c>
      <c r="I18" s="262">
        <f>F18/$F$73</f>
        <v>4.4779919426098155E-3</v>
      </c>
      <c r="J18" s="258" t="s">
        <v>128</v>
      </c>
      <c r="K18" s="39"/>
      <c r="L18" s="259">
        <f>SUM(L19:L21)</f>
        <v>16251</v>
      </c>
      <c r="M18" s="261">
        <f>SUM(M19:M21)</f>
        <v>17093</v>
      </c>
      <c r="N18" s="262">
        <f>(L18-M18)/M18</f>
        <v>-4.9259930965892471E-2</v>
      </c>
      <c r="O18" s="259">
        <f>SUM(O19:O21)</f>
        <v>41499</v>
      </c>
      <c r="P18" s="261">
        <f>SUM(P19:P21)</f>
        <v>40953</v>
      </c>
      <c r="Q18" s="260">
        <f>(O18-P18)/P18</f>
        <v>1.3332356603911801E-2</v>
      </c>
      <c r="R18" s="262">
        <f>O18/$O$73</f>
        <v>5.56356967231796E-3</v>
      </c>
      <c r="S18" s="258" t="s">
        <v>128</v>
      </c>
      <c r="T18" s="39"/>
      <c r="U18" s="259">
        <f>SUM(U19:U21)</f>
        <v>39349</v>
      </c>
      <c r="V18" s="261">
        <f>SUM(V19:V21)</f>
        <v>28827</v>
      </c>
      <c r="W18" s="262">
        <f>(U18-V18)/V18</f>
        <v>0.36500503000659107</v>
      </c>
      <c r="X18" s="259">
        <f>SUM(X19:X21)</f>
        <v>73531</v>
      </c>
      <c r="Y18" s="261">
        <f>SUM(Y19:Y21)</f>
        <v>60142</v>
      </c>
      <c r="Z18" s="260">
        <f>(X18-Y18)/Y18</f>
        <v>0.22262312527019387</v>
      </c>
      <c r="AA18" s="262">
        <f>X18/$X$73</f>
        <v>3.4989934047274362E-3</v>
      </c>
    </row>
    <row r="19" spans="1:27" ht="14.1" customHeight="1" x14ac:dyDescent="0.2">
      <c r="A19" s="258"/>
      <c r="B19" s="318" t="s">
        <v>128</v>
      </c>
      <c r="C19" s="322">
        <f>[3]Alaska!$IH$19</f>
        <v>109</v>
      </c>
      <c r="D19" s="217">
        <f>[3]Alaska!$HT$19</f>
        <v>123</v>
      </c>
      <c r="E19" s="324">
        <f>(C19-D19)/D19</f>
        <v>-0.11382113821138211</v>
      </c>
      <c r="F19" s="217">
        <f>SUM([3]Alaska!$IF$19:$IH$19)</f>
        <v>299</v>
      </c>
      <c r="G19" s="217">
        <f>SUM([3]Alaska!$HR$19:$HT$19)</f>
        <v>311</v>
      </c>
      <c r="H19" s="323">
        <f>(F19-G19)/G19</f>
        <v>-3.8585209003215437E-2</v>
      </c>
      <c r="I19" s="324">
        <f>F19/$F$73</f>
        <v>4.4779919426098155E-3</v>
      </c>
      <c r="J19" s="258"/>
      <c r="K19" s="318" t="s">
        <v>128</v>
      </c>
      <c r="L19" s="322">
        <f>[3]Alaska!$IH$41</f>
        <v>16251</v>
      </c>
      <c r="M19" s="217">
        <f>[3]Alaska!$HT$41</f>
        <v>17093</v>
      </c>
      <c r="N19" s="324">
        <f>(L19-M19)/M19</f>
        <v>-4.9259930965892471E-2</v>
      </c>
      <c r="O19" s="322">
        <f>SUM([3]Alaska!$IF$41:$IH$41)</f>
        <v>41499</v>
      </c>
      <c r="P19" s="217">
        <f>SUM([3]Alaska!$HR$41:$HT$41)</f>
        <v>37913</v>
      </c>
      <c r="Q19" s="323">
        <f>(O19-P19)/P19</f>
        <v>9.4584970854324379E-2</v>
      </c>
      <c r="R19" s="324">
        <f>O19/$O$73</f>
        <v>5.56356967231796E-3</v>
      </c>
      <c r="S19" s="258"/>
      <c r="T19" s="318" t="s">
        <v>128</v>
      </c>
      <c r="U19" s="322">
        <f>[3]Alaska!$IH$64</f>
        <v>39349</v>
      </c>
      <c r="V19" s="217">
        <f>[3]Alaska!$HT$64</f>
        <v>28827</v>
      </c>
      <c r="W19" s="324">
        <f>(U19-V19)/V19</f>
        <v>0.36500503000659107</v>
      </c>
      <c r="X19" s="322">
        <f>SUM([3]Alaska!$IF$64:$IH$64)</f>
        <v>73531</v>
      </c>
      <c r="Y19" s="217">
        <f>SUM([3]Alaska!$HR$64:$HT$64)</f>
        <v>54669</v>
      </c>
      <c r="Z19" s="323">
        <f>(X19-Y19)/Y19</f>
        <v>0.34502185882309899</v>
      </c>
      <c r="AA19" s="324">
        <f>X19/$X$73</f>
        <v>3.4989934047274362E-3</v>
      </c>
    </row>
    <row r="20" spans="1:27" ht="14.1" customHeight="1" x14ac:dyDescent="0.2">
      <c r="A20" s="258"/>
      <c r="B20" s="318" t="s">
        <v>97</v>
      </c>
      <c r="C20" s="263">
        <f>'[3]Sky West_AS'!$IH$19</f>
        <v>0</v>
      </c>
      <c r="D20" s="2">
        <f>'[3]Sky West_AS'!$HT$19</f>
        <v>0</v>
      </c>
      <c r="E20" s="65" t="e">
        <f>(C20-D20)/D20</f>
        <v>#DIV/0!</v>
      </c>
      <c r="F20" s="2">
        <f>SUM('[3]Sky West_AS'!$IF$19:$IH$19)</f>
        <v>0</v>
      </c>
      <c r="G20" s="2">
        <f>SUM('[3]Sky West_AS'!$HR$19:$HT$19)</f>
        <v>54</v>
      </c>
      <c r="H20" s="3">
        <f>(F20-G20)/G20</f>
        <v>-1</v>
      </c>
      <c r="I20" s="65">
        <f>F20/$F$73</f>
        <v>0</v>
      </c>
      <c r="J20" s="258"/>
      <c r="K20" s="318" t="s">
        <v>97</v>
      </c>
      <c r="L20" s="263">
        <f>'[3]Sky West_AS'!$IH$41</f>
        <v>0</v>
      </c>
      <c r="M20" s="2">
        <f>'[3]Sky West_AS'!$HT$41</f>
        <v>0</v>
      </c>
      <c r="N20" s="65" t="e">
        <f>(L20-M20)/M20</f>
        <v>#DIV/0!</v>
      </c>
      <c r="O20" s="263">
        <f>SUM('[3]Sky West_AS'!$IF$41:$IH$41)</f>
        <v>0</v>
      </c>
      <c r="P20" s="2">
        <f>SUM('[3]Sky West_AS'!$HR$41:$HT$41)</f>
        <v>2767</v>
      </c>
      <c r="Q20" s="3">
        <f>(O20-P20)/P20</f>
        <v>-1</v>
      </c>
      <c r="R20" s="324">
        <f>O20/$O$73</f>
        <v>0</v>
      </c>
      <c r="S20" s="258"/>
      <c r="T20" s="318" t="s">
        <v>97</v>
      </c>
      <c r="U20" s="263">
        <f>'[3]Sky West_AS'!$IH$64</f>
        <v>0</v>
      </c>
      <c r="V20" s="2">
        <f>'[3]Sky West_AS'!$HT$64</f>
        <v>0</v>
      </c>
      <c r="W20" s="65" t="e">
        <f>(U20-V20)/V20</f>
        <v>#DIV/0!</v>
      </c>
      <c r="X20" s="263">
        <f>SUM('[3]Sky West_AS'!$IF$64:$IH$64)</f>
        <v>0</v>
      </c>
      <c r="Y20" s="2">
        <f>SUM('[3]Sky West_AS'!$HR$64:$HT$64)</f>
        <v>4924</v>
      </c>
      <c r="Z20" s="3">
        <f>(X20-Y20)/Y20</f>
        <v>-1</v>
      </c>
      <c r="AA20" s="324">
        <f>X20/$X$73</f>
        <v>0</v>
      </c>
    </row>
    <row r="21" spans="1:27" ht="14.1" customHeight="1" x14ac:dyDescent="0.2">
      <c r="A21" s="258"/>
      <c r="B21" s="318" t="s">
        <v>191</v>
      </c>
      <c r="C21" s="263">
        <f>[3]Horizon_AS!$IH$19</f>
        <v>0</v>
      </c>
      <c r="D21" s="2">
        <f>[3]Horizon_AS!$HT$19</f>
        <v>0</v>
      </c>
      <c r="E21" s="65" t="e">
        <f>(C21-D21)/D21</f>
        <v>#DIV/0!</v>
      </c>
      <c r="F21" s="2">
        <f>SUM([3]Horizon_AS!$IF$19:$IH$19)</f>
        <v>0</v>
      </c>
      <c r="G21" s="2">
        <f>SUM([3]Horizon_AS!$HR$19:$HT$19)</f>
        <v>4</v>
      </c>
      <c r="H21" s="3">
        <f>(F21-G21)/G21</f>
        <v>-1</v>
      </c>
      <c r="I21" s="65">
        <f>F21/$F$73</f>
        <v>0</v>
      </c>
      <c r="J21" s="258"/>
      <c r="K21" s="318" t="s">
        <v>191</v>
      </c>
      <c r="L21" s="263">
        <f>[3]Horizon_AS!$IH$41</f>
        <v>0</v>
      </c>
      <c r="M21" s="2">
        <f>[3]Horizon_AS!$HT$41</f>
        <v>0</v>
      </c>
      <c r="N21" s="65" t="e">
        <f>(L21-M21)/M21</f>
        <v>#DIV/0!</v>
      </c>
      <c r="O21" s="263">
        <f>SUM([3]Horizon_AS!$IF$41:$IH$41)</f>
        <v>0</v>
      </c>
      <c r="P21" s="2">
        <f>SUM([3]Horizon_AS!$HR$41:$HT$41)</f>
        <v>273</v>
      </c>
      <c r="Q21" s="3">
        <f>(O21-P21)/P21</f>
        <v>-1</v>
      </c>
      <c r="R21" s="324">
        <f>O21/$O$73</f>
        <v>0</v>
      </c>
      <c r="S21" s="258"/>
      <c r="T21" s="318" t="s">
        <v>191</v>
      </c>
      <c r="U21" s="263">
        <f>[3]Horizon_AS!$IH$64</f>
        <v>0</v>
      </c>
      <c r="V21" s="2">
        <f>[3]Horizon_AS!$HT$64</f>
        <v>0</v>
      </c>
      <c r="W21" s="65" t="e">
        <f>(U21-V21)/V21</f>
        <v>#DIV/0!</v>
      </c>
      <c r="X21" s="263">
        <f>SUM([3]Horizon_AS!$IF$64:$IH$64)</f>
        <v>0</v>
      </c>
      <c r="Y21" s="2">
        <f>SUM([3]Horizon_AS!$HR$64:$HT$64)</f>
        <v>549</v>
      </c>
      <c r="Z21" s="3">
        <f>(X21-Y21)/Y21</f>
        <v>-1</v>
      </c>
      <c r="AA21" s="324">
        <f>X21/$X$73</f>
        <v>0</v>
      </c>
    </row>
    <row r="22" spans="1:27" ht="14.1" customHeight="1" x14ac:dyDescent="0.2">
      <c r="A22" s="258"/>
      <c r="B22" s="39"/>
      <c r="C22" s="259"/>
      <c r="D22" s="264"/>
      <c r="E22" s="262"/>
      <c r="F22" s="264"/>
      <c r="G22" s="264"/>
      <c r="H22" s="260"/>
      <c r="I22" s="262"/>
      <c r="J22" s="258"/>
      <c r="K22" s="39"/>
      <c r="L22" s="139"/>
      <c r="M22" s="95"/>
      <c r="N22" s="65"/>
      <c r="O22" s="139"/>
      <c r="P22" s="95"/>
      <c r="Q22" s="3"/>
      <c r="R22" s="65"/>
      <c r="S22" s="258"/>
      <c r="T22" s="39"/>
      <c r="U22" s="139"/>
      <c r="V22" s="95"/>
      <c r="W22" s="65"/>
      <c r="X22" s="139"/>
      <c r="Y22" s="95"/>
      <c r="Z22" s="3"/>
      <c r="AA22" s="65"/>
    </row>
    <row r="23" spans="1:27" ht="14.1" customHeight="1" x14ac:dyDescent="0.2">
      <c r="A23" s="258" t="s">
        <v>17</v>
      </c>
      <c r="B23" s="265"/>
      <c r="C23" s="259">
        <f>SUM(C24:C30)</f>
        <v>1118</v>
      </c>
      <c r="D23" s="261">
        <f>SUM(D24:D30)</f>
        <v>1141</v>
      </c>
      <c r="E23" s="262">
        <f t="shared" ref="E23:E30" si="18">(C23-D23)/D23</f>
        <v>-2.0157756354075372E-2</v>
      </c>
      <c r="F23" s="259">
        <f>SUM(F24:F30)</f>
        <v>3042</v>
      </c>
      <c r="G23" s="261">
        <f>SUM(G24:G30)</f>
        <v>3027</v>
      </c>
      <c r="H23" s="260">
        <f t="shared" ref="H23:H30" si="19">(F23-G23)/G23</f>
        <v>4.9554013875123884E-3</v>
      </c>
      <c r="I23" s="262">
        <f t="shared" ref="I23:I30" si="20">F23/$F$73</f>
        <v>4.5558700633508559E-2</v>
      </c>
      <c r="J23" s="258" t="s">
        <v>17</v>
      </c>
      <c r="K23" s="265"/>
      <c r="L23" s="259">
        <f>SUM(L24:L30)</f>
        <v>134349</v>
      </c>
      <c r="M23" s="261">
        <f>SUM(M24:M30)</f>
        <v>129369</v>
      </c>
      <c r="N23" s="262">
        <f t="shared" ref="N23:N30" si="21">(L23-M23)/M23</f>
        <v>3.8494538877165314E-2</v>
      </c>
      <c r="O23" s="259">
        <f>SUM(O24:O30)</f>
        <v>342033</v>
      </c>
      <c r="P23" s="261">
        <f>SUM(P24:P30)</f>
        <v>308145</v>
      </c>
      <c r="Q23" s="260">
        <f t="shared" ref="Q23:Q30" si="22">(O23-P23)/P23</f>
        <v>0.10997420045757679</v>
      </c>
      <c r="R23" s="262">
        <f t="shared" ref="R23:R30" si="23">O23/$O$73</f>
        <v>4.5854705552710394E-2</v>
      </c>
      <c r="S23" s="258" t="s">
        <v>17</v>
      </c>
      <c r="T23" s="265"/>
      <c r="U23" s="259">
        <f>SUM(U24:U30)</f>
        <v>66526</v>
      </c>
      <c r="V23" s="261">
        <f>SUM(V24:V30)</f>
        <v>128394</v>
      </c>
      <c r="W23" s="262">
        <f t="shared" ref="W23:W27" si="24">(U23-V23)/V23</f>
        <v>-0.48186052307740235</v>
      </c>
      <c r="X23" s="259">
        <f>SUM(X24:X30)</f>
        <v>171928</v>
      </c>
      <c r="Y23" s="261">
        <f>SUM(Y24:Y30)</f>
        <v>438930</v>
      </c>
      <c r="Z23" s="260">
        <f t="shared" ref="Z23:Z27" si="25">(X23-Y23)/Y23</f>
        <v>-0.60830200715376026</v>
      </c>
      <c r="AA23" s="262">
        <f t="shared" ref="AA23:AA30" si="26">X23/$X$73</f>
        <v>8.1812424431597364E-3</v>
      </c>
    </row>
    <row r="24" spans="1:27" ht="14.1" customHeight="1" x14ac:dyDescent="0.2">
      <c r="A24" s="37"/>
      <c r="B24" s="39" t="s">
        <v>17</v>
      </c>
      <c r="C24" s="263">
        <f>[3]American!$IH$19</f>
        <v>700</v>
      </c>
      <c r="D24" s="2">
        <f>[3]American!$HT$19</f>
        <v>642</v>
      </c>
      <c r="E24" s="65">
        <f t="shared" si="18"/>
        <v>9.0342679127725853E-2</v>
      </c>
      <c r="F24" s="2">
        <f>SUM([3]American!$IF$19:$IH$19)</f>
        <v>1925</v>
      </c>
      <c r="G24" s="2">
        <f>SUM([3]American!$HR$19:$HT$19)</f>
        <v>1700</v>
      </c>
      <c r="H24" s="3">
        <f t="shared" si="19"/>
        <v>0.13235294117647059</v>
      </c>
      <c r="I24" s="65">
        <f t="shared" si="20"/>
        <v>2.882988123586587E-2</v>
      </c>
      <c r="J24" s="37"/>
      <c r="K24" s="39" t="s">
        <v>17</v>
      </c>
      <c r="L24" s="263">
        <f>[3]American!$IH$41</f>
        <v>108540</v>
      </c>
      <c r="M24" s="2">
        <f>[3]American!$HT$41</f>
        <v>98352</v>
      </c>
      <c r="N24" s="65">
        <f t="shared" si="21"/>
        <v>0.10358711566617862</v>
      </c>
      <c r="O24" s="263">
        <f>SUM([3]American!$IF$41:$IH$41)</f>
        <v>282613</v>
      </c>
      <c r="P24" s="2">
        <f>SUM([3]American!$HR$41:$HT$41)</f>
        <v>241914</v>
      </c>
      <c r="Q24" s="3">
        <f t="shared" si="22"/>
        <v>0.16823747282091983</v>
      </c>
      <c r="R24" s="65">
        <f t="shared" si="23"/>
        <v>3.7888554321858253E-2</v>
      </c>
      <c r="S24" s="37"/>
      <c r="T24" s="39" t="s">
        <v>17</v>
      </c>
      <c r="U24" s="263">
        <f>[3]American!$IH$64</f>
        <v>61881</v>
      </c>
      <c r="V24" s="2">
        <f>[3]American!$HT$64</f>
        <v>127334</v>
      </c>
      <c r="W24" s="65">
        <f t="shared" si="24"/>
        <v>-0.51402610457536868</v>
      </c>
      <c r="X24" s="263">
        <f>SUM([3]American!$IF$64:$IH$64)</f>
        <v>161093</v>
      </c>
      <c r="Y24" s="2">
        <f>SUM([3]American!$HR$64:$HT$64)</f>
        <v>435215</v>
      </c>
      <c r="Z24" s="3">
        <f t="shared" si="25"/>
        <v>-0.62985420998816677</v>
      </c>
      <c r="AA24" s="65">
        <f t="shared" si="26"/>
        <v>7.6656559076818875E-3</v>
      </c>
    </row>
    <row r="25" spans="1:27" ht="14.1" customHeight="1" x14ac:dyDescent="0.2">
      <c r="A25" s="37"/>
      <c r="B25" s="318" t="s">
        <v>165</v>
      </c>
      <c r="C25" s="263">
        <f>'[3]American Eagle'!$IH$19</f>
        <v>2</v>
      </c>
      <c r="D25" s="2">
        <f>'[3]American Eagle'!$HT$19</f>
        <v>12</v>
      </c>
      <c r="E25" s="65">
        <f t="shared" si="18"/>
        <v>-0.83333333333333337</v>
      </c>
      <c r="F25" s="2">
        <f>SUM('[3]American Eagle'!$IF$19:$IH$19)</f>
        <v>121</v>
      </c>
      <c r="G25" s="2">
        <f>SUM('[3]American Eagle'!$HR$19:$HT$19)</f>
        <v>108</v>
      </c>
      <c r="H25" s="3">
        <f t="shared" si="19"/>
        <v>0.12037037037037036</v>
      </c>
      <c r="I25" s="65">
        <f t="shared" si="20"/>
        <v>1.8121639633972833E-3</v>
      </c>
      <c r="J25" s="37"/>
      <c r="K25" s="318" t="s">
        <v>165</v>
      </c>
      <c r="L25" s="263">
        <f>'[3]American Eagle'!$IH$41</f>
        <v>0</v>
      </c>
      <c r="M25" s="2">
        <f>'[3]American Eagle'!$HT$41</f>
        <v>733</v>
      </c>
      <c r="N25" s="65">
        <f t="shared" si="21"/>
        <v>-1</v>
      </c>
      <c r="O25" s="263">
        <f>SUM('[3]American Eagle'!$IF$41:$IH$41)</f>
        <v>5459</v>
      </c>
      <c r="P25" s="2">
        <f>SUM('[3]American Eagle'!$HR$41:$HT$41)</f>
        <v>4119</v>
      </c>
      <c r="Q25" s="3">
        <f t="shared" si="22"/>
        <v>0.32532168001942219</v>
      </c>
      <c r="R25" s="65">
        <f t="shared" si="23"/>
        <v>7.3186165549010197E-4</v>
      </c>
      <c r="S25" s="37"/>
      <c r="T25" s="318" t="s">
        <v>165</v>
      </c>
      <c r="U25" s="263">
        <f>'[3]American Eagle'!$IH$64</f>
        <v>0</v>
      </c>
      <c r="V25" s="2">
        <f>'[3]American Eagle'!$HT$64</f>
        <v>100</v>
      </c>
      <c r="W25" s="65">
        <f t="shared" si="24"/>
        <v>-1</v>
      </c>
      <c r="X25" s="263">
        <f>SUM('[3]American Eagle'!$IF$64:$IH$64)</f>
        <v>2928</v>
      </c>
      <c r="Y25" s="2">
        <f>SUM('[3]American Eagle'!$HR$64:$HT$64)</f>
        <v>1145</v>
      </c>
      <c r="Z25" s="3">
        <f t="shared" si="25"/>
        <v>1.5572052401746725</v>
      </c>
      <c r="AA25" s="65">
        <f t="shared" si="26"/>
        <v>1.3932970704929801E-4</v>
      </c>
    </row>
    <row r="26" spans="1:27" ht="14.1" customHeight="1" x14ac:dyDescent="0.2">
      <c r="A26" s="37"/>
      <c r="B26" s="318" t="s">
        <v>52</v>
      </c>
      <c r="C26" s="263">
        <f>[3]Republic!$IH$19</f>
        <v>308</v>
      </c>
      <c r="D26" s="2">
        <f>[3]Republic!$HT$19</f>
        <v>182</v>
      </c>
      <c r="E26" s="65">
        <f t="shared" si="18"/>
        <v>0.69230769230769229</v>
      </c>
      <c r="F26" s="2">
        <f>SUM([3]Republic!$IF$19:$IH$19)</f>
        <v>630</v>
      </c>
      <c r="G26" s="2">
        <f>SUM([3]Republic!$HR$19:$HT$19)</f>
        <v>518</v>
      </c>
      <c r="H26" s="3">
        <f t="shared" si="19"/>
        <v>0.21621621621621623</v>
      </c>
      <c r="I26" s="65">
        <f t="shared" si="20"/>
        <v>9.4352338590106485E-3</v>
      </c>
      <c r="J26" s="37"/>
      <c r="K26" s="266" t="s">
        <v>52</v>
      </c>
      <c r="L26" s="263">
        <f>[3]Republic!$IH$41</f>
        <v>19796</v>
      </c>
      <c r="M26" s="2">
        <f>[3]Republic!$HT$41</f>
        <v>10981</v>
      </c>
      <c r="N26" s="65">
        <f t="shared" si="21"/>
        <v>0.80275020489937166</v>
      </c>
      <c r="O26" s="263">
        <f>SUM([3]Republic!$IF$41:$IH$41)</f>
        <v>35827</v>
      </c>
      <c r="P26" s="2">
        <f>SUM([3]Republic!$HR$41:$HT$41)</f>
        <v>22324</v>
      </c>
      <c r="Q26" s="3">
        <f t="shared" si="22"/>
        <v>0.60486471958430388</v>
      </c>
      <c r="R26" s="65">
        <f t="shared" si="23"/>
        <v>4.8031521398138642E-3</v>
      </c>
      <c r="S26" s="37"/>
      <c r="T26" s="266" t="s">
        <v>52</v>
      </c>
      <c r="U26" s="263">
        <f>[3]Republic!$IH$64</f>
        <v>4645</v>
      </c>
      <c r="V26" s="2">
        <f>[3]Republic!$HT$64</f>
        <v>339</v>
      </c>
      <c r="W26" s="65">
        <f t="shared" si="24"/>
        <v>12.702064896755163</v>
      </c>
      <c r="X26" s="263">
        <f>SUM([3]Republic!$IF$64:$IH$64)</f>
        <v>7867</v>
      </c>
      <c r="Y26" s="2">
        <f>SUM([3]Republic!$HR$64:$HT$64)</f>
        <v>339</v>
      </c>
      <c r="Z26" s="3">
        <f t="shared" si="25"/>
        <v>22.206489675516224</v>
      </c>
      <c r="AA26" s="65">
        <f t="shared" si="26"/>
        <v>3.7435341713006406E-4</v>
      </c>
    </row>
    <row r="27" spans="1:27" ht="14.1" customHeight="1" x14ac:dyDescent="0.2">
      <c r="A27" s="37"/>
      <c r="B27" s="318" t="s">
        <v>181</v>
      </c>
      <c r="C27" s="263">
        <f>[3]PSA!$IH$19</f>
        <v>108</v>
      </c>
      <c r="D27" s="2">
        <f>[3]PSA!$HT$19</f>
        <v>175</v>
      </c>
      <c r="E27" s="65">
        <f t="shared" si="18"/>
        <v>-0.38285714285714284</v>
      </c>
      <c r="F27" s="2">
        <f>SUM([3]PSA!$IF$19:$IH$19)</f>
        <v>364</v>
      </c>
      <c r="G27" s="2">
        <f>SUM([3]PSA!$HR$19:$HT$19)</f>
        <v>391</v>
      </c>
      <c r="H27" s="3">
        <f t="shared" si="19"/>
        <v>-6.9053708439897693E-2</v>
      </c>
      <c r="I27" s="65">
        <f t="shared" si="20"/>
        <v>5.4514684518728188E-3</v>
      </c>
      <c r="J27" s="37"/>
      <c r="K27" s="318" t="s">
        <v>181</v>
      </c>
      <c r="L27" s="263">
        <f>[3]PSA!$IH$41</f>
        <v>6013</v>
      </c>
      <c r="M27" s="2">
        <f>[3]PSA!$HT$41</f>
        <v>11781</v>
      </c>
      <c r="N27" s="65">
        <f t="shared" si="21"/>
        <v>-0.48960190136660725</v>
      </c>
      <c r="O27" s="263">
        <f>SUM([3]PSA!$IF$41:$IH$41)</f>
        <v>18099</v>
      </c>
      <c r="P27" s="2">
        <f>SUM([3]PSA!$HR$41:$HT$41)</f>
        <v>22712</v>
      </c>
      <c r="Q27" s="3">
        <f t="shared" si="22"/>
        <v>-0.20310848890454386</v>
      </c>
      <c r="R27" s="65">
        <f t="shared" si="23"/>
        <v>2.4264451552876635E-3</v>
      </c>
      <c r="S27" s="37"/>
      <c r="T27" s="318" t="s">
        <v>181</v>
      </c>
      <c r="U27" s="263">
        <f>[3]PSA!$IH$64</f>
        <v>0</v>
      </c>
      <c r="V27" s="2">
        <f>[3]PSA!$HT$64</f>
        <v>10</v>
      </c>
      <c r="W27" s="65">
        <f t="shared" si="24"/>
        <v>-1</v>
      </c>
      <c r="X27" s="263">
        <f>SUM([3]PSA!$IF$64:$IH$64)</f>
        <v>40</v>
      </c>
      <c r="Y27" s="2">
        <f>SUM([3]PSA!$HR$64:$HT$64)</f>
        <v>795</v>
      </c>
      <c r="Z27" s="3">
        <f t="shared" si="25"/>
        <v>-0.94968553459119498</v>
      </c>
      <c r="AA27" s="65">
        <f t="shared" si="26"/>
        <v>1.9034112984876779E-6</v>
      </c>
    </row>
    <row r="28" spans="1:27" ht="14.1" customHeight="1" x14ac:dyDescent="0.2">
      <c r="A28" s="37"/>
      <c r="B28" s="318" t="s">
        <v>97</v>
      </c>
      <c r="C28" s="263">
        <f>'[3]Sky West_AA'!$IH$19</f>
        <v>0</v>
      </c>
      <c r="D28" s="2">
        <f>'[3]Sky West_AA'!$HT$19</f>
        <v>130</v>
      </c>
      <c r="E28" s="65">
        <f>(C28-D28)/D28</f>
        <v>-1</v>
      </c>
      <c r="F28" s="2">
        <f>SUM('[3]Sky West_AA'!$IF$19:$IH$19)</f>
        <v>0</v>
      </c>
      <c r="G28" s="2">
        <f>SUM('[3]Sky West_AA'!$HR$19:$HT$19)</f>
        <v>310</v>
      </c>
      <c r="H28" s="3">
        <f>(F28-G28)/G28</f>
        <v>-1</v>
      </c>
      <c r="I28" s="65">
        <f t="shared" si="20"/>
        <v>0</v>
      </c>
      <c r="J28" s="37"/>
      <c r="K28" s="318" t="s">
        <v>97</v>
      </c>
      <c r="L28" s="263">
        <f>'[3]Sky West_AA'!$IH$41</f>
        <v>0</v>
      </c>
      <c r="M28" s="2">
        <f>'[3]Sky West_AA'!$HT$41</f>
        <v>7522</v>
      </c>
      <c r="N28" s="65">
        <f>(L28-M28)/M28</f>
        <v>-1</v>
      </c>
      <c r="O28" s="263">
        <f>SUM('[3]Sky West_AA'!$IF$41:$IH$41)</f>
        <v>0</v>
      </c>
      <c r="P28" s="2">
        <f>SUM('[3]Sky West_AA'!$HR$41:$HT$41)</f>
        <v>17076</v>
      </c>
      <c r="Q28" s="3">
        <f>(O28-P28)/P28</f>
        <v>-1</v>
      </c>
      <c r="R28" s="324">
        <f t="shared" si="23"/>
        <v>0</v>
      </c>
      <c r="S28" s="37"/>
      <c r="T28" s="318" t="s">
        <v>97</v>
      </c>
      <c r="U28" s="263">
        <f>'[3]Sky West_AA'!$IH$64</f>
        <v>0</v>
      </c>
      <c r="V28" s="2">
        <f>'[3]Sky West_AA'!$HT$64</f>
        <v>611</v>
      </c>
      <c r="W28" s="65">
        <f>(U28-V28)/V28</f>
        <v>-1</v>
      </c>
      <c r="X28" s="263">
        <f>SUM('[3]Sky West_AA'!$IF$64:$IH$64)</f>
        <v>0</v>
      </c>
      <c r="Y28" s="2">
        <f>SUM('[3]Sky West_AA'!$HR$64:$HT$64)</f>
        <v>1436</v>
      </c>
      <c r="Z28" s="3">
        <f>(X28-Y28)/Y28</f>
        <v>-1</v>
      </c>
      <c r="AA28" s="324">
        <f t="shared" si="26"/>
        <v>0</v>
      </c>
    </row>
    <row r="29" spans="1:27" ht="14.1" customHeight="1" x14ac:dyDescent="0.2">
      <c r="A29" s="37"/>
      <c r="B29" s="318" t="s">
        <v>51</v>
      </c>
      <c r="C29" s="263">
        <f>[3]MESA!$IH$19</f>
        <v>0</v>
      </c>
      <c r="D29" s="2">
        <f>[3]MESA!$HT$19</f>
        <v>0</v>
      </c>
      <c r="E29" s="65" t="e">
        <f t="shared" si="18"/>
        <v>#DIV/0!</v>
      </c>
      <c r="F29" s="2">
        <f>SUM([3]MESA!$IF$19:$IH$19)</f>
        <v>0</v>
      </c>
      <c r="G29" s="2">
        <f>SUM([3]MESA!$HR$19:$HT$19)</f>
        <v>0</v>
      </c>
      <c r="H29" s="3" t="e">
        <f t="shared" si="19"/>
        <v>#DIV/0!</v>
      </c>
      <c r="I29" s="65">
        <f t="shared" si="20"/>
        <v>0</v>
      </c>
      <c r="J29" s="37"/>
      <c r="K29" s="318" t="s">
        <v>51</v>
      </c>
      <c r="L29" s="263">
        <f>[3]MESA!$IH$41</f>
        <v>0</v>
      </c>
      <c r="M29" s="2">
        <f>[3]MESA!$HT$41</f>
        <v>0</v>
      </c>
      <c r="N29" s="65" t="e">
        <f t="shared" si="21"/>
        <v>#DIV/0!</v>
      </c>
      <c r="O29" s="263">
        <f>SUM([3]MESA!$IF$41:$IH$41)</f>
        <v>0</v>
      </c>
      <c r="P29" s="2">
        <f>SUM([3]MESA!$HR$41:$HT$41)</f>
        <v>0</v>
      </c>
      <c r="Q29" s="3" t="e">
        <f t="shared" si="22"/>
        <v>#DIV/0!</v>
      </c>
      <c r="R29" s="65">
        <f t="shared" si="23"/>
        <v>0</v>
      </c>
      <c r="S29" s="37"/>
      <c r="T29" s="318" t="s">
        <v>51</v>
      </c>
      <c r="U29" s="263">
        <f>[3]MESA!$IH$64</f>
        <v>0</v>
      </c>
      <c r="V29" s="2">
        <f>[3]MESA!$HT$64</f>
        <v>0</v>
      </c>
      <c r="W29" s="65" t="e">
        <f t="shared" ref="W29:W30" si="27">(U29-V29)/V29</f>
        <v>#DIV/0!</v>
      </c>
      <c r="X29" s="263">
        <f>SUM([3]MESA!$IF$64:$IH$64)</f>
        <v>0</v>
      </c>
      <c r="Y29" s="2">
        <f>SUM([3]MESA!$HR$64:$HT$64)</f>
        <v>0</v>
      </c>
      <c r="Z29" s="3" t="e">
        <f t="shared" ref="Z29:Z30" si="28">(X29-Y29)/Y29</f>
        <v>#DIV/0!</v>
      </c>
      <c r="AA29" s="65">
        <f t="shared" si="26"/>
        <v>0</v>
      </c>
    </row>
    <row r="30" spans="1:27" ht="14.1" customHeight="1" x14ac:dyDescent="0.2">
      <c r="A30" s="37"/>
      <c r="B30" s="318" t="s">
        <v>50</v>
      </c>
      <c r="C30" s="263">
        <f>'[3]Air Wisconsin'!$IH$19</f>
        <v>0</v>
      </c>
      <c r="D30" s="2">
        <f>'[3]Air Wisconsin'!$HT$19</f>
        <v>0</v>
      </c>
      <c r="E30" s="65" t="e">
        <f t="shared" si="18"/>
        <v>#DIV/0!</v>
      </c>
      <c r="F30" s="2">
        <f>SUM('[3]Air Wisconsin'!$IF$19:$IH$19)</f>
        <v>2</v>
      </c>
      <c r="G30" s="2">
        <f>SUM('[3]Air Wisconsin'!$HR$19:$HT$19)</f>
        <v>0</v>
      </c>
      <c r="H30" s="349" t="e">
        <f t="shared" si="19"/>
        <v>#DIV/0!</v>
      </c>
      <c r="I30" s="65">
        <f t="shared" si="20"/>
        <v>2.9953123361938567E-5</v>
      </c>
      <c r="J30" s="37"/>
      <c r="K30" s="266" t="s">
        <v>50</v>
      </c>
      <c r="L30" s="263">
        <f>'[3]Air Wisconsin'!$IH$41</f>
        <v>0</v>
      </c>
      <c r="M30" s="2">
        <f>'[3]Air Wisconsin'!$HT$41</f>
        <v>0</v>
      </c>
      <c r="N30" s="65" t="e">
        <f t="shared" si="21"/>
        <v>#DIV/0!</v>
      </c>
      <c r="O30" s="263">
        <f>SUM('[3]Air Wisconsin'!$IF$41:$IH$41)</f>
        <v>35</v>
      </c>
      <c r="P30" s="2">
        <f>SUM('[3]Air Wisconsin'!$HR$41:$HT$41)</f>
        <v>0</v>
      </c>
      <c r="Q30" s="3" t="e">
        <f t="shared" si="22"/>
        <v>#DIV/0!</v>
      </c>
      <c r="R30" s="65">
        <f t="shared" si="23"/>
        <v>4.6922802605154E-6</v>
      </c>
      <c r="S30" s="37"/>
      <c r="T30" s="266" t="s">
        <v>50</v>
      </c>
      <c r="U30" s="263">
        <f>'[3]Air Wisconsin'!$IH$64</f>
        <v>0</v>
      </c>
      <c r="V30" s="2">
        <f>'[3]Air Wisconsin'!$HT$64</f>
        <v>0</v>
      </c>
      <c r="W30" s="65" t="e">
        <f t="shared" si="27"/>
        <v>#DIV/0!</v>
      </c>
      <c r="X30" s="263">
        <f>SUM('[3]Air Wisconsin'!$IF$64:$IH$64)</f>
        <v>0</v>
      </c>
      <c r="Y30" s="2">
        <f>SUM('[3]Air Wisconsin'!$HR$64:$HT$64)</f>
        <v>0</v>
      </c>
      <c r="Z30" s="3" t="e">
        <f t="shared" si="28"/>
        <v>#DIV/0!</v>
      </c>
      <c r="AA30" s="65">
        <f t="shared" si="26"/>
        <v>0</v>
      </c>
    </row>
    <row r="31" spans="1:27" ht="14.1" customHeight="1" x14ac:dyDescent="0.2">
      <c r="A31" s="37"/>
      <c r="B31" s="39"/>
      <c r="C31" s="263"/>
      <c r="E31" s="65"/>
      <c r="F31" s="2"/>
      <c r="I31" s="65"/>
      <c r="J31" s="37"/>
      <c r="K31" s="39"/>
      <c r="L31" s="263"/>
      <c r="N31" s="65"/>
      <c r="O31" s="263"/>
      <c r="P31" s="2"/>
      <c r="Q31" s="3"/>
      <c r="R31" s="65"/>
      <c r="S31" s="37"/>
      <c r="T31" s="39"/>
      <c r="U31" s="263"/>
      <c r="V31" s="2"/>
      <c r="W31" s="65"/>
      <c r="X31" s="263"/>
      <c r="Y31" s="2"/>
      <c r="Z31" s="3"/>
      <c r="AA31" s="65"/>
    </row>
    <row r="32" spans="1:27" ht="14.1" customHeight="1" x14ac:dyDescent="0.2">
      <c r="A32" s="258" t="s">
        <v>178</v>
      </c>
      <c r="B32" s="39"/>
      <c r="C32" s="259">
        <f>'[3]Boutique Air'!$IH$19</f>
        <v>0</v>
      </c>
      <c r="D32" s="261">
        <f>'[3]Boutique Air'!$HT$19</f>
        <v>0</v>
      </c>
      <c r="E32" s="262" t="e">
        <f>(C32-D32)/D32</f>
        <v>#DIV/0!</v>
      </c>
      <c r="F32" s="261">
        <f>SUM('[3]Boutique Air'!$IF$19:$IH$19)</f>
        <v>0</v>
      </c>
      <c r="G32" s="261">
        <f>SUM('[3]Boutique Air'!$HR$19:$HT$19)</f>
        <v>0</v>
      </c>
      <c r="H32" s="260" t="e">
        <f>(F32-G32)/G32</f>
        <v>#DIV/0!</v>
      </c>
      <c r="I32" s="262">
        <f>F32/$F$73</f>
        <v>0</v>
      </c>
      <c r="J32" s="258" t="s">
        <v>178</v>
      </c>
      <c r="K32" s="39"/>
      <c r="L32" s="259">
        <f>'[3]Boutique Air'!$IH$41</f>
        <v>0</v>
      </c>
      <c r="M32" s="261">
        <f>'[3]Boutique Air'!$HT$41</f>
        <v>0</v>
      </c>
      <c r="N32" s="262" t="e">
        <f>(L32-M32)/M32</f>
        <v>#DIV/0!</v>
      </c>
      <c r="O32" s="259">
        <f>SUM('[3]Boutique Air'!$IF$41:$IH$41)</f>
        <v>0</v>
      </c>
      <c r="P32" s="261">
        <f>SUM('[3]Boutique Air'!$HR$41:$HT$41)</f>
        <v>0</v>
      </c>
      <c r="Q32" s="260" t="e">
        <f>(O32-P32)/P32</f>
        <v>#DIV/0!</v>
      </c>
      <c r="R32" s="262">
        <f>O32/$O$73</f>
        <v>0</v>
      </c>
      <c r="S32" s="258" t="s">
        <v>178</v>
      </c>
      <c r="T32" s="39"/>
      <c r="U32" s="259">
        <f>'[3]Boutique Air'!$IH$64</f>
        <v>0</v>
      </c>
      <c r="V32" s="261">
        <f>'[3]Boutique Air'!$HT$64</f>
        <v>0</v>
      </c>
      <c r="W32" s="262" t="e">
        <f>(U32-V32)/V32</f>
        <v>#DIV/0!</v>
      </c>
      <c r="X32" s="259">
        <f>SUM('[3]Boutique Air'!$IF$64:$IH$64)</f>
        <v>0</v>
      </c>
      <c r="Y32" s="261">
        <f>SUM('[3]Boutique Air'!$HR$64:$HT$64)</f>
        <v>0</v>
      </c>
      <c r="Z32" s="260" t="e">
        <f>(X32-Y32)/Y32</f>
        <v>#DIV/0!</v>
      </c>
      <c r="AA32" s="262">
        <f>X32/$X$73</f>
        <v>0</v>
      </c>
    </row>
    <row r="33" spans="1:27" ht="14.1" customHeight="1" x14ac:dyDescent="0.2">
      <c r="A33" s="37"/>
      <c r="B33" s="39"/>
      <c r="C33" s="263"/>
      <c r="E33" s="65"/>
      <c r="F33" s="2"/>
      <c r="I33" s="65"/>
      <c r="J33" s="37"/>
      <c r="K33" s="39"/>
      <c r="L33" s="263"/>
      <c r="N33" s="65"/>
      <c r="O33" s="263"/>
      <c r="P33" s="2"/>
      <c r="Q33" s="3"/>
      <c r="R33" s="65"/>
      <c r="S33" s="37"/>
      <c r="T33" s="39"/>
      <c r="U33" s="263"/>
      <c r="V33" s="2"/>
      <c r="W33" s="65"/>
      <c r="X33" s="263"/>
      <c r="Y33" s="2"/>
      <c r="Z33" s="3"/>
      <c r="AA33" s="65"/>
    </row>
    <row r="34" spans="1:27" ht="14.1" customHeight="1" x14ac:dyDescent="0.2">
      <c r="A34" s="258" t="s">
        <v>161</v>
      </c>
      <c r="B34" s="39"/>
      <c r="C34" s="259">
        <f>[3]Condor!$IH$19</f>
        <v>0</v>
      </c>
      <c r="D34" s="261">
        <f>[3]Condor!$HT$19</f>
        <v>0</v>
      </c>
      <c r="E34" s="262" t="e">
        <f>(C34-D34)/D34</f>
        <v>#DIV/0!</v>
      </c>
      <c r="F34" s="261">
        <f>SUM([3]Condor!$IF$19:$IH$19)</f>
        <v>0</v>
      </c>
      <c r="G34" s="261">
        <f>SUM([3]Condor!$HR$19:$HT$19)</f>
        <v>0</v>
      </c>
      <c r="H34" s="260" t="e">
        <f>(F34-G34)/G34</f>
        <v>#DIV/0!</v>
      </c>
      <c r="I34" s="262">
        <f>F34/$F$73</f>
        <v>0</v>
      </c>
      <c r="J34" s="258" t="s">
        <v>161</v>
      </c>
      <c r="K34" s="39"/>
      <c r="L34" s="259">
        <f>[3]Condor!$IH$41</f>
        <v>0</v>
      </c>
      <c r="M34" s="261">
        <f>[3]Condor!$HT$41</f>
        <v>0</v>
      </c>
      <c r="N34" s="262" t="e">
        <f>(L34-M34)/M34</f>
        <v>#DIV/0!</v>
      </c>
      <c r="O34" s="259">
        <f>SUM([3]Condor!$IF$41:$IH$41)</f>
        <v>0</v>
      </c>
      <c r="P34" s="261">
        <f>SUM([3]Condor!$HR$41:$HT$41)</f>
        <v>0</v>
      </c>
      <c r="Q34" s="260" t="e">
        <f>(O34-P34)/P34</f>
        <v>#DIV/0!</v>
      </c>
      <c r="R34" s="262">
        <f>O34/$O$73</f>
        <v>0</v>
      </c>
      <c r="S34" s="258" t="s">
        <v>161</v>
      </c>
      <c r="T34" s="39"/>
      <c r="U34" s="259">
        <f>[3]Condor!$IH$64</f>
        <v>0</v>
      </c>
      <c r="V34" s="261">
        <f>[3]Condor!$HT$64</f>
        <v>0</v>
      </c>
      <c r="W34" s="262" t="e">
        <f>(U34-V34)/V34</f>
        <v>#DIV/0!</v>
      </c>
      <c r="X34" s="259">
        <f>SUM([3]Condor!$IF$64:$IH$64)</f>
        <v>0</v>
      </c>
      <c r="Y34" s="261">
        <f>SUM([3]Condor!$HR$64:$HT$64)</f>
        <v>0</v>
      </c>
      <c r="Z34" s="260" t="e">
        <f>(X34-Y34)/Y34</f>
        <v>#DIV/0!</v>
      </c>
      <c r="AA34" s="262">
        <f>X34/$X$73</f>
        <v>0</v>
      </c>
    </row>
    <row r="35" spans="1:27" ht="14.1" customHeight="1" x14ac:dyDescent="0.2">
      <c r="A35" s="37"/>
      <c r="B35" s="39"/>
      <c r="C35" s="263"/>
      <c r="E35" s="65"/>
      <c r="F35" s="2"/>
      <c r="I35" s="65"/>
      <c r="J35" s="37"/>
      <c r="K35" s="39"/>
      <c r="L35" s="263"/>
      <c r="N35" s="65"/>
      <c r="O35" s="263"/>
      <c r="P35" s="2"/>
      <c r="Q35" s="3"/>
      <c r="R35" s="65"/>
      <c r="S35" s="37"/>
      <c r="T35" s="39"/>
      <c r="U35" s="263"/>
      <c r="V35" s="2"/>
      <c r="W35" s="65"/>
      <c r="X35" s="263"/>
      <c r="Y35" s="2"/>
      <c r="Z35" s="3"/>
      <c r="AA35" s="65"/>
    </row>
    <row r="36" spans="1:27" ht="14.1" customHeight="1" x14ac:dyDescent="0.2">
      <c r="A36" s="258" t="s">
        <v>217</v>
      </c>
      <c r="B36" s="39"/>
      <c r="C36" s="259">
        <f>'[3]Denver Air'!$IH$19</f>
        <v>160</v>
      </c>
      <c r="D36" s="261">
        <f>'[3]Denver Air'!$HT$19</f>
        <v>164</v>
      </c>
      <c r="E36" s="262">
        <f>(C36-D36)/D36</f>
        <v>-2.4390243902439025E-2</v>
      </c>
      <c r="F36" s="261">
        <f>SUM('[3]Denver Air'!$IF$19:$IH$19)</f>
        <v>456</v>
      </c>
      <c r="G36" s="261">
        <f>SUM('[3]Denver Air'!$HR$19:$HT$19)</f>
        <v>468</v>
      </c>
      <c r="H36" s="260">
        <f>(F36-G36)/G36</f>
        <v>-2.564102564102564E-2</v>
      </c>
      <c r="I36" s="262">
        <f>F36/$F$73</f>
        <v>6.8293121265219931E-3</v>
      </c>
      <c r="J36" s="258" t="s">
        <v>217</v>
      </c>
      <c r="K36" s="39"/>
      <c r="L36" s="259">
        <f>'[3]Denver Air'!$IH$41</f>
        <v>1553</v>
      </c>
      <c r="M36" s="261">
        <f>'[3]Denver Air'!$HT$41</f>
        <v>1706</v>
      </c>
      <c r="N36" s="262">
        <f>(L36-M36)/M36</f>
        <v>-8.9683470105509963E-2</v>
      </c>
      <c r="O36" s="259">
        <f>SUM('[3]Denver Air'!$IF$41:$IH$41)</f>
        <v>4239</v>
      </c>
      <c r="P36" s="261">
        <f>SUM('[3]Denver Air'!$HR$41:$HT$41)</f>
        <v>4365</v>
      </c>
      <c r="Q36" s="260">
        <f>(O36-P36)/P36</f>
        <v>-2.88659793814433E-2</v>
      </c>
      <c r="R36" s="262">
        <f>O36/$O$73</f>
        <v>5.6830217212356521E-4</v>
      </c>
      <c r="S36" s="258" t="s">
        <v>217</v>
      </c>
      <c r="T36" s="39"/>
      <c r="U36" s="259">
        <f>'[3]Denver Air'!$IH$64</f>
        <v>0</v>
      </c>
      <c r="V36" s="261">
        <f>'[3]Denver Air'!$HT$64</f>
        <v>0</v>
      </c>
      <c r="W36" s="262" t="e">
        <f>(U36-V36)/V36</f>
        <v>#DIV/0!</v>
      </c>
      <c r="X36" s="259">
        <f>SUM('[3]Denver Air'!$IF$64:$IH$64)</f>
        <v>0</v>
      </c>
      <c r="Y36" s="261">
        <f>SUM('[3]Denver Air'!$HR$64:$HT$64)</f>
        <v>0</v>
      </c>
      <c r="Z36" s="260" t="e">
        <f>(X36-Y36)/Y36</f>
        <v>#DIV/0!</v>
      </c>
      <c r="AA36" s="262">
        <f>X36/$X$71</f>
        <v>0</v>
      </c>
    </row>
    <row r="37" spans="1:27" ht="14.1" customHeight="1" x14ac:dyDescent="0.2">
      <c r="A37" s="37"/>
      <c r="B37" s="39"/>
      <c r="C37" s="263"/>
      <c r="E37" s="65"/>
      <c r="F37" s="2"/>
      <c r="I37" s="65"/>
      <c r="J37" s="37"/>
      <c r="K37" s="39"/>
      <c r="L37" s="263"/>
      <c r="N37" s="65"/>
      <c r="O37" s="263"/>
      <c r="P37" s="2"/>
      <c r="Q37" s="3"/>
      <c r="R37" s="65"/>
      <c r="S37" s="37"/>
      <c r="T37" s="39"/>
      <c r="U37" s="263"/>
      <c r="V37" s="2"/>
      <c r="W37" s="65"/>
      <c r="X37" s="263"/>
      <c r="Y37" s="2"/>
      <c r="Z37" s="3"/>
      <c r="AA37" s="65"/>
    </row>
    <row r="38" spans="1:27" ht="14.1" customHeight="1" x14ac:dyDescent="0.2">
      <c r="A38" s="258" t="s">
        <v>18</v>
      </c>
      <c r="B38" s="265"/>
      <c r="C38" s="259">
        <f>SUM(C39:C45)</f>
        <v>17849</v>
      </c>
      <c r="D38" s="261">
        <f>SUM(D39:D45)</f>
        <v>18034</v>
      </c>
      <c r="E38" s="262">
        <f t="shared" ref="E38:E45" si="29">(C38-D38)/D38</f>
        <v>-1.0258400798491737E-2</v>
      </c>
      <c r="F38" s="264">
        <f>SUM(F39:F45)</f>
        <v>48626</v>
      </c>
      <c r="G38" s="264">
        <f>SUM(G39:G45)</f>
        <v>49901</v>
      </c>
      <c r="H38" s="260">
        <f>(F38-G38)/G38</f>
        <v>-2.5550590168533695E-2</v>
      </c>
      <c r="I38" s="262">
        <f t="shared" ref="I38:I45" si="30">F38/$F$73</f>
        <v>0.72825028829881233</v>
      </c>
      <c r="J38" s="258" t="s">
        <v>18</v>
      </c>
      <c r="K38" s="265"/>
      <c r="L38" s="259">
        <f>SUM(L39:L45)</f>
        <v>2040110</v>
      </c>
      <c r="M38" s="261">
        <f>SUM(M39:M45)</f>
        <v>1902289</v>
      </c>
      <c r="N38" s="262">
        <f t="shared" ref="N38:N45" si="31">(L38-M38)/M38</f>
        <v>7.2450085134277697E-2</v>
      </c>
      <c r="O38" s="259">
        <f>SUM(O39:O45)</f>
        <v>5185905</v>
      </c>
      <c r="P38" s="261">
        <f>SUM(P39:P45)</f>
        <v>4714756</v>
      </c>
      <c r="Q38" s="260">
        <f t="shared" ref="Q38:Q45" si="32">(O38-P38)/P38</f>
        <v>9.9930728122515772E-2</v>
      </c>
      <c r="R38" s="262">
        <f t="shared" ref="R38:R45" si="33">O38/$O$73</f>
        <v>0.69524913326880333</v>
      </c>
      <c r="S38" s="258" t="s">
        <v>18</v>
      </c>
      <c r="T38" s="265"/>
      <c r="U38" s="259">
        <f>SUM(U39:U45)</f>
        <v>6886856</v>
      </c>
      <c r="V38" s="261">
        <f>SUM(V39:V45)</f>
        <v>5695280</v>
      </c>
      <c r="W38" s="262">
        <f t="shared" ref="W38:W45" si="34">(U38-V38)/V38</f>
        <v>0.20922167127867286</v>
      </c>
      <c r="X38" s="259">
        <f>SUM(X39:X45)</f>
        <v>18214794</v>
      </c>
      <c r="Y38" s="261">
        <f>SUM(Y39:Y45)</f>
        <v>15901655</v>
      </c>
      <c r="Z38" s="260">
        <f t="shared" ref="Z38:Z41" si="35">(X38-Y38)/Y38</f>
        <v>0.14546529905220557</v>
      </c>
      <c r="AA38" s="262">
        <f t="shared" ref="AA38:AA45" si="36">X38/$X$73</f>
        <v>0.86675611748063908</v>
      </c>
    </row>
    <row r="39" spans="1:27" ht="14.1" customHeight="1" x14ac:dyDescent="0.2">
      <c r="A39" s="37"/>
      <c r="B39" s="39" t="s">
        <v>18</v>
      </c>
      <c r="C39" s="263">
        <f>[3]Delta!$IH$19</f>
        <v>12121</v>
      </c>
      <c r="D39" s="2">
        <f>[3]Delta!$HT$19</f>
        <v>10349</v>
      </c>
      <c r="E39" s="65">
        <f t="shared" si="29"/>
        <v>0.17122427287660644</v>
      </c>
      <c r="F39" s="2">
        <f>SUM([3]Delta!$IF$19:$IH$19)</f>
        <v>32299</v>
      </c>
      <c r="G39" s="2">
        <f>SUM([3]Delta!$HR$19:$HT$19)</f>
        <v>28578</v>
      </c>
      <c r="H39" s="3">
        <f t="shared" ref="H39:H45" si="37">(F39-G39)/G39</f>
        <v>0.13020505283784731</v>
      </c>
      <c r="I39" s="65">
        <f t="shared" si="30"/>
        <v>0.48372796573362686</v>
      </c>
      <c r="J39" s="37"/>
      <c r="K39" s="39" t="s">
        <v>18</v>
      </c>
      <c r="L39" s="263">
        <f>[3]Delta!$IH$41</f>
        <v>1720465</v>
      </c>
      <c r="M39" s="2">
        <f>[3]Delta!$HT$41</f>
        <v>1514765</v>
      </c>
      <c r="N39" s="65">
        <f t="shared" si="31"/>
        <v>0.13579664172330361</v>
      </c>
      <c r="O39" s="263">
        <f>SUM([3]Delta!$IF$41:$IH$41)</f>
        <v>4359166</v>
      </c>
      <c r="P39" s="2">
        <f>SUM([3]Delta!$HR$41:$HT$41)</f>
        <v>3757220</v>
      </c>
      <c r="Q39" s="3">
        <f t="shared" si="32"/>
        <v>0.16021047476591735</v>
      </c>
      <c r="R39" s="65">
        <f t="shared" si="33"/>
        <v>0.5844122449745679</v>
      </c>
      <c r="S39" s="37"/>
      <c r="T39" s="39" t="s">
        <v>18</v>
      </c>
      <c r="U39" s="263">
        <f>[3]Delta!$IH$64</f>
        <v>6886856</v>
      </c>
      <c r="V39" s="2">
        <f>[3]Delta!$HT$64</f>
        <v>5695280</v>
      </c>
      <c r="W39" s="65">
        <f t="shared" si="34"/>
        <v>0.20922167127867286</v>
      </c>
      <c r="X39" s="263">
        <f>SUM([3]Delta!$IF$64:$IH$64)</f>
        <v>18214794</v>
      </c>
      <c r="Y39" s="2">
        <f>SUM([3]Delta!$HR$64:$HT$64)</f>
        <v>15901655</v>
      </c>
      <c r="Z39" s="3">
        <f t="shared" si="35"/>
        <v>0.14546529905220557</v>
      </c>
      <c r="AA39" s="65">
        <f t="shared" si="36"/>
        <v>0.86675611748063908</v>
      </c>
    </row>
    <row r="40" spans="1:27" ht="14.1" customHeight="1" x14ac:dyDescent="0.2">
      <c r="A40" s="37"/>
      <c r="B40" s="266" t="s">
        <v>117</v>
      </c>
      <c r="C40" s="263">
        <f>[3]Compass!$IH$19</f>
        <v>0</v>
      </c>
      <c r="D40" s="2">
        <f>[3]Compass!$HT$19</f>
        <v>0</v>
      </c>
      <c r="E40" s="65" t="e">
        <f t="shared" si="29"/>
        <v>#DIV/0!</v>
      </c>
      <c r="F40" s="2">
        <f>SUM([3]Compass!$IF$19:$IH$19)</f>
        <v>0</v>
      </c>
      <c r="G40" s="2">
        <f>SUM([3]Compass!$HR$19:$HT$19)</f>
        <v>0</v>
      </c>
      <c r="H40" s="3" t="e">
        <f t="shared" si="37"/>
        <v>#DIV/0!</v>
      </c>
      <c r="I40" s="65">
        <f t="shared" si="30"/>
        <v>0</v>
      </c>
      <c r="J40" s="37"/>
      <c r="K40" s="266" t="s">
        <v>117</v>
      </c>
      <c r="L40" s="263">
        <f>[3]Compass!$IH$41</f>
        <v>0</v>
      </c>
      <c r="M40" s="2">
        <f>[3]Compass!$HT$41</f>
        <v>0</v>
      </c>
      <c r="N40" s="65" t="e">
        <f t="shared" si="31"/>
        <v>#DIV/0!</v>
      </c>
      <c r="O40" s="263">
        <f>SUM([3]Compass!$IF$41:$IH$41)</f>
        <v>0</v>
      </c>
      <c r="P40" s="2">
        <f>SUM([3]Compass!$HR$41:$HT$41)</f>
        <v>0</v>
      </c>
      <c r="Q40" s="3" t="e">
        <f t="shared" si="32"/>
        <v>#DIV/0!</v>
      </c>
      <c r="R40" s="65">
        <f t="shared" si="33"/>
        <v>0</v>
      </c>
      <c r="S40" s="37"/>
      <c r="T40" s="266" t="s">
        <v>117</v>
      </c>
      <c r="U40" s="263">
        <f>[3]Compass!$IH$64</f>
        <v>0</v>
      </c>
      <c r="V40" s="2">
        <f>[3]Compass!$HT$64</f>
        <v>0</v>
      </c>
      <c r="W40" s="65" t="e">
        <f t="shared" si="34"/>
        <v>#DIV/0!</v>
      </c>
      <c r="X40" s="263">
        <f>SUM([3]Compass!$IF$64:$IH$64)</f>
        <v>0</v>
      </c>
      <c r="Y40" s="2">
        <f>SUM([3]Compass!$HR$64:$HT$64)</f>
        <v>0</v>
      </c>
      <c r="Z40" s="3" t="e">
        <f t="shared" si="35"/>
        <v>#DIV/0!</v>
      </c>
      <c r="AA40" s="65">
        <f t="shared" si="36"/>
        <v>0</v>
      </c>
    </row>
    <row r="41" spans="1:27" ht="14.1" customHeight="1" x14ac:dyDescent="0.2">
      <c r="A41" s="37"/>
      <c r="B41" s="39" t="s">
        <v>158</v>
      </c>
      <c r="C41" s="263">
        <f>[3]Pinnacle!$IH$19</f>
        <v>1491</v>
      </c>
      <c r="D41" s="2">
        <f>[3]Pinnacle!$HT$19</f>
        <v>1904</v>
      </c>
      <c r="E41" s="65">
        <f t="shared" si="29"/>
        <v>-0.21691176470588236</v>
      </c>
      <c r="F41" s="2">
        <f>SUM([3]Pinnacle!$IF$19:$IH$19)</f>
        <v>4425</v>
      </c>
      <c r="G41" s="2">
        <f>SUM([3]Pinnacle!$HR$19:$HT$19)</f>
        <v>5084</v>
      </c>
      <c r="H41" s="3">
        <f t="shared" si="37"/>
        <v>-0.12962234461054287</v>
      </c>
      <c r="I41" s="65">
        <f t="shared" si="30"/>
        <v>6.6271285438289071E-2</v>
      </c>
      <c r="J41" s="37"/>
      <c r="K41" s="39" t="s">
        <v>158</v>
      </c>
      <c r="L41" s="263">
        <f>[3]Pinnacle!$IH$41</f>
        <v>89333</v>
      </c>
      <c r="M41" s="2">
        <f>[3]Pinnacle!$HT$41</f>
        <v>93588</v>
      </c>
      <c r="N41" s="65">
        <f t="shared" si="31"/>
        <v>-4.5465230585117748E-2</v>
      </c>
      <c r="O41" s="263">
        <f>SUM([3]Pinnacle!$IF$41:$IH$41)</f>
        <v>251248</v>
      </c>
      <c r="P41" s="2">
        <f>SUM([3]Pinnacle!$HR$41:$HT$41)</f>
        <v>222825</v>
      </c>
      <c r="Q41" s="3">
        <f t="shared" si="32"/>
        <v>0.12755750028048918</v>
      </c>
      <c r="R41" s="65">
        <f t="shared" si="33"/>
        <v>3.3683600882684947E-2</v>
      </c>
      <c r="S41" s="37"/>
      <c r="T41" s="39" t="s">
        <v>158</v>
      </c>
      <c r="U41" s="263">
        <f>[3]Pinnacle!$IH$64</f>
        <v>0</v>
      </c>
      <c r="V41" s="2">
        <f>[3]Pinnacle!$HT$64</f>
        <v>0</v>
      </c>
      <c r="W41" s="65" t="e">
        <f t="shared" si="34"/>
        <v>#DIV/0!</v>
      </c>
      <c r="X41" s="263">
        <f>SUM([3]Pinnacle!$IF$64:$IH$64)</f>
        <v>0</v>
      </c>
      <c r="Y41" s="2">
        <f>SUM([3]Pinnacle!$HR$64:$HT$64)</f>
        <v>0</v>
      </c>
      <c r="Z41" s="3" t="e">
        <f t="shared" si="35"/>
        <v>#DIV/0!</v>
      </c>
      <c r="AA41" s="65">
        <f t="shared" si="36"/>
        <v>0</v>
      </c>
    </row>
    <row r="42" spans="1:27" ht="14.1" customHeight="1" x14ac:dyDescent="0.2">
      <c r="A42" s="37"/>
      <c r="B42" s="39" t="s">
        <v>154</v>
      </c>
      <c r="C42" s="263">
        <f>'[3]Go Jet'!$IH$19</f>
        <v>0</v>
      </c>
      <c r="D42" s="2">
        <f>'[3]Go Jet'!$HT$19</f>
        <v>0</v>
      </c>
      <c r="E42" s="65" t="e">
        <f t="shared" si="29"/>
        <v>#DIV/0!</v>
      </c>
      <c r="F42" s="2">
        <f>SUM('[3]Go Jet'!$IF$19:$IH$19)</f>
        <v>0</v>
      </c>
      <c r="G42" s="2">
        <f>SUM('[3]Go Jet'!$HR$19:$HT$19)</f>
        <v>0</v>
      </c>
      <c r="H42" s="3" t="e">
        <f>(F42-G42)/G42</f>
        <v>#DIV/0!</v>
      </c>
      <c r="I42" s="65">
        <f t="shared" si="30"/>
        <v>0</v>
      </c>
      <c r="J42" s="37"/>
      <c r="K42" s="39" t="s">
        <v>154</v>
      </c>
      <c r="L42" s="263">
        <f>'[3]Go Jet'!$IH$41</f>
        <v>0</v>
      </c>
      <c r="M42" s="2">
        <f>'[3]Go Jet'!$HT$41</f>
        <v>0</v>
      </c>
      <c r="N42" s="65" t="e">
        <f t="shared" si="31"/>
        <v>#DIV/0!</v>
      </c>
      <c r="O42" s="263">
        <f>SUM('[3]Go Jet'!$IF$41:$IH$41)</f>
        <v>0</v>
      </c>
      <c r="P42" s="2">
        <f>SUM('[3]Go Jet'!$HR$41:$HT$41)</f>
        <v>0</v>
      </c>
      <c r="Q42" s="3" t="e">
        <f>(O42-P42)/P42</f>
        <v>#DIV/0!</v>
      </c>
      <c r="R42" s="65">
        <f t="shared" si="33"/>
        <v>0</v>
      </c>
      <c r="S42" s="37"/>
      <c r="T42" s="39" t="s">
        <v>154</v>
      </c>
      <c r="U42" s="263">
        <f>'[3]Go Jet'!$IH$64</f>
        <v>0</v>
      </c>
      <c r="V42" s="2">
        <f>'[3]Go Jet'!$HT$64</f>
        <v>0</v>
      </c>
      <c r="W42" s="65" t="e">
        <f t="shared" si="34"/>
        <v>#DIV/0!</v>
      </c>
      <c r="X42" s="263">
        <f>SUM('[3]Go Jet'!$IF$64:$IH$64)</f>
        <v>0</v>
      </c>
      <c r="Y42" s="2">
        <f>SUM('[3]Go Jet'!$HR$64:$HT$64)</f>
        <v>0</v>
      </c>
      <c r="Z42" s="3" t="e">
        <f>(X42-Y42)/Y42</f>
        <v>#DIV/0!</v>
      </c>
      <c r="AA42" s="65">
        <f t="shared" si="36"/>
        <v>0</v>
      </c>
    </row>
    <row r="43" spans="1:27" ht="14.1" customHeight="1" x14ac:dyDescent="0.2">
      <c r="A43" s="37"/>
      <c r="B43" s="39" t="s">
        <v>97</v>
      </c>
      <c r="C43" s="263">
        <f>'[3]Sky West'!$IH$19</f>
        <v>4237</v>
      </c>
      <c r="D43" s="2">
        <f>'[3]Sky West'!$HT$19</f>
        <v>5781</v>
      </c>
      <c r="E43" s="65">
        <f t="shared" si="29"/>
        <v>-0.26708181975436773</v>
      </c>
      <c r="F43" s="2">
        <f>SUM('[3]Sky West'!$IF$19:$IH$19)</f>
        <v>11902</v>
      </c>
      <c r="G43" s="2">
        <f>SUM('[3]Sky West'!$HR$19:$HT$19)</f>
        <v>16239</v>
      </c>
      <c r="H43" s="3">
        <f t="shared" si="37"/>
        <v>-0.26707309563396758</v>
      </c>
      <c r="I43" s="65">
        <f t="shared" si="30"/>
        <v>0.17825103712689641</v>
      </c>
      <c r="J43" s="37"/>
      <c r="K43" s="39" t="s">
        <v>97</v>
      </c>
      <c r="L43" s="263">
        <f>'[3]Sky West'!$IH$41</f>
        <v>230312</v>
      </c>
      <c r="M43" s="2">
        <f>'[3]Sky West'!$HT$41</f>
        <v>293936</v>
      </c>
      <c r="N43" s="65">
        <f t="shared" si="31"/>
        <v>-0.21645528278264656</v>
      </c>
      <c r="O43" s="263">
        <f>SUM('[3]Sky West'!$IF$41:$IH$41)</f>
        <v>575491</v>
      </c>
      <c r="P43" s="2">
        <f>SUM('[3]Sky West'!$HR$41:$HT$41)</f>
        <v>734711</v>
      </c>
      <c r="Q43" s="3">
        <f t="shared" si="32"/>
        <v>-0.21671106053945022</v>
      </c>
      <c r="R43" s="65">
        <f t="shared" si="33"/>
        <v>7.7153287411550517E-2</v>
      </c>
      <c r="S43" s="37"/>
      <c r="T43" s="39" t="s">
        <v>97</v>
      </c>
      <c r="U43" s="263">
        <f>'[3]Sky West'!$IH$64</f>
        <v>0</v>
      </c>
      <c r="V43" s="2">
        <f>'[3]Sky West'!$HT$64</f>
        <v>0</v>
      </c>
      <c r="W43" s="65" t="e">
        <f t="shared" si="34"/>
        <v>#DIV/0!</v>
      </c>
      <c r="X43" s="263">
        <f>SUM('[3]Sky West'!$IF$64:$IH$64)</f>
        <v>0</v>
      </c>
      <c r="Y43" s="2">
        <f>SUM('[3]Sky West'!$HR$64:$HT$64)</f>
        <v>0</v>
      </c>
      <c r="Z43" s="3" t="e">
        <f t="shared" ref="Z43:Z45" si="38">(X43-Y43)/Y43</f>
        <v>#DIV/0!</v>
      </c>
      <c r="AA43" s="65">
        <f t="shared" si="36"/>
        <v>0</v>
      </c>
    </row>
    <row r="44" spans="1:27" ht="14.1" customHeight="1" x14ac:dyDescent="0.2">
      <c r="A44" s="37"/>
      <c r="B44" s="39" t="s">
        <v>131</v>
      </c>
      <c r="C44" s="263">
        <f>'[3]Shuttle America_Delta'!$IH$19</f>
        <v>0</v>
      </c>
      <c r="D44" s="2">
        <f>'[3]Shuttle America_Delta'!$HT$19</f>
        <v>0</v>
      </c>
      <c r="E44" s="65" t="e">
        <f t="shared" si="29"/>
        <v>#DIV/0!</v>
      </c>
      <c r="F44" s="2">
        <f>SUM('[3]Shuttle America_Delta'!$IF$19:$IH$19)</f>
        <v>0</v>
      </c>
      <c r="G44" s="2">
        <f>SUM('[3]Shuttle America_Delta'!$HR$19:$HT$19)</f>
        <v>0</v>
      </c>
      <c r="H44" s="3" t="e">
        <f t="shared" si="37"/>
        <v>#DIV/0!</v>
      </c>
      <c r="I44" s="65">
        <f t="shared" si="30"/>
        <v>0</v>
      </c>
      <c r="J44" s="37"/>
      <c r="K44" s="39" t="s">
        <v>131</v>
      </c>
      <c r="L44" s="263">
        <f>'[3]Shuttle America_Delta'!$IH$41</f>
        <v>0</v>
      </c>
      <c r="M44" s="2">
        <f>'[3]Shuttle America_Delta'!$HT$41</f>
        <v>0</v>
      </c>
      <c r="N44" s="65" t="e">
        <f t="shared" si="31"/>
        <v>#DIV/0!</v>
      </c>
      <c r="O44" s="263">
        <f>SUM('[3]Shuttle America_Delta'!$IF$41:$IH$41)</f>
        <v>0</v>
      </c>
      <c r="P44" s="2">
        <f>SUM('[3]Shuttle America_Delta'!$HR$41:$HT$41)</f>
        <v>0</v>
      </c>
      <c r="Q44" s="3" t="e">
        <f t="shared" si="32"/>
        <v>#DIV/0!</v>
      </c>
      <c r="R44" s="65">
        <f t="shared" si="33"/>
        <v>0</v>
      </c>
      <c r="S44" s="37"/>
      <c r="T44" s="39" t="s">
        <v>131</v>
      </c>
      <c r="U44" s="263">
        <f>'[3]Shuttle America_Delta'!$IH$64</f>
        <v>0</v>
      </c>
      <c r="V44" s="2">
        <f>'[3]Shuttle America_Delta'!$HT$64</f>
        <v>0</v>
      </c>
      <c r="W44" s="65" t="e">
        <f t="shared" si="34"/>
        <v>#DIV/0!</v>
      </c>
      <c r="X44" s="263">
        <f>SUM('[3]Shuttle America_Delta'!$IF$64:$IH$64)</f>
        <v>0</v>
      </c>
      <c r="Y44" s="2">
        <f>SUM('[3]Shuttle America_Delta'!$HR$64:$HT$64)</f>
        <v>0</v>
      </c>
      <c r="Z44" s="3" t="e">
        <f t="shared" si="38"/>
        <v>#DIV/0!</v>
      </c>
      <c r="AA44" s="65">
        <f t="shared" si="36"/>
        <v>0</v>
      </c>
    </row>
    <row r="45" spans="1:27" ht="14.1" customHeight="1" x14ac:dyDescent="0.2">
      <c r="A45" s="37"/>
      <c r="B45" s="318" t="s">
        <v>166</v>
      </c>
      <c r="C45" s="263">
        <f>'[3]Atlantic Southeast'!$IH$19</f>
        <v>0</v>
      </c>
      <c r="D45" s="2">
        <f>'[3]Atlantic Southeast'!$HT$19</f>
        <v>0</v>
      </c>
      <c r="E45" s="65" t="e">
        <f t="shared" si="29"/>
        <v>#DIV/0!</v>
      </c>
      <c r="F45" s="2">
        <f>SUM('[3]Atlantic Southeast'!$IF$19:$IH$19)</f>
        <v>0</v>
      </c>
      <c r="G45" s="2">
        <f>SUM('[3]Atlantic Southeast'!$HR$19:$HT$19)</f>
        <v>0</v>
      </c>
      <c r="H45" s="3" t="e">
        <f t="shared" si="37"/>
        <v>#DIV/0!</v>
      </c>
      <c r="I45" s="65">
        <f t="shared" si="30"/>
        <v>0</v>
      </c>
      <c r="J45" s="37"/>
      <c r="K45" s="318" t="s">
        <v>166</v>
      </c>
      <c r="L45" s="263">
        <f>'[3]Atlantic Southeast'!$IH$41</f>
        <v>0</v>
      </c>
      <c r="M45" s="2">
        <f>'[3]Atlantic Southeast'!$HT$41</f>
        <v>0</v>
      </c>
      <c r="N45" s="65" t="e">
        <f t="shared" si="31"/>
        <v>#DIV/0!</v>
      </c>
      <c r="O45" s="263">
        <f>SUM('[3]Atlantic Southeast'!$IF$41:$IH$41)</f>
        <v>0</v>
      </c>
      <c r="P45" s="2">
        <f>SUM('[3]Atlantic Southeast'!$HR$41:$HT$41)</f>
        <v>0</v>
      </c>
      <c r="Q45" s="3" t="e">
        <f t="shared" si="32"/>
        <v>#DIV/0!</v>
      </c>
      <c r="R45" s="65">
        <f t="shared" si="33"/>
        <v>0</v>
      </c>
      <c r="S45" s="37"/>
      <c r="T45" s="318" t="s">
        <v>166</v>
      </c>
      <c r="U45" s="263">
        <f>'[3]Atlantic Southeast'!$IH$64</f>
        <v>0</v>
      </c>
      <c r="V45" s="2">
        <f>'[3]Atlantic Southeast'!$HT$64</f>
        <v>0</v>
      </c>
      <c r="W45" s="65" t="e">
        <f t="shared" si="34"/>
        <v>#DIV/0!</v>
      </c>
      <c r="X45" s="263">
        <f>SUM('[3]Atlantic Southeast'!$IF$64:$IH$64)</f>
        <v>0</v>
      </c>
      <c r="Y45" s="2">
        <f>SUM('[3]Atlantic Southeast'!$HR$64:$HT$64)</f>
        <v>0</v>
      </c>
      <c r="Z45" s="3" t="e">
        <f t="shared" si="38"/>
        <v>#DIV/0!</v>
      </c>
      <c r="AA45" s="65">
        <f t="shared" si="36"/>
        <v>0</v>
      </c>
    </row>
    <row r="46" spans="1:27" ht="14.1" customHeight="1" x14ac:dyDescent="0.2">
      <c r="A46" s="37"/>
      <c r="B46" s="318"/>
      <c r="C46" s="263"/>
      <c r="E46" s="65"/>
      <c r="F46" s="2"/>
      <c r="I46" s="65"/>
      <c r="J46" s="37"/>
      <c r="K46" s="318"/>
      <c r="L46" s="263"/>
      <c r="N46" s="65"/>
      <c r="O46" s="263"/>
      <c r="P46" s="2"/>
      <c r="Q46" s="3"/>
      <c r="R46" s="65"/>
      <c r="S46" s="37"/>
      <c r="T46" s="318"/>
      <c r="U46" s="263"/>
      <c r="V46" s="2"/>
      <c r="W46" s="65"/>
      <c r="X46" s="263"/>
      <c r="Y46" s="2"/>
      <c r="Z46" s="3"/>
      <c r="AA46" s="65"/>
    </row>
    <row r="47" spans="1:27" ht="14.1" customHeight="1" x14ac:dyDescent="0.2">
      <c r="A47" s="258" t="s">
        <v>47</v>
      </c>
      <c r="B47" s="39"/>
      <c r="C47" s="259">
        <f>[3]Frontier!$IH$19</f>
        <v>134</v>
      </c>
      <c r="D47" s="261">
        <f>[3]Frontier!$HT$19</f>
        <v>182</v>
      </c>
      <c r="E47" s="262">
        <f>(C47-D47)/D47</f>
        <v>-0.26373626373626374</v>
      </c>
      <c r="F47" s="261">
        <f>SUM([3]Frontier!$IF$19:$IH$19)</f>
        <v>322</v>
      </c>
      <c r="G47" s="261">
        <f>SUM([3]Frontier!$HR$19:$HT$19)</f>
        <v>511</v>
      </c>
      <c r="H47" s="260">
        <f>(F47-G47)/G47</f>
        <v>-0.36986301369863012</v>
      </c>
      <c r="I47" s="262">
        <f>F47/$F$73</f>
        <v>4.8224528612721088E-3</v>
      </c>
      <c r="J47" s="258" t="s">
        <v>47</v>
      </c>
      <c r="K47" s="39"/>
      <c r="L47" s="259">
        <f>[3]Frontier!$IH$41</f>
        <v>23251</v>
      </c>
      <c r="M47" s="261">
        <f>[3]Frontier!$HT$41</f>
        <v>29547</v>
      </c>
      <c r="N47" s="262">
        <f>(L47-M47)/M47</f>
        <v>-0.21308423867059262</v>
      </c>
      <c r="O47" s="259">
        <f>SUM([3]Frontier!$IF$41:$IH$41)</f>
        <v>52839</v>
      </c>
      <c r="P47" s="261">
        <f>SUM([3]Frontier!$HR$41:$HT$41)</f>
        <v>67009</v>
      </c>
      <c r="Q47" s="260">
        <f>(O47-P47)/P47</f>
        <v>-0.21146413168380368</v>
      </c>
      <c r="R47" s="262">
        <f>O47/$O$73</f>
        <v>7.0838684767249496E-3</v>
      </c>
      <c r="S47" s="258" t="s">
        <v>47</v>
      </c>
      <c r="T47" s="39"/>
      <c r="U47" s="259">
        <f>[3]Frontier!$IH$64</f>
        <v>0</v>
      </c>
      <c r="V47" s="261">
        <f>[3]Frontier!$HT$64</f>
        <v>0</v>
      </c>
      <c r="W47" s="262" t="e">
        <f>(U47-V47)/V47</f>
        <v>#DIV/0!</v>
      </c>
      <c r="X47" s="259">
        <f>SUM([3]Frontier!$IF$64:$IH$64)</f>
        <v>0</v>
      </c>
      <c r="Y47" s="261">
        <f>SUM([3]Frontier!$HR$64:$HT$64)</f>
        <v>0</v>
      </c>
      <c r="Z47" s="260" t="e">
        <f>(X47-Y47)/Y47</f>
        <v>#DIV/0!</v>
      </c>
      <c r="AA47" s="262">
        <f>X47/$X$73</f>
        <v>0</v>
      </c>
    </row>
    <row r="48" spans="1:27" ht="14.1" customHeight="1" x14ac:dyDescent="0.2">
      <c r="A48" s="258"/>
      <c r="B48" s="39"/>
      <c r="C48" s="259"/>
      <c r="D48" s="261"/>
      <c r="E48" s="262"/>
      <c r="F48" s="261"/>
      <c r="G48" s="261"/>
      <c r="H48" s="260"/>
      <c r="I48" s="262"/>
      <c r="J48" s="258"/>
      <c r="K48" s="39"/>
      <c r="L48" s="263"/>
      <c r="N48" s="65"/>
      <c r="O48" s="263"/>
      <c r="P48" s="2"/>
      <c r="Q48" s="3"/>
      <c r="R48" s="65"/>
      <c r="S48" s="258"/>
      <c r="T48" s="39"/>
      <c r="U48" s="263"/>
      <c r="V48" s="2"/>
      <c r="W48" s="65"/>
      <c r="X48" s="263"/>
      <c r="Y48" s="2"/>
      <c r="Z48" s="3"/>
      <c r="AA48" s="65"/>
    </row>
    <row r="49" spans="1:27" ht="14.1" customHeight="1" x14ac:dyDescent="0.2">
      <c r="A49" s="258" t="s">
        <v>48</v>
      </c>
      <c r="B49" s="39"/>
      <c r="C49" s="259">
        <f>[3]Icelandair!$IH$19</f>
        <v>12</v>
      </c>
      <c r="D49" s="261">
        <f>[3]Icelandair!$HT$19</f>
        <v>0</v>
      </c>
      <c r="E49" s="262" t="e">
        <f>(C49-D49)/D49</f>
        <v>#DIV/0!</v>
      </c>
      <c r="F49" s="261">
        <f>SUM([3]Icelandair!$IF$19:$IH$19)</f>
        <v>18</v>
      </c>
      <c r="G49" s="261">
        <f>SUM([3]Icelandair!$HR$19:$HT$19)</f>
        <v>0</v>
      </c>
      <c r="H49" s="260" t="e">
        <f>(F49-G49)/G49</f>
        <v>#DIV/0!</v>
      </c>
      <c r="I49" s="262">
        <f>F49/$F$73</f>
        <v>2.6957811025744708E-4</v>
      </c>
      <c r="J49" s="258" t="s">
        <v>48</v>
      </c>
      <c r="K49" s="39"/>
      <c r="L49" s="259">
        <f>[3]Icelandair!$IH$41</f>
        <v>1423</v>
      </c>
      <c r="M49" s="261">
        <f>[3]Icelandair!$HT$41</f>
        <v>0</v>
      </c>
      <c r="N49" s="262" t="e">
        <f>(L49-M49)/M49</f>
        <v>#DIV/0!</v>
      </c>
      <c r="O49" s="259">
        <f>SUM([3]Icelandair!$IF$41:$IH$41)</f>
        <v>2154</v>
      </c>
      <c r="P49" s="261">
        <f>SUM([3]Icelandair!$HR$41:$HT$41)</f>
        <v>0</v>
      </c>
      <c r="Q49" s="260" t="e">
        <f>(O49-P49)/P49</f>
        <v>#DIV/0!</v>
      </c>
      <c r="R49" s="262">
        <f>O49/$O$73</f>
        <v>2.8877633374714779E-4</v>
      </c>
      <c r="S49" s="258" t="s">
        <v>48</v>
      </c>
      <c r="T49" s="39"/>
      <c r="U49" s="259">
        <f>[3]Icelandair!$IH$64</f>
        <v>71</v>
      </c>
      <c r="V49" s="261">
        <f>[3]Icelandair!$HT$64</f>
        <v>0</v>
      </c>
      <c r="W49" s="262" t="e">
        <f>(U49-V49)/V49</f>
        <v>#DIV/0!</v>
      </c>
      <c r="X49" s="259">
        <f>SUM([3]Icelandair!$IF$64:$IH$64)</f>
        <v>408</v>
      </c>
      <c r="Y49" s="261">
        <f>SUM([3]Icelandair!$HR$64:$HT$64)</f>
        <v>0</v>
      </c>
      <c r="Z49" s="260" t="e">
        <f>(X49-Y49)/Y49</f>
        <v>#DIV/0!</v>
      </c>
      <c r="AA49" s="262">
        <f>X49/$X$73</f>
        <v>1.9414795244574315E-5</v>
      </c>
    </row>
    <row r="50" spans="1:27" ht="14.1" customHeight="1" x14ac:dyDescent="0.2">
      <c r="A50" s="258"/>
      <c r="B50" s="39"/>
      <c r="C50" s="259"/>
      <c r="D50" s="261"/>
      <c r="E50" s="262"/>
      <c r="F50" s="261"/>
      <c r="G50" s="261"/>
      <c r="H50" s="260"/>
      <c r="I50" s="262"/>
      <c r="J50" s="258"/>
      <c r="K50" s="39"/>
      <c r="L50" s="263"/>
      <c r="N50" s="65"/>
      <c r="O50" s="263"/>
      <c r="P50" s="2"/>
      <c r="Q50" s="3"/>
      <c r="R50" s="65"/>
      <c r="S50" s="258"/>
      <c r="T50" s="39"/>
      <c r="U50" s="263"/>
      <c r="V50" s="2"/>
      <c r="W50" s="65"/>
      <c r="X50" s="263"/>
      <c r="Y50" s="2"/>
      <c r="Z50" s="3"/>
      <c r="AA50" s="65"/>
    </row>
    <row r="51" spans="1:27" ht="14.1" customHeight="1" x14ac:dyDescent="0.2">
      <c r="A51" s="258" t="s">
        <v>197</v>
      </c>
      <c r="B51" s="39"/>
      <c r="C51" s="259">
        <f>'[3]Jet Blue'!$IH$19</f>
        <v>90</v>
      </c>
      <c r="D51" s="261">
        <f>'[3]Jet Blue'!$HT$19</f>
        <v>120</v>
      </c>
      <c r="E51" s="262">
        <f>(C51-D51)/D51</f>
        <v>-0.25</v>
      </c>
      <c r="F51" s="261">
        <f>SUM('[3]Jet Blue'!$IF$19:$IH$19)</f>
        <v>358</v>
      </c>
      <c r="G51" s="261">
        <f>SUM('[3]Jet Blue'!$HR$19:$HT$19)</f>
        <v>320</v>
      </c>
      <c r="H51" s="260">
        <f>(F51-G51)/G51</f>
        <v>0.11874999999999999</v>
      </c>
      <c r="I51" s="262">
        <f>F51/$F$73</f>
        <v>5.3616090817870032E-3</v>
      </c>
      <c r="J51" s="258" t="s">
        <v>197</v>
      </c>
      <c r="K51" s="39"/>
      <c r="L51" s="259">
        <f>'[3]Jet Blue'!$IH$41</f>
        <v>7666</v>
      </c>
      <c r="M51" s="261">
        <f>'[3]Jet Blue'!$HT$41</f>
        <v>9958</v>
      </c>
      <c r="N51" s="262">
        <f>(L51-M51)/M51</f>
        <v>-0.23016670014059049</v>
      </c>
      <c r="O51" s="259">
        <f>SUM('[3]Jet Blue'!$IF$41:$IH$41)</f>
        <v>25610</v>
      </c>
      <c r="P51" s="261">
        <f>SUM('[3]Jet Blue'!$HR$41:$HT$41)</f>
        <v>18245</v>
      </c>
      <c r="Q51" s="260">
        <f>(O51-P51)/P51</f>
        <v>0.40367223896958071</v>
      </c>
      <c r="R51" s="262">
        <f>O51/$O$73</f>
        <v>3.4334084991942686E-3</v>
      </c>
      <c r="S51" s="258" t="s">
        <v>197</v>
      </c>
      <c r="T51" s="39"/>
      <c r="U51" s="259">
        <f>'[3]Jet Blue'!$IH$64</f>
        <v>0</v>
      </c>
      <c r="V51" s="261">
        <f>'[3]Jet Blue'!$HT$64</f>
        <v>0</v>
      </c>
      <c r="W51" s="262" t="e">
        <f>(U51-V51)/V51</f>
        <v>#DIV/0!</v>
      </c>
      <c r="X51" s="259">
        <f>SUM('[3]Jet Blue'!$IF$64:$IH$64)</f>
        <v>0</v>
      </c>
      <c r="Y51" s="261">
        <f>SUM('[3]Jet Blue'!$HR$64:$HT$64)</f>
        <v>0</v>
      </c>
      <c r="Z51" s="260" t="e">
        <f>(X51-Y51)/Y51</f>
        <v>#DIV/0!</v>
      </c>
      <c r="AA51" s="262">
        <f>X51/$X$73</f>
        <v>0</v>
      </c>
    </row>
    <row r="52" spans="1:27" ht="14.1" customHeight="1" x14ac:dyDescent="0.2">
      <c r="A52" s="258"/>
      <c r="B52" s="39"/>
      <c r="C52" s="259"/>
      <c r="D52" s="261"/>
      <c r="E52" s="262"/>
      <c r="F52" s="261"/>
      <c r="G52" s="261"/>
      <c r="H52" s="260"/>
      <c r="I52" s="262"/>
      <c r="J52" s="258"/>
      <c r="K52" s="39"/>
      <c r="L52" s="263"/>
      <c r="N52" s="65"/>
      <c r="O52" s="263"/>
      <c r="P52" s="2"/>
      <c r="Q52" s="3"/>
      <c r="R52" s="65"/>
      <c r="S52" s="258"/>
      <c r="T52" s="39"/>
      <c r="U52" s="263"/>
      <c r="V52" s="2"/>
      <c r="W52" s="65"/>
      <c r="X52" s="263"/>
      <c r="Y52" s="2"/>
      <c r="Z52" s="3"/>
      <c r="AA52" s="65"/>
    </row>
    <row r="53" spans="1:27" ht="14.1" customHeight="1" x14ac:dyDescent="0.2">
      <c r="A53" s="258" t="s">
        <v>192</v>
      </c>
      <c r="B53" s="39"/>
      <c r="C53" s="259">
        <f>[3]KLM!$IH$19</f>
        <v>36</v>
      </c>
      <c r="D53" s="261">
        <f>[3]KLM!$HT$19</f>
        <v>28</v>
      </c>
      <c r="E53" s="262">
        <f>(C53-D53)/D53</f>
        <v>0.2857142857142857</v>
      </c>
      <c r="F53" s="261">
        <f>SUM([3]KLM!$IF$19:$IH$19)</f>
        <v>100</v>
      </c>
      <c r="G53" s="261">
        <f>SUM([3]KLM!$HR$19:$HT$19)</f>
        <v>78</v>
      </c>
      <c r="H53" s="260">
        <f>(F53-G53)/G53</f>
        <v>0.28205128205128205</v>
      </c>
      <c r="I53" s="262">
        <f>F53/$F$73</f>
        <v>1.4976561680969283E-3</v>
      </c>
      <c r="J53" s="258" t="s">
        <v>192</v>
      </c>
      <c r="K53" s="39"/>
      <c r="L53" s="259">
        <f>[3]KLM!$IH$41</f>
        <v>8360</v>
      </c>
      <c r="M53" s="261">
        <f>[3]KLM!$HT$41</f>
        <v>5729</v>
      </c>
      <c r="N53" s="262">
        <f>(L53-M53)/M53</f>
        <v>0.45924245068947461</v>
      </c>
      <c r="O53" s="259">
        <f>SUM([3]KLM!$IF$41:$IH$41)</f>
        <v>19551</v>
      </c>
      <c r="P53" s="261">
        <f>SUM([3]KLM!$HR$41:$HT$41)</f>
        <v>13038</v>
      </c>
      <c r="Q53" s="260">
        <f>(O53-P53)/P53</f>
        <v>0.49953980671882192</v>
      </c>
      <c r="R53" s="262">
        <f>O53/$O$73</f>
        <v>2.6211077535239027E-3</v>
      </c>
      <c r="S53" s="258" t="s">
        <v>192</v>
      </c>
      <c r="T53" s="39"/>
      <c r="U53" s="259">
        <f>[3]KLM!$IH$64</f>
        <v>450136</v>
      </c>
      <c r="V53" s="261">
        <f>[3]KLM!$HT$64</f>
        <v>875327</v>
      </c>
      <c r="W53" s="262">
        <f>(U53-V53)/V53</f>
        <v>-0.48575103932587477</v>
      </c>
      <c r="X53" s="259">
        <f>SUM([3]KLM!$IF$64:$IH$64)</f>
        <v>1603044</v>
      </c>
      <c r="Y53" s="261">
        <f>SUM([3]KLM!$HR$64:$HT$64)</f>
        <v>1680030</v>
      </c>
      <c r="Z53" s="260">
        <f>(X53-Y53)/Y53</f>
        <v>-4.5824181711040878E-2</v>
      </c>
      <c r="AA53" s="262">
        <f>X53/$X$73</f>
        <v>7.6281301539322027E-2</v>
      </c>
    </row>
    <row r="54" spans="1:27" ht="14.1" customHeight="1" x14ac:dyDescent="0.2">
      <c r="A54" s="258"/>
      <c r="B54" s="39"/>
      <c r="C54" s="259"/>
      <c r="D54" s="261"/>
      <c r="E54" s="262"/>
      <c r="F54" s="261"/>
      <c r="G54" s="261"/>
      <c r="H54" s="260"/>
      <c r="I54" s="262"/>
      <c r="J54" s="258"/>
      <c r="K54" s="39"/>
      <c r="L54" s="263"/>
      <c r="N54" s="65"/>
      <c r="O54" s="263"/>
      <c r="P54" s="2"/>
      <c r="Q54" s="3"/>
      <c r="R54" s="65"/>
      <c r="S54" s="258"/>
      <c r="T54" s="39"/>
      <c r="U54" s="263"/>
      <c r="V54" s="2"/>
      <c r="W54" s="65"/>
      <c r="X54" s="263"/>
      <c r="Y54" s="2"/>
      <c r="Z54" s="3"/>
      <c r="AA54" s="65"/>
    </row>
    <row r="55" spans="1:27" ht="14.1" customHeight="1" x14ac:dyDescent="0.2">
      <c r="A55" s="258" t="s">
        <v>129</v>
      </c>
      <c r="B55" s="39"/>
      <c r="C55" s="259">
        <f>[3]Southwest!$IH$19</f>
        <v>1161</v>
      </c>
      <c r="D55" s="261">
        <f>[3]Southwest!$HT$19</f>
        <v>786</v>
      </c>
      <c r="E55" s="262">
        <f>(C55-D55)/D55</f>
        <v>0.47709923664122139</v>
      </c>
      <c r="F55" s="261">
        <f>SUM([3]Southwest!$IF$19:$IH$19)</f>
        <v>2878</v>
      </c>
      <c r="G55" s="261">
        <f>SUM([3]Southwest!$HR$19:$HT$19)</f>
        <v>2031</v>
      </c>
      <c r="H55" s="260">
        <f>(F55-G55)/G55</f>
        <v>0.41703594288527818</v>
      </c>
      <c r="I55" s="262">
        <f>F55/$F$73</f>
        <v>4.3102544517829598E-2</v>
      </c>
      <c r="J55" s="258" t="s">
        <v>129</v>
      </c>
      <c r="K55" s="39"/>
      <c r="L55" s="259">
        <f>[3]Southwest!$IH$41</f>
        <v>134714</v>
      </c>
      <c r="M55" s="261">
        <f>[3]Southwest!$HT$41</f>
        <v>102240</v>
      </c>
      <c r="N55" s="262">
        <f>(L55-M55)/M55</f>
        <v>0.31762519561815339</v>
      </c>
      <c r="O55" s="259">
        <f>SUM([3]Southwest!$IF$41:$IH$41)</f>
        <v>309513</v>
      </c>
      <c r="P55" s="261">
        <f>SUM([3]Southwest!$HR$41:$HT$41)</f>
        <v>237448</v>
      </c>
      <c r="Q55" s="260">
        <f>(O55-P55)/P55</f>
        <v>0.30349802904214818</v>
      </c>
      <c r="R55" s="262">
        <f>O55/$O$73</f>
        <v>4.1494906864940083E-2</v>
      </c>
      <c r="S55" s="258" t="s">
        <v>129</v>
      </c>
      <c r="T55" s="39"/>
      <c r="U55" s="259">
        <f>[3]Southwest!$IH$64</f>
        <v>252153</v>
      </c>
      <c r="V55" s="261">
        <f>[3]Southwest!$HT$64</f>
        <v>217073</v>
      </c>
      <c r="W55" s="262">
        <f>(U55-V55)/V55</f>
        <v>0.16160462148678095</v>
      </c>
      <c r="X55" s="259">
        <f>SUM([3]Southwest!$IF$64:$IH$64)</f>
        <v>592760</v>
      </c>
      <c r="Y55" s="261">
        <f>SUM([3]Southwest!$HR$64:$HT$64)</f>
        <v>591277</v>
      </c>
      <c r="Z55" s="260">
        <f>(X55-Y55)/Y55</f>
        <v>2.5081307069275485E-3</v>
      </c>
      <c r="AA55" s="262">
        <f>X55/$X$73</f>
        <v>2.8206652032288899E-2</v>
      </c>
    </row>
    <row r="56" spans="1:27" ht="14.1" customHeight="1" x14ac:dyDescent="0.2">
      <c r="A56" s="258"/>
      <c r="B56" s="39"/>
      <c r="C56" s="259"/>
      <c r="D56" s="261"/>
      <c r="E56" s="262"/>
      <c r="F56" s="261"/>
      <c r="G56" s="261"/>
      <c r="H56" s="260"/>
      <c r="I56" s="262"/>
      <c r="J56" s="258"/>
      <c r="K56" s="39"/>
      <c r="L56" s="263"/>
      <c r="N56" s="65"/>
      <c r="O56" s="263"/>
      <c r="P56" s="2"/>
      <c r="Q56" s="3"/>
      <c r="R56" s="65"/>
      <c r="S56" s="258"/>
      <c r="T56" s="39"/>
      <c r="U56" s="263"/>
      <c r="V56" s="2"/>
      <c r="W56" s="65"/>
      <c r="X56" s="263"/>
      <c r="Y56" s="2"/>
      <c r="Z56" s="3"/>
      <c r="AA56" s="65"/>
    </row>
    <row r="57" spans="1:27" ht="14.1" customHeight="1" x14ac:dyDescent="0.2">
      <c r="A57" s="258" t="s">
        <v>155</v>
      </c>
      <c r="B57" s="39"/>
      <c r="C57" s="259">
        <f>[3]Spirit!$IH$19</f>
        <v>338</v>
      </c>
      <c r="D57" s="261">
        <f>[3]Spirit!$HT$19</f>
        <v>440</v>
      </c>
      <c r="E57" s="262">
        <f>(C57-D57)/D57</f>
        <v>-0.23181818181818181</v>
      </c>
      <c r="F57" s="261">
        <f>SUM([3]Spirit!$IF$19:$IH$19)</f>
        <v>1043</v>
      </c>
      <c r="G57" s="261">
        <f>SUM([3]Spirit!$HR$19:$HT$19)</f>
        <v>1049</v>
      </c>
      <c r="H57" s="260">
        <f>(F57-G57)/G57</f>
        <v>-5.7197330791229741E-3</v>
      </c>
      <c r="I57" s="262">
        <f>F57/$F$73</f>
        <v>1.5620553833250962E-2</v>
      </c>
      <c r="J57" s="258" t="s">
        <v>155</v>
      </c>
      <c r="K57" s="39"/>
      <c r="L57" s="259">
        <f>[3]Spirit!$IH$41</f>
        <v>56158</v>
      </c>
      <c r="M57" s="261">
        <f>[3]Spirit!$HT$41</f>
        <v>70901</v>
      </c>
      <c r="N57" s="262">
        <f>(L57-M57)/M57</f>
        <v>-0.20793782880354297</v>
      </c>
      <c r="O57" s="259">
        <f>SUM([3]Spirit!$IF$41:$IH$41)</f>
        <v>142973</v>
      </c>
      <c r="P57" s="261">
        <f>SUM([3]Spirit!$HR$41:$HT$41)</f>
        <v>154596</v>
      </c>
      <c r="Q57" s="260">
        <f>(O57-P57)/P57</f>
        <v>-7.5183057776397832E-2</v>
      </c>
      <c r="R57" s="262">
        <f>O57/$O$73</f>
        <v>1.916769673390481E-2</v>
      </c>
      <c r="S57" s="258" t="s">
        <v>155</v>
      </c>
      <c r="T57" s="39"/>
      <c r="U57" s="259">
        <f>[3]Spirit!$IH$64</f>
        <v>0</v>
      </c>
      <c r="V57" s="261">
        <f>[3]Spirit!$HT$64</f>
        <v>0</v>
      </c>
      <c r="W57" s="262" t="e">
        <f>(U57-V57)/V57</f>
        <v>#DIV/0!</v>
      </c>
      <c r="X57" s="259">
        <f>SUM([3]Spirit!$IF$64:$IH$64)</f>
        <v>0</v>
      </c>
      <c r="Y57" s="261">
        <f>SUM([3]Spirit!$HR$64:$HT$64)</f>
        <v>0</v>
      </c>
      <c r="Z57" s="260" t="e">
        <f>(X57-Y57)/Y57</f>
        <v>#DIV/0!</v>
      </c>
      <c r="AA57" s="262">
        <f>X57/$X$73</f>
        <v>0</v>
      </c>
    </row>
    <row r="58" spans="1:27" ht="14.1" customHeight="1" x14ac:dyDescent="0.2">
      <c r="A58" s="258"/>
      <c r="B58" s="39"/>
      <c r="C58" s="259"/>
      <c r="D58" s="261"/>
      <c r="E58" s="262"/>
      <c r="F58" s="261"/>
      <c r="G58" s="261"/>
      <c r="H58" s="260"/>
      <c r="I58" s="262"/>
      <c r="J58" s="258"/>
      <c r="K58" s="39"/>
      <c r="L58" s="263"/>
      <c r="N58" s="65"/>
      <c r="O58" s="263"/>
      <c r="P58" s="2"/>
      <c r="Q58" s="3"/>
      <c r="R58" s="65">
        <f>O58/$O$73</f>
        <v>0</v>
      </c>
      <c r="S58" s="258"/>
      <c r="T58" s="39"/>
      <c r="U58" s="263"/>
      <c r="V58" s="2"/>
      <c r="W58" s="65"/>
      <c r="X58" s="263"/>
      <c r="Y58" s="2"/>
      <c r="Z58" s="3"/>
      <c r="AA58" s="65">
        <f>X58/$X$73</f>
        <v>0</v>
      </c>
    </row>
    <row r="59" spans="1:27" ht="14.1" customHeight="1" x14ac:dyDescent="0.2">
      <c r="A59" s="258" t="s">
        <v>49</v>
      </c>
      <c r="B59" s="39"/>
      <c r="C59" s="259">
        <f>'[3]Sun Country'!$IH$19</f>
        <v>2384</v>
      </c>
      <c r="D59" s="261">
        <f>'[3]Sun Country'!$HT$19</f>
        <v>2334</v>
      </c>
      <c r="E59" s="262">
        <f>(C59-D59)/D59</f>
        <v>2.1422450728363324E-2</v>
      </c>
      <c r="F59" s="261">
        <f>SUM('[3]Sun Country'!$IF$19:$IH$19)</f>
        <v>6216</v>
      </c>
      <c r="G59" s="261">
        <f>SUM('[3]Sun Country'!$HR$19:$HT$19)</f>
        <v>6186</v>
      </c>
      <c r="H59" s="260">
        <f>(F59-G59)/G59</f>
        <v>4.849660523763337E-3</v>
      </c>
      <c r="I59" s="262">
        <f>F59/$F$73</f>
        <v>9.3094307408905064E-2</v>
      </c>
      <c r="J59" s="258" t="s">
        <v>49</v>
      </c>
      <c r="K59" s="39"/>
      <c r="L59" s="259">
        <f>'[3]Sun Country'!$IH$41</f>
        <v>371134</v>
      </c>
      <c r="M59" s="261">
        <f>'[3]Sun Country'!$HT$41</f>
        <v>360612</v>
      </c>
      <c r="N59" s="262">
        <f>(L59-M59)/M59</f>
        <v>2.917817488048096E-2</v>
      </c>
      <c r="O59" s="259">
        <f>SUM('[3]Sun Country'!$IF$41:$IH$41)</f>
        <v>929202</v>
      </c>
      <c r="P59" s="261">
        <f>SUM('[3]Sun Country'!$HR$41:$HT$41)</f>
        <v>863090</v>
      </c>
      <c r="Q59" s="260">
        <f>(O59-P59)/P59</f>
        <v>7.6599195912361404E-2</v>
      </c>
      <c r="R59" s="262">
        <f>O59/$O$73</f>
        <v>0.12457360578946945</v>
      </c>
      <c r="S59" s="258" t="s">
        <v>49</v>
      </c>
      <c r="T59" s="39"/>
      <c r="U59" s="259">
        <f>'[3]Sun Country'!$IH$64</f>
        <v>1275</v>
      </c>
      <c r="V59" s="261">
        <f>'[3]Sun Country'!$HT$64</f>
        <v>235589</v>
      </c>
      <c r="W59" s="262">
        <f>(U59-V59)/V59</f>
        <v>-0.99458803254820893</v>
      </c>
      <c r="X59" s="259">
        <f>SUM('[3]Sun Country'!$IF$64:$IH$64)</f>
        <v>61776</v>
      </c>
      <c r="Y59" s="261">
        <f>SUM('[3]Sun Country'!$HR$64:$HT$64)</f>
        <v>672814</v>
      </c>
      <c r="Z59" s="260">
        <f>(X59-Y59)/Y59</f>
        <v>-0.90818264780459379</v>
      </c>
      <c r="AA59" s="262">
        <f>X59/$X$73</f>
        <v>2.9396284093843698E-3</v>
      </c>
    </row>
    <row r="60" spans="1:27" ht="14.1" customHeight="1" x14ac:dyDescent="0.2">
      <c r="A60" s="258"/>
      <c r="B60" s="39"/>
      <c r="C60" s="259"/>
      <c r="D60" s="261"/>
      <c r="E60" s="262"/>
      <c r="F60" s="261"/>
      <c r="G60" s="261"/>
      <c r="H60" s="260"/>
      <c r="I60" s="262"/>
      <c r="J60" s="258"/>
      <c r="K60" s="39"/>
      <c r="L60" s="263"/>
      <c r="N60" s="65"/>
      <c r="O60" s="263"/>
      <c r="P60" s="2"/>
      <c r="Q60" s="3"/>
      <c r="R60" s="65"/>
      <c r="S60" s="258"/>
      <c r="T60" s="39"/>
      <c r="U60" s="263"/>
      <c r="V60" s="2"/>
      <c r="W60" s="65"/>
      <c r="X60" s="263"/>
      <c r="Y60" s="2"/>
      <c r="Z60" s="3"/>
      <c r="AA60" s="65"/>
    </row>
    <row r="61" spans="1:27" ht="14.1" customHeight="1" x14ac:dyDescent="0.2">
      <c r="A61" s="258" t="s">
        <v>19</v>
      </c>
      <c r="B61" s="265"/>
      <c r="C61" s="259">
        <f>SUM(C62:C68)</f>
        <v>987</v>
      </c>
      <c r="D61" s="261">
        <f>SUM(D62:D68)</f>
        <v>919</v>
      </c>
      <c r="E61" s="262">
        <f t="shared" ref="E61:E68" si="39">(C61-D61)/D61</f>
        <v>7.399347116430903E-2</v>
      </c>
      <c r="F61" s="261">
        <f>SUM(F62:F68)</f>
        <v>2730</v>
      </c>
      <c r="G61" s="261">
        <f>SUM(G62:G68)</f>
        <v>2579</v>
      </c>
      <c r="H61" s="260">
        <f t="shared" ref="H61:H68" si="40">(F61-G61)/G61</f>
        <v>5.8549825513765023E-2</v>
      </c>
      <c r="I61" s="262">
        <f t="shared" ref="I61:I68" si="41">F61/$F$73</f>
        <v>4.0886013389046141E-2</v>
      </c>
      <c r="J61" s="258" t="s">
        <v>19</v>
      </c>
      <c r="K61" s="265"/>
      <c r="L61" s="259">
        <f>SUM(L62:L68)</f>
        <v>126730</v>
      </c>
      <c r="M61" s="261">
        <f>SUM(M62:M68)</f>
        <v>104386</v>
      </c>
      <c r="N61" s="262">
        <f t="shared" ref="N61:N68" si="42">(L61-M61)/M61</f>
        <v>0.21405169275573352</v>
      </c>
      <c r="O61" s="259">
        <f>SUM(O62:O68)</f>
        <v>337594</v>
      </c>
      <c r="P61" s="261">
        <f>SUM(P62:P68)</f>
        <v>259414</v>
      </c>
      <c r="Q61" s="260">
        <f t="shared" ref="Q61:Q68" si="43">(O61-P61)/P61</f>
        <v>0.30137155280748146</v>
      </c>
      <c r="R61" s="262">
        <f t="shared" ref="R61:R68" si="44">O61/$O$73</f>
        <v>4.5259590350526742E-2</v>
      </c>
      <c r="S61" s="258" t="s">
        <v>19</v>
      </c>
      <c r="T61" s="265"/>
      <c r="U61" s="259">
        <f>SUM(U62:U68)</f>
        <v>83728</v>
      </c>
      <c r="V61" s="261">
        <f>SUM(V62:V68)</f>
        <v>84111</v>
      </c>
      <c r="W61" s="262">
        <f t="shared" ref="W61:W68" si="45">(U61-V61)/V61</f>
        <v>-4.5535066757023453E-3</v>
      </c>
      <c r="X61" s="259">
        <f>SUM(X62:X68)</f>
        <v>289130</v>
      </c>
      <c r="Y61" s="261">
        <f>SUM(Y62:Y68)</f>
        <v>278094</v>
      </c>
      <c r="Z61" s="260">
        <f t="shared" ref="Z61:Z68" si="46">(X61-Y61)/Y61</f>
        <v>3.9684423252569274E-2</v>
      </c>
      <c r="AA61" s="262">
        <f t="shared" ref="AA61:AA68" si="47">X61/$X$73</f>
        <v>1.3758332718293558E-2</v>
      </c>
    </row>
    <row r="62" spans="1:27" ht="14.1" customHeight="1" x14ac:dyDescent="0.2">
      <c r="A62" s="37"/>
      <c r="B62" s="318" t="s">
        <v>19</v>
      </c>
      <c r="C62" s="263">
        <f>[3]United!$IH$19</f>
        <v>825</v>
      </c>
      <c r="D62" s="2">
        <f>[3]United!$HT$19+[3]Continental!$HT$19</f>
        <v>625</v>
      </c>
      <c r="E62" s="65">
        <f t="shared" si="39"/>
        <v>0.32</v>
      </c>
      <c r="F62" s="2">
        <f>SUM([3]United!$IF$19:$IH$19)</f>
        <v>2332</v>
      </c>
      <c r="G62" s="2">
        <f>SUM([3]United!$HR$19:$HT$19)+SUM([3]Continental!$HR$19:$HT$19)</f>
        <v>1678</v>
      </c>
      <c r="H62" s="3">
        <f t="shared" si="40"/>
        <v>0.38974970202622167</v>
      </c>
      <c r="I62" s="65">
        <f t="shared" si="41"/>
        <v>3.4925341840020371E-2</v>
      </c>
      <c r="J62" s="37"/>
      <c r="K62" s="318" t="s">
        <v>19</v>
      </c>
      <c r="L62" s="263">
        <f>[3]United!$IH$41</f>
        <v>115888</v>
      </c>
      <c r="M62" s="2">
        <f>[3]United!$HT$41+[3]Continental!$HT$41</f>
        <v>85329</v>
      </c>
      <c r="N62" s="65">
        <f t="shared" si="42"/>
        <v>0.35813146761358977</v>
      </c>
      <c r="O62" s="263">
        <f>SUM([3]United!$IF$41:$IH$41)</f>
        <v>312758</v>
      </c>
      <c r="P62" s="2">
        <f>SUM([3]United!$HR$41:$HT$41)+SUM([3]Continental!$HR$41:$HT$41)</f>
        <v>204782</v>
      </c>
      <c r="Q62" s="3">
        <f t="shared" si="43"/>
        <v>0.52727290484515243</v>
      </c>
      <c r="R62" s="65">
        <f t="shared" si="44"/>
        <v>4.1929948277665011E-2</v>
      </c>
      <c r="S62" s="37"/>
      <c r="T62" s="318" t="s">
        <v>19</v>
      </c>
      <c r="U62" s="263">
        <f>[3]United!$IH$64</f>
        <v>83728</v>
      </c>
      <c r="V62" s="2">
        <f>[3]United!$HT$64+[3]Continental!$HT$64</f>
        <v>84111</v>
      </c>
      <c r="W62" s="65">
        <f t="shared" si="45"/>
        <v>-4.5535066757023453E-3</v>
      </c>
      <c r="X62" s="263">
        <f>SUM([3]United!$IF$64:$IH$64)</f>
        <v>289130</v>
      </c>
      <c r="Y62" s="2">
        <f>SUM([3]United!$HR$64:$HT$64)+SUM([3]Continental!$HR$64:$HT$64)</f>
        <v>278094</v>
      </c>
      <c r="Z62" s="3">
        <f t="shared" si="46"/>
        <v>3.9684423252569274E-2</v>
      </c>
      <c r="AA62" s="65">
        <f t="shared" si="47"/>
        <v>1.3758332718293558E-2</v>
      </c>
    </row>
    <row r="63" spans="1:27" ht="14.1" customHeight="1" x14ac:dyDescent="0.2">
      <c r="A63" s="37"/>
      <c r="B63" s="318" t="s">
        <v>166</v>
      </c>
      <c r="C63" s="263">
        <f>'[3]Continental Express'!$IH$19</f>
        <v>0</v>
      </c>
      <c r="D63" s="2">
        <f>'[3]Continental Express'!$HT$19</f>
        <v>0</v>
      </c>
      <c r="E63" s="65" t="e">
        <f t="shared" si="39"/>
        <v>#DIV/0!</v>
      </c>
      <c r="F63" s="2">
        <f>SUM('[3]Continental Express'!$IF$19:$IH$19)</f>
        <v>0</v>
      </c>
      <c r="G63" s="2">
        <f>SUM('[3]Continental Express'!$HR$19:$HT$19)</f>
        <v>0</v>
      </c>
      <c r="H63" s="3" t="e">
        <f t="shared" si="40"/>
        <v>#DIV/0!</v>
      </c>
      <c r="I63" s="65">
        <f t="shared" si="41"/>
        <v>0</v>
      </c>
      <c r="J63" s="37"/>
      <c r="K63" s="318" t="s">
        <v>166</v>
      </c>
      <c r="L63" s="263">
        <f>'[3]Continental Express'!$IH$41</f>
        <v>0</v>
      </c>
      <c r="M63" s="2">
        <f>'[3]Continental Express'!$HT$41</f>
        <v>0</v>
      </c>
      <c r="N63" s="65" t="e">
        <f t="shared" si="42"/>
        <v>#DIV/0!</v>
      </c>
      <c r="O63" s="263">
        <f>SUM('[3]Continental Express'!$IF$41:$IH$41)</f>
        <v>0</v>
      </c>
      <c r="P63" s="2">
        <f>SUM('[3]Continental Express'!$HR$41:$HT$41)</f>
        <v>0</v>
      </c>
      <c r="Q63" s="3" t="e">
        <f t="shared" si="43"/>
        <v>#DIV/0!</v>
      </c>
      <c r="R63" s="65">
        <f t="shared" si="44"/>
        <v>0</v>
      </c>
      <c r="S63" s="37"/>
      <c r="T63" s="318" t="s">
        <v>166</v>
      </c>
      <c r="U63" s="263">
        <f>'[3]Continental Express'!$IH$64</f>
        <v>0</v>
      </c>
      <c r="V63" s="2">
        <f>'[3]Continental Express'!$HT$64</f>
        <v>0</v>
      </c>
      <c r="W63" s="65" t="e">
        <f t="shared" si="45"/>
        <v>#DIV/0!</v>
      </c>
      <c r="X63" s="263">
        <f>SUM('[3]Continental Express'!$IF$64:$IH$64)</f>
        <v>0</v>
      </c>
      <c r="Y63" s="2">
        <f>SUM('[3]Continental Express'!$HR$64:$HT$64)</f>
        <v>0</v>
      </c>
      <c r="Z63" s="3" t="e">
        <f t="shared" si="46"/>
        <v>#DIV/0!</v>
      </c>
      <c r="AA63" s="65">
        <f t="shared" si="47"/>
        <v>0</v>
      </c>
    </row>
    <row r="64" spans="1:27" ht="14.1" customHeight="1" x14ac:dyDescent="0.2">
      <c r="A64" s="37"/>
      <c r="B64" s="39" t="s">
        <v>154</v>
      </c>
      <c r="C64" s="263">
        <f>'[3]Go Jet_UA'!$IH$19</f>
        <v>0</v>
      </c>
      <c r="D64" s="2">
        <f>'[3]Go Jet_UA'!$HT$19</f>
        <v>0</v>
      </c>
      <c r="E64" s="65" t="e">
        <f t="shared" si="39"/>
        <v>#DIV/0!</v>
      </c>
      <c r="F64" s="2">
        <f>SUM('[3]Go Jet_UA'!$IF$19:$IH$19)</f>
        <v>0</v>
      </c>
      <c r="G64" s="2">
        <f>SUM('[3]Go Jet_UA'!$HR$19:$HT$19)</f>
        <v>0</v>
      </c>
      <c r="H64" s="3" t="e">
        <f t="shared" si="40"/>
        <v>#DIV/0!</v>
      </c>
      <c r="I64" s="65">
        <f t="shared" si="41"/>
        <v>0</v>
      </c>
      <c r="J64" s="37"/>
      <c r="K64" s="39" t="s">
        <v>154</v>
      </c>
      <c r="L64" s="263">
        <f>'[3]Go Jet_UA'!$IH$41</f>
        <v>0</v>
      </c>
      <c r="M64" s="2">
        <f>'[3]Go Jet_UA'!$HT$41</f>
        <v>0</v>
      </c>
      <c r="N64" s="65" t="e">
        <f t="shared" si="42"/>
        <v>#DIV/0!</v>
      </c>
      <c r="O64" s="263">
        <f>SUM('[3]Go Jet_UA'!$IF$41:$IH$41)</f>
        <v>0</v>
      </c>
      <c r="P64" s="2">
        <f>SUM('[3]Go Jet_UA'!$HR$41:$HT$41)</f>
        <v>0</v>
      </c>
      <c r="Q64" s="3" t="e">
        <f t="shared" si="43"/>
        <v>#DIV/0!</v>
      </c>
      <c r="R64" s="65">
        <f t="shared" si="44"/>
        <v>0</v>
      </c>
      <c r="S64" s="37"/>
      <c r="T64" s="39" t="s">
        <v>154</v>
      </c>
      <c r="U64" s="263">
        <f>'[3]Go Jet_UA'!$IH$64</f>
        <v>0</v>
      </c>
      <c r="V64" s="2">
        <f>'[3]Go Jet_UA'!$HT$64</f>
        <v>0</v>
      </c>
      <c r="W64" s="65" t="e">
        <f t="shared" si="45"/>
        <v>#DIV/0!</v>
      </c>
      <c r="X64" s="263">
        <f>SUM('[3]Go Jet_UA'!$IF$64:$IH$64)</f>
        <v>0</v>
      </c>
      <c r="Y64" s="2">
        <f>SUM('[3]Go Jet_UA'!$HR$64:$HT$64)</f>
        <v>0</v>
      </c>
      <c r="Z64" s="3" t="e">
        <f t="shared" si="46"/>
        <v>#DIV/0!</v>
      </c>
      <c r="AA64" s="65">
        <f t="shared" si="47"/>
        <v>0</v>
      </c>
    </row>
    <row r="65" spans="1:27" ht="14.1" customHeight="1" x14ac:dyDescent="0.2">
      <c r="A65" s="37"/>
      <c r="B65" s="39" t="s">
        <v>51</v>
      </c>
      <c r="C65" s="263">
        <f>[3]MESA_UA!$IH$19</f>
        <v>62</v>
      </c>
      <c r="D65" s="2">
        <f>[3]MESA_UA!$HT$19</f>
        <v>65</v>
      </c>
      <c r="E65" s="65">
        <f t="shared" si="39"/>
        <v>-4.6153846153846156E-2</v>
      </c>
      <c r="F65" s="2">
        <f>SUM([3]MESA_UA!$IF$19:$IH$19)</f>
        <v>104</v>
      </c>
      <c r="G65" s="2">
        <f>SUM([3]MESA_UA!$HR$19:$HT$19)</f>
        <v>380</v>
      </c>
      <c r="H65" s="3">
        <f>(F65-G65)/G65</f>
        <v>-0.72631578947368425</v>
      </c>
      <c r="I65" s="65">
        <f t="shared" si="41"/>
        <v>1.5575624148208055E-3</v>
      </c>
      <c r="J65" s="37"/>
      <c r="K65" s="39" t="s">
        <v>51</v>
      </c>
      <c r="L65" s="263">
        <f>[3]MESA_UA!$IH$41</f>
        <v>4161</v>
      </c>
      <c r="M65" s="2">
        <f>[3]MESA_UA!$HT$41</f>
        <v>4655</v>
      </c>
      <c r="N65" s="65">
        <f t="shared" si="42"/>
        <v>-0.10612244897959183</v>
      </c>
      <c r="O65" s="263">
        <f>SUM([3]MESA_UA!$IF$41:$IH$41)</f>
        <v>6775</v>
      </c>
      <c r="P65" s="2">
        <f>SUM([3]MESA_UA!$HR$41:$HT$41)</f>
        <v>24334</v>
      </c>
      <c r="Q65" s="3">
        <f t="shared" si="43"/>
        <v>-0.72158297032957996</v>
      </c>
      <c r="R65" s="65">
        <f t="shared" si="44"/>
        <v>9.0829139328548099E-4</v>
      </c>
      <c r="S65" s="37"/>
      <c r="T65" s="39" t="s">
        <v>51</v>
      </c>
      <c r="U65" s="263">
        <f>[3]MESA_UA!$IH$64</f>
        <v>0</v>
      </c>
      <c r="V65" s="2">
        <f>[3]MESA_UA!$HT$64</f>
        <v>0</v>
      </c>
      <c r="W65" s="65" t="e">
        <f t="shared" si="45"/>
        <v>#DIV/0!</v>
      </c>
      <c r="X65" s="263">
        <f>SUM([3]MESA_UA!$IF$64:$IH$64)</f>
        <v>0</v>
      </c>
      <c r="Y65" s="2">
        <f>SUM([3]MESA_UA!$HR$64:$HT$64)</f>
        <v>0</v>
      </c>
      <c r="Z65" s="3" t="e">
        <f t="shared" si="46"/>
        <v>#DIV/0!</v>
      </c>
      <c r="AA65" s="65">
        <f t="shared" si="47"/>
        <v>0</v>
      </c>
    </row>
    <row r="66" spans="1:27" ht="14.1" customHeight="1" x14ac:dyDescent="0.2">
      <c r="A66" s="37"/>
      <c r="B66" s="318" t="s">
        <v>52</v>
      </c>
      <c r="C66" s="263">
        <f>[3]Republic_UA!$IH$19</f>
        <v>94</v>
      </c>
      <c r="D66" s="2">
        <f>[3]Republic_UA!$HT$19</f>
        <v>217</v>
      </c>
      <c r="E66" s="65">
        <f t="shared" si="39"/>
        <v>-0.56682027649769584</v>
      </c>
      <c r="F66" s="2">
        <f>SUM([3]Republic_UA!$IF$19:$IH$19)</f>
        <v>262</v>
      </c>
      <c r="G66" s="2">
        <f>SUM([3]Republic_UA!$HR$19:$HT$19)</f>
        <v>405</v>
      </c>
      <c r="H66" s="3">
        <f t="shared" ref="H66" si="48">(F66-G66)/G66</f>
        <v>-0.35308641975308641</v>
      </c>
      <c r="I66" s="65">
        <f t="shared" si="41"/>
        <v>3.9238591604139521E-3</v>
      </c>
      <c r="J66" s="37"/>
      <c r="K66" s="318" t="s">
        <v>52</v>
      </c>
      <c r="L66" s="263">
        <f>[3]Republic_UA!$IH$41</f>
        <v>6242</v>
      </c>
      <c r="M66" s="2">
        <f>[3]Republic_UA!$HT$41</f>
        <v>13573</v>
      </c>
      <c r="N66" s="65">
        <f t="shared" si="42"/>
        <v>-0.54011640757385981</v>
      </c>
      <c r="O66" s="263">
        <f>SUM([3]Republic_UA!$IF$41:$IH$41)</f>
        <v>16355</v>
      </c>
      <c r="P66" s="2">
        <f>SUM([3]Republic_UA!$HR$41:$HT$41)</f>
        <v>22995</v>
      </c>
      <c r="Q66" s="3">
        <f t="shared" si="43"/>
        <v>-0.2887584257447271</v>
      </c>
      <c r="R66" s="65">
        <f t="shared" si="44"/>
        <v>2.1926355331636964E-3</v>
      </c>
      <c r="S66" s="37"/>
      <c r="T66" s="318" t="s">
        <v>52</v>
      </c>
      <c r="U66" s="263">
        <f>[3]Republic_UA!$IH$64</f>
        <v>0</v>
      </c>
      <c r="V66" s="2">
        <f>[3]Republic_UA!$HT$64</f>
        <v>0</v>
      </c>
      <c r="W66" s="65" t="e">
        <f t="shared" si="45"/>
        <v>#DIV/0!</v>
      </c>
      <c r="X66" s="263">
        <f>SUM([3]Republic_UA!$IF$64:$IH$64)</f>
        <v>0</v>
      </c>
      <c r="Y66" s="2">
        <f>SUM([3]Republic_UA!$HR$64:$HT$64)</f>
        <v>0</v>
      </c>
      <c r="Z66" s="3" t="e">
        <f t="shared" si="46"/>
        <v>#DIV/0!</v>
      </c>
      <c r="AA66" s="65">
        <f t="shared" si="47"/>
        <v>0</v>
      </c>
    </row>
    <row r="67" spans="1:27" ht="14.1" customHeight="1" x14ac:dyDescent="0.2">
      <c r="A67" s="37"/>
      <c r="B67" s="39" t="s">
        <v>97</v>
      </c>
      <c r="C67" s="263">
        <f>'[3]Sky West_UA'!$IH$19</f>
        <v>6</v>
      </c>
      <c r="D67" s="2">
        <f>'[3]Sky West_UA'!$HT$19+'[3]Sky West_CO'!$HT$19</f>
        <v>12</v>
      </c>
      <c r="E67" s="65">
        <f t="shared" si="39"/>
        <v>-0.5</v>
      </c>
      <c r="F67" s="2">
        <f>SUM('[3]Sky West_UA'!$IF$19:$IH$19)</f>
        <v>32</v>
      </c>
      <c r="G67" s="2">
        <f>SUM('[3]Sky West_UA'!$HR$19:$HT$19)+SUM('[3]Sky West_CO'!$HR$19:$HT$19)</f>
        <v>116</v>
      </c>
      <c r="H67" s="3">
        <f t="shared" si="40"/>
        <v>-0.72413793103448276</v>
      </c>
      <c r="I67" s="65">
        <f t="shared" si="41"/>
        <v>4.7924997379101707E-4</v>
      </c>
      <c r="J67" s="37"/>
      <c r="K67" s="39" t="s">
        <v>97</v>
      </c>
      <c r="L67" s="263">
        <f>'[3]Sky West_UA'!$IH$41</f>
        <v>439</v>
      </c>
      <c r="M67" s="2">
        <f>'[3]Sky West_UA'!$HT$41+'[3]Sky West_CO'!$HT$41</f>
        <v>829</v>
      </c>
      <c r="N67" s="65">
        <f t="shared" si="42"/>
        <v>-0.47044632086851629</v>
      </c>
      <c r="O67" s="263">
        <f>SUM('[3]Sky West_UA'!$IF$41:$IH$41)</f>
        <v>1706</v>
      </c>
      <c r="P67" s="2">
        <f>SUM('[3]Sky West_UA'!$HR$41:$HT$41)+SUM('[3]Sky West_CO'!$HR$41:$HT$41)</f>
        <v>7303</v>
      </c>
      <c r="Q67" s="3">
        <f t="shared" si="43"/>
        <v>-0.76639737094344795</v>
      </c>
      <c r="R67" s="65">
        <f t="shared" si="44"/>
        <v>2.2871514641255064E-4</v>
      </c>
      <c r="S67" s="37"/>
      <c r="T67" s="39" t="s">
        <v>97</v>
      </c>
      <c r="U67" s="263">
        <f>'[3]Sky West_UA'!$IH$64</f>
        <v>0</v>
      </c>
      <c r="V67" s="2">
        <f>'[3]Sky West_UA'!$HT$64+'[3]Sky West_CO'!$HT$64</f>
        <v>0</v>
      </c>
      <c r="W67" s="65" t="e">
        <f t="shared" si="45"/>
        <v>#DIV/0!</v>
      </c>
      <c r="X67" s="263">
        <f>SUM('[3]Sky West_UA'!$IF$64:$IH$64)</f>
        <v>0</v>
      </c>
      <c r="Y67" s="2">
        <f>SUM('[3]Sky West_UA'!$HR$64:$HT$64)+SUM('[3]Sky West_CO'!$HR$64:$HT$64)</f>
        <v>0</v>
      </c>
      <c r="Z67" s="3" t="e">
        <f t="shared" si="46"/>
        <v>#DIV/0!</v>
      </c>
      <c r="AA67" s="65">
        <f t="shared" si="47"/>
        <v>0</v>
      </c>
    </row>
    <row r="68" spans="1:27" ht="14.1" customHeight="1" x14ac:dyDescent="0.2">
      <c r="A68" s="37"/>
      <c r="B68" s="266" t="s">
        <v>131</v>
      </c>
      <c r="C68" s="263">
        <f>'[3]Shuttle America'!$IH$19</f>
        <v>0</v>
      </c>
      <c r="D68" s="2">
        <f>'[3]Shuttle America'!$HT$19</f>
        <v>0</v>
      </c>
      <c r="E68" s="65" t="e">
        <f t="shared" si="39"/>
        <v>#DIV/0!</v>
      </c>
      <c r="F68" s="2">
        <f>SUM('[3]Shuttle America'!$IF$19:$IH$19)</f>
        <v>0</v>
      </c>
      <c r="G68" s="2">
        <f>SUM('[3]Shuttle America'!$HR$19:$HT$19)</f>
        <v>0</v>
      </c>
      <c r="H68" s="3" t="e">
        <f t="shared" si="40"/>
        <v>#DIV/0!</v>
      </c>
      <c r="I68" s="65">
        <f t="shared" si="41"/>
        <v>0</v>
      </c>
      <c r="J68" s="37"/>
      <c r="K68" s="266" t="s">
        <v>131</v>
      </c>
      <c r="L68" s="263">
        <f>'[3]Shuttle America'!$IH$41</f>
        <v>0</v>
      </c>
      <c r="M68" s="2">
        <f>'[3]Shuttle America'!$HT$41</f>
        <v>0</v>
      </c>
      <c r="N68" s="65" t="e">
        <f t="shared" si="42"/>
        <v>#DIV/0!</v>
      </c>
      <c r="O68" s="263">
        <f>SUM('[3]Shuttle America'!$IF$41:$IH$41)</f>
        <v>0</v>
      </c>
      <c r="P68" s="2">
        <f>SUM('[3]Shuttle America'!$HR$41:$HT$41)</f>
        <v>0</v>
      </c>
      <c r="Q68" s="3" t="e">
        <f t="shared" si="43"/>
        <v>#DIV/0!</v>
      </c>
      <c r="R68" s="65">
        <f t="shared" si="44"/>
        <v>0</v>
      </c>
      <c r="S68" s="37"/>
      <c r="T68" s="266" t="s">
        <v>131</v>
      </c>
      <c r="U68" s="263">
        <f>'[3]Shuttle America'!$IH$64</f>
        <v>0</v>
      </c>
      <c r="V68" s="2">
        <f>'[3]Shuttle America'!$HT$64</f>
        <v>0</v>
      </c>
      <c r="W68" s="65" t="e">
        <f t="shared" si="45"/>
        <v>#DIV/0!</v>
      </c>
      <c r="X68" s="263">
        <f>SUM('[3]Shuttle America'!$IF$64:$IH$64)</f>
        <v>0</v>
      </c>
      <c r="Y68" s="2">
        <f>SUM('[3]Shuttle America'!$HR$64:$HT$64)</f>
        <v>0</v>
      </c>
      <c r="Z68" s="3" t="e">
        <f t="shared" si="46"/>
        <v>#DIV/0!</v>
      </c>
      <c r="AA68" s="65">
        <f t="shared" si="47"/>
        <v>0</v>
      </c>
    </row>
    <row r="69" spans="1:27" ht="14.1" customHeight="1" thickBot="1" x14ac:dyDescent="0.25">
      <c r="A69" s="320"/>
      <c r="B69" s="321"/>
      <c r="C69" s="267"/>
      <c r="D69" s="269"/>
      <c r="E69" s="270"/>
      <c r="F69" s="269"/>
      <c r="G69" s="269"/>
      <c r="H69" s="268"/>
      <c r="I69" s="270"/>
      <c r="J69" s="320"/>
      <c r="K69" s="321"/>
      <c r="L69" s="267"/>
      <c r="M69" s="269"/>
      <c r="N69" s="270"/>
      <c r="O69" s="267"/>
      <c r="P69" s="269"/>
      <c r="Q69" s="268"/>
      <c r="R69" s="342"/>
      <c r="S69" s="320"/>
      <c r="T69" s="321"/>
      <c r="U69" s="267"/>
      <c r="V69" s="269"/>
      <c r="W69" s="270"/>
      <c r="X69" s="267"/>
      <c r="Y69" s="269"/>
      <c r="Z69" s="268"/>
      <c r="AA69" s="342"/>
    </row>
    <row r="70" spans="1:27" s="170" customFormat="1" ht="14.1" customHeight="1" thickBot="1" x14ac:dyDescent="0.25">
      <c r="B70" s="169"/>
      <c r="C70" s="261"/>
      <c r="D70" s="261"/>
      <c r="E70" s="260"/>
      <c r="F70" s="319"/>
      <c r="G70" s="261"/>
      <c r="H70" s="260"/>
      <c r="I70" s="260"/>
      <c r="J70" s="271"/>
      <c r="K70" s="169"/>
      <c r="L70" s="272"/>
      <c r="M70" s="273"/>
      <c r="N70" s="271"/>
      <c r="S70" s="271"/>
      <c r="T70" s="169"/>
      <c r="U70" s="272"/>
      <c r="V70" s="273"/>
      <c r="W70" s="271"/>
    </row>
    <row r="71" spans="1:27" ht="14.1" customHeight="1" x14ac:dyDescent="0.2">
      <c r="B71" s="274" t="s">
        <v>133</v>
      </c>
      <c r="C71" s="327">
        <f>+C73-C72</f>
        <v>18196</v>
      </c>
      <c r="D71" s="327">
        <f>+D73-D72</f>
        <v>15909</v>
      </c>
      <c r="E71" s="328">
        <f>(C71-D71)/D71</f>
        <v>0.14375510717204099</v>
      </c>
      <c r="F71" s="327">
        <f>+F73-F72</f>
        <v>48534</v>
      </c>
      <c r="G71" s="327">
        <f>+G73-G72</f>
        <v>43202</v>
      </c>
      <c r="H71" s="328">
        <f>(F71-G71)/G71</f>
        <v>0.12342021202722096</v>
      </c>
      <c r="I71" s="353">
        <f>F71/$F$73</f>
        <v>0.72687244462416323</v>
      </c>
      <c r="K71" s="274" t="s">
        <v>133</v>
      </c>
      <c r="L71" s="327">
        <f>+L73-L72</f>
        <v>2584931</v>
      </c>
      <c r="M71" s="327">
        <f>+M73-M72</f>
        <v>2313550</v>
      </c>
      <c r="N71" s="328">
        <f>(L71-M71)/M71</f>
        <v>0.11730068509433554</v>
      </c>
      <c r="O71" s="327">
        <f>+O73-O72</f>
        <v>6526549</v>
      </c>
      <c r="P71" s="327">
        <f>+P73-P72</f>
        <v>5636256</v>
      </c>
      <c r="Q71" s="351">
        <f>(O71-P71)/P71</f>
        <v>0.15795822616999652</v>
      </c>
      <c r="R71" s="398">
        <f>+O71/O73</f>
        <v>0.87498277262818636</v>
      </c>
      <c r="S71" s="3"/>
      <c r="T71" s="274" t="s">
        <v>133</v>
      </c>
      <c r="U71" s="327">
        <f>+U73-U72</f>
        <v>7775449</v>
      </c>
      <c r="V71" s="327">
        <f>+V73-V72</f>
        <v>7263541</v>
      </c>
      <c r="W71" s="328">
        <f>(U71-V71)/V71</f>
        <v>7.0476369583375387E-2</v>
      </c>
      <c r="X71" s="327">
        <f>+X73-X72</f>
        <v>20996536</v>
      </c>
      <c r="Y71" s="327">
        <f>+Y73-Y72</f>
        <v>19613754</v>
      </c>
      <c r="Z71" s="351">
        <f>(X71-Y71)/Y71</f>
        <v>7.050062930329401E-2</v>
      </c>
      <c r="AA71" s="398">
        <f>+X71/X73</f>
        <v>0.99912609628758187</v>
      </c>
    </row>
    <row r="72" spans="1:27" ht="14.1" customHeight="1" x14ac:dyDescent="0.2">
      <c r="B72" s="169" t="s">
        <v>134</v>
      </c>
      <c r="C72" s="329">
        <f>C68+C45+C43+C41+C40+C44+C25+C67+C64+C42+C63+C65+C30+C29+C26+C20+C8+C66+C27+C28+C10+C21+C9</f>
        <v>6472</v>
      </c>
      <c r="D72" s="329">
        <f>D68+D45+D43+D41+D40+D44+D25+D67+D64+D42+D63+D65+D30+D29+D26+D20+D8+D66+D27+D28+D10+D21+D9</f>
        <v>8592</v>
      </c>
      <c r="E72" s="275">
        <f>(C72-D72)/D72</f>
        <v>-0.2467411545623836</v>
      </c>
      <c r="F72" s="329">
        <f>F68+F45+F43+F41+F40+F44+F25+F67+F64+F42+F63+F65+F30+F29+F26+F20+F8+F66+F27+F28+F10+F21+F9</f>
        <v>18237</v>
      </c>
      <c r="G72" s="329">
        <f>G68+G45+G43+G41+G40+G44+G25+G67+G64+G42+G63+G65+G30+G29+G26+G20+G8+G66+G27+G28+G10+G21+G9</f>
        <v>23819</v>
      </c>
      <c r="H72" s="275">
        <f>(F72-G72)/G72</f>
        <v>-0.23435072841009277</v>
      </c>
      <c r="I72" s="354">
        <f>F72/$F$73</f>
        <v>0.27312755537583683</v>
      </c>
      <c r="K72" s="169" t="s">
        <v>134</v>
      </c>
      <c r="L72" s="329">
        <f>L68+L45+L43+L41+L40+L44+L25+L67+L64+L42+L63+L65+L30+L29+L26+L20+L8+L66+L27+L28+L10+L21+L9</f>
        <v>365347</v>
      </c>
      <c r="M72" s="329">
        <f>M68+M45+M43+M41+M40+M44+M25+M67+M64+M42+M63+M65+M30+M29+M26+M20+M8+M66+M27+M28+M10+M21+M9</f>
        <v>442071</v>
      </c>
      <c r="N72" s="275">
        <f>(L72-M72)/M72</f>
        <v>-0.17355583152932447</v>
      </c>
      <c r="O72" s="329">
        <f>O68+O45+O43+O41+O40+O44+O25+O67+O64+O42+O63+O65+O30+O29+O26+O20+O8+O66+O27+O28+O10+O21+O9</f>
        <v>932511</v>
      </c>
      <c r="P72" s="329">
        <f>P68+P45+P43+P41+P40+P44+P25+P67+P64+P42+P63+P65+P30+P29+P26+P20+P8+P66+P27+P28+P10+P21+P9</f>
        <v>1088928</v>
      </c>
      <c r="Q72" s="350">
        <f>(O72-P72)/P72</f>
        <v>-0.14364310588027859</v>
      </c>
      <c r="R72" s="399">
        <f>+O72/O73</f>
        <v>0.12501722737181362</v>
      </c>
      <c r="S72" s="3"/>
      <c r="T72" s="169" t="s">
        <v>134</v>
      </c>
      <c r="U72" s="329">
        <f>U68+U45+U43+U41+U40+U44+U25+U67+U64+U42+U63+U65+U30+U29+U26+U20+U8+U66+U27+U28+U10+U21+U9</f>
        <v>7525</v>
      </c>
      <c r="V72" s="329">
        <f>V68+V45+V43+V41+V40+V44+V25+V67+V64+V42+V63+V65+V30+V29+V26+V20+V8+V66+V27+V28+V10+V21+V9</f>
        <v>4332</v>
      </c>
      <c r="W72" s="275">
        <f>(U72-V72)/V72</f>
        <v>0.737072945521699</v>
      </c>
      <c r="X72" s="329">
        <f>X68+X45+X43+X41+X40+X44+X25+X67+X64+X42+X63+X65+X30+X29+X26+X20+X8+X66+X27+X28+X10+X21+X9</f>
        <v>18365</v>
      </c>
      <c r="Y72" s="329">
        <f>Y68+Y45+Y43+Y41+Y40+Y44+Y25+Y67+Y64+Y42+Y63+Y65+Y30+Y29+Y26+Y20+Y8+Y66+Y27+Y28+Y10+Y21+Y9</f>
        <v>12460</v>
      </c>
      <c r="Z72" s="350">
        <f>(X72-Y72)/Y72</f>
        <v>0.47391653290529695</v>
      </c>
      <c r="AA72" s="399">
        <f>+X72/X73</f>
        <v>8.7390371241815505E-4</v>
      </c>
    </row>
    <row r="73" spans="1:27" ht="14.1" customHeight="1" thickBot="1" x14ac:dyDescent="0.25">
      <c r="B73" s="169" t="s">
        <v>135</v>
      </c>
      <c r="C73" s="330">
        <f>C61+C59+C55+C49+C47+C38+C23+C18+C6+C57+C34+C32+C12+C53+C14+C51+C4+C36+C16</f>
        <v>24668</v>
      </c>
      <c r="D73" s="330">
        <f>D61+D59+D55+D49+D47+D38+D23+D18+D6+D57+D34+D32+D12+D53+D14+D51+D4+D36+D16</f>
        <v>24501</v>
      </c>
      <c r="E73" s="331">
        <f>(C73-D73)/D73</f>
        <v>6.8160483245581814E-3</v>
      </c>
      <c r="F73" s="330">
        <f>F61+F59+F55+F49+F47+F38+F23+F18+F6+F57+F34+F32+F12+F53+F14+F51+F4+F36+F16</f>
        <v>66771</v>
      </c>
      <c r="G73" s="330">
        <f>G61+G59+G55+G49+G47+G38+G23+G18+G6+G57+G34+G32+G12+G53+G14+G51+G4+G36+G16</f>
        <v>67021</v>
      </c>
      <c r="H73" s="331">
        <f>(F73-G73)/G73</f>
        <v>-3.7301741245281328E-3</v>
      </c>
      <c r="I73" s="355">
        <f>+H73/H73</f>
        <v>1</v>
      </c>
      <c r="K73" s="169" t="s">
        <v>135</v>
      </c>
      <c r="L73" s="330">
        <f>L61+L59+L55+L49+L47+L38+L23+L18+L6+L57+L34+L32+L12+L53+L14+L51+L4+L36+L16</f>
        <v>2950278</v>
      </c>
      <c r="M73" s="330">
        <f>M61+M59+M55+M49+M47+M38+M23+M18+M6+M57+M34+M32+M12+M53+M14+M51+M4+M36+M16</f>
        <v>2755621</v>
      </c>
      <c r="N73" s="331">
        <f>(L73-M73)/M73</f>
        <v>7.0639975526387705E-2</v>
      </c>
      <c r="O73" s="330">
        <f>O61+O59+O55+O49+O47+O38+O23+O18+O6+O57+O34+O32+O12+O53+O14+O51+O4+O36+O16</f>
        <v>7459060</v>
      </c>
      <c r="P73" s="330">
        <f>P61+P59+P55+P49+P47+P38+P23+P18+P6+P57+P34+P32+P12+P53+P14+P51+P4+P36+P16</f>
        <v>6725184</v>
      </c>
      <c r="Q73" s="397">
        <f>(O73-P73)/P73</f>
        <v>0.10912355706550185</v>
      </c>
      <c r="R73" s="355">
        <f>+Q73/Q73</f>
        <v>1</v>
      </c>
      <c r="S73" s="3"/>
      <c r="T73" s="169" t="s">
        <v>135</v>
      </c>
      <c r="U73" s="330">
        <f>U61+U59+U55+U49+U47+U38+U23+U18+U6+U57+U34+U32+U12+U53+U14+U51+U4+U36+U16</f>
        <v>7782974</v>
      </c>
      <c r="V73" s="330">
        <f>V61+V59+V55+V49+V47+V38+V23+V18+V6+V57+V34+V32+V12+V53+V14+V51+V4+V36+V16</f>
        <v>7267873</v>
      </c>
      <c r="W73" s="331">
        <f>(U73-V73)/V73</f>
        <v>7.0873693032335594E-2</v>
      </c>
      <c r="X73" s="330">
        <f>X61+X59+X55+X49+X47+X38+X23+X18+X6+X57+X34+X32+X12+X53+X14+X51+X4+X36+X16</f>
        <v>21014901</v>
      </c>
      <c r="Y73" s="330">
        <f>Y61+Y59+Y55+Y49+Y47+Y38+Y23+Y18+Y6+Y57+Y34+Y32+Y12+Y53+Y14+Y51+Y4+Y36+Y16</f>
        <v>19626214</v>
      </c>
      <c r="Z73" s="397">
        <f>(X73-Y73)/Y73</f>
        <v>7.0756744015937054E-2</v>
      </c>
      <c r="AA73" s="355">
        <f>+Z73/Z73</f>
        <v>1</v>
      </c>
    </row>
    <row r="74" spans="1:27" x14ac:dyDescent="0.2">
      <c r="D74" s="3"/>
      <c r="F74" s="2"/>
      <c r="G74"/>
      <c r="H74"/>
      <c r="I74"/>
      <c r="J74"/>
      <c r="K74"/>
      <c r="M74"/>
      <c r="N74"/>
    </row>
    <row r="75" spans="1:27" x14ac:dyDescent="0.2">
      <c r="E75"/>
      <c r="F75" s="2"/>
      <c r="H75"/>
      <c r="I75"/>
      <c r="J75"/>
      <c r="K75"/>
      <c r="N75"/>
      <c r="O75" s="2"/>
      <c r="P75" s="2"/>
      <c r="U75" s="95"/>
      <c r="V75" s="95"/>
      <c r="W75" s="95"/>
    </row>
    <row r="76" spans="1:27" x14ac:dyDescent="0.2">
      <c r="E76"/>
      <c r="F76" s="2"/>
      <c r="H76"/>
      <c r="I76"/>
      <c r="J76"/>
      <c r="K76"/>
      <c r="N76"/>
      <c r="O76" s="2"/>
      <c r="P76" s="2"/>
      <c r="U76" s="95"/>
      <c r="V76" s="95"/>
      <c r="W76" s="95"/>
    </row>
    <row r="77" spans="1:27" x14ac:dyDescent="0.2">
      <c r="E77"/>
      <c r="F77" s="2"/>
      <c r="H77"/>
      <c r="I77"/>
      <c r="J77"/>
      <c r="K77"/>
      <c r="N77"/>
      <c r="O77" s="2"/>
      <c r="P77" s="2"/>
      <c r="U77" s="95"/>
    </row>
    <row r="78" spans="1:27" x14ac:dyDescent="0.2">
      <c r="E78"/>
      <c r="F78" s="2"/>
      <c r="H78"/>
      <c r="I78"/>
      <c r="J78"/>
      <c r="K78"/>
      <c r="N78"/>
      <c r="O78" s="2"/>
      <c r="P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4666" spans="6:11" x14ac:dyDescent="0.2">
      <c r="F4666" s="171"/>
      <c r="K4666"/>
    </row>
    <row r="4667" spans="6:11" x14ac:dyDescent="0.2">
      <c r="F4667" s="171"/>
      <c r="K4667"/>
    </row>
    <row r="4668" spans="6:11" x14ac:dyDescent="0.2">
      <c r="F4668" s="171"/>
      <c r="K4668"/>
    </row>
    <row r="4669" spans="6:11" x14ac:dyDescent="0.2">
      <c r="F4669" s="171"/>
      <c r="K4669"/>
    </row>
    <row r="4670" spans="6:11" x14ac:dyDescent="0.2">
      <c r="F4670" s="171"/>
      <c r="K4670"/>
    </row>
    <row r="4671" spans="6:11" x14ac:dyDescent="0.2">
      <c r="F4671" s="171"/>
      <c r="K4671"/>
    </row>
    <row r="4672" spans="6:11" x14ac:dyDescent="0.2">
      <c r="F4672" s="171"/>
      <c r="K4672"/>
    </row>
    <row r="4673" spans="6:11" x14ac:dyDescent="0.2">
      <c r="F4673" s="171"/>
      <c r="K4673"/>
    </row>
    <row r="4674" spans="6:11" x14ac:dyDescent="0.2">
      <c r="F4674" s="171"/>
      <c r="K4674"/>
    </row>
    <row r="4675" spans="6:11" x14ac:dyDescent="0.2">
      <c r="F4675" s="171"/>
      <c r="K4675"/>
    </row>
    <row r="4676" spans="6:11" x14ac:dyDescent="0.2">
      <c r="F4676" s="171"/>
      <c r="K4676"/>
    </row>
    <row r="4677" spans="6:11" x14ac:dyDescent="0.2">
      <c r="F4677" s="171"/>
      <c r="K4677"/>
    </row>
    <row r="4678" spans="6:11" x14ac:dyDescent="0.2">
      <c r="F4678" s="171"/>
      <c r="K4678"/>
    </row>
    <row r="4679" spans="6:11" x14ac:dyDescent="0.2">
      <c r="F4679" s="171"/>
      <c r="K4679"/>
    </row>
    <row r="4680" spans="6:11" x14ac:dyDescent="0.2">
      <c r="F4680" s="171"/>
      <c r="K4680"/>
    </row>
    <row r="4681" spans="6:11" x14ac:dyDescent="0.2">
      <c r="F4681" s="171"/>
      <c r="K4681"/>
    </row>
    <row r="4682" spans="6:11" x14ac:dyDescent="0.2">
      <c r="F4682" s="171"/>
      <c r="K4682"/>
    </row>
    <row r="4683" spans="6:11" x14ac:dyDescent="0.2">
      <c r="F4683" s="171"/>
      <c r="K4683"/>
    </row>
    <row r="4684" spans="6:11" x14ac:dyDescent="0.2">
      <c r="F4684" s="171"/>
      <c r="K4684"/>
    </row>
    <row r="4685" spans="6:11" x14ac:dyDescent="0.2">
      <c r="F4685" s="171"/>
      <c r="K4685"/>
    </row>
    <row r="4686" spans="6:11" x14ac:dyDescent="0.2">
      <c r="F4686" s="171"/>
      <c r="K4686"/>
    </row>
    <row r="4687" spans="6:11" x14ac:dyDescent="0.2">
      <c r="F4687" s="171"/>
      <c r="K4687"/>
    </row>
    <row r="4688" spans="6:11" x14ac:dyDescent="0.2">
      <c r="F4688" s="171"/>
      <c r="K4688"/>
    </row>
    <row r="4689" spans="6:11" x14ac:dyDescent="0.2">
      <c r="F4689" s="171"/>
      <c r="K4689"/>
    </row>
    <row r="4690" spans="6:11" x14ac:dyDescent="0.2">
      <c r="F4690" s="171"/>
      <c r="K4690"/>
    </row>
    <row r="4691" spans="6:11" x14ac:dyDescent="0.2">
      <c r="F4691" s="171"/>
      <c r="K4691"/>
    </row>
    <row r="4692" spans="6:11" x14ac:dyDescent="0.2">
      <c r="F4692" s="171"/>
      <c r="K4692"/>
    </row>
    <row r="4693" spans="6:11" x14ac:dyDescent="0.2">
      <c r="F4693" s="171"/>
      <c r="K4693"/>
    </row>
    <row r="4694" spans="6:11" x14ac:dyDescent="0.2">
      <c r="F4694" s="171"/>
      <c r="K4694"/>
    </row>
    <row r="4695" spans="6:11" x14ac:dyDescent="0.2">
      <c r="F4695" s="171"/>
      <c r="K4695"/>
    </row>
    <row r="4696" spans="6:11" x14ac:dyDescent="0.2">
      <c r="F4696" s="171"/>
      <c r="K4696"/>
    </row>
    <row r="4697" spans="6:11" x14ac:dyDescent="0.2">
      <c r="F4697" s="171"/>
      <c r="K4697"/>
    </row>
    <row r="4698" spans="6:11" x14ac:dyDescent="0.2">
      <c r="F4698" s="171"/>
      <c r="K4698"/>
    </row>
    <row r="4699" spans="6:11" x14ac:dyDescent="0.2">
      <c r="F4699" s="171"/>
      <c r="K4699"/>
    </row>
    <row r="4700" spans="6:11" x14ac:dyDescent="0.2">
      <c r="F4700" s="171"/>
      <c r="K4700"/>
    </row>
    <row r="4701" spans="6:11" x14ac:dyDescent="0.2">
      <c r="F4701" s="171"/>
      <c r="K4701"/>
    </row>
    <row r="4702" spans="6:11" x14ac:dyDescent="0.2">
      <c r="F4702" s="171"/>
      <c r="K4702"/>
    </row>
    <row r="4703" spans="6:11" x14ac:dyDescent="0.2">
      <c r="F4703" s="171"/>
      <c r="K4703"/>
    </row>
    <row r="4704" spans="6:11" x14ac:dyDescent="0.2">
      <c r="F4704" s="171"/>
      <c r="K4704"/>
    </row>
    <row r="4705" spans="6:11" x14ac:dyDescent="0.2">
      <c r="F4705" s="171"/>
      <c r="K4705"/>
    </row>
    <row r="4706" spans="6:11" x14ac:dyDescent="0.2">
      <c r="F4706" s="171"/>
      <c r="K4706"/>
    </row>
    <row r="4707" spans="6:11" x14ac:dyDescent="0.2">
      <c r="F4707" s="171"/>
      <c r="K4707"/>
    </row>
    <row r="4708" spans="6:11" x14ac:dyDescent="0.2">
      <c r="F4708" s="171"/>
      <c r="K4708"/>
    </row>
    <row r="4709" spans="6:11" x14ac:dyDescent="0.2">
      <c r="F4709" s="171"/>
      <c r="K4709"/>
    </row>
    <row r="4710" spans="6:11" x14ac:dyDescent="0.2">
      <c r="F4710" s="171"/>
      <c r="K4710"/>
    </row>
    <row r="4711" spans="6:11" x14ac:dyDescent="0.2">
      <c r="F4711" s="171"/>
      <c r="K4711"/>
    </row>
    <row r="4712" spans="6:11" x14ac:dyDescent="0.2">
      <c r="F4712" s="171"/>
      <c r="K4712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4" fitToWidth="2" orientation="portrait" r:id="rId1"/>
  <headerFooter alignWithMargins="0">
    <oddHeader>&amp;L
Schedule 10
&amp;CMinneapolis-St. Paul International Airport
&amp;"Arial,Bold"&amp;A
March 2023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2024-01-17T16:23:52Z</dcterms:modified>
</cp:coreProperties>
</file>