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464EEF98-46E7-4EEA-B961-8977BE6209EB}" xr6:coauthVersionLast="46" xr6:coauthVersionMax="46" xr10:uidLastSave="{00000000-0000-0000-0000-000000000000}"/>
  <bookViews>
    <workbookView xWindow="-25320" yWindow="-120" windowWidth="25440" windowHeight="15390" tabRatio="871" firstSheet="1" activeTab="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Activity'!$A$1:$R$62</definedName>
    <definedName name="_xlnm.Print_Area" localSheetId="2">'Other Major Airline Stats'!$A$2:$I$50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7" l="1"/>
  <c r="O9" i="17"/>
  <c r="M9" i="17"/>
  <c r="L9" i="17"/>
  <c r="G9" i="17"/>
  <c r="F9" i="17"/>
  <c r="H9" i="17" s="1"/>
  <c r="D9" i="17"/>
  <c r="E9" i="17" s="1"/>
  <c r="C9" i="17"/>
  <c r="P7" i="17"/>
  <c r="O7" i="17"/>
  <c r="Q7" i="17" s="1"/>
  <c r="M7" i="17"/>
  <c r="L7" i="17"/>
  <c r="N7" i="17" s="1"/>
  <c r="G7" i="17"/>
  <c r="F7" i="17"/>
  <c r="H7" i="17" s="1"/>
  <c r="D7" i="17"/>
  <c r="C7" i="17"/>
  <c r="N9" i="17"/>
  <c r="E7" i="17"/>
  <c r="H27" i="8"/>
  <c r="H26" i="8"/>
  <c r="H22" i="8"/>
  <c r="H21" i="8"/>
  <c r="H17" i="8"/>
  <c r="H16" i="8"/>
  <c r="H5" i="8"/>
  <c r="H4" i="8"/>
  <c r="C27" i="8"/>
  <c r="C32" i="8" s="1"/>
  <c r="C26" i="8"/>
  <c r="C28" i="8" s="1"/>
  <c r="C22" i="8"/>
  <c r="C23" i="8" s="1"/>
  <c r="C21" i="8"/>
  <c r="C17" i="8"/>
  <c r="C16" i="8"/>
  <c r="C5" i="8"/>
  <c r="C6" i="8" s="1"/>
  <c r="C12" i="8" s="1"/>
  <c r="C4" i="8"/>
  <c r="B27" i="8"/>
  <c r="B26" i="8"/>
  <c r="B22" i="8"/>
  <c r="B21" i="8"/>
  <c r="B17" i="8"/>
  <c r="B16" i="8"/>
  <c r="B5" i="8"/>
  <c r="B4" i="8"/>
  <c r="C10" i="8"/>
  <c r="C31" i="8"/>
  <c r="D5" i="8"/>
  <c r="D4" i="8"/>
  <c r="P13" i="17"/>
  <c r="O13" i="17"/>
  <c r="M13" i="17"/>
  <c r="L13" i="17"/>
  <c r="G13" i="17"/>
  <c r="F13" i="17"/>
  <c r="D13" i="17"/>
  <c r="C13" i="17"/>
  <c r="I27" i="8"/>
  <c r="I26" i="8"/>
  <c r="I22" i="8"/>
  <c r="I21" i="8"/>
  <c r="I17" i="8"/>
  <c r="I16" i="8"/>
  <c r="I5" i="8"/>
  <c r="I4" i="8"/>
  <c r="I10" i="8"/>
  <c r="Q9" i="17" l="1"/>
  <c r="C18" i="8"/>
  <c r="C33" i="8" s="1"/>
  <c r="I32" i="8"/>
  <c r="N13" i="17"/>
  <c r="I23" i="8"/>
  <c r="I18" i="8"/>
  <c r="E13" i="17"/>
  <c r="H13" i="17"/>
  <c r="I6" i="8"/>
  <c r="I12" i="8" s="1"/>
  <c r="I31" i="8"/>
  <c r="Q13" i="17"/>
  <c r="I28" i="8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3" i="9"/>
  <c r="M53" i="9"/>
  <c r="G53" i="9"/>
  <c r="D53" i="9"/>
  <c r="P51" i="9"/>
  <c r="M51" i="9"/>
  <c r="G51" i="9"/>
  <c r="D51" i="9"/>
  <c r="P49" i="9"/>
  <c r="M49" i="9"/>
  <c r="G49" i="9"/>
  <c r="D49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3" i="9"/>
  <c r="L53" i="9"/>
  <c r="F53" i="9"/>
  <c r="C53" i="9"/>
  <c r="O51" i="9"/>
  <c r="L51" i="9"/>
  <c r="F51" i="9"/>
  <c r="C51" i="9"/>
  <c r="O49" i="9"/>
  <c r="L49" i="9"/>
  <c r="F49" i="9"/>
  <c r="C49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9" i="17"/>
  <c r="M29" i="17"/>
  <c r="G29" i="17"/>
  <c r="D29" i="17"/>
  <c r="P27" i="17"/>
  <c r="M27" i="17"/>
  <c r="G27" i="17"/>
  <c r="D27" i="17"/>
  <c r="P25" i="17"/>
  <c r="M25" i="17"/>
  <c r="G25" i="17"/>
  <c r="D25" i="17"/>
  <c r="G23" i="17"/>
  <c r="D23" i="17"/>
  <c r="P21" i="17"/>
  <c r="M21" i="17"/>
  <c r="G21" i="17"/>
  <c r="D21" i="17"/>
  <c r="P19" i="17"/>
  <c r="M19" i="17"/>
  <c r="G19" i="17"/>
  <c r="D19" i="17"/>
  <c r="P17" i="17"/>
  <c r="M17" i="17"/>
  <c r="G17" i="17"/>
  <c r="D17" i="17"/>
  <c r="P15" i="17"/>
  <c r="M15" i="17"/>
  <c r="G15" i="17"/>
  <c r="D15" i="17"/>
  <c r="P11" i="17"/>
  <c r="M11" i="17"/>
  <c r="G11" i="17"/>
  <c r="D11" i="17"/>
  <c r="P5" i="17"/>
  <c r="M5" i="17"/>
  <c r="G5" i="17"/>
  <c r="D5" i="17"/>
  <c r="O29" i="17"/>
  <c r="L29" i="17"/>
  <c r="F29" i="17"/>
  <c r="C29" i="17"/>
  <c r="O27" i="17"/>
  <c r="L27" i="17"/>
  <c r="F27" i="17"/>
  <c r="C27" i="17"/>
  <c r="O25" i="17"/>
  <c r="L25" i="17"/>
  <c r="F25" i="17"/>
  <c r="C25" i="17"/>
  <c r="F23" i="17"/>
  <c r="C23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O15" i="17"/>
  <c r="L15" i="17"/>
  <c r="F15" i="17"/>
  <c r="C15" i="17"/>
  <c r="O11" i="17"/>
  <c r="L11" i="17"/>
  <c r="F11" i="17"/>
  <c r="C11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N27" i="8"/>
  <c r="M27" i="8"/>
  <c r="K27" i="8"/>
  <c r="J27" i="8"/>
  <c r="F27" i="8"/>
  <c r="E27" i="8"/>
  <c r="D27" i="8"/>
  <c r="O26" i="8"/>
  <c r="N26" i="8"/>
  <c r="M26" i="8"/>
  <c r="K26" i="8"/>
  <c r="J26" i="8"/>
  <c r="F26" i="8"/>
  <c r="E26" i="8"/>
  <c r="D26" i="8"/>
  <c r="O22" i="8"/>
  <c r="N22" i="8"/>
  <c r="M22" i="8"/>
  <c r="K22" i="8"/>
  <c r="J22" i="8"/>
  <c r="F22" i="8"/>
  <c r="E22" i="8"/>
  <c r="D22" i="8"/>
  <c r="O21" i="8"/>
  <c r="N21" i="8"/>
  <c r="M21" i="8"/>
  <c r="K21" i="8"/>
  <c r="J21" i="8"/>
  <c r="F21" i="8"/>
  <c r="E21" i="8"/>
  <c r="D21" i="8"/>
  <c r="O17" i="8"/>
  <c r="N17" i="8"/>
  <c r="M17" i="8"/>
  <c r="K17" i="8"/>
  <c r="J17" i="8"/>
  <c r="F17" i="8"/>
  <c r="E17" i="8"/>
  <c r="D17" i="8"/>
  <c r="O16" i="8"/>
  <c r="N16" i="8"/>
  <c r="M16" i="8"/>
  <c r="K16" i="8"/>
  <c r="J16" i="8"/>
  <c r="F16" i="8"/>
  <c r="E16" i="8"/>
  <c r="D16" i="8"/>
  <c r="O9" i="8"/>
  <c r="O8" i="8"/>
  <c r="O5" i="8"/>
  <c r="N5" i="8"/>
  <c r="M5" i="8"/>
  <c r="L5" i="8"/>
  <c r="K5" i="8"/>
  <c r="J5" i="8"/>
  <c r="F5" i="8"/>
  <c r="E5" i="8"/>
  <c r="O4" i="8"/>
  <c r="N4" i="8"/>
  <c r="M4" i="8"/>
  <c r="L4" i="8"/>
  <c r="K4" i="8"/>
  <c r="J4" i="8"/>
  <c r="F4" i="8"/>
  <c r="E4" i="8"/>
  <c r="O25" i="7"/>
  <c r="J25" i="7"/>
  <c r="E25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G49" i="3"/>
  <c r="F49" i="3"/>
  <c r="G48" i="3"/>
  <c r="F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I33" i="8" l="1"/>
  <c r="F66" i="9"/>
  <c r="F40" i="2"/>
  <c r="F35" i="2"/>
  <c r="F30" i="2"/>
  <c r="F21" i="2"/>
  <c r="F17" i="2"/>
  <c r="F11" i="2"/>
  <c r="F6" i="2"/>
  <c r="F44" i="2"/>
  <c r="G40" i="2"/>
  <c r="G30" i="2"/>
  <c r="G17" i="2"/>
  <c r="G6" i="2"/>
  <c r="G35" i="2" l="1"/>
  <c r="G11" i="2"/>
  <c r="G21" i="2"/>
  <c r="G23" i="2" s="1"/>
  <c r="G44" i="2"/>
  <c r="F23" i="2"/>
  <c r="F43" i="2"/>
  <c r="F45" i="2" s="1"/>
  <c r="G43" i="2"/>
  <c r="G45" i="2" l="1"/>
  <c r="O24" i="7"/>
  <c r="J24" i="7"/>
  <c r="E24" i="7"/>
  <c r="O23" i="7" l="1"/>
  <c r="J23" i="7"/>
  <c r="E23" i="7"/>
  <c r="O22" i="7" l="1"/>
  <c r="E22" i="7"/>
  <c r="J22" i="7"/>
  <c r="Q62" i="9" l="1"/>
  <c r="E62" i="9"/>
  <c r="N62" i="9"/>
  <c r="E44" i="9" l="1"/>
  <c r="G66" i="9"/>
  <c r="N44" i="9"/>
  <c r="L66" i="9"/>
  <c r="M66" i="9"/>
  <c r="P66" i="9"/>
  <c r="D66" i="9"/>
  <c r="O66" i="9"/>
  <c r="C66" i="9"/>
  <c r="Q44" i="9"/>
  <c r="H44" i="9"/>
  <c r="H62" i="9"/>
  <c r="E11" i="17" l="1"/>
  <c r="D10" i="8"/>
  <c r="O21" i="7"/>
  <c r="J21" i="7"/>
  <c r="E21" i="7"/>
  <c r="D6" i="8" l="1"/>
  <c r="D12" i="8" s="1"/>
  <c r="D23" i="8"/>
  <c r="D32" i="8"/>
  <c r="D28" i="8"/>
  <c r="D18" i="8"/>
  <c r="N11" i="17"/>
  <c r="Q11" i="17"/>
  <c r="H11" i="17"/>
  <c r="D31" i="8"/>
  <c r="H11" i="2" l="1"/>
  <c r="H21" i="2"/>
  <c r="H35" i="2"/>
  <c r="H6" i="2"/>
  <c r="D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48" i="9"/>
  <c r="I45" i="2" l="1"/>
  <c r="G17" i="4"/>
  <c r="G27" i="4"/>
  <c r="C13" i="9"/>
  <c r="G12" i="4"/>
  <c r="G20" i="4"/>
  <c r="G32" i="4"/>
  <c r="C18" i="9"/>
  <c r="C31" i="9"/>
  <c r="C4" i="9"/>
  <c r="C55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G21" i="4" l="1"/>
  <c r="C67" i="9"/>
  <c r="C65" i="9" s="1"/>
  <c r="D21" i="15"/>
  <c r="G42" i="4"/>
  <c r="D42" i="15"/>
  <c r="O55" i="9"/>
  <c r="N61" i="9"/>
  <c r="H61" i="9"/>
  <c r="E61" i="9"/>
  <c r="Q60" i="9"/>
  <c r="N59" i="9"/>
  <c r="H59" i="9"/>
  <c r="E59" i="9"/>
  <c r="Q58" i="9"/>
  <c r="N57" i="9"/>
  <c r="H57" i="9"/>
  <c r="E57" i="9"/>
  <c r="P55" i="9"/>
  <c r="Q56" i="9"/>
  <c r="M55" i="9"/>
  <c r="D55" i="9"/>
  <c r="Q53" i="9"/>
  <c r="N53" i="9"/>
  <c r="E53" i="9"/>
  <c r="N51" i="9"/>
  <c r="E51" i="9"/>
  <c r="Q49" i="9"/>
  <c r="M48" i="9"/>
  <c r="N49" i="9"/>
  <c r="H49" i="9"/>
  <c r="G48" i="9"/>
  <c r="D48" i="9"/>
  <c r="P48" i="9"/>
  <c r="L48" i="9"/>
  <c r="F48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7" i="9" l="1"/>
  <c r="M65" i="9" s="1"/>
  <c r="N7" i="9"/>
  <c r="L31" i="9"/>
  <c r="N31" i="9" s="1"/>
  <c r="D31" i="9"/>
  <c r="E31" i="9" s="1"/>
  <c r="N48" i="9"/>
  <c r="G4" i="9"/>
  <c r="P4" i="9"/>
  <c r="Q4" i="9" s="1"/>
  <c r="N9" i="9"/>
  <c r="E11" i="9"/>
  <c r="L13" i="9"/>
  <c r="N13" i="9" s="1"/>
  <c r="Q14" i="9"/>
  <c r="E36" i="9"/>
  <c r="P31" i="9"/>
  <c r="O48" i="9"/>
  <c r="Q48" i="9" s="1"/>
  <c r="E6" i="9"/>
  <c r="N6" i="9"/>
  <c r="F18" i="9"/>
  <c r="H18" i="9" s="1"/>
  <c r="O31" i="9"/>
  <c r="N33" i="9"/>
  <c r="Q34" i="9"/>
  <c r="E37" i="9"/>
  <c r="N37" i="9"/>
  <c r="Q38" i="9"/>
  <c r="E58" i="9"/>
  <c r="N58" i="9"/>
  <c r="E60" i="9"/>
  <c r="N60" i="9"/>
  <c r="H35" i="9"/>
  <c r="H51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48" i="9"/>
  <c r="E49" i="9"/>
  <c r="H13" i="9"/>
  <c r="H20" i="9"/>
  <c r="E4" i="9"/>
  <c r="E7" i="9"/>
  <c r="L18" i="9"/>
  <c r="N18" i="9" s="1"/>
  <c r="D18" i="9"/>
  <c r="E21" i="9"/>
  <c r="H24" i="9"/>
  <c r="H40" i="9"/>
  <c r="Q55" i="9"/>
  <c r="G55" i="9"/>
  <c r="G67" i="9" s="1"/>
  <c r="G65" i="9" s="1"/>
  <c r="Q57" i="9"/>
  <c r="H15" i="9"/>
  <c r="E23" i="9"/>
  <c r="H27" i="9"/>
  <c r="E32" i="9"/>
  <c r="E34" i="9"/>
  <c r="H37" i="9"/>
  <c r="H42" i="9"/>
  <c r="E56" i="9"/>
  <c r="N56" i="9"/>
  <c r="Q59" i="9"/>
  <c r="Q61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E48" i="9"/>
  <c r="Q51" i="9"/>
  <c r="H53" i="9"/>
  <c r="F55" i="9"/>
  <c r="L55" i="9"/>
  <c r="H56" i="9"/>
  <c r="H58" i="9"/>
  <c r="H60" i="9"/>
  <c r="F67" i="9" l="1"/>
  <c r="P67" i="9"/>
  <c r="P65" i="9" s="1"/>
  <c r="L67" i="9"/>
  <c r="L65" i="9" s="1"/>
  <c r="D67" i="9"/>
  <c r="D65" i="9" s="1"/>
  <c r="O67" i="9"/>
  <c r="R44" i="9" s="1"/>
  <c r="Q31" i="9"/>
  <c r="E18" i="9"/>
  <c r="E66" i="9"/>
  <c r="N66" i="9"/>
  <c r="H55" i="9"/>
  <c r="H31" i="9"/>
  <c r="H4" i="9"/>
  <c r="Q66" i="9"/>
  <c r="N55" i="9"/>
  <c r="E13" i="9"/>
  <c r="H66" i="9"/>
  <c r="E55" i="9"/>
  <c r="O65" i="9" l="1"/>
  <c r="R65" i="9" s="1"/>
  <c r="F65" i="9"/>
  <c r="I44" i="9"/>
  <c r="I4" i="9"/>
  <c r="I62" i="9"/>
  <c r="R58" i="9"/>
  <c r="R62" i="9"/>
  <c r="R56" i="9"/>
  <c r="R35" i="9"/>
  <c r="R22" i="9"/>
  <c r="R46" i="9"/>
  <c r="R31" i="9"/>
  <c r="R66" i="9"/>
  <c r="R23" i="9"/>
  <c r="R33" i="9"/>
  <c r="R24" i="9"/>
  <c r="R19" i="9"/>
  <c r="R42" i="9"/>
  <c r="R14" i="9"/>
  <c r="R55" i="9"/>
  <c r="R20" i="9"/>
  <c r="R61" i="9"/>
  <c r="R13" i="9"/>
  <c r="R57" i="9"/>
  <c r="R9" i="9"/>
  <c r="R51" i="9"/>
  <c r="R27" i="9"/>
  <c r="R60" i="9"/>
  <c r="R7" i="9"/>
  <c r="R6" i="9"/>
  <c r="R48" i="9"/>
  <c r="R32" i="9"/>
  <c r="R53" i="9"/>
  <c r="R40" i="9"/>
  <c r="R59" i="9"/>
  <c r="R5" i="9"/>
  <c r="R34" i="9"/>
  <c r="R16" i="9"/>
  <c r="R25" i="9"/>
  <c r="Q67" i="9"/>
  <c r="R18" i="9"/>
  <c r="R29" i="9"/>
  <c r="R52" i="9"/>
  <c r="R15" i="9"/>
  <c r="R4" i="9"/>
  <c r="R37" i="9"/>
  <c r="R36" i="9"/>
  <c r="R21" i="9"/>
  <c r="R49" i="9"/>
  <c r="R11" i="9"/>
  <c r="R38" i="9"/>
  <c r="R67" i="9"/>
  <c r="I66" i="9"/>
  <c r="I31" i="9"/>
  <c r="I55" i="9"/>
  <c r="H67" i="9"/>
  <c r="I67" i="9" s="1"/>
  <c r="I61" i="9"/>
  <c r="I59" i="9"/>
  <c r="I9" i="9"/>
  <c r="I57" i="9"/>
  <c r="I5" i="9"/>
  <c r="I36" i="9"/>
  <c r="I53" i="9"/>
  <c r="I48" i="9"/>
  <c r="I13" i="9"/>
  <c r="I14" i="9"/>
  <c r="I24" i="9"/>
  <c r="I40" i="9"/>
  <c r="I19" i="9"/>
  <c r="I37" i="9"/>
  <c r="I42" i="9"/>
  <c r="I60" i="9"/>
  <c r="I6" i="9"/>
  <c r="I51" i="9"/>
  <c r="I23" i="9"/>
  <c r="I32" i="9"/>
  <c r="I34" i="9"/>
  <c r="I21" i="9"/>
  <c r="I29" i="9"/>
  <c r="I49" i="9"/>
  <c r="I35" i="9"/>
  <c r="I22" i="9"/>
  <c r="I33" i="9"/>
  <c r="I20" i="9"/>
  <c r="I11" i="9"/>
  <c r="I58" i="9"/>
  <c r="I16" i="9"/>
  <c r="I27" i="9"/>
  <c r="I18" i="9"/>
  <c r="I56" i="9"/>
  <c r="I7" i="9"/>
  <c r="I25" i="9"/>
  <c r="I15" i="9"/>
  <c r="I38" i="9"/>
  <c r="I46" i="9"/>
  <c r="E67" i="9"/>
  <c r="N67" i="9"/>
  <c r="Q65" i="9" l="1"/>
  <c r="N65" i="9"/>
  <c r="E65" i="9"/>
  <c r="H65" i="9"/>
  <c r="I65" i="9"/>
  <c r="J2" i="9" l="1"/>
  <c r="M32" i="17" l="1"/>
  <c r="P32" i="17" l="1"/>
  <c r="D32" i="17"/>
  <c r="G32" i="17"/>
  <c r="H21" i="17"/>
  <c r="Q21" i="17"/>
  <c r="H29" i="17"/>
  <c r="Q29" i="17"/>
  <c r="E5" i="17"/>
  <c r="E19" i="17"/>
  <c r="E21" i="17"/>
  <c r="H19" i="17"/>
  <c r="Q19" i="17"/>
  <c r="H27" i="17"/>
  <c r="Q27" i="17"/>
  <c r="F32" i="17"/>
  <c r="Q5" i="17"/>
  <c r="Q15" i="17"/>
  <c r="H17" i="17"/>
  <c r="Q17" i="17"/>
  <c r="E23" i="17"/>
  <c r="E25" i="17"/>
  <c r="E29" i="17"/>
  <c r="H25" i="17"/>
  <c r="E15" i="17"/>
  <c r="N15" i="17"/>
  <c r="H15" i="17"/>
  <c r="E17" i="17"/>
  <c r="N19" i="17"/>
  <c r="H23" i="17"/>
  <c r="E27" i="17"/>
  <c r="N27" i="17"/>
  <c r="C32" i="17"/>
  <c r="L32" i="17"/>
  <c r="Q25" i="17"/>
  <c r="O32" i="17"/>
  <c r="R9" i="17" s="1"/>
  <c r="H5" i="17"/>
  <c r="N5" i="17"/>
  <c r="N17" i="17"/>
  <c r="N21" i="17"/>
  <c r="N25" i="17"/>
  <c r="N29" i="17"/>
  <c r="I9" i="17" l="1"/>
  <c r="I7" i="17"/>
  <c r="R13" i="17"/>
  <c r="R7" i="17"/>
  <c r="I11" i="17"/>
  <c r="I13" i="17"/>
  <c r="R11" i="17"/>
  <c r="R5" i="17"/>
  <c r="Q32" i="17"/>
  <c r="H32" i="17"/>
  <c r="R29" i="17"/>
  <c r="R21" i="17"/>
  <c r="R27" i="17"/>
  <c r="R19" i="17"/>
  <c r="R17" i="17"/>
  <c r="R25" i="17"/>
  <c r="R15" i="17"/>
  <c r="I29" i="17"/>
  <c r="I23" i="17"/>
  <c r="I19" i="17"/>
  <c r="I17" i="17"/>
  <c r="I27" i="17"/>
  <c r="I21" i="17"/>
  <c r="I15" i="17"/>
  <c r="I25" i="17"/>
  <c r="I5" i="17"/>
  <c r="N32" i="17"/>
  <c r="E32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D22" i="3"/>
  <c r="I17" i="4"/>
  <c r="I37" i="4"/>
  <c r="J40" i="4"/>
  <c r="D44" i="3"/>
  <c r="C44" i="3"/>
  <c r="E7" i="15"/>
  <c r="J20" i="4"/>
  <c r="E12" i="15"/>
  <c r="E20" i="15"/>
  <c r="E32" i="15"/>
  <c r="C22" i="3"/>
  <c r="C7" i="3"/>
  <c r="C40" i="3"/>
  <c r="D7" i="3"/>
  <c r="D18" i="3"/>
  <c r="D30" i="3"/>
  <c r="J17" i="4"/>
  <c r="J27" i="4"/>
  <c r="J41" i="4"/>
  <c r="E41" i="15"/>
  <c r="D12" i="3"/>
  <c r="D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D40" i="3"/>
  <c r="D43" i="3"/>
  <c r="C43" i="3"/>
  <c r="E21" i="15" l="1"/>
  <c r="D23" i="3"/>
  <c r="C23" i="3"/>
  <c r="C45" i="3"/>
  <c r="J21" i="4"/>
  <c r="I42" i="4"/>
  <c r="D45" i="3"/>
  <c r="I21" i="4"/>
  <c r="E42" i="15"/>
  <c r="J42" i="4"/>
  <c r="J10" i="15" l="1"/>
  <c r="J18" i="15"/>
  <c r="O4" i="16"/>
  <c r="J5" i="15"/>
  <c r="J15" i="15"/>
  <c r="J6" i="15"/>
  <c r="J16" i="15"/>
  <c r="J11" i="15"/>
  <c r="J19" i="15"/>
  <c r="J32" i="8" l="1"/>
  <c r="J18" i="8"/>
  <c r="J6" i="8"/>
  <c r="J31" i="8"/>
  <c r="J10" i="8"/>
  <c r="J12" i="8" l="1"/>
  <c r="J23" i="8"/>
  <c r="J28" i="8"/>
  <c r="J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L30" i="16"/>
  <c r="L6" i="16"/>
  <c r="L37" i="16"/>
  <c r="L18" i="16"/>
  <c r="L11" i="16"/>
  <c r="K10" i="8" l="1"/>
  <c r="K18" i="8" l="1"/>
  <c r="K28" i="8"/>
  <c r="K31" i="8"/>
  <c r="K23" i="8"/>
  <c r="K6" i="8"/>
  <c r="K12" i="8" s="1"/>
  <c r="K32" i="8"/>
  <c r="N18" i="8"/>
  <c r="D30" i="2"/>
  <c r="B30" i="3"/>
  <c r="C27" i="4"/>
  <c r="K27" i="4"/>
  <c r="E23" i="8"/>
  <c r="D35" i="2"/>
  <c r="B35" i="3"/>
  <c r="E35" i="3"/>
  <c r="G35" i="3"/>
  <c r="E32" i="4"/>
  <c r="B32" i="15"/>
  <c r="H32" i="15"/>
  <c r="M31" i="8"/>
  <c r="D17" i="4"/>
  <c r="F17" i="15"/>
  <c r="D20" i="4"/>
  <c r="B20" i="15"/>
  <c r="C17" i="2"/>
  <c r="E18" i="3"/>
  <c r="H18" i="3"/>
  <c r="D21" i="2"/>
  <c r="G22" i="3"/>
  <c r="C11" i="2"/>
  <c r="D11" i="2"/>
  <c r="K12" i="4"/>
  <c r="C12" i="15"/>
  <c r="B7" i="15"/>
  <c r="I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27" i="7"/>
  <c r="P27" i="7" s="1"/>
  <c r="N28" i="7"/>
  <c r="P28" i="7" s="1"/>
  <c r="D27" i="7"/>
  <c r="F27" i="7" s="1"/>
  <c r="D28" i="7"/>
  <c r="F28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J45" i="15"/>
  <c r="J44" i="15"/>
  <c r="O20" i="16"/>
  <c r="O8" i="16"/>
  <c r="K42" i="2"/>
  <c r="K37" i="2"/>
  <c r="K36" i="2"/>
  <c r="K32" i="2"/>
  <c r="K8" i="2"/>
  <c r="M34" i="4"/>
  <c r="M33" i="4"/>
  <c r="M14" i="4"/>
  <c r="B10" i="8"/>
  <c r="E10" i="8"/>
  <c r="F10" i="8"/>
  <c r="H10" i="8"/>
  <c r="L10" i="8"/>
  <c r="M10" i="8"/>
  <c r="N10" i="8"/>
  <c r="L33" i="8"/>
  <c r="N32" i="8" l="1"/>
  <c r="N37" i="16"/>
  <c r="G18" i="3"/>
  <c r="G23" i="3" s="1"/>
  <c r="C17" i="4"/>
  <c r="K37" i="4"/>
  <c r="J37" i="16"/>
  <c r="F32" i="8"/>
  <c r="H37" i="16"/>
  <c r="B18" i="3"/>
  <c r="B37" i="16"/>
  <c r="E37" i="16"/>
  <c r="G44" i="3"/>
  <c r="I48" i="3"/>
  <c r="J50" i="2" s="1"/>
  <c r="K50" i="2" s="1"/>
  <c r="D30" i="16"/>
  <c r="H30" i="16"/>
  <c r="N11" i="16"/>
  <c r="K41" i="4"/>
  <c r="C23" i="16"/>
  <c r="N28" i="8"/>
  <c r="B22" i="3"/>
  <c r="K20" i="4"/>
  <c r="K17" i="4"/>
  <c r="B46" i="4"/>
  <c r="B47" i="4" s="1"/>
  <c r="B44" i="3"/>
  <c r="D44" i="2"/>
  <c r="B18" i="8"/>
  <c r="M18" i="16"/>
  <c r="D6" i="16"/>
  <c r="C7" i="7"/>
  <c r="F18" i="3"/>
  <c r="H20" i="15"/>
  <c r="H17" i="4"/>
  <c r="M28" i="8"/>
  <c r="B28" i="8"/>
  <c r="H37" i="15"/>
  <c r="E40" i="2"/>
  <c r="B40" i="2"/>
  <c r="G40" i="15"/>
  <c r="N18" i="16"/>
  <c r="B27" i="15"/>
  <c r="B30" i="16"/>
  <c r="E30" i="16"/>
  <c r="M30" i="16"/>
  <c r="J18" i="16"/>
  <c r="E6" i="2"/>
  <c r="F12" i="15"/>
  <c r="H22" i="3"/>
  <c r="H23" i="3" s="1"/>
  <c r="B17" i="15"/>
  <c r="F12" i="7"/>
  <c r="B12" i="7"/>
  <c r="M6" i="8"/>
  <c r="M12" i="8" s="1"/>
  <c r="D20" i="1"/>
  <c r="O32" i="8"/>
  <c r="F41" i="15"/>
  <c r="B41" i="15"/>
  <c r="D41" i="4"/>
  <c r="E28" i="8"/>
  <c r="K40" i="4"/>
  <c r="H18" i="16"/>
  <c r="E43" i="2"/>
  <c r="B43" i="2"/>
  <c r="G32" i="15"/>
  <c r="C32" i="15"/>
  <c r="F44" i="3"/>
  <c r="B23" i="16"/>
  <c r="G11" i="16"/>
  <c r="E6" i="16"/>
  <c r="B6" i="16"/>
  <c r="J11" i="16"/>
  <c r="H6" i="16"/>
  <c r="H12" i="15"/>
  <c r="H12" i="4"/>
  <c r="F12" i="3"/>
  <c r="C21" i="2"/>
  <c r="C23" i="2" s="1"/>
  <c r="H20" i="4"/>
  <c r="H17" i="15"/>
  <c r="D32" i="4"/>
  <c r="H35" i="3"/>
  <c r="O23" i="8"/>
  <c r="F23" i="8"/>
  <c r="F27" i="15"/>
  <c r="I28" i="3"/>
  <c r="J28" i="2" s="1"/>
  <c r="K28" i="2" s="1"/>
  <c r="B5" i="5" s="1"/>
  <c r="M23" i="8"/>
  <c r="K33" i="8"/>
  <c r="C30" i="16"/>
  <c r="G30" i="16"/>
  <c r="F7" i="3"/>
  <c r="E7" i="7"/>
  <c r="C12" i="7"/>
  <c r="N6" i="8"/>
  <c r="N12" i="8" s="1"/>
  <c r="K32" i="4"/>
  <c r="D27" i="4"/>
  <c r="O18" i="8"/>
  <c r="F18" i="8"/>
  <c r="H31" i="8"/>
  <c r="H23" i="16"/>
  <c r="G6" i="16"/>
  <c r="C6" i="16"/>
  <c r="E7" i="3"/>
  <c r="H7" i="3"/>
  <c r="B6" i="8"/>
  <c r="B12" i="8" s="1"/>
  <c r="B40" i="4"/>
  <c r="J23" i="16"/>
  <c r="K7" i="4"/>
  <c r="C7" i="4"/>
  <c r="I10" i="3"/>
  <c r="J9" i="2" s="1"/>
  <c r="B17" i="2"/>
  <c r="D21" i="1"/>
  <c r="G41" i="15"/>
  <c r="J36" i="15"/>
  <c r="L36" i="4" s="1"/>
  <c r="M36" i="4" s="1"/>
  <c r="C16" i="5" s="1"/>
  <c r="B37" i="4"/>
  <c r="O31" i="8"/>
  <c r="F28" i="8"/>
  <c r="D40" i="4"/>
  <c r="G40" i="3"/>
  <c r="B40" i="3"/>
  <c r="D40" i="2"/>
  <c r="E44" i="3"/>
  <c r="B32" i="8"/>
  <c r="O10" i="8"/>
  <c r="H7" i="15"/>
  <c r="D12" i="4"/>
  <c r="F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I11" i="3"/>
  <c r="J10" i="2" s="1"/>
  <c r="K10" i="2" s="1"/>
  <c r="G11" i="7"/>
  <c r="C18" i="1" s="1"/>
  <c r="O5" i="16"/>
  <c r="J26" i="15"/>
  <c r="L26" i="4" s="1"/>
  <c r="M26" i="4" s="1"/>
  <c r="C6" i="5" s="1"/>
  <c r="B23" i="8"/>
  <c r="M23" i="16"/>
  <c r="D37" i="4"/>
  <c r="B40" i="15"/>
  <c r="I20" i="3"/>
  <c r="J19" i="2" s="1"/>
  <c r="K19" i="2" s="1"/>
  <c r="P8" i="8"/>
  <c r="F43" i="3"/>
  <c r="B27" i="4"/>
  <c r="L19" i="4"/>
  <c r="M19" i="4" s="1"/>
  <c r="F31" i="8"/>
  <c r="D7" i="4"/>
  <c r="I39" i="3"/>
  <c r="J39" i="2" s="1"/>
  <c r="K39" i="2" s="1"/>
  <c r="B16" i="5" s="1"/>
  <c r="B32" i="4"/>
  <c r="E35" i="2"/>
  <c r="B35" i="2"/>
  <c r="H23" i="8"/>
  <c r="D43" i="2"/>
  <c r="E23" i="16"/>
  <c r="M11" i="16"/>
  <c r="C40" i="4"/>
  <c r="E31" i="8"/>
  <c r="E43" i="3"/>
  <c r="B41" i="4"/>
  <c r="C32" i="4"/>
  <c r="B18" i="16"/>
  <c r="E18" i="16"/>
  <c r="O21" i="16"/>
  <c r="G7" i="3"/>
  <c r="C6" i="2"/>
  <c r="G7" i="15"/>
  <c r="E7" i="4"/>
  <c r="I16" i="3"/>
  <c r="J15" i="2" s="1"/>
  <c r="K15" i="2" s="1"/>
  <c r="H40" i="15"/>
  <c r="F6" i="8"/>
  <c r="F12" i="8" s="1"/>
  <c r="P5" i="8"/>
  <c r="C19" i="1" s="1"/>
  <c r="P27" i="8"/>
  <c r="D16" i="5" s="1"/>
  <c r="C44" i="2"/>
  <c r="G23" i="16"/>
  <c r="I5" i="3"/>
  <c r="J4" i="2" s="1"/>
  <c r="K4" i="2" s="1"/>
  <c r="B5" i="1" s="1"/>
  <c r="C7" i="15"/>
  <c r="L5" i="4"/>
  <c r="M5" i="4" s="1"/>
  <c r="L16" i="4"/>
  <c r="M16" i="4" s="1"/>
  <c r="F20" i="15"/>
  <c r="F21" i="15" s="1"/>
  <c r="H30" i="3"/>
  <c r="H43" i="3"/>
  <c r="I34" i="3"/>
  <c r="J34" i="2" s="1"/>
  <c r="K34" i="2" s="1"/>
  <c r="B11" i="5" s="1"/>
  <c r="I29" i="3"/>
  <c r="J29" i="2" s="1"/>
  <c r="E12" i="3"/>
  <c r="F35" i="3"/>
  <c r="J31" i="15"/>
  <c r="L31" i="4" s="1"/>
  <c r="H18" i="8"/>
  <c r="C30" i="2"/>
  <c r="H40" i="3"/>
  <c r="H44" i="3"/>
  <c r="P9" i="8"/>
  <c r="J30" i="16"/>
  <c r="O28" i="16"/>
  <c r="O17" i="16"/>
  <c r="G18" i="16"/>
  <c r="D23" i="16"/>
  <c r="H40" i="4"/>
  <c r="H37" i="4"/>
  <c r="I38" i="3"/>
  <c r="J38" i="2" s="1"/>
  <c r="E40" i="3"/>
  <c r="H28" i="8"/>
  <c r="H32" i="8"/>
  <c r="P16" i="8"/>
  <c r="D5" i="5" s="1"/>
  <c r="G37" i="15"/>
  <c r="L18" i="4"/>
  <c r="M18" i="4" s="1"/>
  <c r="M32" i="8"/>
  <c r="O10" i="16"/>
  <c r="B11" i="16"/>
  <c r="K51" i="2"/>
  <c r="I21" i="3"/>
  <c r="J20" i="2" s="1"/>
  <c r="K20" i="2" s="1"/>
  <c r="F22" i="3"/>
  <c r="H41" i="4"/>
  <c r="P26" i="8"/>
  <c r="D15" i="5" s="1"/>
  <c r="C37" i="15"/>
  <c r="F30" i="3"/>
  <c r="J46" i="15"/>
  <c r="L44" i="4" s="1"/>
  <c r="M44" i="4" s="1"/>
  <c r="M37" i="16"/>
  <c r="E11" i="16"/>
  <c r="J47" i="15"/>
  <c r="L45" i="4" s="1"/>
  <c r="M45" i="4" s="1"/>
  <c r="E22" i="3"/>
  <c r="E23" i="3" s="1"/>
  <c r="B21" i="2"/>
  <c r="E37" i="4"/>
  <c r="J30" i="15"/>
  <c r="L30" i="4" s="1"/>
  <c r="M30" i="4" s="1"/>
  <c r="C10" i="5" s="1"/>
  <c r="H27" i="15"/>
  <c r="P22" i="8"/>
  <c r="D11" i="5" s="1"/>
  <c r="G27" i="15"/>
  <c r="C41" i="15"/>
  <c r="E41" i="4"/>
  <c r="E30" i="3"/>
  <c r="P17" i="8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P21" i="8"/>
  <c r="H27" i="4"/>
  <c r="N6" i="16"/>
  <c r="I6" i="3"/>
  <c r="J5" i="2" s="1"/>
  <c r="K5" i="2" s="1"/>
  <c r="C5" i="1" s="1"/>
  <c r="B7" i="3"/>
  <c r="F7" i="15"/>
  <c r="H7" i="4"/>
  <c r="D7" i="7"/>
  <c r="H12" i="3"/>
  <c r="D17" i="2"/>
  <c r="D23" i="2" s="1"/>
  <c r="C17" i="15"/>
  <c r="E17" i="4"/>
  <c r="D12" i="7"/>
  <c r="E12" i="7"/>
  <c r="O6" i="8"/>
  <c r="H41" i="15"/>
  <c r="B31" i="8"/>
  <c r="M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L6" i="8"/>
  <c r="L12" i="8" s="1"/>
  <c r="O28" i="8"/>
  <c r="H6" i="8"/>
  <c r="H12" i="8" s="1"/>
  <c r="B6" i="2"/>
  <c r="I17" i="3"/>
  <c r="J16" i="2" s="1"/>
  <c r="C41" i="4"/>
  <c r="C40" i="15"/>
  <c r="J25" i="15"/>
  <c r="L25" i="4" s="1"/>
  <c r="C27" i="15"/>
  <c r="E40" i="4"/>
  <c r="E27" i="4"/>
  <c r="N30" i="16"/>
  <c r="O27" i="16"/>
  <c r="O16" i="16"/>
  <c r="D18" i="16"/>
  <c r="N23" i="16"/>
  <c r="O22" i="16"/>
  <c r="O34" i="16"/>
  <c r="J12" i="5"/>
  <c r="J21" i="5"/>
  <c r="P4" i="8"/>
  <c r="B19" i="1" s="1"/>
  <c r="E6" i="8"/>
  <c r="N31" i="8"/>
  <c r="N23" i="8"/>
  <c r="E32" i="8"/>
  <c r="B43" i="3"/>
  <c r="C11" i="16"/>
  <c r="O9" i="16"/>
  <c r="B25" i="7" s="1"/>
  <c r="B12" i="15"/>
  <c r="L10" i="4"/>
  <c r="M10" i="4" s="1"/>
  <c r="F40" i="15"/>
  <c r="J35" i="15"/>
  <c r="L35" i="4" s="1"/>
  <c r="F37" i="15"/>
  <c r="E44" i="2"/>
  <c r="E30" i="2"/>
  <c r="B44" i="2"/>
  <c r="B30" i="2"/>
  <c r="I33" i="3"/>
  <c r="J33" i="2" s="1"/>
  <c r="E18" i="8"/>
  <c r="D37" i="16"/>
  <c r="C37" i="16"/>
  <c r="O35" i="16"/>
  <c r="L11" i="4"/>
  <c r="M11" i="4" s="1"/>
  <c r="L15" i="4"/>
  <c r="M15" i="4" s="1"/>
  <c r="M6" i="16"/>
  <c r="B7" i="7"/>
  <c r="F32" i="15"/>
  <c r="C43" i="2"/>
  <c r="C35" i="2"/>
  <c r="D21" i="4"/>
  <c r="C18" i="16"/>
  <c r="B7" i="4"/>
  <c r="C12" i="4"/>
  <c r="G12" i="3"/>
  <c r="G10" i="7"/>
  <c r="B18" i="1" s="1"/>
  <c r="C37" i="4"/>
  <c r="G43" i="3"/>
  <c r="G30" i="3"/>
  <c r="C25" i="7" l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H45" i="3"/>
  <c r="C21" i="4"/>
  <c r="B23" i="2"/>
  <c r="B33" i="1"/>
  <c r="P10" i="8"/>
  <c r="G45" i="3"/>
  <c r="M33" i="8"/>
  <c r="F45" i="3"/>
  <c r="D45" i="2"/>
  <c r="O12" i="8"/>
  <c r="F23" i="3"/>
  <c r="B33" i="8"/>
  <c r="G42" i="15"/>
  <c r="H21" i="15"/>
  <c r="B42" i="4"/>
  <c r="D7" i="1"/>
  <c r="J17" i="2"/>
  <c r="K17" i="2" s="1"/>
  <c r="I12" i="3"/>
  <c r="I44" i="3"/>
  <c r="E45" i="2"/>
  <c r="O33" i="8"/>
  <c r="E21" i="4"/>
  <c r="D17" i="5"/>
  <c r="E45" i="3"/>
  <c r="F42" i="15"/>
  <c r="D18" i="1"/>
  <c r="C10" i="1"/>
  <c r="L27" i="4"/>
  <c r="M27" i="4" s="1"/>
  <c r="C21" i="15"/>
  <c r="D42" i="4"/>
  <c r="F33" i="8"/>
  <c r="J11" i="2"/>
  <c r="K11" i="2" s="1"/>
  <c r="K9" i="2"/>
  <c r="H33" i="8"/>
  <c r="I35" i="3"/>
  <c r="I40" i="3"/>
  <c r="J44" i="2"/>
  <c r="K44" i="2" s="1"/>
  <c r="J32" i="15"/>
  <c r="M25" i="4"/>
  <c r="C5" i="5" s="1"/>
  <c r="I30" i="3"/>
  <c r="O6" i="16"/>
  <c r="I7" i="3"/>
  <c r="P23" i="8"/>
  <c r="B21" i="4"/>
  <c r="P18" i="8"/>
  <c r="P31" i="8"/>
  <c r="G12" i="7"/>
  <c r="O11" i="16"/>
  <c r="J22" i="5"/>
  <c r="K29" i="2"/>
  <c r="B6" i="5" s="1"/>
  <c r="B7" i="5" s="1"/>
  <c r="J21" i="2"/>
  <c r="K21" i="2" s="1"/>
  <c r="H42" i="4"/>
  <c r="O23" i="16"/>
  <c r="L32" i="4"/>
  <c r="M32" i="4" s="1"/>
  <c r="C37" i="1"/>
  <c r="H42" i="15"/>
  <c r="I22" i="3"/>
  <c r="E23" i="2"/>
  <c r="J27" i="15"/>
  <c r="B16" i="1"/>
  <c r="C17" i="1"/>
  <c r="O37" i="16"/>
  <c r="L41" i="4"/>
  <c r="M41" i="4" s="1"/>
  <c r="O18" i="16"/>
  <c r="D19" i="1"/>
  <c r="J6" i="2"/>
  <c r="K6" i="2" s="1"/>
  <c r="D5" i="1" s="1"/>
  <c r="L20" i="4"/>
  <c r="M20" i="4" s="1"/>
  <c r="P32" i="8"/>
  <c r="G7" i="7"/>
  <c r="O30" i="16"/>
  <c r="P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N33" i="8"/>
  <c r="J37" i="15"/>
  <c r="I18" i="3"/>
  <c r="L17" i="4"/>
  <c r="M17" i="4" s="1"/>
  <c r="D10" i="5"/>
  <c r="E12" i="8"/>
  <c r="P6" i="8"/>
  <c r="E42" i="4"/>
  <c r="C42" i="15"/>
  <c r="J40" i="15"/>
  <c r="J41" i="15"/>
  <c r="E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I43" i="3"/>
  <c r="D25" i="7" l="1"/>
  <c r="F25" i="7" s="1"/>
  <c r="B8" i="1"/>
  <c r="F18" i="1"/>
  <c r="J21" i="15"/>
  <c r="D6" i="1"/>
  <c r="C8" i="1"/>
  <c r="C33" i="1" s="1"/>
  <c r="P12" i="8"/>
  <c r="B10" i="1"/>
  <c r="F19" i="1"/>
  <c r="J45" i="2"/>
  <c r="K45" i="2" s="1"/>
  <c r="I45" i="3"/>
  <c r="F7" i="1"/>
  <c r="J23" i="2"/>
  <c r="K23" i="2" s="1"/>
  <c r="B27" i="1"/>
  <c r="B21" i="5"/>
  <c r="B28" i="1"/>
  <c r="L42" i="4"/>
  <c r="M42" i="4" s="1"/>
  <c r="J42" i="15"/>
  <c r="I23" i="3"/>
  <c r="B17" i="1"/>
  <c r="D17" i="1" s="1"/>
  <c r="K43" i="2"/>
  <c r="C11" i="5"/>
  <c r="C28" i="1"/>
  <c r="C27" i="1"/>
  <c r="P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22" i="1" l="1"/>
  <c r="F22" i="1" s="1"/>
  <c r="D10" i="1"/>
  <c r="D8" i="1"/>
  <c r="F8" i="1" s="1"/>
  <c r="F6" i="1"/>
  <c r="C11" i="1"/>
  <c r="B32" i="1"/>
  <c r="B11" i="1"/>
  <c r="L25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/>
  <c r="M25" i="7" l="1"/>
  <c r="G25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H25" i="7" l="1"/>
  <c r="I25" i="7" s="1"/>
  <c r="K25" i="7" s="1"/>
  <c r="N25" i="7"/>
  <c r="P25" i="7" s="1"/>
  <c r="F22" i="5"/>
  <c r="H22" i="5" s="1"/>
  <c r="H20" i="5"/>
  <c r="B24" i="7" l="1"/>
  <c r="C24" i="7" l="1"/>
  <c r="D24" i="7" s="1"/>
  <c r="F24" i="7" s="1"/>
  <c r="L24" i="7" l="1"/>
  <c r="G24" i="7" s="1"/>
  <c r="M24" i="7"/>
  <c r="H24" i="7" s="1"/>
  <c r="I24" i="7" l="1"/>
  <c r="K24" i="7" s="1"/>
  <c r="N24" i="7"/>
  <c r="P24" i="7" s="1"/>
  <c r="B23" i="7" l="1"/>
  <c r="C23" i="7" l="1"/>
  <c r="D23" i="7" s="1"/>
  <c r="F23" i="7" s="1"/>
  <c r="L23" i="7" l="1"/>
  <c r="M23" i="7" l="1"/>
  <c r="H23" i="7" s="1"/>
  <c r="G23" i="7"/>
  <c r="N23" i="7" l="1"/>
  <c r="P23" i="7" s="1"/>
  <c r="I23" i="7"/>
  <c r="K23" i="7" s="1"/>
  <c r="B22" i="7" l="1"/>
  <c r="C22" i="7" l="1"/>
  <c r="D22" i="7" s="1"/>
  <c r="F22" i="7" s="1"/>
  <c r="L22" i="7" l="1"/>
  <c r="G22" i="7" s="1"/>
  <c r="M22" i="7"/>
  <c r="H22" i="7" s="1"/>
  <c r="I22" i="7" l="1"/>
  <c r="K22" i="7" s="1"/>
  <c r="N22" i="7"/>
  <c r="P22" i="7" s="1"/>
  <c r="C21" i="7" l="1"/>
  <c r="C33" i="7" s="1"/>
  <c r="B21" i="7"/>
  <c r="D21" i="7" l="1"/>
  <c r="B33" i="7"/>
  <c r="L21" i="7" l="1"/>
  <c r="M21" i="7"/>
  <c r="F21" i="7"/>
  <c r="D33" i="7"/>
  <c r="F33" i="7" s="1"/>
  <c r="H21" i="7" l="1"/>
  <c r="H33" i="7" s="1"/>
  <c r="M33" i="7"/>
  <c r="N21" i="7"/>
  <c r="G21" i="7"/>
  <c r="L33" i="7"/>
  <c r="G33" i="7" l="1"/>
  <c r="I21" i="7"/>
  <c r="P21" i="7"/>
  <c r="N33" i="7"/>
  <c r="P33" i="7" s="1"/>
  <c r="I33" i="7" l="1"/>
  <c r="K33" i="7" s="1"/>
  <c r="K21" i="7"/>
  <c r="D33" i="1" l="1"/>
  <c r="I16" i="5"/>
  <c r="G5" i="1"/>
  <c r="G20" i="1" l="1"/>
  <c r="I5" i="1"/>
  <c r="G7" i="1"/>
  <c r="G21" i="1"/>
  <c r="G19" i="1"/>
  <c r="G16" i="1"/>
  <c r="I6" i="5"/>
  <c r="I21" i="1" l="1"/>
  <c r="I20" i="1"/>
  <c r="I7" i="1"/>
  <c r="I19" i="1"/>
  <c r="K6" i="5"/>
  <c r="I16" i="1"/>
  <c r="G18" i="1"/>
  <c r="G6" i="1"/>
  <c r="D32" i="1"/>
  <c r="G27" i="1"/>
  <c r="I5" i="5"/>
  <c r="I15" i="5"/>
  <c r="I10" i="5"/>
  <c r="I18" i="1" l="1"/>
  <c r="K15" i="5"/>
  <c r="I17" i="5"/>
  <c r="K17" i="5" s="1"/>
  <c r="K10" i="5"/>
  <c r="I27" i="1"/>
  <c r="I20" i="5"/>
  <c r="K5" i="5"/>
  <c r="I7" i="5"/>
  <c r="K7" i="5" s="1"/>
  <c r="D34" i="1"/>
  <c r="E33" i="1" s="1"/>
  <c r="I6" i="1"/>
  <c r="G8" i="1"/>
  <c r="G17" i="1"/>
  <c r="I11" i="5"/>
  <c r="E32" i="1" l="1"/>
  <c r="I12" i="5"/>
  <c r="K12" i="5" s="1"/>
  <c r="K20" i="5"/>
  <c r="I17" i="1"/>
  <c r="G22" i="1"/>
  <c r="I22" i="1" s="1"/>
  <c r="I8" i="1"/>
  <c r="G10" i="1"/>
  <c r="G28" i="1"/>
  <c r="K11" i="5"/>
  <c r="I21" i="5"/>
  <c r="K21" i="5" s="1"/>
  <c r="I10" i="1" l="1"/>
  <c r="G11" i="1"/>
  <c r="I11" i="1" s="1"/>
  <c r="I28" i="1"/>
  <c r="G29" i="1"/>
  <c r="I29" i="1" s="1"/>
  <c r="I22" i="5"/>
  <c r="K22" i="5" s="1"/>
</calcChain>
</file>

<file path=xl/sharedStrings.xml><?xml version="1.0" encoding="utf-8"?>
<sst xmlns="http://schemas.openxmlformats.org/spreadsheetml/2006/main" count="602" uniqueCount="234">
  <si>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</si>
  <si>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</si>
  <si>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</si>
  <si>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</si>
  <si>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</si>
  <si>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</si>
  <si>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</si>
  <si>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</si>
  <si>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</si>
  <si>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</si>
  <si>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</si>
  <si>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</si>
  <si>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</si>
  <si>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</si>
  <si>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</si>
  <si>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</si>
  <si>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</si>
  <si>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</si>
  <si>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</si>
  <si>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</si>
  <si>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</si>
  <si>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</si>
  <si>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</si>
  <si>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</si>
  <si>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</si>
  <si>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</si>
  <si>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</si>
  <si>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</si>
  <si>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</si>
  <si>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</si>
  <si>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</si>
  <si>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</si>
  <si>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</si>
  <si>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</si>
  <si>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</si>
  <si>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</si>
  <si>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</si>
  <si>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</si>
  <si>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</si>
  <si>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</si>
  <si>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</si>
  <si>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</si>
  <si>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</si>
  <si>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</si>
  <si>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</si>
  <si>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</si>
  <si>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</si>
  <si>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</si>
  <si>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</si>
  <si>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</si>
  <si>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</si>
  <si>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</si>
  <si>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</si>
  <si>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</si>
  <si>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</si>
  <si>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</si>
  <si>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</si>
  <si>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</si>
  <si>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</si>
  <si>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</si>
  <si>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</si>
  <si>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</si>
  <si>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</si>
  <si>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</si>
  <si>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</si>
  <si>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</si>
  <si>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</si>
  <si>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</si>
  <si>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</si>
  <si>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</si>
  <si>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</si>
  <si>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</si>
  <si>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</si>
  <si>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</si>
  <si>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</si>
  <si>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</si>
  <si>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</si>
  <si>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</si>
  <si>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</si>
  <si>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</si>
  <si>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</si>
  <si>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</si>
  <si>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</si>
  <si>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</si>
  <si>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</si>
  <si>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</si>
  <si>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</si>
  <si>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</si>
  <si>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</si>
  <si>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</si>
  <si>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</si>
  <si>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</si>
  <si>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</si>
  <si>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</si>
  <si>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</si>
  <si>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</si>
  <si>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</si>
  <si>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</si>
  <si>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</si>
  <si>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</si>
  <si>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</si>
  <si>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</si>
  <si>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</si>
  <si>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</si>
  <si>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</si>
  <si>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</si>
  <si>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</si>
  <si>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</si>
  <si>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</si>
  <si>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</si>
  <si>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</si>
  <si>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</si>
  <si>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</si>
  <si>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</si>
  <si>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</si>
  <si>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</si>
  <si>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</si>
  <si>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</si>
  <si>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</si>
  <si>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</si>
  <si>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</si>
  <si>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</si>
  <si>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</si>
  <si>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</si>
  <si>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</si>
  <si>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</si>
  <si>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</si>
  <si>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</si>
  <si>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</si>
  <si>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</si>
  <si>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</si>
  <si>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</si>
  <si>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</si>
  <si>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</si>
  <si>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</si>
  <si>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</si>
  <si>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</si>
  <si>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</si>
  <si>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</si>
  <si>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</si>
  <si>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</si>
  <si>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</si>
  <si>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</si>
  <si>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</si>
  <si>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</si>
  <si>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</si>
  <si>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</si>
  <si>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</si>
  <si>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</si>
  <si>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</si>
  <si>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</si>
  <si>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</si>
  <si>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</si>
  <si>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</si>
  <si>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</si>
  <si>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</si>
  <si>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</si>
  <si>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</si>
  <si>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</si>
  <si>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</si>
  <si>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</si>
  <si>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</si>
  <si>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</si>
  <si>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</si>
  <si>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</si>
  <si>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</si>
  <si>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</si>
  <si>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</si>
  <si>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</si>
  <si>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</si>
  <si>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</si>
  <si>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</si>
  <si>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</si>
  <si>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</si>
  <si>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</si>
  <si>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</si>
  <si>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</si>
  <si>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</si>
  <si>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</si>
  <si>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</si>
  <si>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</si>
  <si>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</si>
  <si>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</si>
  <si>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</si>
  <si>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</si>
  <si>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</si>
  <si>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</si>
  <si>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</si>
  <si>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</si>
  <si>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</si>
  <si>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</si>
  <si>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</si>
  <si>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</si>
  <si>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</si>
  <si>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</si>
  <si>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</si>
  <si>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</si>
  <si>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</si>
  <si>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</si>
  <si>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</si>
  <si>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</si>
  <si>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</si>
  <si>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</si>
  <si>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</si>
  <si>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</si>
  <si>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</si>
  <si>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</si>
  <si>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</si>
  <si>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</si>
  <si>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</si>
  <si>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</si>
  <si>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</si>
  <si>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</si>
  <si>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</si>
  <si>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</si>
  <si>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</si>
  <si>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</si>
  <si>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</si>
  <si>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</si>
  <si>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</si>
  <si>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</si>
  <si>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</si>
  <si>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</si>
  <si>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</si>
  <si>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</si>
  <si>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</si>
  <si>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May 2018</t>
  </si>
  <si>
    <t>Encore Air Cargo</t>
  </si>
  <si>
    <t>Encore</t>
  </si>
  <si>
    <t>Kalittia - DHL</t>
  </si>
  <si>
    <t>DHL</t>
  </si>
  <si>
    <t>Kalitta - DHL</t>
  </si>
  <si>
    <t>Atlas - DHL</t>
  </si>
  <si>
    <t>ABX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</si>
</sst>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0" fontId="7" fillId="0" borderId="36" xfId="0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10" fontId="13" fillId="0" borderId="24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y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pril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2389058</v>
          </cell>
          <cell r="G5">
            <v>11321574</v>
          </cell>
        </row>
        <row r="6">
          <cell r="D6">
            <v>713654</v>
          </cell>
          <cell r="G6">
            <v>3198692</v>
          </cell>
        </row>
        <row r="7">
          <cell r="D7">
            <v>371</v>
          </cell>
          <cell r="G7">
            <v>2703</v>
          </cell>
        </row>
        <row r="10">
          <cell r="D10">
            <v>124407</v>
          </cell>
          <cell r="G10">
            <v>504833</v>
          </cell>
        </row>
        <row r="16">
          <cell r="D16">
            <v>18106</v>
          </cell>
          <cell r="G16">
            <v>87005</v>
          </cell>
        </row>
        <row r="17">
          <cell r="D17">
            <v>13628</v>
          </cell>
          <cell r="G17">
            <v>62346</v>
          </cell>
        </row>
        <row r="18">
          <cell r="D18">
            <v>5</v>
          </cell>
          <cell r="G18">
            <v>21</v>
          </cell>
        </row>
        <row r="19">
          <cell r="D19">
            <v>1302</v>
          </cell>
          <cell r="G19">
            <v>6100</v>
          </cell>
        </row>
        <row r="20">
          <cell r="D20">
            <v>1743</v>
          </cell>
          <cell r="G20">
            <v>8350</v>
          </cell>
        </row>
        <row r="21">
          <cell r="D21">
            <v>98</v>
          </cell>
          <cell r="G21">
            <v>506</v>
          </cell>
        </row>
        <row r="27">
          <cell r="D27">
            <v>17721.105468489499</v>
          </cell>
          <cell r="G27">
            <v>82789.01213802374</v>
          </cell>
        </row>
        <row r="28">
          <cell r="D28">
            <v>2241.7428502368898</v>
          </cell>
          <cell r="G28">
            <v>10454.205527779859</v>
          </cell>
        </row>
        <row r="32">
          <cell r="B32">
            <v>951848</v>
          </cell>
          <cell r="D32">
            <v>4692857</v>
          </cell>
        </row>
        <row r="33">
          <cell r="B33">
            <v>590479</v>
          </cell>
          <cell r="D33">
            <v>2546992</v>
          </cell>
        </row>
      </sheetData>
      <sheetData sheetId="1"/>
      <sheetData sheetId="2"/>
      <sheetData sheetId="3"/>
      <sheetData sheetId="4"/>
      <sheetData sheetId="5">
        <row r="25">
          <cell r="D25">
            <v>246334</v>
          </cell>
          <cell r="I25">
            <v>2981156</v>
          </cell>
          <cell r="N25">
            <v>3227490</v>
          </cell>
        </row>
      </sheetData>
      <sheetData sheetId="6"/>
      <sheetData sheetId="7">
        <row r="5">
          <cell r="F5">
            <v>10085.06661396542</v>
          </cell>
          <cell r="I5">
            <v>46175.862023329501</v>
          </cell>
        </row>
        <row r="6">
          <cell r="F6">
            <v>913.94734864432996</v>
          </cell>
          <cell r="I6">
            <v>4187.78838087841</v>
          </cell>
        </row>
        <row r="10">
          <cell r="F10">
            <v>7636.0388545240794</v>
          </cell>
          <cell r="I10">
            <v>36613.150114694225</v>
          </cell>
        </row>
        <row r="11">
          <cell r="F11">
            <v>1327.79550159256</v>
          </cell>
          <cell r="I11">
            <v>6266.4171469014509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17721.105468489499</v>
          </cell>
        </row>
        <row r="21">
          <cell r="F21">
            <v>2241.7428502368898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242418</v>
          </cell>
          <cell r="I24">
            <v>2750844</v>
          </cell>
          <cell r="N24">
            <v>2993262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9290890</v>
          </cell>
        </row>
        <row r="6">
          <cell r="G6">
            <v>2353150</v>
          </cell>
        </row>
        <row r="7">
          <cell r="G7">
            <v>2099</v>
          </cell>
        </row>
        <row r="10">
          <cell r="G10">
            <v>389147</v>
          </cell>
        </row>
        <row r="16">
          <cell r="G16">
            <v>71098</v>
          </cell>
        </row>
        <row r="17">
          <cell r="G17">
            <v>45608</v>
          </cell>
        </row>
        <row r="18">
          <cell r="G18">
            <v>29</v>
          </cell>
        </row>
        <row r="19">
          <cell r="G19">
            <v>4569</v>
          </cell>
        </row>
        <row r="20">
          <cell r="G20">
            <v>6591</v>
          </cell>
        </row>
        <row r="21">
          <cell r="G21">
            <v>354</v>
          </cell>
        </row>
        <row r="27">
          <cell r="G27">
            <v>65936.100609409026</v>
          </cell>
        </row>
        <row r="28">
          <cell r="G28">
            <v>8478.1525939009898</v>
          </cell>
        </row>
        <row r="32">
          <cell r="D32">
            <v>3863662</v>
          </cell>
        </row>
        <row r="33">
          <cell r="D33">
            <v>1946900</v>
          </cell>
        </row>
      </sheetData>
      <sheetData sheetId="1"/>
      <sheetData sheetId="2"/>
      <sheetData sheetId="3"/>
      <sheetData sheetId="4"/>
      <sheetData sheetId="5">
        <row r="24">
          <cell r="B24">
            <v>134432</v>
          </cell>
          <cell r="C24">
            <v>115520</v>
          </cell>
          <cell r="L24">
            <v>1618032</v>
          </cell>
          <cell r="M24">
            <v>1517998</v>
          </cell>
        </row>
      </sheetData>
      <sheetData sheetId="6"/>
      <sheetData sheetId="7">
        <row r="5">
          <cell r="I5">
            <v>36044.058158744025</v>
          </cell>
        </row>
        <row r="6">
          <cell r="I6">
            <v>3357.01762589809</v>
          </cell>
        </row>
        <row r="10">
          <cell r="I10">
            <v>29892.042450665009</v>
          </cell>
        </row>
        <row r="11">
          <cell r="I11">
            <v>5121.1349680028998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F4">
            <v>109</v>
          </cell>
        </row>
        <row r="5">
          <cell r="GF5">
            <v>109</v>
          </cell>
        </row>
        <row r="8">
          <cell r="GF8"/>
        </row>
        <row r="9">
          <cell r="GF9"/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</row>
        <row r="22">
          <cell r="GF22">
            <v>468</v>
          </cell>
        </row>
        <row r="23">
          <cell r="GF23">
            <v>449</v>
          </cell>
        </row>
        <row r="27">
          <cell r="GF27"/>
        </row>
        <row r="28">
          <cell r="GF28"/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3"/>
      <sheetData sheetId="4">
        <row r="4">
          <cell r="GF4"/>
        </row>
        <row r="5">
          <cell r="GF5"/>
        </row>
        <row r="8">
          <cell r="GF8"/>
        </row>
        <row r="9">
          <cell r="GF9"/>
        </row>
        <row r="15">
          <cell r="GB15"/>
          <cell r="GC15"/>
          <cell r="GD15"/>
          <cell r="GE15">
            <v>1</v>
          </cell>
          <cell r="GF15">
            <v>26</v>
          </cell>
        </row>
        <row r="16">
          <cell r="GB16"/>
          <cell r="GC16"/>
          <cell r="GD16"/>
          <cell r="GE16">
            <v>1</v>
          </cell>
          <cell r="GF16">
            <v>26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32">
          <cell r="GB32"/>
          <cell r="GC32"/>
          <cell r="GD32"/>
          <cell r="GE32">
            <v>262</v>
          </cell>
          <cell r="GF32">
            <v>5627</v>
          </cell>
        </row>
        <row r="33">
          <cell r="GB33"/>
          <cell r="GC33"/>
          <cell r="GD33"/>
          <cell r="GE33">
            <v>232</v>
          </cell>
          <cell r="GF33">
            <v>6374</v>
          </cell>
        </row>
        <row r="37">
          <cell r="GB37"/>
          <cell r="GC37"/>
          <cell r="GD37"/>
          <cell r="GE37"/>
          <cell r="GF37"/>
        </row>
        <row r="38">
          <cell r="GB38"/>
          <cell r="GC38"/>
          <cell r="GD38"/>
          <cell r="GE38"/>
          <cell r="GF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</row>
        <row r="47">
          <cell r="GF47">
            <v>225854</v>
          </cell>
        </row>
        <row r="48">
          <cell r="GF48"/>
        </row>
        <row r="52">
          <cell r="GF52">
            <v>97680</v>
          </cell>
        </row>
        <row r="53">
          <cell r="GF53"/>
        </row>
        <row r="57">
          <cell r="GF57"/>
        </row>
        <row r="58">
          <cell r="GF58"/>
        </row>
      </sheetData>
      <sheetData sheetId="5"/>
      <sheetData sheetId="6">
        <row r="4">
          <cell r="GF4">
            <v>92</v>
          </cell>
        </row>
        <row r="5">
          <cell r="GF5">
            <v>92</v>
          </cell>
        </row>
        <row r="8">
          <cell r="GF8">
            <v>2</v>
          </cell>
        </row>
        <row r="9">
          <cell r="GF9">
            <v>2</v>
          </cell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</row>
        <row r="22">
          <cell r="GF22">
            <v>11639</v>
          </cell>
        </row>
        <row r="23">
          <cell r="GF23">
            <v>11353</v>
          </cell>
        </row>
        <row r="27">
          <cell r="GF27">
            <v>333</v>
          </cell>
        </row>
        <row r="28">
          <cell r="GF28">
            <v>367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</row>
        <row r="47">
          <cell r="GF47">
            <v>35949</v>
          </cell>
        </row>
        <row r="48">
          <cell r="GF48">
            <v>1313</v>
          </cell>
        </row>
        <row r="52">
          <cell r="GF52">
            <v>6708</v>
          </cell>
        </row>
        <row r="53">
          <cell r="GF53">
            <v>7766</v>
          </cell>
        </row>
        <row r="57">
          <cell r="GF57"/>
        </row>
        <row r="58">
          <cell r="GF58"/>
        </row>
      </sheetData>
      <sheetData sheetId="7"/>
      <sheetData sheetId="8">
        <row r="4">
          <cell r="GF4">
            <v>563</v>
          </cell>
        </row>
        <row r="5">
          <cell r="GF5">
            <v>565</v>
          </cell>
        </row>
        <row r="8">
          <cell r="GF8"/>
        </row>
        <row r="9">
          <cell r="GF9"/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</row>
        <row r="22">
          <cell r="GF22">
            <v>73548</v>
          </cell>
        </row>
        <row r="23">
          <cell r="GF23">
            <v>69526</v>
          </cell>
        </row>
        <row r="27">
          <cell r="GF27">
            <v>2803</v>
          </cell>
        </row>
        <row r="28">
          <cell r="GF28">
            <v>3020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</row>
        <row r="47">
          <cell r="GF47">
            <v>51055</v>
          </cell>
        </row>
        <row r="48">
          <cell r="GF48">
            <v>29101</v>
          </cell>
        </row>
        <row r="52">
          <cell r="GF52">
            <v>7562</v>
          </cell>
        </row>
        <row r="53">
          <cell r="GF53">
            <v>60899</v>
          </cell>
        </row>
        <row r="57">
          <cell r="GF57"/>
        </row>
        <row r="58">
          <cell r="GF58"/>
        </row>
      </sheetData>
      <sheetData sheetId="9"/>
      <sheetData sheetId="10">
        <row r="4">
          <cell r="GF4">
            <v>690</v>
          </cell>
        </row>
        <row r="5">
          <cell r="GF5">
            <v>686</v>
          </cell>
        </row>
        <row r="8">
          <cell r="GF8">
            <v>113</v>
          </cell>
        </row>
        <row r="9">
          <cell r="GF9">
            <v>111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  <cell r="GF15">
            <v>18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  <cell r="GF16">
            <v>19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</row>
        <row r="22">
          <cell r="GF22">
            <v>102906</v>
          </cell>
        </row>
        <row r="23">
          <cell r="GF23">
            <v>101925</v>
          </cell>
        </row>
        <row r="27">
          <cell r="GF27">
            <v>1986</v>
          </cell>
        </row>
        <row r="28">
          <cell r="GF28">
            <v>1921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  <cell r="GF32">
            <v>2433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  <cell r="GF37">
            <v>23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</row>
        <row r="47">
          <cell r="GF47">
            <v>95266</v>
          </cell>
        </row>
        <row r="48">
          <cell r="GF48">
            <v>288566</v>
          </cell>
        </row>
        <row r="52">
          <cell r="GF52">
            <v>72761</v>
          </cell>
        </row>
        <row r="53">
          <cell r="GF53">
            <v>340404</v>
          </cell>
        </row>
        <row r="57">
          <cell r="GF57"/>
        </row>
        <row r="58">
          <cell r="GF58"/>
        </row>
        <row r="70">
          <cell r="GF70">
            <v>99506</v>
          </cell>
        </row>
        <row r="71">
          <cell r="GF71">
            <v>2419</v>
          </cell>
        </row>
        <row r="73">
          <cell r="GF73">
            <v>2066</v>
          </cell>
        </row>
        <row r="74">
          <cell r="GF74">
            <v>18</v>
          </cell>
        </row>
      </sheetData>
      <sheetData sheetId="11">
        <row r="4">
          <cell r="GF4">
            <v>76</v>
          </cell>
        </row>
        <row r="5">
          <cell r="GF5">
            <v>76</v>
          </cell>
        </row>
        <row r="8">
          <cell r="GF8"/>
        </row>
        <row r="9">
          <cell r="GF9"/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</row>
        <row r="22">
          <cell r="GF22">
            <v>387</v>
          </cell>
        </row>
        <row r="23">
          <cell r="GF23">
            <v>417</v>
          </cell>
        </row>
        <row r="27">
          <cell r="GF27"/>
        </row>
        <row r="28">
          <cell r="GF28"/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12">
        <row r="4">
          <cell r="GF4"/>
        </row>
        <row r="5">
          <cell r="GF5"/>
        </row>
        <row r="8">
          <cell r="GF8"/>
        </row>
        <row r="9">
          <cell r="GF9"/>
        </row>
        <row r="15">
          <cell r="GB15"/>
          <cell r="GC15"/>
          <cell r="GD15"/>
          <cell r="GE15"/>
          <cell r="GF15">
            <v>1</v>
          </cell>
        </row>
        <row r="16">
          <cell r="GB16"/>
          <cell r="GC16"/>
          <cell r="GD16"/>
          <cell r="GE16"/>
          <cell r="GF16">
            <v>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32">
          <cell r="GB32"/>
          <cell r="GC32"/>
          <cell r="GD32"/>
          <cell r="GE32"/>
          <cell r="GF32">
            <v>236</v>
          </cell>
        </row>
        <row r="33">
          <cell r="GB33"/>
          <cell r="GC33"/>
          <cell r="GD33"/>
          <cell r="GE33"/>
          <cell r="GF33">
            <v>250</v>
          </cell>
        </row>
        <row r="37">
          <cell r="GB37"/>
          <cell r="GC37"/>
          <cell r="GD37"/>
          <cell r="GE37"/>
          <cell r="GF37">
            <v>1</v>
          </cell>
        </row>
        <row r="38">
          <cell r="GB38"/>
          <cell r="GC38"/>
          <cell r="GD38"/>
          <cell r="GE38"/>
          <cell r="GF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</row>
        <row r="47">
          <cell r="GF47">
            <v>1166</v>
          </cell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13">
        <row r="4">
          <cell r="GF4">
            <v>5728</v>
          </cell>
        </row>
        <row r="5">
          <cell r="GF5">
            <v>5713</v>
          </cell>
        </row>
        <row r="8">
          <cell r="GF8">
            <v>2</v>
          </cell>
        </row>
        <row r="9">
          <cell r="GF9">
            <v>20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  <cell r="GF15">
            <v>505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  <cell r="GF16">
            <v>506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</row>
        <row r="22">
          <cell r="GF22">
            <v>802741</v>
          </cell>
        </row>
        <row r="23">
          <cell r="GF23">
            <v>791477</v>
          </cell>
        </row>
        <row r="27">
          <cell r="GF27">
            <v>29761</v>
          </cell>
        </row>
        <row r="28">
          <cell r="GF28">
            <v>29483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  <cell r="GF32">
            <v>80449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  <cell r="GF33">
            <v>89159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  <cell r="GF37">
            <v>2291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  <cell r="GF38">
            <v>2300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</row>
        <row r="47">
          <cell r="GF47">
            <v>3975921</v>
          </cell>
        </row>
        <row r="48">
          <cell r="GF48">
            <v>1634037</v>
          </cell>
        </row>
        <row r="52">
          <cell r="GF52">
            <v>1802014</v>
          </cell>
        </row>
        <row r="53">
          <cell r="GF53">
            <v>1782671</v>
          </cell>
        </row>
        <row r="57">
          <cell r="GF57"/>
        </row>
        <row r="58">
          <cell r="GF58"/>
        </row>
        <row r="70">
          <cell r="GF70">
            <v>392437</v>
          </cell>
        </row>
        <row r="71">
          <cell r="GF71">
            <v>399040</v>
          </cell>
        </row>
        <row r="73">
          <cell r="GF73">
            <v>44208</v>
          </cell>
        </row>
        <row r="74">
          <cell r="GF74">
            <v>44951</v>
          </cell>
        </row>
      </sheetData>
      <sheetData sheetId="14"/>
      <sheetData sheetId="15">
        <row r="4">
          <cell r="GF4">
            <v>160</v>
          </cell>
        </row>
        <row r="5">
          <cell r="GF5">
            <v>160</v>
          </cell>
        </row>
        <row r="8">
          <cell r="GF8"/>
        </row>
        <row r="9">
          <cell r="GF9"/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</row>
        <row r="22">
          <cell r="GF22">
            <v>24830</v>
          </cell>
        </row>
        <row r="23">
          <cell r="GF23">
            <v>23981</v>
          </cell>
        </row>
        <row r="27">
          <cell r="GF27">
            <v>157</v>
          </cell>
        </row>
        <row r="28">
          <cell r="GF28">
            <v>130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16"/>
      <sheetData sheetId="17">
        <row r="8">
          <cell r="GF8"/>
        </row>
        <row r="9">
          <cell r="GF9"/>
        </row>
        <row r="15">
          <cell r="GB15">
            <v>4</v>
          </cell>
          <cell r="GC15"/>
          <cell r="GD15">
            <v>15</v>
          </cell>
          <cell r="GE15">
            <v>24</v>
          </cell>
          <cell r="GF15">
            <v>31</v>
          </cell>
        </row>
        <row r="16">
          <cell r="GB16">
            <v>4</v>
          </cell>
          <cell r="GC16"/>
          <cell r="GD16">
            <v>15</v>
          </cell>
          <cell r="GE16">
            <v>24</v>
          </cell>
          <cell r="GF16">
            <v>31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</row>
        <row r="32">
          <cell r="GB32">
            <v>585</v>
          </cell>
          <cell r="GC32"/>
          <cell r="GD32">
            <v>1635</v>
          </cell>
          <cell r="GE32">
            <v>3226</v>
          </cell>
          <cell r="GF32">
            <v>4855</v>
          </cell>
        </row>
        <row r="33">
          <cell r="GB33">
            <v>515</v>
          </cell>
          <cell r="GC33"/>
          <cell r="GD33">
            <v>2134</v>
          </cell>
          <cell r="GE33">
            <v>3423</v>
          </cell>
          <cell r="GF33">
            <v>5973</v>
          </cell>
        </row>
        <row r="37">
          <cell r="GB37">
            <v>10</v>
          </cell>
          <cell r="GC37"/>
          <cell r="GD37">
            <v>29</v>
          </cell>
          <cell r="GE37">
            <v>35</v>
          </cell>
          <cell r="GF37">
            <v>30</v>
          </cell>
        </row>
        <row r="38">
          <cell r="GB38">
            <v>5</v>
          </cell>
          <cell r="GC38"/>
          <cell r="GD38">
            <v>22</v>
          </cell>
          <cell r="GE38">
            <v>43</v>
          </cell>
          <cell r="GF38">
            <v>32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</row>
        <row r="47">
          <cell r="GF47">
            <v>41427</v>
          </cell>
        </row>
        <row r="48">
          <cell r="GF48"/>
        </row>
        <row r="52">
          <cell r="GF52">
            <v>268</v>
          </cell>
        </row>
        <row r="53">
          <cell r="GF53"/>
        </row>
        <row r="57">
          <cell r="GF57"/>
        </row>
        <row r="58">
          <cell r="GF58"/>
        </row>
      </sheetData>
      <sheetData sheetId="18">
        <row r="4">
          <cell r="GF4">
            <v>93</v>
          </cell>
        </row>
        <row r="5">
          <cell r="GF5">
            <v>93</v>
          </cell>
        </row>
        <row r="8">
          <cell r="GF8"/>
        </row>
        <row r="9">
          <cell r="GF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</row>
        <row r="22">
          <cell r="GF22">
            <v>10378</v>
          </cell>
        </row>
        <row r="23">
          <cell r="GF23">
            <v>10990</v>
          </cell>
        </row>
        <row r="27">
          <cell r="GF27">
            <v>230</v>
          </cell>
        </row>
        <row r="28">
          <cell r="GF28">
            <v>280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19">
        <row r="4">
          <cell r="GF4">
            <v>274</v>
          </cell>
        </row>
        <row r="5">
          <cell r="GF5">
            <v>274</v>
          </cell>
        </row>
        <row r="8">
          <cell r="GF8"/>
        </row>
        <row r="9">
          <cell r="GF9"/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</row>
        <row r="22">
          <cell r="GF22">
            <v>36712</v>
          </cell>
        </row>
        <row r="23">
          <cell r="GF23">
            <v>35862</v>
          </cell>
        </row>
        <row r="27">
          <cell r="GF27">
            <v>1370</v>
          </cell>
        </row>
        <row r="28">
          <cell r="GF28">
            <v>1358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</row>
        <row r="47">
          <cell r="GF47">
            <v>60344</v>
          </cell>
        </row>
        <row r="48">
          <cell r="GF48">
            <v>28427</v>
          </cell>
        </row>
        <row r="52">
          <cell r="GF52">
            <v>48651</v>
          </cell>
        </row>
        <row r="53">
          <cell r="GF53">
            <v>39191</v>
          </cell>
        </row>
        <row r="57">
          <cell r="GF57"/>
        </row>
        <row r="58">
          <cell r="GF58"/>
        </row>
      </sheetData>
      <sheetData sheetId="20">
        <row r="4">
          <cell r="GF4"/>
        </row>
        <row r="5">
          <cell r="GF5"/>
        </row>
        <row r="8">
          <cell r="GF8"/>
        </row>
        <row r="9">
          <cell r="GF9"/>
        </row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  <cell r="GF15">
            <v>19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  <cell r="GF16">
            <v>19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  <cell r="GF32">
            <v>3686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  <cell r="GF33">
            <v>4314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  <cell r="GF37">
            <v>6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  <cell r="GF38">
            <v>9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</row>
        <row r="47">
          <cell r="GF47">
            <v>409299</v>
          </cell>
        </row>
        <row r="48">
          <cell r="GF48"/>
        </row>
        <row r="52">
          <cell r="GF52">
            <v>114525</v>
          </cell>
        </row>
        <row r="53">
          <cell r="GF53"/>
        </row>
        <row r="57">
          <cell r="GF57"/>
        </row>
        <row r="58">
          <cell r="GF58"/>
        </row>
      </sheetData>
      <sheetData sheetId="21"/>
      <sheetData sheetId="22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</sheetData>
      <sheetData sheetId="23">
        <row r="4">
          <cell r="GF4">
            <v>691</v>
          </cell>
        </row>
        <row r="5">
          <cell r="GF5">
            <v>689</v>
          </cell>
        </row>
        <row r="8">
          <cell r="GF8"/>
        </row>
        <row r="9">
          <cell r="GF9"/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</row>
        <row r="22">
          <cell r="GF22">
            <v>80371</v>
          </cell>
        </row>
        <row r="23">
          <cell r="GF23">
            <v>76149</v>
          </cell>
        </row>
        <row r="27">
          <cell r="GF27">
            <v>1877</v>
          </cell>
        </row>
        <row r="28">
          <cell r="GF28">
            <v>1995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</row>
        <row r="47">
          <cell r="GF47">
            <v>266811</v>
          </cell>
        </row>
        <row r="48">
          <cell r="GF48"/>
        </row>
        <row r="52">
          <cell r="GF52">
            <v>80317</v>
          </cell>
        </row>
        <row r="53">
          <cell r="GF53"/>
        </row>
        <row r="57">
          <cell r="GF57"/>
        </row>
        <row r="58">
          <cell r="GF58"/>
        </row>
        <row r="70">
          <cell r="GF70">
            <v>75064</v>
          </cell>
        </row>
        <row r="71">
          <cell r="GF71">
            <v>1085</v>
          </cell>
        </row>
        <row r="73">
          <cell r="GF73"/>
        </row>
        <row r="74">
          <cell r="GF74"/>
        </row>
      </sheetData>
      <sheetData sheetId="24">
        <row r="4">
          <cell r="GF4">
            <v>306</v>
          </cell>
        </row>
        <row r="5">
          <cell r="GF5">
            <v>305</v>
          </cell>
        </row>
        <row r="8">
          <cell r="GF8"/>
        </row>
        <row r="9">
          <cell r="GF9"/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</row>
        <row r="22">
          <cell r="GF22">
            <v>45815</v>
          </cell>
        </row>
        <row r="23">
          <cell r="GF23">
            <v>43766</v>
          </cell>
        </row>
        <row r="27">
          <cell r="GF27">
            <v>252</v>
          </cell>
        </row>
        <row r="28">
          <cell r="GF28">
            <v>262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  <row r="70">
          <cell r="GF70"/>
        </row>
        <row r="71">
          <cell r="GF71"/>
        </row>
        <row r="73">
          <cell r="GF73"/>
        </row>
        <row r="74">
          <cell r="GF74"/>
        </row>
      </sheetData>
      <sheetData sheetId="25"/>
      <sheetData sheetId="26"/>
      <sheetData sheetId="27"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32">
          <cell r="GB32"/>
          <cell r="GC32"/>
          <cell r="GD32"/>
          <cell r="GE32"/>
          <cell r="GF32"/>
        </row>
        <row r="33">
          <cell r="GB33"/>
          <cell r="GC33"/>
          <cell r="GD33"/>
          <cell r="GE33"/>
          <cell r="GF33"/>
        </row>
        <row r="37">
          <cell r="GB37"/>
          <cell r="GC37"/>
          <cell r="GD37"/>
          <cell r="GE37"/>
          <cell r="GF37"/>
        </row>
        <row r="38">
          <cell r="GB38"/>
          <cell r="GC38"/>
          <cell r="GD38"/>
          <cell r="GE38"/>
          <cell r="GF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</sheetData>
      <sheetData sheetId="28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</sheetData>
      <sheetData sheetId="29">
        <row r="4">
          <cell r="GF4">
            <v>58</v>
          </cell>
        </row>
        <row r="5">
          <cell r="GF5">
            <v>58</v>
          </cell>
        </row>
        <row r="8">
          <cell r="GF8"/>
        </row>
        <row r="9">
          <cell r="GF9"/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</row>
        <row r="22">
          <cell r="GF22">
            <v>3857</v>
          </cell>
        </row>
        <row r="23">
          <cell r="GF23">
            <v>3999</v>
          </cell>
        </row>
        <row r="27">
          <cell r="GF27">
            <v>236</v>
          </cell>
        </row>
        <row r="28">
          <cell r="GF28">
            <v>184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</row>
        <row r="47">
          <cell r="GF47"/>
        </row>
        <row r="48">
          <cell r="GF48"/>
        </row>
        <row r="52">
          <cell r="GF52">
            <v>144</v>
          </cell>
        </row>
        <row r="53">
          <cell r="GF53"/>
        </row>
        <row r="57">
          <cell r="GF57"/>
        </row>
        <row r="58">
          <cell r="GF58"/>
        </row>
      </sheetData>
      <sheetData sheetId="30">
        <row r="4">
          <cell r="GF4"/>
        </row>
        <row r="5">
          <cell r="GF5"/>
        </row>
        <row r="8">
          <cell r="GF8"/>
        </row>
        <row r="9">
          <cell r="GF9"/>
        </row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</row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32">
          <cell r="GB32"/>
          <cell r="GC32"/>
          <cell r="GD32"/>
          <cell r="GE32"/>
          <cell r="GF32"/>
        </row>
        <row r="33">
          <cell r="GB33"/>
          <cell r="GC33"/>
          <cell r="GD33"/>
          <cell r="GE33"/>
          <cell r="GF33"/>
        </row>
        <row r="37">
          <cell r="GB37"/>
          <cell r="GC37"/>
          <cell r="GD37"/>
          <cell r="GE37"/>
          <cell r="GF37"/>
        </row>
        <row r="38">
          <cell r="GB38"/>
          <cell r="GC38"/>
          <cell r="GD38"/>
          <cell r="GE38"/>
          <cell r="GF38"/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BG58"/>
        </row>
        <row r="70">
          <cell r="GF70"/>
        </row>
        <row r="71">
          <cell r="GF71"/>
        </row>
        <row r="73">
          <cell r="GF73"/>
        </row>
        <row r="74">
          <cell r="GF74"/>
        </row>
      </sheetData>
      <sheetData sheetId="31"/>
      <sheetData sheetId="32"/>
      <sheetData sheetId="33"/>
      <sheetData sheetId="34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</sheetData>
      <sheetData sheetId="35"/>
      <sheetData sheetId="36">
        <row r="4">
          <cell r="GF4"/>
        </row>
        <row r="5">
          <cell r="GF5"/>
        </row>
        <row r="8">
          <cell r="GF8"/>
        </row>
        <row r="9">
          <cell r="GF9"/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BG58"/>
        </row>
      </sheetData>
      <sheetData sheetId="37"/>
      <sheetData sheetId="38">
        <row r="4">
          <cell r="GF4">
            <v>57</v>
          </cell>
        </row>
        <row r="5">
          <cell r="GF5">
            <v>57</v>
          </cell>
        </row>
        <row r="8">
          <cell r="GF8"/>
        </row>
        <row r="9">
          <cell r="GF9"/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  <cell r="GF15"/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  <cell r="GF16"/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</row>
        <row r="22">
          <cell r="GF22">
            <v>3473</v>
          </cell>
        </row>
        <row r="23">
          <cell r="GF23">
            <v>3485</v>
          </cell>
        </row>
        <row r="27">
          <cell r="GF27">
            <v>121</v>
          </cell>
        </row>
        <row r="28">
          <cell r="GF28">
            <v>141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  <cell r="GF32"/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  <cell r="GF33"/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  <cell r="GF37"/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  <cell r="GF38"/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</row>
        <row r="47">
          <cell r="GF47">
            <v>79</v>
          </cell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BK58"/>
        </row>
        <row r="70">
          <cell r="GF70">
            <v>1151</v>
          </cell>
        </row>
        <row r="71">
          <cell r="GF71">
            <v>2334</v>
          </cell>
        </row>
        <row r="73">
          <cell r="GF73"/>
        </row>
        <row r="74">
          <cell r="GF74"/>
        </row>
      </sheetData>
      <sheetData sheetId="39">
        <row r="4">
          <cell r="GF4">
            <v>2</v>
          </cell>
        </row>
        <row r="5">
          <cell r="GF5">
            <v>2</v>
          </cell>
        </row>
        <row r="8">
          <cell r="GF8"/>
        </row>
        <row r="9">
          <cell r="GF9"/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</row>
        <row r="22">
          <cell r="GF22">
            <v>126</v>
          </cell>
        </row>
        <row r="23">
          <cell r="GF23">
            <v>136</v>
          </cell>
        </row>
        <row r="27">
          <cell r="GF27">
            <v>13</v>
          </cell>
        </row>
        <row r="28">
          <cell r="GF28">
            <v>1</v>
          </cell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AJ57"/>
        </row>
        <row r="58">
          <cell r="AJ58"/>
        </row>
      </sheetData>
      <sheetData sheetId="40">
        <row r="4">
          <cell r="GF4"/>
        </row>
        <row r="5">
          <cell r="GF5"/>
        </row>
        <row r="8">
          <cell r="GF8"/>
        </row>
        <row r="9">
          <cell r="GF9"/>
        </row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BF58"/>
        </row>
      </sheetData>
      <sheetData sheetId="41">
        <row r="4">
          <cell r="GF4">
            <v>147</v>
          </cell>
        </row>
        <row r="5">
          <cell r="GF5">
            <v>147</v>
          </cell>
        </row>
        <row r="8">
          <cell r="GF8"/>
        </row>
        <row r="9">
          <cell r="GF9"/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</row>
        <row r="22">
          <cell r="GF22">
            <v>9478</v>
          </cell>
        </row>
        <row r="23">
          <cell r="GF23">
            <v>8938</v>
          </cell>
        </row>
        <row r="27">
          <cell r="GF27">
            <v>299</v>
          </cell>
        </row>
        <row r="28">
          <cell r="GF28">
            <v>285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42"/>
      <sheetData sheetId="43"/>
      <sheetData sheetId="44">
        <row r="4">
          <cell r="GF4">
            <v>1129</v>
          </cell>
        </row>
        <row r="5">
          <cell r="GF5">
            <v>1126</v>
          </cell>
        </row>
        <row r="8">
          <cell r="GF8"/>
        </row>
        <row r="9">
          <cell r="GF9">
            <v>3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  <cell r="GF15">
            <v>137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  <cell r="GF16">
            <v>137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</row>
        <row r="22">
          <cell r="GF22">
            <v>71472</v>
          </cell>
        </row>
        <row r="23">
          <cell r="GF23">
            <v>70324</v>
          </cell>
        </row>
        <row r="27">
          <cell r="GF27">
            <v>2373</v>
          </cell>
        </row>
        <row r="28">
          <cell r="GF28">
            <v>2416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  <cell r="GF32">
            <v>9322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  <cell r="GF33">
            <v>9720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  <cell r="GF37">
            <v>153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  <cell r="GF38">
            <v>137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  <row r="70">
          <cell r="GF70">
            <v>33549</v>
          </cell>
        </row>
        <row r="71">
          <cell r="GF71">
            <v>36775</v>
          </cell>
        </row>
        <row r="73">
          <cell r="GF73">
            <v>4637</v>
          </cell>
        </row>
        <row r="74">
          <cell r="GF74">
            <v>5083</v>
          </cell>
        </row>
      </sheetData>
      <sheetData sheetId="45">
        <row r="4">
          <cell r="GF4"/>
        </row>
        <row r="5">
          <cell r="GF5"/>
        </row>
        <row r="8">
          <cell r="GF8"/>
        </row>
        <row r="9">
          <cell r="GF9"/>
        </row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BG58"/>
        </row>
      </sheetData>
      <sheetData sheetId="46">
        <row r="4">
          <cell r="GF4">
            <v>195</v>
          </cell>
        </row>
        <row r="5">
          <cell r="GF5">
            <v>196</v>
          </cell>
        </row>
        <row r="8">
          <cell r="GF8"/>
        </row>
        <row r="9">
          <cell r="GF9"/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</row>
        <row r="22">
          <cell r="GF22">
            <v>11122</v>
          </cell>
        </row>
        <row r="23">
          <cell r="GF23">
            <v>11352</v>
          </cell>
        </row>
        <row r="27">
          <cell r="GF27">
            <v>447</v>
          </cell>
        </row>
        <row r="28">
          <cell r="GF28">
            <v>504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</row>
        <row r="47">
          <cell r="GF47">
            <v>638</v>
          </cell>
        </row>
        <row r="48">
          <cell r="GF48">
            <v>20</v>
          </cell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47">
        <row r="4">
          <cell r="GF4">
            <v>253</v>
          </cell>
        </row>
        <row r="5">
          <cell r="GF5">
            <v>253</v>
          </cell>
        </row>
        <row r="8">
          <cell r="GF8"/>
        </row>
        <row r="9">
          <cell r="GF9"/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</row>
        <row r="22">
          <cell r="GF22">
            <v>14497</v>
          </cell>
        </row>
        <row r="23">
          <cell r="GF23">
            <v>13909</v>
          </cell>
        </row>
        <row r="27">
          <cell r="GF27">
            <v>587</v>
          </cell>
        </row>
        <row r="28">
          <cell r="GF28">
            <v>609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</sheetData>
      <sheetData sheetId="48">
        <row r="8">
          <cell r="GF8"/>
        </row>
        <row r="9">
          <cell r="GF9"/>
        </row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  <cell r="GF15">
            <v>92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  <cell r="GF16">
            <v>92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  <cell r="GF32">
            <v>4807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  <cell r="GF37">
            <v>76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</row>
        <row r="47">
          <cell r="GF47">
            <v>2840</v>
          </cell>
        </row>
        <row r="48">
          <cell r="GF48">
            <v>7</v>
          </cell>
        </row>
        <row r="52">
          <cell r="GF52">
            <v>3093</v>
          </cell>
        </row>
        <row r="53">
          <cell r="GF53"/>
        </row>
      </sheetData>
      <sheetData sheetId="49">
        <row r="4">
          <cell r="GF4">
            <v>3885</v>
          </cell>
        </row>
        <row r="5">
          <cell r="GF5">
            <v>3875</v>
          </cell>
        </row>
        <row r="8">
          <cell r="GF8"/>
        </row>
        <row r="9">
          <cell r="GF9">
            <v>14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  <cell r="GF15">
            <v>111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  <cell r="GF16">
            <v>110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</row>
        <row r="22">
          <cell r="GF22">
            <v>197432</v>
          </cell>
        </row>
        <row r="23">
          <cell r="GF23">
            <v>194427</v>
          </cell>
        </row>
        <row r="27">
          <cell r="GF27">
            <v>7142</v>
          </cell>
        </row>
        <row r="28">
          <cell r="GF28">
            <v>6805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  <cell r="GF32">
            <v>6317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  <cell r="GF33">
            <v>7085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  <cell r="GF37">
            <v>52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  <cell r="GF38">
            <v>59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  <row r="70">
          <cell r="GF70">
            <v>58904</v>
          </cell>
        </row>
        <row r="71">
          <cell r="GF71">
            <v>135523</v>
          </cell>
        </row>
        <row r="73">
          <cell r="GF73">
            <v>2146</v>
          </cell>
        </row>
        <row r="74">
          <cell r="GF74">
            <v>4939</v>
          </cell>
        </row>
      </sheetData>
      <sheetData sheetId="50">
        <row r="4">
          <cell r="GF4">
            <v>67</v>
          </cell>
        </row>
        <row r="5">
          <cell r="GF5">
            <v>67</v>
          </cell>
        </row>
        <row r="8">
          <cell r="GF8"/>
        </row>
        <row r="9">
          <cell r="GF9"/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</row>
        <row r="22">
          <cell r="GF22">
            <v>4429</v>
          </cell>
        </row>
        <row r="23">
          <cell r="GF23">
            <v>4695</v>
          </cell>
        </row>
        <row r="27">
          <cell r="GF27">
            <v>141</v>
          </cell>
        </row>
        <row r="28">
          <cell r="GF28">
            <v>126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51"/>
      <sheetData sheetId="52">
        <row r="4">
          <cell r="GF4"/>
        </row>
        <row r="5">
          <cell r="GF5"/>
        </row>
        <row r="8">
          <cell r="GF8"/>
        </row>
        <row r="9">
          <cell r="GF9"/>
        </row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53">
        <row r="4">
          <cell r="GF4">
            <v>31</v>
          </cell>
        </row>
        <row r="5">
          <cell r="GF5">
            <v>31</v>
          </cell>
        </row>
        <row r="8">
          <cell r="GF8"/>
        </row>
        <row r="9">
          <cell r="GF9"/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</row>
        <row r="22">
          <cell r="GF22">
            <v>2103</v>
          </cell>
        </row>
        <row r="23">
          <cell r="GF23">
            <v>2149</v>
          </cell>
        </row>
        <row r="27">
          <cell r="GF27">
            <v>97</v>
          </cell>
        </row>
        <row r="28">
          <cell r="GF28">
            <v>131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</row>
        <row r="47">
          <cell r="GF47">
            <v>2344</v>
          </cell>
        </row>
        <row r="48">
          <cell r="GF48"/>
        </row>
        <row r="52">
          <cell r="GF52">
            <v>215</v>
          </cell>
        </row>
        <row r="53">
          <cell r="GF53">
            <v>5340</v>
          </cell>
        </row>
        <row r="57">
          <cell r="GF57"/>
        </row>
        <row r="58">
          <cell r="GF58"/>
        </row>
      </sheetData>
      <sheetData sheetId="54">
        <row r="4">
          <cell r="GF4"/>
        </row>
        <row r="5">
          <cell r="GF5"/>
        </row>
        <row r="8">
          <cell r="GF8"/>
        </row>
        <row r="9">
          <cell r="GF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BG58"/>
        </row>
      </sheetData>
      <sheetData sheetId="55">
        <row r="4">
          <cell r="GF4"/>
        </row>
        <row r="5">
          <cell r="GF5"/>
        </row>
        <row r="8">
          <cell r="GF8"/>
        </row>
        <row r="9">
          <cell r="GF9"/>
        </row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</row>
        <row r="22">
          <cell r="GF22"/>
        </row>
        <row r="23">
          <cell r="GF23"/>
        </row>
        <row r="27">
          <cell r="GF27"/>
        </row>
        <row r="28">
          <cell r="GF28"/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BH58"/>
        </row>
        <row r="70">
          <cell r="GF70"/>
        </row>
        <row r="71">
          <cell r="GF71"/>
        </row>
        <row r="73">
          <cell r="GF73"/>
        </row>
        <row r="74">
          <cell r="GF74"/>
        </row>
      </sheetData>
      <sheetData sheetId="56"/>
      <sheetData sheetId="57"/>
      <sheetData sheetId="58"/>
      <sheetData sheetId="59">
        <row r="4">
          <cell r="GF4"/>
        </row>
        <row r="5">
          <cell r="GF5"/>
        </row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</row>
        <row r="22">
          <cell r="GF22"/>
        </row>
        <row r="23">
          <cell r="GF23"/>
        </row>
        <row r="32">
          <cell r="GB32"/>
          <cell r="GC32"/>
          <cell r="GD32"/>
          <cell r="GE32"/>
          <cell r="GF32"/>
        </row>
        <row r="33">
          <cell r="GB33"/>
          <cell r="GC33"/>
          <cell r="GD33"/>
          <cell r="GE33"/>
          <cell r="GF33"/>
        </row>
        <row r="37">
          <cell r="GB37"/>
          <cell r="GC37"/>
          <cell r="GD37"/>
          <cell r="GE37"/>
          <cell r="GF37"/>
        </row>
        <row r="38">
          <cell r="GB38"/>
          <cell r="GC38"/>
          <cell r="GD38"/>
          <cell r="GE38"/>
          <cell r="GF38"/>
        </row>
      </sheetData>
      <sheetData sheetId="60">
        <row r="4">
          <cell r="GF4"/>
        </row>
        <row r="5">
          <cell r="GF5"/>
        </row>
        <row r="15">
          <cell r="GF15"/>
        </row>
        <row r="16">
          <cell r="GF16"/>
        </row>
        <row r="22">
          <cell r="GF22"/>
        </row>
        <row r="23">
          <cell r="GF23"/>
        </row>
        <row r="32">
          <cell r="GF32"/>
        </row>
        <row r="33">
          <cell r="GF33"/>
        </row>
      </sheetData>
      <sheetData sheetId="61">
        <row r="4">
          <cell r="GF4"/>
        </row>
        <row r="5">
          <cell r="GF5"/>
        </row>
        <row r="8">
          <cell r="GF8">
            <v>1</v>
          </cell>
        </row>
        <row r="9">
          <cell r="GF9">
            <v>1</v>
          </cell>
        </row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</row>
        <row r="23">
          <cell r="GF23">
            <v>54</v>
          </cell>
        </row>
        <row r="32">
          <cell r="GB32"/>
          <cell r="GC32">
            <v>212</v>
          </cell>
          <cell r="GD32"/>
          <cell r="GE32"/>
          <cell r="GF32"/>
        </row>
        <row r="33">
          <cell r="GB33"/>
          <cell r="GC33"/>
          <cell r="GD33"/>
          <cell r="GE33"/>
          <cell r="GF33">
            <v>106</v>
          </cell>
        </row>
        <row r="37">
          <cell r="GB37"/>
          <cell r="GC37"/>
          <cell r="GD37"/>
          <cell r="GE37"/>
          <cell r="GF37"/>
        </row>
        <row r="38">
          <cell r="GB38"/>
          <cell r="GC38"/>
          <cell r="GD38"/>
          <cell r="GE38"/>
          <cell r="GF38"/>
        </row>
      </sheetData>
      <sheetData sheetId="62">
        <row r="4">
          <cell r="GF4"/>
        </row>
        <row r="5">
          <cell r="GF5">
            <v>1</v>
          </cell>
        </row>
        <row r="15">
          <cell r="GB15"/>
          <cell r="GC15"/>
          <cell r="GD15"/>
          <cell r="GE15"/>
          <cell r="GF15"/>
        </row>
        <row r="16">
          <cell r="GB16"/>
          <cell r="GC16"/>
          <cell r="GD16"/>
          <cell r="GE16"/>
          <cell r="GF16"/>
        </row>
        <row r="22">
          <cell r="GF22"/>
        </row>
        <row r="23">
          <cell r="GF23">
            <v>149</v>
          </cell>
        </row>
        <row r="32">
          <cell r="GB32"/>
          <cell r="GC32"/>
          <cell r="GD32"/>
          <cell r="GE32"/>
          <cell r="GF32"/>
        </row>
        <row r="33">
          <cell r="GB33"/>
          <cell r="GC33"/>
          <cell r="GD33"/>
          <cell r="GE33"/>
          <cell r="GF33"/>
        </row>
        <row r="37">
          <cell r="GB37"/>
          <cell r="GC37"/>
          <cell r="GD37"/>
          <cell r="GE37"/>
          <cell r="GF37"/>
        </row>
        <row r="38">
          <cell r="GB38"/>
          <cell r="GC38"/>
          <cell r="GD38"/>
          <cell r="GE38"/>
          <cell r="GF38"/>
        </row>
      </sheetData>
      <sheetData sheetId="63">
        <row r="4">
          <cell r="GF4">
            <v>31</v>
          </cell>
        </row>
        <row r="5">
          <cell r="GF5">
            <v>31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GB12">
            <v>56</v>
          </cell>
          <cell r="GC12">
            <v>56</v>
          </cell>
          <cell r="GD12">
            <v>62</v>
          </cell>
          <cell r="GE12">
            <v>58</v>
          </cell>
          <cell r="GF12">
            <v>62</v>
          </cell>
        </row>
        <row r="15">
          <cell r="GF15">
            <v>1</v>
          </cell>
        </row>
        <row r="16">
          <cell r="GF16">
            <v>1</v>
          </cell>
        </row>
        <row r="19">
          <cell r="FR19">
            <v>0</v>
          </cell>
          <cell r="GF19">
            <v>64</v>
          </cell>
        </row>
        <row r="47">
          <cell r="GF47">
            <v>1355874</v>
          </cell>
        </row>
        <row r="48">
          <cell r="GF48"/>
        </row>
        <row r="52">
          <cell r="GF52">
            <v>848285</v>
          </cell>
        </row>
        <row r="53">
          <cell r="GF53"/>
        </row>
        <row r="57">
          <cell r="GF57"/>
        </row>
        <row r="58">
          <cell r="GF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</row>
      </sheetData>
      <sheetData sheetId="64"/>
      <sheetData sheetId="65">
        <row r="4">
          <cell r="GF4"/>
        </row>
        <row r="5">
          <cell r="GF5"/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</sheetData>
      <sheetData sheetId="66">
        <row r="12"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</row>
        <row r="19">
          <cell r="FR19">
            <v>42</v>
          </cell>
          <cell r="GF19">
            <v>0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</row>
      </sheetData>
      <sheetData sheetId="67">
        <row r="4">
          <cell r="GF4">
            <v>1</v>
          </cell>
        </row>
        <row r="5">
          <cell r="GF5">
            <v>1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GB12">
            <v>0</v>
          </cell>
          <cell r="GC12">
            <v>2</v>
          </cell>
          <cell r="GD12">
            <v>0</v>
          </cell>
          <cell r="GE12">
            <v>0</v>
          </cell>
          <cell r="GF12">
            <v>2</v>
          </cell>
        </row>
        <row r="19">
          <cell r="FR19">
            <v>0</v>
          </cell>
          <cell r="GF19">
            <v>2</v>
          </cell>
        </row>
        <row r="47">
          <cell r="GF47">
            <v>23188</v>
          </cell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</row>
      </sheetData>
      <sheetData sheetId="68"/>
      <sheetData sheetId="69">
        <row r="4">
          <cell r="GF4">
            <v>22</v>
          </cell>
        </row>
        <row r="5">
          <cell r="GF5">
            <v>22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GB12">
            <v>40</v>
          </cell>
          <cell r="GC12">
            <v>40</v>
          </cell>
          <cell r="GD12">
            <v>42</v>
          </cell>
          <cell r="GE12">
            <v>44</v>
          </cell>
          <cell r="GF12">
            <v>44</v>
          </cell>
        </row>
        <row r="19">
          <cell r="FR19">
            <v>0</v>
          </cell>
          <cell r="GF19">
            <v>44</v>
          </cell>
        </row>
        <row r="47">
          <cell r="GF47">
            <v>898289</v>
          </cell>
        </row>
        <row r="48">
          <cell r="GF48"/>
        </row>
        <row r="52">
          <cell r="GF52">
            <v>541657</v>
          </cell>
        </row>
        <row r="53">
          <cell r="GF53"/>
        </row>
        <row r="57">
          <cell r="GF57"/>
        </row>
        <row r="58">
          <cell r="GF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</row>
      </sheetData>
      <sheetData sheetId="70"/>
      <sheetData sheetId="71"/>
      <sheetData sheetId="72">
        <row r="4">
          <cell r="GF4">
            <v>45</v>
          </cell>
        </row>
        <row r="5">
          <cell r="GF5">
            <v>45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GB12">
            <v>85</v>
          </cell>
          <cell r="GC12">
            <v>74</v>
          </cell>
          <cell r="GD12">
            <v>94</v>
          </cell>
          <cell r="GE12">
            <v>82</v>
          </cell>
          <cell r="GF12">
            <v>90</v>
          </cell>
        </row>
        <row r="15">
          <cell r="GF15"/>
        </row>
        <row r="19">
          <cell r="FR19">
            <v>0</v>
          </cell>
          <cell r="GF19">
            <v>90</v>
          </cell>
        </row>
        <row r="47">
          <cell r="GF47">
            <v>67065</v>
          </cell>
        </row>
        <row r="48">
          <cell r="GF48"/>
        </row>
        <row r="52">
          <cell r="GF52">
            <v>34983</v>
          </cell>
        </row>
        <row r="53">
          <cell r="GF53"/>
        </row>
        <row r="57">
          <cell r="GF57"/>
        </row>
        <row r="58">
          <cell r="GF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</row>
      </sheetData>
      <sheetData sheetId="73"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</row>
        <row r="15">
          <cell r="GF15"/>
        </row>
        <row r="16">
          <cell r="GF16"/>
        </row>
        <row r="19">
          <cell r="FR19">
            <v>0</v>
          </cell>
          <cell r="GF19">
            <v>0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</row>
      </sheetData>
      <sheetData sheetId="74">
        <row r="4">
          <cell r="GF4">
            <v>135</v>
          </cell>
        </row>
        <row r="5">
          <cell r="GF5">
            <v>135</v>
          </cell>
        </row>
        <row r="12"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GB12">
            <v>268</v>
          </cell>
          <cell r="GC12">
            <v>238</v>
          </cell>
          <cell r="GD12">
            <v>252</v>
          </cell>
          <cell r="GE12">
            <v>254</v>
          </cell>
          <cell r="GF12">
            <v>270</v>
          </cell>
        </row>
        <row r="15">
          <cell r="GF15"/>
        </row>
        <row r="19">
          <cell r="FR19">
            <v>232</v>
          </cell>
          <cell r="GF19">
            <v>270</v>
          </cell>
        </row>
        <row r="47">
          <cell r="GF47">
            <v>2089943</v>
          </cell>
        </row>
        <row r="48">
          <cell r="GF48"/>
        </row>
        <row r="52">
          <cell r="GF52">
            <v>9255506</v>
          </cell>
        </row>
        <row r="53">
          <cell r="GF53"/>
        </row>
        <row r="57">
          <cell r="GF57"/>
        </row>
        <row r="58">
          <cell r="GF58"/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</row>
      </sheetData>
      <sheetData sheetId="75">
        <row r="4">
          <cell r="GF4">
            <v>21</v>
          </cell>
        </row>
        <row r="5">
          <cell r="GF5">
            <v>21</v>
          </cell>
        </row>
        <row r="12"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GB12">
            <v>0</v>
          </cell>
          <cell r="GC12">
            <v>38</v>
          </cell>
          <cell r="GD12">
            <v>42</v>
          </cell>
          <cell r="GE12">
            <v>38</v>
          </cell>
          <cell r="GF12">
            <v>42</v>
          </cell>
        </row>
        <row r="19">
          <cell r="FR19">
            <v>44</v>
          </cell>
          <cell r="GF19">
            <v>42</v>
          </cell>
        </row>
        <row r="47">
          <cell r="GF47">
            <v>160627</v>
          </cell>
        </row>
        <row r="48">
          <cell r="GF48"/>
        </row>
        <row r="52">
          <cell r="GF52">
            <v>56842</v>
          </cell>
        </row>
        <row r="53">
          <cell r="GF53"/>
        </row>
        <row r="57">
          <cell r="GF57"/>
        </row>
        <row r="58">
          <cell r="GF58"/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</row>
      </sheetData>
      <sheetData sheetId="76">
        <row r="4">
          <cell r="GF4">
            <v>17</v>
          </cell>
        </row>
        <row r="5">
          <cell r="GF5">
            <v>17</v>
          </cell>
        </row>
        <row r="12"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GB12">
            <v>37</v>
          </cell>
          <cell r="GC12">
            <v>28</v>
          </cell>
          <cell r="GD12">
            <v>30</v>
          </cell>
          <cell r="GE12">
            <v>34</v>
          </cell>
          <cell r="GF12">
            <v>34</v>
          </cell>
        </row>
        <row r="15">
          <cell r="GF15"/>
        </row>
        <row r="19">
          <cell r="FR19">
            <v>44</v>
          </cell>
          <cell r="GF19">
            <v>34</v>
          </cell>
        </row>
        <row r="47">
          <cell r="GF47">
            <v>17762</v>
          </cell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</row>
      </sheetData>
      <sheetData sheetId="77">
        <row r="4">
          <cell r="GF4">
            <v>130</v>
          </cell>
        </row>
        <row r="5">
          <cell r="GF5">
            <v>130</v>
          </cell>
        </row>
        <row r="12"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GB12">
            <v>244</v>
          </cell>
          <cell r="GC12">
            <v>246</v>
          </cell>
          <cell r="GD12">
            <v>234</v>
          </cell>
          <cell r="GE12">
            <v>228</v>
          </cell>
          <cell r="GF12">
            <v>260</v>
          </cell>
        </row>
        <row r="15">
          <cell r="GF15">
            <v>20</v>
          </cell>
        </row>
        <row r="16">
          <cell r="GF16">
            <v>20</v>
          </cell>
        </row>
        <row r="19">
          <cell r="FR19">
            <v>258</v>
          </cell>
          <cell r="GF19">
            <v>300</v>
          </cell>
        </row>
        <row r="47">
          <cell r="GF47">
            <v>7007160</v>
          </cell>
        </row>
        <row r="48">
          <cell r="GF48"/>
        </row>
        <row r="52">
          <cell r="GF52">
            <v>5241121</v>
          </cell>
        </row>
        <row r="53">
          <cell r="GF53">
            <v>541360</v>
          </cell>
        </row>
        <row r="57">
          <cell r="GF57"/>
        </row>
        <row r="58">
          <cell r="GF58"/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</row>
      </sheetData>
      <sheetData sheetId="78"/>
      <sheetData sheetId="79"/>
      <sheetData sheetId="80"/>
      <sheetData sheetId="81">
        <row r="4">
          <cell r="GF4">
            <v>213</v>
          </cell>
        </row>
        <row r="5">
          <cell r="GF5">
            <v>213</v>
          </cell>
        </row>
        <row r="12"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GB12">
            <v>398</v>
          </cell>
          <cell r="GC12">
            <v>350</v>
          </cell>
          <cell r="GD12">
            <v>378</v>
          </cell>
          <cell r="GE12">
            <v>376</v>
          </cell>
          <cell r="GF12">
            <v>426</v>
          </cell>
        </row>
        <row r="19">
          <cell r="FR19">
            <v>590</v>
          </cell>
          <cell r="GF19">
            <v>426</v>
          </cell>
        </row>
      </sheetData>
      <sheetData sheetId="82">
        <row r="4">
          <cell r="GF4">
            <v>3</v>
          </cell>
        </row>
        <row r="5">
          <cell r="GF5">
            <v>3</v>
          </cell>
        </row>
        <row r="12"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GB12">
            <v>0</v>
          </cell>
          <cell r="GC12">
            <v>3</v>
          </cell>
          <cell r="GD12">
            <v>0</v>
          </cell>
          <cell r="GE12">
            <v>0</v>
          </cell>
          <cell r="GF12">
            <v>6</v>
          </cell>
        </row>
        <row r="19">
          <cell r="FR19">
            <v>4</v>
          </cell>
          <cell r="GF19">
            <v>6</v>
          </cell>
        </row>
        <row r="47">
          <cell r="GF47"/>
        </row>
        <row r="48">
          <cell r="GF48"/>
        </row>
        <row r="52">
          <cell r="GF52">
            <v>4851</v>
          </cell>
        </row>
        <row r="53">
          <cell r="GF53"/>
        </row>
        <row r="57">
          <cell r="GF57"/>
        </row>
        <row r="58">
          <cell r="GF58"/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</row>
      </sheetData>
      <sheetData sheetId="83">
        <row r="4">
          <cell r="GF4"/>
        </row>
        <row r="5">
          <cell r="GF5"/>
        </row>
        <row r="8">
          <cell r="GF8"/>
        </row>
        <row r="9">
          <cell r="GF9"/>
        </row>
        <row r="12"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</row>
        <row r="19">
          <cell r="FR19">
            <v>88</v>
          </cell>
          <cell r="GF19">
            <v>0</v>
          </cell>
        </row>
        <row r="47">
          <cell r="GF47"/>
        </row>
        <row r="48">
          <cell r="GF48"/>
        </row>
        <row r="52">
          <cell r="GF52"/>
        </row>
        <row r="53">
          <cell r="GF53"/>
        </row>
        <row r="57">
          <cell r="GF57"/>
        </row>
        <row r="58">
          <cell r="GF58"/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</row>
      </sheetData>
      <sheetData sheetId="84">
        <row r="4">
          <cell r="GF4">
            <v>48</v>
          </cell>
        </row>
        <row r="5">
          <cell r="GF5">
            <v>49</v>
          </cell>
        </row>
      </sheetData>
      <sheetData sheetId="85">
        <row r="4">
          <cell r="GF4">
            <v>785</v>
          </cell>
        </row>
        <row r="5">
          <cell r="GF5">
            <v>786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182334</v>
          </cell>
          <cell r="C23">
            <v>184603</v>
          </cell>
          <cell r="L23">
            <v>1758933</v>
          </cell>
          <cell r="M23">
            <v>1778471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opLeftCell="A2" zoomScale="115" zoomScaleNormal="115" zoomScaleSheetLayoutView="100" workbookViewId="0">
      <selection activeCell="D32" sqref="D3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43586</v>
      </c>
      <c r="B2" s="10"/>
      <c r="C2" s="10"/>
      <c r="D2" s="452" t="s">
        <v>213</v>
      </c>
      <c r="E2" s="452" t="s">
        <v>197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53"/>
      <c r="E3" s="454"/>
      <c r="F3" s="5" t="s">
        <v>2</v>
      </c>
      <c r="G3" s="5" t="s">
        <v>214</v>
      </c>
      <c r="H3" s="5" t="s">
        <v>198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1287081</v>
      </c>
      <c r="C5" s="10">
        <f>'Major Airline Stats'!K5</f>
        <v>1274049</v>
      </c>
      <c r="D5" s="2">
        <f>'Major Airline Stats'!K6</f>
        <v>2561130</v>
      </c>
      <c r="E5" s="2">
        <f>'[1]Monthly Summary'!D5</f>
        <v>2389058</v>
      </c>
      <c r="F5" s="3">
        <f>(D5-E5)/E5</f>
        <v>7.2025040831993195E-2</v>
      </c>
      <c r="G5" s="2">
        <f>+D5+'[2]Monthly Summary'!G5</f>
        <v>11852020</v>
      </c>
      <c r="H5" s="2">
        <f>'[1]Monthly Summary'!G5</f>
        <v>11321574</v>
      </c>
      <c r="I5" s="67">
        <f>(G5-H5)/H5</f>
        <v>4.6852672605416881E-2</v>
      </c>
      <c r="J5" s="2"/>
    </row>
    <row r="6" spans="1:14" x14ac:dyDescent="0.2">
      <c r="A6" s="52" t="s">
        <v>5</v>
      </c>
      <c r="B6" s="254">
        <f>'Regional Major'!M5</f>
        <v>338435</v>
      </c>
      <c r="C6" s="254">
        <f>'Regional Major'!M6</f>
        <v>335432</v>
      </c>
      <c r="D6" s="2">
        <f>B6+C6</f>
        <v>673867</v>
      </c>
      <c r="E6" s="2">
        <f>'[1]Monthly Summary'!D6</f>
        <v>713654</v>
      </c>
      <c r="F6" s="3">
        <f>(D6-E6)/E6</f>
        <v>-5.5751106278392609E-2</v>
      </c>
      <c r="G6" s="2">
        <f>+D6+'[2]Monthly Summary'!G6</f>
        <v>3027017</v>
      </c>
      <c r="H6" s="2">
        <f>'[1]Monthly Summary'!G6</f>
        <v>3198692</v>
      </c>
      <c r="I6" s="67">
        <f>(G6-H6)/H6</f>
        <v>-5.3670375265889934E-2</v>
      </c>
      <c r="K6" s="2"/>
    </row>
    <row r="7" spans="1:14" x14ac:dyDescent="0.2">
      <c r="A7" s="52" t="s">
        <v>6</v>
      </c>
      <c r="B7" s="2">
        <f>Charter!G5</f>
        <v>0</v>
      </c>
      <c r="C7" s="254">
        <f>Charter!G6</f>
        <v>309</v>
      </c>
      <c r="D7" s="2">
        <f>B7+C7</f>
        <v>309</v>
      </c>
      <c r="E7" s="2">
        <f>'[1]Monthly Summary'!D7</f>
        <v>371</v>
      </c>
      <c r="F7" s="3">
        <f>(D7-E7)/E7</f>
        <v>-0.16711590296495957</v>
      </c>
      <c r="G7" s="2">
        <f>+D7+'[2]Monthly Summary'!G7</f>
        <v>2408</v>
      </c>
      <c r="H7" s="2">
        <f>'[1]Monthly Summary'!G7</f>
        <v>2703</v>
      </c>
      <c r="I7" s="67">
        <f>(G7-H7)/H7</f>
        <v>-0.10913799482056974</v>
      </c>
      <c r="K7" s="2"/>
    </row>
    <row r="8" spans="1:14" x14ac:dyDescent="0.2">
      <c r="A8" s="54" t="s">
        <v>7</v>
      </c>
      <c r="B8" s="121">
        <f>SUM(B5:B7)</f>
        <v>1625516</v>
      </c>
      <c r="C8" s="121">
        <f>SUM(C5:C7)</f>
        <v>1609790</v>
      </c>
      <c r="D8" s="121">
        <f>SUM(D5:D7)</f>
        <v>3235306</v>
      </c>
      <c r="E8" s="121">
        <f>SUM(E5:E7)</f>
        <v>3103083</v>
      </c>
      <c r="F8" s="73">
        <f>(D8-E8)/E8</f>
        <v>4.2610204109912626E-2</v>
      </c>
      <c r="G8" s="121">
        <f>SUM(G5:G7)</f>
        <v>14881445</v>
      </c>
      <c r="H8" s="121">
        <f>SUM(H5:H7)</f>
        <v>14522969</v>
      </c>
      <c r="I8" s="72">
        <f>(G8-H8)/H8</f>
        <v>2.4683382578314393E-2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52857</v>
      </c>
      <c r="C10" s="255">
        <f>'Major Airline Stats'!K10+'Regional Major'!M11</f>
        <v>52649</v>
      </c>
      <c r="D10" s="98">
        <f>SUM(B10:C10)</f>
        <v>105506</v>
      </c>
      <c r="E10" s="98">
        <f>'[1]Monthly Summary'!D10</f>
        <v>124407</v>
      </c>
      <c r="F10" s="74">
        <f>(D10-E10)/E10</f>
        <v>-0.15192874998995234</v>
      </c>
      <c r="G10" s="2">
        <f>+D10+'[2]Monthly Summary'!G10</f>
        <v>494653</v>
      </c>
      <c r="H10" s="98">
        <f>'[1]Monthly Summary'!G10</f>
        <v>504833</v>
      </c>
      <c r="I10" s="77">
        <f>(G10-H10)/H10</f>
        <v>-2.0165084295202571E-2</v>
      </c>
      <c r="J10" s="193"/>
    </row>
    <row r="11" spans="1:14" ht="15.75" thickBot="1" x14ac:dyDescent="0.3">
      <c r="A11" s="53" t="s">
        <v>13</v>
      </c>
      <c r="B11" s="234">
        <f>B10+B8</f>
        <v>1678373</v>
      </c>
      <c r="C11" s="234">
        <f>C10+C8</f>
        <v>1662439</v>
      </c>
      <c r="D11" s="234">
        <f>D10+D8</f>
        <v>3340812</v>
      </c>
      <c r="E11" s="234">
        <f>E10+E8</f>
        <v>3227490</v>
      </c>
      <c r="F11" s="75">
        <f>(D11-E11)/E11</f>
        <v>3.5111495310597401E-2</v>
      </c>
      <c r="G11" s="234">
        <f>G8+G10</f>
        <v>15376098</v>
      </c>
      <c r="H11" s="234">
        <f>H8+H10</f>
        <v>15027802</v>
      </c>
      <c r="I11" s="78">
        <f>(G11-H11)/H11</f>
        <v>2.3176775951666118E-2</v>
      </c>
      <c r="L11" s="97"/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  <c r="K12" s="97"/>
    </row>
    <row r="13" spans="1:14" ht="16.5" customHeight="1" x14ac:dyDescent="0.2">
      <c r="B13" s="10"/>
      <c r="C13" s="10"/>
      <c r="D13" s="452" t="s">
        <v>213</v>
      </c>
      <c r="E13" s="452" t="s">
        <v>197</v>
      </c>
      <c r="F13" s="5"/>
      <c r="G13" s="5"/>
      <c r="H13" s="5"/>
      <c r="I13" s="5"/>
    </row>
    <row r="14" spans="1:14" ht="13.5" thickBot="1" x14ac:dyDescent="0.25">
      <c r="A14" s="9"/>
      <c r="B14" s="5" t="s">
        <v>194</v>
      </c>
      <c r="C14" s="5" t="s">
        <v>195</v>
      </c>
      <c r="D14" s="453"/>
      <c r="E14" s="454"/>
      <c r="F14" s="5" t="s">
        <v>2</v>
      </c>
      <c r="G14" s="5" t="s">
        <v>214</v>
      </c>
      <c r="H14" s="5" t="s">
        <v>198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9499</v>
      </c>
      <c r="C16" s="263">
        <f>'Major Airline Stats'!K16+'Major Airline Stats'!K20</f>
        <v>9497</v>
      </c>
      <c r="D16" s="32">
        <f t="shared" ref="D16:D21" si="0">SUM(B16:C16)</f>
        <v>18996</v>
      </c>
      <c r="E16" s="2">
        <f>'[1]Monthly Summary'!D16</f>
        <v>18106</v>
      </c>
      <c r="F16" s="76">
        <f t="shared" ref="F16:F22" si="1">(D16-E16)/E16</f>
        <v>4.9154976250966528E-2</v>
      </c>
      <c r="G16" s="2">
        <f>+D16+'[2]Monthly Summary'!G16</f>
        <v>90094</v>
      </c>
      <c r="H16" s="2">
        <f>'[1]Monthly Summary'!G16</f>
        <v>87005</v>
      </c>
      <c r="I16" s="225">
        <f t="shared" ref="I16:I22" si="2">(G16-H16)/H16</f>
        <v>3.5503706683523935E-2</v>
      </c>
      <c r="N16" s="97"/>
    </row>
    <row r="17" spans="1:12" x14ac:dyDescent="0.2">
      <c r="A17" s="52" t="s">
        <v>5</v>
      </c>
      <c r="B17" s="32">
        <f>'Regional Major'!M15+'Regional Major'!M18</f>
        <v>6164</v>
      </c>
      <c r="C17" s="32">
        <f>'Regional Major'!M16+'Regional Major'!M19</f>
        <v>6168</v>
      </c>
      <c r="D17" s="32">
        <f>SUM(B17:C17)</f>
        <v>12332</v>
      </c>
      <c r="E17" s="2">
        <f>'[1]Monthly Summary'!D17</f>
        <v>13628</v>
      </c>
      <c r="F17" s="76">
        <f t="shared" si="1"/>
        <v>-9.5098326973877309E-2</v>
      </c>
      <c r="G17" s="2">
        <f>+D17+'[2]Monthly Summary'!G17</f>
        <v>57940</v>
      </c>
      <c r="H17" s="2">
        <f>'[1]Monthly Summary'!G17</f>
        <v>62346</v>
      </c>
      <c r="I17" s="225">
        <f t="shared" si="2"/>
        <v>-7.06701312032849E-2</v>
      </c>
    </row>
    <row r="18" spans="1:12" x14ac:dyDescent="0.2">
      <c r="A18" s="52" t="s">
        <v>10</v>
      </c>
      <c r="B18" s="32">
        <f>Charter!G10</f>
        <v>2</v>
      </c>
      <c r="C18" s="32">
        <f>Charter!G11</f>
        <v>3</v>
      </c>
      <c r="D18" s="32">
        <f t="shared" si="0"/>
        <v>5</v>
      </c>
      <c r="E18" s="2">
        <f>'[1]Monthly Summary'!D18</f>
        <v>5</v>
      </c>
      <c r="F18" s="76">
        <f t="shared" si="1"/>
        <v>0</v>
      </c>
      <c r="G18" s="2">
        <f>+D18+'[2]Monthly Summary'!G18</f>
        <v>34</v>
      </c>
      <c r="H18" s="2">
        <f>'[1]Monthly Summary'!G18</f>
        <v>21</v>
      </c>
      <c r="I18" s="225">
        <f t="shared" si="2"/>
        <v>0.61904761904761907</v>
      </c>
    </row>
    <row r="19" spans="1:12" x14ac:dyDescent="0.2">
      <c r="A19" s="52" t="s">
        <v>11</v>
      </c>
      <c r="B19" s="32">
        <f>Cargo!P4</f>
        <v>639</v>
      </c>
      <c r="C19" s="32">
        <f>Cargo!P5</f>
        <v>639</v>
      </c>
      <c r="D19" s="32">
        <f t="shared" si="0"/>
        <v>1278</v>
      </c>
      <c r="E19" s="2">
        <f>'[1]Monthly Summary'!D19</f>
        <v>1302</v>
      </c>
      <c r="F19" s="76">
        <f t="shared" si="1"/>
        <v>-1.8433179723502304E-2</v>
      </c>
      <c r="G19" s="2">
        <f>+D19+'[2]Monthly Summary'!G19</f>
        <v>5847</v>
      </c>
      <c r="H19" s="2">
        <f>'[1]Monthly Summary'!G19</f>
        <v>6100</v>
      </c>
      <c r="I19" s="225">
        <f t="shared" si="2"/>
        <v>-4.1475409836065576E-2</v>
      </c>
    </row>
    <row r="20" spans="1:12" x14ac:dyDescent="0.2">
      <c r="A20" s="52" t="s">
        <v>152</v>
      </c>
      <c r="B20" s="32">
        <f>'[3]General Avation'!$GF$4</f>
        <v>785</v>
      </c>
      <c r="C20" s="32">
        <f>'[3]General Avation'!$GF$5</f>
        <v>786</v>
      </c>
      <c r="D20" s="32">
        <f t="shared" si="0"/>
        <v>1571</v>
      </c>
      <c r="E20" s="2">
        <f>'[1]Monthly Summary'!D20</f>
        <v>1743</v>
      </c>
      <c r="F20" s="76">
        <f t="shared" si="1"/>
        <v>-9.8680436029833618E-2</v>
      </c>
      <c r="G20" s="2">
        <f>+D20+'[2]Monthly Summary'!G20</f>
        <v>8162</v>
      </c>
      <c r="H20" s="2">
        <f>'[1]Monthly Summary'!G20</f>
        <v>8350</v>
      </c>
      <c r="I20" s="225">
        <f t="shared" si="2"/>
        <v>-2.2514970059880238E-2</v>
      </c>
      <c r="L20" s="97"/>
    </row>
    <row r="21" spans="1:12" ht="12.75" customHeight="1" x14ac:dyDescent="0.2">
      <c r="A21" s="52" t="s">
        <v>12</v>
      </c>
      <c r="B21" s="11">
        <f>'[3]Military '!$GF$4</f>
        <v>48</v>
      </c>
      <c r="C21" s="11">
        <f>'[3]Military '!$GF$5</f>
        <v>49</v>
      </c>
      <c r="D21" s="11">
        <f t="shared" si="0"/>
        <v>97</v>
      </c>
      <c r="E21" s="98">
        <f>'[1]Monthly Summary'!D21</f>
        <v>98</v>
      </c>
      <c r="F21" s="223">
        <f t="shared" si="1"/>
        <v>-1.020408163265306E-2</v>
      </c>
      <c r="G21" s="2">
        <f>+D21+'[2]Monthly Summary'!G21</f>
        <v>451</v>
      </c>
      <c r="H21" s="98">
        <f>'[1]Monthly Summary'!G21</f>
        <v>506</v>
      </c>
      <c r="I21" s="226">
        <f t="shared" si="2"/>
        <v>-0.10869565217391304</v>
      </c>
    </row>
    <row r="22" spans="1:12" ht="15.75" thickBot="1" x14ac:dyDescent="0.3">
      <c r="A22" s="53" t="s">
        <v>28</v>
      </c>
      <c r="B22" s="235">
        <f>SUM(B16:B21)</f>
        <v>17137</v>
      </c>
      <c r="C22" s="235">
        <f>SUM(C16:C21)</f>
        <v>17142</v>
      </c>
      <c r="D22" s="235">
        <f>SUM(D16:D21)</f>
        <v>34279</v>
      </c>
      <c r="E22" s="235">
        <f>SUM(E16:E21)</f>
        <v>34882</v>
      </c>
      <c r="F22" s="232">
        <f t="shared" si="1"/>
        <v>-1.7286852818072358E-2</v>
      </c>
      <c r="G22" s="235">
        <f>SUM(G16:G21)</f>
        <v>162528</v>
      </c>
      <c r="H22" s="235">
        <f>SUM(H16:H21)</f>
        <v>164328</v>
      </c>
      <c r="I22" s="233">
        <f t="shared" si="2"/>
        <v>-1.0953702351394772E-2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52" t="s">
        <v>213</v>
      </c>
      <c r="E24" s="452" t="s">
        <v>197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53"/>
      <c r="E25" s="454"/>
      <c r="F25" s="5" t="s">
        <v>2</v>
      </c>
      <c r="G25" s="5" t="s">
        <v>214</v>
      </c>
      <c r="H25" s="5" t="s">
        <v>198</v>
      </c>
      <c r="I25" s="5" t="s">
        <v>2</v>
      </c>
    </row>
    <row r="26" spans="1:12" ht="15" x14ac:dyDescent="0.25">
      <c r="A26" s="50" t="s">
        <v>128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(Cargo!P16+'Major Airline Stats'!K28+'Regional Major'!M25)*0.00045359237</f>
        <v>7615.31739428537</v>
      </c>
      <c r="C27" s="14">
        <f>(Cargo!P21+'Major Airline Stats'!K33+'Regional Major'!M30)*0.00045359237</f>
        <v>8263.1752116937096</v>
      </c>
      <c r="D27" s="14">
        <f>(SUM(B27:C27)+('Cargo Summary'!E17*0.00045359237))</f>
        <v>15878.49260597908</v>
      </c>
      <c r="E27" s="2">
        <f>'[1]Monthly Summary'!D27</f>
        <v>17721.105468489499</v>
      </c>
      <c r="F27" s="79">
        <f>(D27-E27)/E27</f>
        <v>-0.10397843778915666</v>
      </c>
      <c r="G27" s="2">
        <f>+D27+'[2]Monthly Summary'!G27</f>
        <v>81814.5932153881</v>
      </c>
      <c r="H27" s="2">
        <f>'[1]Monthly Summary'!G27</f>
        <v>82789.01213802374</v>
      </c>
      <c r="I27" s="81">
        <f>(G27-H27)/H27</f>
        <v>-1.1769906385778741E-2</v>
      </c>
    </row>
    <row r="28" spans="1:12" x14ac:dyDescent="0.2">
      <c r="A28" s="47" t="s">
        <v>16</v>
      </c>
      <c r="B28" s="14">
        <f>(Cargo!P17+'Major Airline Stats'!K29+'Regional Major'!M26)*0.00045359237</f>
        <v>898.78012697627003</v>
      </c>
      <c r="C28" s="14">
        <f>(Cargo!P22+'Major Airline Stats'!K34+'Regional Major'!M31)*0.00045359237</f>
        <v>1259.9122282754699</v>
      </c>
      <c r="D28" s="14">
        <f>SUM(B28:C28)</f>
        <v>2158.6923552517401</v>
      </c>
      <c r="E28" s="2">
        <f>'[1]Monthly Summary'!D28</f>
        <v>2241.7428502368898</v>
      </c>
      <c r="F28" s="79">
        <f>(D28-E28)/E28</f>
        <v>-3.7047288887917543E-2</v>
      </c>
      <c r="G28" s="2">
        <f>+D28+'[2]Monthly Summary'!G28</f>
        <v>10636.84494915273</v>
      </c>
      <c r="H28" s="2">
        <f>'[1]Monthly Summary'!G28</f>
        <v>10454.205527779859</v>
      </c>
      <c r="I28" s="81">
        <f>(G28-H28)/H28</f>
        <v>1.7470425742783121E-2</v>
      </c>
    </row>
    <row r="29" spans="1:12" ht="15.75" thickBot="1" x14ac:dyDescent="0.3">
      <c r="A29" s="48" t="s">
        <v>62</v>
      </c>
      <c r="B29" s="39">
        <f>SUM(B27:B28)</f>
        <v>8514.0975212616395</v>
      </c>
      <c r="C29" s="39">
        <f>SUM(C27:C28)</f>
        <v>9523.0874399691802</v>
      </c>
      <c r="D29" s="39">
        <f>SUM(D27:D28)</f>
        <v>18037.184961230822</v>
      </c>
      <c r="E29" s="39">
        <f>SUM(E27:E28)</f>
        <v>19962.848318726388</v>
      </c>
      <c r="F29" s="80">
        <f>(D29-E29)/E29</f>
        <v>-9.646235480781444E-2</v>
      </c>
      <c r="G29" s="39">
        <f>SUM(G27:G28)</f>
        <v>92451.438164540828</v>
      </c>
      <c r="H29" s="39">
        <f>SUM(H27:H28)</f>
        <v>93243.217665803604</v>
      </c>
      <c r="I29" s="82">
        <f>(G29-H29)/H29</f>
        <v>-8.4915506037192036E-3</v>
      </c>
    </row>
    <row r="30" spans="1:12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12" ht="13.5" thickBot="1" x14ac:dyDescent="0.25">
      <c r="B31" s="451" t="s">
        <v>148</v>
      </c>
      <c r="C31" s="450"/>
      <c r="D31" s="451" t="s">
        <v>155</v>
      </c>
      <c r="E31" s="450"/>
      <c r="F31" s="354"/>
      <c r="G31" s="355"/>
    </row>
    <row r="32" spans="1:12" x14ac:dyDescent="0.2">
      <c r="A32" s="336" t="s">
        <v>149</v>
      </c>
      <c r="B32" s="337">
        <f>C8-B33</f>
        <v>977623</v>
      </c>
      <c r="C32" s="338">
        <f>B32/C8</f>
        <v>0.60729846750197236</v>
      </c>
      <c r="D32" s="339">
        <f>+B32+'[2]Monthly Summary'!$D$32</f>
        <v>4841285</v>
      </c>
      <c r="E32" s="340">
        <f>+D32/D34</f>
        <v>0.65243333469894693</v>
      </c>
      <c r="G32" s="2"/>
      <c r="I32" s="353"/>
    </row>
    <row r="33" spans="1:14" ht="13.5" thickBot="1" x14ac:dyDescent="0.25">
      <c r="A33" s="341" t="s">
        <v>150</v>
      </c>
      <c r="B33" s="342">
        <f>'Major Airline Stats'!K51+'Regional Major'!M45</f>
        <v>632167</v>
      </c>
      <c r="C33" s="343">
        <f>+B33/C8</f>
        <v>0.39270153249802769</v>
      </c>
      <c r="D33" s="344">
        <f>+B33+'[2]Monthly Summary'!$D$33</f>
        <v>2579067</v>
      </c>
      <c r="E33" s="345">
        <f>+D33/D34</f>
        <v>0.34756666530105312</v>
      </c>
      <c r="I33" s="353"/>
    </row>
    <row r="34" spans="1:14" ht="13.5" thickBot="1" x14ac:dyDescent="0.25">
      <c r="B34" s="267"/>
      <c r="D34" s="346">
        <f>SUM(D32:D33)</f>
        <v>7420352</v>
      </c>
    </row>
    <row r="35" spans="1:14" ht="13.5" thickBot="1" x14ac:dyDescent="0.25">
      <c r="B35" s="449" t="s">
        <v>226</v>
      </c>
      <c r="C35" s="450"/>
      <c r="D35" s="451" t="s">
        <v>215</v>
      </c>
      <c r="E35" s="450"/>
    </row>
    <row r="36" spans="1:14" x14ac:dyDescent="0.2">
      <c r="A36" s="336" t="s">
        <v>149</v>
      </c>
      <c r="B36" s="337">
        <f>'[1]Monthly Summary'!$B$32</f>
        <v>951848</v>
      </c>
      <c r="C36" s="338">
        <f>+B36/B38</f>
        <v>0.61715057831445597</v>
      </c>
      <c r="D36" s="339">
        <f>'[1]Monthly Summary'!$D$32</f>
        <v>4692857</v>
      </c>
      <c r="E36" s="340">
        <f>+D36/D38</f>
        <v>0.64819818755888414</v>
      </c>
    </row>
    <row r="37" spans="1:14" ht="13.5" thickBot="1" x14ac:dyDescent="0.25">
      <c r="A37" s="341" t="s">
        <v>150</v>
      </c>
      <c r="B37" s="342">
        <f>'[1]Monthly Summary'!$B$33</f>
        <v>590479</v>
      </c>
      <c r="C37" s="345">
        <f>+B37/B38</f>
        <v>0.38284942168554398</v>
      </c>
      <c r="D37" s="344">
        <f>'[1]Monthly Summary'!$D$33</f>
        <v>2546992</v>
      </c>
      <c r="E37" s="345">
        <f>+D37/D38</f>
        <v>0.35180181244111586</v>
      </c>
      <c r="M37" s="1"/>
    </row>
    <row r="38" spans="1:14" x14ac:dyDescent="0.2">
      <c r="B38" s="358">
        <f>+SUM(B36:B37)</f>
        <v>1542327</v>
      </c>
      <c r="D38" s="346">
        <f>SUM(D36:D37)</f>
        <v>7239849</v>
      </c>
    </row>
    <row r="39" spans="1:14" x14ac:dyDescent="0.2">
      <c r="A39" s="350" t="s">
        <v>151</v>
      </c>
    </row>
    <row r="40" spans="1:14" x14ac:dyDescent="0.2">
      <c r="A40" s="194" t="s">
        <v>153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7"/>
  <sheetViews>
    <sheetView zoomScaleNormal="100" zoomScaleSheetLayoutView="100" workbookViewId="0">
      <selection activeCell="O23" activeCellId="1" sqref="O18 O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25">
        <v>43586</v>
      </c>
      <c r="B1" s="373" t="s">
        <v>18</v>
      </c>
      <c r="C1" s="372" t="s">
        <v>207</v>
      </c>
      <c r="D1" s="445" t="s">
        <v>161</v>
      </c>
      <c r="E1" s="372" t="s">
        <v>168</v>
      </c>
      <c r="F1" s="372" t="s">
        <v>167</v>
      </c>
      <c r="G1" s="372" t="s">
        <v>49</v>
      </c>
      <c r="H1" s="372" t="s">
        <v>115</v>
      </c>
      <c r="I1" s="372" t="s">
        <v>201</v>
      </c>
      <c r="J1" s="372" t="s">
        <v>196</v>
      </c>
      <c r="K1" s="372" t="s">
        <v>208</v>
      </c>
      <c r="L1" s="372" t="s">
        <v>166</v>
      </c>
      <c r="M1" s="372" t="s">
        <v>160</v>
      </c>
      <c r="N1" s="372" t="s">
        <v>142</v>
      </c>
      <c r="O1" s="372" t="s">
        <v>21</v>
      </c>
    </row>
    <row r="2" spans="1:15" ht="15" x14ac:dyDescent="0.25">
      <c r="A2" s="486" t="s">
        <v>143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8"/>
    </row>
    <row r="3" spans="1:15" x14ac:dyDescent="0.2">
      <c r="A3" s="47" t="s">
        <v>29</v>
      </c>
      <c r="O3" s="40"/>
    </row>
    <row r="4" spans="1:15" x14ac:dyDescent="0.2">
      <c r="A4" s="47" t="s">
        <v>30</v>
      </c>
      <c r="B4" s="13">
        <f>[3]Delta!$GF$32</f>
        <v>80449</v>
      </c>
      <c r="C4" s="13">
        <f>'[3]Atlantic Southeast'!$GF$32</f>
        <v>0</v>
      </c>
      <c r="D4" s="13">
        <f>[3]Pinnacle!$GF$32</f>
        <v>9322</v>
      </c>
      <c r="E4" s="13">
        <f>'[3]Sky West'!$GF$32</f>
        <v>6317</v>
      </c>
      <c r="F4" s="13">
        <f>'[3]Go Jet'!$GF$32</f>
        <v>0</v>
      </c>
      <c r="G4" s="13">
        <f>'[3]Sun Country'!$GF$32</f>
        <v>2433</v>
      </c>
      <c r="H4" s="13">
        <f>[3]Icelandair!$GF$32</f>
        <v>4855</v>
      </c>
      <c r="I4" s="13">
        <f>[3]KLM!$GF$32</f>
        <v>3686</v>
      </c>
      <c r="J4" s="13">
        <f>'[3]Air Georgian'!$GF$32</f>
        <v>0</v>
      </c>
      <c r="K4" s="13">
        <f>'[3]Sky Regional'!$GF$32</f>
        <v>4807</v>
      </c>
      <c r="L4" s="13">
        <f>[3]Condor!$GF$32</f>
        <v>236</v>
      </c>
      <c r="M4" s="13">
        <f>'[3]Air France'!$GF$32</f>
        <v>5627</v>
      </c>
      <c r="N4" s="13">
        <f>'[3]Charter Misc'!$GF$32+[3]Ryan!$GF$32+[3]Omni!$GF$32</f>
        <v>0</v>
      </c>
      <c r="O4" s="242">
        <f>SUM(B4:N4)</f>
        <v>117732</v>
      </c>
    </row>
    <row r="5" spans="1:15" x14ac:dyDescent="0.2">
      <c r="A5" s="47" t="s">
        <v>31</v>
      </c>
      <c r="B5" s="7">
        <f>[3]Delta!$GF$33</f>
        <v>89159</v>
      </c>
      <c r="C5" s="7">
        <f>'[3]Atlantic Southeast'!$GF$33</f>
        <v>0</v>
      </c>
      <c r="D5" s="7">
        <f>[3]Pinnacle!$GF$33</f>
        <v>9720</v>
      </c>
      <c r="E5" s="7">
        <f>'[3]Sky West'!$GF$33</f>
        <v>7085</v>
      </c>
      <c r="F5" s="7">
        <f>'[3]Go Jet'!$GF$33</f>
        <v>0</v>
      </c>
      <c r="G5" s="7">
        <f>'[3]Sun Country'!$GF$33</f>
        <v>2084</v>
      </c>
      <c r="H5" s="7">
        <f>[3]Icelandair!$GF$33</f>
        <v>5973</v>
      </c>
      <c r="I5" s="7">
        <f>[3]KLM!$GF$33</f>
        <v>4314</v>
      </c>
      <c r="J5" s="7">
        <f>'[3]Air Georgian'!$GF$33</f>
        <v>0</v>
      </c>
      <c r="K5" s="7">
        <f>'[3]Sky Regional'!$GF$33</f>
        <v>5213</v>
      </c>
      <c r="L5" s="7">
        <f>[3]Condor!$GF$33</f>
        <v>250</v>
      </c>
      <c r="M5" s="7">
        <f>'[3]Air France'!$GF$33</f>
        <v>6374</v>
      </c>
      <c r="N5" s="7">
        <f>'[3]Charter Misc'!$GF$33++[3]Ryan!$GF$33+[3]Omni!$GF$33</f>
        <v>106</v>
      </c>
      <c r="O5" s="243">
        <f>SUM(B5:N5)</f>
        <v>130278</v>
      </c>
    </row>
    <row r="6" spans="1:15" ht="15" x14ac:dyDescent="0.25">
      <c r="A6" s="45" t="s">
        <v>7</v>
      </c>
      <c r="B6" s="25">
        <f t="shared" ref="B6:N6" si="0">SUM(B4:B5)</f>
        <v>169608</v>
      </c>
      <c r="C6" s="25">
        <f t="shared" si="0"/>
        <v>0</v>
      </c>
      <c r="D6" s="25">
        <f t="shared" si="0"/>
        <v>19042</v>
      </c>
      <c r="E6" s="25">
        <f t="shared" si="0"/>
        <v>13402</v>
      </c>
      <c r="F6" s="25">
        <f t="shared" ref="F6" si="1">SUM(F4:F5)</f>
        <v>0</v>
      </c>
      <c r="G6" s="25">
        <f t="shared" si="0"/>
        <v>4517</v>
      </c>
      <c r="H6" s="25">
        <f t="shared" si="0"/>
        <v>10828</v>
      </c>
      <c r="I6" s="25">
        <f t="shared" ref="I6" si="2">SUM(I4:I5)</f>
        <v>8000</v>
      </c>
      <c r="J6" s="25">
        <f t="shared" si="0"/>
        <v>0</v>
      </c>
      <c r="K6" s="25">
        <f t="shared" ref="K6" si="3">SUM(K4:K5)</f>
        <v>10020</v>
      </c>
      <c r="L6" s="25">
        <f t="shared" ref="L6" si="4">SUM(L4:L5)</f>
        <v>486</v>
      </c>
      <c r="M6" s="25">
        <f t="shared" si="0"/>
        <v>12001</v>
      </c>
      <c r="N6" s="25">
        <f t="shared" si="0"/>
        <v>106</v>
      </c>
      <c r="O6" s="244">
        <f>SUM(B6:N6)</f>
        <v>248010</v>
      </c>
    </row>
    <row r="7" spans="1:15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42"/>
    </row>
    <row r="8" spans="1:15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42">
        <f>SUM(B8:N8)</f>
        <v>0</v>
      </c>
    </row>
    <row r="9" spans="1:15" x14ac:dyDescent="0.2">
      <c r="A9" s="47" t="s">
        <v>30</v>
      </c>
      <c r="B9" s="13">
        <f>[3]Delta!$GF$37</f>
        <v>2291</v>
      </c>
      <c r="C9" s="13">
        <f>'[3]Atlantic Southeast'!$GF$37</f>
        <v>0</v>
      </c>
      <c r="D9" s="13">
        <f>[3]Pinnacle!$GF$37</f>
        <v>153</v>
      </c>
      <c r="E9" s="13">
        <f>'[3]Sky West'!$GF$37</f>
        <v>52</v>
      </c>
      <c r="F9" s="13">
        <f>'[3]Go Jet'!$GF$37</f>
        <v>0</v>
      </c>
      <c r="G9" s="13">
        <f>'[3]Sun Country'!$GF$37</f>
        <v>23</v>
      </c>
      <c r="H9" s="13">
        <f>[3]Icelandair!$GF$37</f>
        <v>30</v>
      </c>
      <c r="I9" s="13">
        <f>[3]KLM!$GF$37</f>
        <v>6</v>
      </c>
      <c r="J9" s="13">
        <f>'[3]Air Georgian'!$GF$37</f>
        <v>0</v>
      </c>
      <c r="K9" s="13">
        <f>'[3]Sky Regional'!$GF$37</f>
        <v>76</v>
      </c>
      <c r="L9" s="13">
        <f>[3]Condor!$GF$37</f>
        <v>1</v>
      </c>
      <c r="M9" s="13">
        <f>'[3]Air France'!$GF$37</f>
        <v>0</v>
      </c>
      <c r="N9" s="13">
        <f>'[3]Charter Misc'!$GF$37+[3]Ryan!$GF$37+[3]Omni!$GF$37</f>
        <v>0</v>
      </c>
      <c r="O9" s="242">
        <f>SUM(B9:N9)</f>
        <v>2632</v>
      </c>
    </row>
    <row r="10" spans="1:15" x14ac:dyDescent="0.2">
      <c r="A10" s="47" t="s">
        <v>33</v>
      </c>
      <c r="B10" s="7">
        <f>[3]Delta!$GF$38</f>
        <v>2300</v>
      </c>
      <c r="C10" s="7">
        <f>'[3]Atlantic Southeast'!$GF$38</f>
        <v>0</v>
      </c>
      <c r="D10" s="7">
        <f>[3]Pinnacle!$GF$38</f>
        <v>137</v>
      </c>
      <c r="E10" s="7">
        <f>'[3]Sky West'!$GF$38</f>
        <v>59</v>
      </c>
      <c r="F10" s="7">
        <f>'[3]Go Jet'!$GF$38</f>
        <v>0</v>
      </c>
      <c r="G10" s="7">
        <f>'[3]Sun Country'!$GF$38</f>
        <v>22</v>
      </c>
      <c r="H10" s="7">
        <f>[3]Icelandair!$GF$38</f>
        <v>32</v>
      </c>
      <c r="I10" s="7">
        <f>[3]KLM!$GF$38</f>
        <v>9</v>
      </c>
      <c r="J10" s="7">
        <f>'[3]Air Georgian'!$GF$38</f>
        <v>0</v>
      </c>
      <c r="K10" s="7">
        <f>'[3]Sky Regional'!$GF$38</f>
        <v>72</v>
      </c>
      <c r="L10" s="7">
        <f>[3]Condor!$GF$38</f>
        <v>0</v>
      </c>
      <c r="M10" s="7">
        <f>'[3]Air France'!$GF$38</f>
        <v>0</v>
      </c>
      <c r="N10" s="7">
        <f>'[3]Charter Misc'!$GF$38+[3]Ryan!$GF$38+[3]Omni!$GF$38</f>
        <v>0</v>
      </c>
      <c r="O10" s="243">
        <f>SUM(B10:N10)</f>
        <v>2631</v>
      </c>
    </row>
    <row r="11" spans="1:15" ht="15.75" thickBot="1" x14ac:dyDescent="0.3">
      <c r="A11" s="48" t="s">
        <v>34</v>
      </c>
      <c r="B11" s="245">
        <f t="shared" ref="B11:G11" si="5">SUM(B9:B10)</f>
        <v>4591</v>
      </c>
      <c r="C11" s="245">
        <f t="shared" si="5"/>
        <v>0</v>
      </c>
      <c r="D11" s="245">
        <f t="shared" si="5"/>
        <v>290</v>
      </c>
      <c r="E11" s="245">
        <f t="shared" si="5"/>
        <v>111</v>
      </c>
      <c r="F11" s="245">
        <f t="shared" ref="F11" si="6">SUM(F9:F10)</f>
        <v>0</v>
      </c>
      <c r="G11" s="245">
        <f t="shared" si="5"/>
        <v>45</v>
      </c>
      <c r="H11" s="245">
        <f t="shared" ref="H11:N11" si="7">SUM(H9:H10)</f>
        <v>62</v>
      </c>
      <c r="I11" s="245">
        <f t="shared" ref="I11" si="8">SUM(I9:I10)</f>
        <v>15</v>
      </c>
      <c r="J11" s="245">
        <f t="shared" si="7"/>
        <v>0</v>
      </c>
      <c r="K11" s="245">
        <f t="shared" ref="K11" si="9">SUM(K9:K10)</f>
        <v>148</v>
      </c>
      <c r="L11" s="245">
        <f t="shared" si="7"/>
        <v>1</v>
      </c>
      <c r="M11" s="245">
        <f t="shared" si="7"/>
        <v>0</v>
      </c>
      <c r="N11" s="245">
        <f t="shared" si="7"/>
        <v>0</v>
      </c>
      <c r="O11" s="246">
        <f>SUM(B11:N11)</f>
        <v>5263</v>
      </c>
    </row>
    <row r="12" spans="1:15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7"/>
    </row>
    <row r="13" spans="1:15" ht="39" thickBot="1" x14ac:dyDescent="0.25">
      <c r="B13" s="373" t="s">
        <v>18</v>
      </c>
      <c r="C13" s="372" t="s">
        <v>207</v>
      </c>
      <c r="D13" s="445" t="s">
        <v>161</v>
      </c>
      <c r="E13" s="373" t="s">
        <v>99</v>
      </c>
      <c r="F13" s="372" t="s">
        <v>167</v>
      </c>
      <c r="G13" s="373" t="s">
        <v>141</v>
      </c>
      <c r="H13" s="373" t="s">
        <v>115</v>
      </c>
      <c r="I13" s="372" t="s">
        <v>201</v>
      </c>
      <c r="J13" s="372" t="s">
        <v>196</v>
      </c>
      <c r="K13" s="372" t="s">
        <v>208</v>
      </c>
      <c r="L13" s="372" t="s">
        <v>166</v>
      </c>
      <c r="M13" s="373" t="s">
        <v>160</v>
      </c>
      <c r="N13" s="373" t="s">
        <v>142</v>
      </c>
      <c r="O13" s="372" t="s">
        <v>144</v>
      </c>
    </row>
    <row r="14" spans="1:15" ht="15" x14ac:dyDescent="0.25">
      <c r="A14" s="489" t="s">
        <v>145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1"/>
    </row>
    <row r="15" spans="1:15" x14ac:dyDescent="0.2">
      <c r="A15" s="47" t="s">
        <v>29</v>
      </c>
      <c r="O15" s="40"/>
    </row>
    <row r="16" spans="1:15" x14ac:dyDescent="0.2">
      <c r="A16" s="47" t="s">
        <v>30</v>
      </c>
      <c r="B16" s="13">
        <f>SUM([3]Delta!$GB$32:$GF$32)</f>
        <v>438210</v>
      </c>
      <c r="C16" s="13">
        <f>SUM('[3]Atlantic Southeast'!$GB$32:$GF$32)</f>
        <v>0</v>
      </c>
      <c r="D16" s="13">
        <f>SUM([3]Pinnacle!$GB$32:$GF$32)</f>
        <v>24358</v>
      </c>
      <c r="E16" s="13">
        <f>SUM('[3]Sky West'!$GB$32:$GF$32)</f>
        <v>54443</v>
      </c>
      <c r="F16" s="13">
        <f>SUM('[3]Go Jet'!$GB$32:$GF$32)</f>
        <v>5012</v>
      </c>
      <c r="G16" s="13">
        <f>SUM('[3]Sun Country'!$GB$32:$GF$32)</f>
        <v>116720</v>
      </c>
      <c r="H16" s="13">
        <f>SUM([3]Icelandair!$GB$32:$GF$32)</f>
        <v>10301</v>
      </c>
      <c r="I16" s="13">
        <f>SUM([3]KLM!$GB$32:$GF$32)</f>
        <v>18908</v>
      </c>
      <c r="J16" s="13">
        <f>SUM('[3]Air Georgian'!$GB$32:$GF$32)</f>
        <v>0</v>
      </c>
      <c r="K16" s="13">
        <f>SUM('[3]Sky Regional'!$GB$32:$GF$32)</f>
        <v>21672</v>
      </c>
      <c r="L16" s="13">
        <f>SUM([3]Condor!$GB$32:$GF$32)</f>
        <v>236</v>
      </c>
      <c r="M16" s="13">
        <f>SUM('[3]Air France'!$GB$32:$GF$32)</f>
        <v>5889</v>
      </c>
      <c r="N16" s="13">
        <f>SUM('[3]Charter Misc'!$GB$32:$GF$32)+SUM([3]Ryan!$GB$32:$GF$32)+SUM([3]Omni!$GB$32:$GF$32)</f>
        <v>212</v>
      </c>
      <c r="O16" s="242">
        <f>SUM(B16:N16)</f>
        <v>695961</v>
      </c>
    </row>
    <row r="17" spans="1:18" x14ac:dyDescent="0.2">
      <c r="A17" s="47" t="s">
        <v>31</v>
      </c>
      <c r="B17" s="7">
        <f>SUM([3]Delta!$GB$33:$GF$33)</f>
        <v>433642</v>
      </c>
      <c r="C17" s="7">
        <f>SUM('[3]Atlantic Southeast'!$GB$33:$GF$33)</f>
        <v>0</v>
      </c>
      <c r="D17" s="7">
        <f>SUM([3]Pinnacle!$GB$33:$GF$33)</f>
        <v>25936</v>
      </c>
      <c r="E17" s="7">
        <f>SUM('[3]Sky West'!$GB$33:$GF$33)</f>
        <v>55169</v>
      </c>
      <c r="F17" s="7">
        <f>SUM('[3]Go Jet'!$GB$33:$GF$33)</f>
        <v>5685</v>
      </c>
      <c r="G17" s="7">
        <f>SUM('[3]Sun Country'!$GB$33:$GF$33)</f>
        <v>108622</v>
      </c>
      <c r="H17" s="7">
        <f>SUM([3]Icelandair!$GB$33:$GF$33)</f>
        <v>12045</v>
      </c>
      <c r="I17" s="7">
        <f>SUM([3]KLM!$GB$33:$GF$33)</f>
        <v>18155</v>
      </c>
      <c r="J17" s="7">
        <f>SUM('[3]Air Georgian'!$GB$33:$GF$33)</f>
        <v>0</v>
      </c>
      <c r="K17" s="7">
        <f>SUM('[3]Sky Regional'!$GB$33:$GF$33)</f>
        <v>21428</v>
      </c>
      <c r="L17" s="7">
        <f>SUM([3]Condor!$GB$33:$GF$33)</f>
        <v>250</v>
      </c>
      <c r="M17" s="7">
        <f>SUM('[3]Air France'!$GB$33:$GF$33)</f>
        <v>6606</v>
      </c>
      <c r="N17" s="7">
        <f>SUM('[3]Charter Misc'!$GB$33:$GF$33)++SUM([3]Ryan!$GB$33:$GF$33)+SUM([3]Omni!$GB$33:$GF$33)</f>
        <v>106</v>
      </c>
      <c r="O17" s="243">
        <f>SUM(B17:N17)</f>
        <v>687644</v>
      </c>
    </row>
    <row r="18" spans="1:18" ht="15" x14ac:dyDescent="0.25">
      <c r="A18" s="45" t="s">
        <v>7</v>
      </c>
      <c r="B18" s="25">
        <f t="shared" ref="B18:N18" si="10">SUM(B16:B17)</f>
        <v>871852</v>
      </c>
      <c r="C18" s="25">
        <f t="shared" si="10"/>
        <v>0</v>
      </c>
      <c r="D18" s="25">
        <f t="shared" si="10"/>
        <v>50294</v>
      </c>
      <c r="E18" s="25">
        <f t="shared" si="10"/>
        <v>109612</v>
      </c>
      <c r="F18" s="25">
        <f t="shared" ref="F18" si="11">SUM(F16:F17)</f>
        <v>10697</v>
      </c>
      <c r="G18" s="25">
        <f t="shared" si="10"/>
        <v>225342</v>
      </c>
      <c r="H18" s="25">
        <f t="shared" si="10"/>
        <v>22346</v>
      </c>
      <c r="I18" s="25">
        <f t="shared" ref="I18" si="12">SUM(I16:I17)</f>
        <v>37063</v>
      </c>
      <c r="J18" s="25">
        <f t="shared" si="10"/>
        <v>0</v>
      </c>
      <c r="K18" s="25">
        <f t="shared" ref="K18" si="13">SUM(K16:K17)</f>
        <v>43100</v>
      </c>
      <c r="L18" s="25">
        <f t="shared" ref="L18" si="14">SUM(L16:L17)</f>
        <v>486</v>
      </c>
      <c r="M18" s="25">
        <f t="shared" si="10"/>
        <v>12495</v>
      </c>
      <c r="N18" s="25">
        <f t="shared" si="10"/>
        <v>318</v>
      </c>
      <c r="O18" s="244">
        <f>SUM(B18:N18)</f>
        <v>1383605</v>
      </c>
      <c r="R18" s="267"/>
    </row>
    <row r="19" spans="1:18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42"/>
      <c r="R19" s="97"/>
    </row>
    <row r="20" spans="1:18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42">
        <f>SUM(B20:N20)</f>
        <v>0</v>
      </c>
    </row>
    <row r="21" spans="1:18" x14ac:dyDescent="0.2">
      <c r="A21" s="47" t="s">
        <v>30</v>
      </c>
      <c r="B21" s="13">
        <f>SUM([3]Delta!$GB$37:$GF$37)</f>
        <v>11826</v>
      </c>
      <c r="C21" s="13">
        <f>SUM('[3]Atlantic Southeast'!$GB$37:$GF$37)</f>
        <v>0</v>
      </c>
      <c r="D21" s="13">
        <f>SUM([3]Pinnacle!$GB$37:$GF$37)</f>
        <v>401</v>
      </c>
      <c r="E21" s="13">
        <f>SUM('[3]Sky West'!$GB$37:$GF$37)</f>
        <v>574</v>
      </c>
      <c r="F21" s="13">
        <f>SUM('[3]Go Jet'!$GB$37:$GF$37)</f>
        <v>110</v>
      </c>
      <c r="G21" s="13">
        <f>SUM('[3]Sun Country'!$GB$37:$GF$37)</f>
        <v>797</v>
      </c>
      <c r="H21" s="13">
        <f>SUM([3]Icelandair!$GB$37:$GF$37)</f>
        <v>104</v>
      </c>
      <c r="I21" s="13">
        <f>SUM([3]KLM!$GB$37:$GF$37)</f>
        <v>68</v>
      </c>
      <c r="J21" s="13">
        <f>SUM('[3]Air Georgian'!$GB$37:$GF$37)</f>
        <v>0</v>
      </c>
      <c r="K21" s="13">
        <f>SUM('[3]Sky Regional'!$GB$37:$GF$37)</f>
        <v>213</v>
      </c>
      <c r="L21" s="13">
        <f>SUM([3]Condor!$GB$37:$GF$37)</f>
        <v>1</v>
      </c>
      <c r="M21" s="13">
        <f>SUM('[3]Air France'!$GB$37:$GF$37)</f>
        <v>0</v>
      </c>
      <c r="N21" s="13">
        <f>SUM('[3]Charter Misc'!$GB$37:$GF$37)++SUM([3]Ryan!$GB$37:$GF$37)+SUM([3]Omni!$GB$37:$GF$37)</f>
        <v>0</v>
      </c>
      <c r="O21" s="242">
        <f>SUM(B21:N21)</f>
        <v>14094</v>
      </c>
    </row>
    <row r="22" spans="1:18" x14ac:dyDescent="0.2">
      <c r="A22" s="47" t="s">
        <v>33</v>
      </c>
      <c r="B22" s="7">
        <f>SUM([3]Delta!$GB$38:$GF$38)</f>
        <v>11733</v>
      </c>
      <c r="C22" s="7">
        <f>SUM('[3]Atlantic Southeast'!$GB$38:$GF$38)</f>
        <v>0</v>
      </c>
      <c r="D22" s="7">
        <f>SUM([3]Pinnacle!$GB$38:$GF$38)</f>
        <v>325</v>
      </c>
      <c r="E22" s="7">
        <f>SUM('[3]Sky West'!$GB$38:$GF$38)</f>
        <v>578</v>
      </c>
      <c r="F22" s="7">
        <f>SUM('[3]Go Jet'!$GB$38:$GF$38)</f>
        <v>70</v>
      </c>
      <c r="G22" s="7">
        <f>SUM('[3]Sun Country'!$GB$38:$GF$38)</f>
        <v>927</v>
      </c>
      <c r="H22" s="7">
        <f>SUM([3]Icelandair!$GB$38:$GF$38)</f>
        <v>102</v>
      </c>
      <c r="I22" s="7">
        <f>SUM([3]KLM!$GB$38:$GF$38)</f>
        <v>66</v>
      </c>
      <c r="J22" s="7">
        <f>SUM('[3]Air Georgian'!$GB$38:$GF$38)</f>
        <v>0</v>
      </c>
      <c r="K22" s="7">
        <f>SUM('[3]Sky Regional'!$GB$38:$GF$38)</f>
        <v>255</v>
      </c>
      <c r="L22" s="7">
        <f>SUM([3]Condor!$GB$38:$GF$38)</f>
        <v>0</v>
      </c>
      <c r="M22" s="7">
        <f>SUM('[3]Air France'!$GB$38:$GF$38)</f>
        <v>0</v>
      </c>
      <c r="N22" s="7">
        <f>SUM('[3]Charter Misc'!$GB$38:$GF$38)++SUM([3]Ryan!$GB$38:$GF$38)+SUM([3]Omni!$GB$38:$GF$38)</f>
        <v>0</v>
      </c>
      <c r="O22" s="243">
        <f>SUM(B22:N22)</f>
        <v>14056</v>
      </c>
    </row>
    <row r="23" spans="1:18" ht="15.75" thickBot="1" x14ac:dyDescent="0.3">
      <c r="A23" s="48" t="s">
        <v>34</v>
      </c>
      <c r="B23" s="245">
        <f t="shared" ref="B23:N23" si="15">SUM(B21:B22)</f>
        <v>23559</v>
      </c>
      <c r="C23" s="245">
        <f t="shared" si="15"/>
        <v>0</v>
      </c>
      <c r="D23" s="245">
        <f t="shared" si="15"/>
        <v>726</v>
      </c>
      <c r="E23" s="245">
        <f t="shared" si="15"/>
        <v>1152</v>
      </c>
      <c r="F23" s="245">
        <f t="shared" ref="F23" si="16">SUM(F21:F22)</f>
        <v>180</v>
      </c>
      <c r="G23" s="245">
        <f t="shared" si="15"/>
        <v>1724</v>
      </c>
      <c r="H23" s="245">
        <f t="shared" si="15"/>
        <v>206</v>
      </c>
      <c r="I23" s="245">
        <f t="shared" ref="I23" si="17">SUM(I21:I22)</f>
        <v>134</v>
      </c>
      <c r="J23" s="245">
        <f t="shared" si="15"/>
        <v>0</v>
      </c>
      <c r="K23" s="245">
        <f t="shared" ref="K23" si="18">SUM(K21:K22)</f>
        <v>468</v>
      </c>
      <c r="L23" s="245">
        <f t="shared" ref="L23" si="19">SUM(L21:L22)</f>
        <v>1</v>
      </c>
      <c r="M23" s="245">
        <f t="shared" si="15"/>
        <v>0</v>
      </c>
      <c r="N23" s="245">
        <f t="shared" si="15"/>
        <v>0</v>
      </c>
      <c r="O23" s="246">
        <f>SUM(B23:N23)</f>
        <v>28150</v>
      </c>
    </row>
    <row r="25" spans="1:18" ht="39" thickBot="1" x14ac:dyDescent="0.25">
      <c r="B25" s="373" t="s">
        <v>18</v>
      </c>
      <c r="C25" s="372" t="s">
        <v>207</v>
      </c>
      <c r="D25" s="445" t="s">
        <v>161</v>
      </c>
      <c r="E25" s="373" t="s">
        <v>99</v>
      </c>
      <c r="F25" s="372" t="s">
        <v>167</v>
      </c>
      <c r="G25" s="373" t="s">
        <v>141</v>
      </c>
      <c r="H25" s="373" t="s">
        <v>115</v>
      </c>
      <c r="I25" s="372" t="s">
        <v>201</v>
      </c>
      <c r="J25" s="372" t="s">
        <v>196</v>
      </c>
      <c r="K25" s="372" t="s">
        <v>208</v>
      </c>
      <c r="L25" s="372" t="s">
        <v>166</v>
      </c>
      <c r="M25" s="373" t="s">
        <v>160</v>
      </c>
      <c r="N25" s="373" t="s">
        <v>142</v>
      </c>
      <c r="O25" s="372" t="s">
        <v>21</v>
      </c>
    </row>
    <row r="26" spans="1:18" ht="15" x14ac:dyDescent="0.25">
      <c r="A26" s="492" t="s">
        <v>146</v>
      </c>
      <c r="B26" s="493"/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4"/>
    </row>
    <row r="27" spans="1:18" x14ac:dyDescent="0.2">
      <c r="A27" s="47" t="s">
        <v>22</v>
      </c>
      <c r="B27" s="13">
        <f>[3]Delta!$GF$15</f>
        <v>505</v>
      </c>
      <c r="C27" s="13">
        <f>'[3]Atlantic Southeast'!$GF$15</f>
        <v>0</v>
      </c>
      <c r="D27" s="13">
        <f>[3]Pinnacle!$GF$15</f>
        <v>137</v>
      </c>
      <c r="E27" s="13">
        <f>'[3]Sky West'!$GF$15</f>
        <v>111</v>
      </c>
      <c r="F27" s="13">
        <f>'[3]Go Jet'!$GF$15</f>
        <v>0</v>
      </c>
      <c r="G27" s="13">
        <f>'[3]Sun Country'!$GF$15</f>
        <v>18</v>
      </c>
      <c r="H27" s="13">
        <f>[3]Icelandair!$GF$15</f>
        <v>31</v>
      </c>
      <c r="I27" s="13">
        <f>[3]KLM!$GF$15</f>
        <v>19</v>
      </c>
      <c r="J27" s="13">
        <f>'[3]Air Georgian'!$GF$15</f>
        <v>0</v>
      </c>
      <c r="K27" s="13">
        <f>'[3]Sky Regional'!$GF$15</f>
        <v>92</v>
      </c>
      <c r="L27" s="13">
        <f>[3]Condor!$GF$15</f>
        <v>1</v>
      </c>
      <c r="M27" s="13">
        <f>'[3]Air France'!$GF$15</f>
        <v>26</v>
      </c>
      <c r="N27" s="13">
        <f>'[3]Charter Misc'!$GF$15+[3]Ryan!$GF$15+[3]Omni!$GF$15</f>
        <v>0</v>
      </c>
      <c r="O27" s="242">
        <f>SUM(B27:N27)</f>
        <v>940</v>
      </c>
    </row>
    <row r="28" spans="1:18" x14ac:dyDescent="0.2">
      <c r="A28" s="47" t="s">
        <v>23</v>
      </c>
      <c r="B28" s="13">
        <f>[3]Delta!$GF$16</f>
        <v>506</v>
      </c>
      <c r="C28" s="13">
        <f>'[3]Atlantic Southeast'!$GF$16</f>
        <v>0</v>
      </c>
      <c r="D28" s="13">
        <f>[3]Pinnacle!$GF$16</f>
        <v>137</v>
      </c>
      <c r="E28" s="13">
        <f>'[3]Sky West'!$GF$16</f>
        <v>110</v>
      </c>
      <c r="F28" s="13">
        <f>'[3]Go Jet'!$GF$16</f>
        <v>0</v>
      </c>
      <c r="G28" s="13">
        <f>'[3]Sun Country'!$GF$16</f>
        <v>19</v>
      </c>
      <c r="H28" s="13">
        <f>[3]Icelandair!$GF$16</f>
        <v>31</v>
      </c>
      <c r="I28" s="13">
        <f>[3]KLM!$GF$16</f>
        <v>19</v>
      </c>
      <c r="J28" s="13">
        <f>'[3]Air Georgian'!$GF$16</f>
        <v>0</v>
      </c>
      <c r="K28" s="13">
        <f>'[3]Sky Regional'!$GF$16</f>
        <v>92</v>
      </c>
      <c r="L28" s="13">
        <f>[3]Condor!$GF$16</f>
        <v>1</v>
      </c>
      <c r="M28" s="13">
        <f>'[3]Air France'!$GF$16</f>
        <v>26</v>
      </c>
      <c r="N28" s="13">
        <f>'[3]Charter Misc'!$GF$16+[3]Ryan!$GF$16+[3]Omni!$GF$16</f>
        <v>0</v>
      </c>
      <c r="O28" s="242">
        <f>SUM(B28:N28)</f>
        <v>941</v>
      </c>
    </row>
    <row r="29" spans="1:18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42"/>
    </row>
    <row r="30" spans="1:18" ht="15.75" thickBot="1" x14ac:dyDescent="0.3">
      <c r="A30" s="48" t="s">
        <v>28</v>
      </c>
      <c r="B30" s="328">
        <f t="shared" ref="B30:J30" si="20">SUM(B27:B28)</f>
        <v>1011</v>
      </c>
      <c r="C30" s="328">
        <f t="shared" si="20"/>
        <v>0</v>
      </c>
      <c r="D30" s="328">
        <f t="shared" si="20"/>
        <v>274</v>
      </c>
      <c r="E30" s="328">
        <f>SUM(E27:E28)</f>
        <v>221</v>
      </c>
      <c r="F30" s="328">
        <f>SUM(F27:F28)</f>
        <v>0</v>
      </c>
      <c r="G30" s="328">
        <f t="shared" si="20"/>
        <v>37</v>
      </c>
      <c r="H30" s="328">
        <f t="shared" si="20"/>
        <v>62</v>
      </c>
      <c r="I30" s="328">
        <f t="shared" ref="I30" si="21">SUM(I27:I28)</f>
        <v>38</v>
      </c>
      <c r="J30" s="328">
        <f t="shared" si="20"/>
        <v>0</v>
      </c>
      <c r="K30" s="328">
        <f t="shared" ref="K30" si="22">SUM(K27:K28)</f>
        <v>184</v>
      </c>
      <c r="L30" s="328">
        <f>SUM(L27:L28)</f>
        <v>2</v>
      </c>
      <c r="M30" s="328">
        <f>SUM(M27:M28)</f>
        <v>52</v>
      </c>
      <c r="N30" s="328">
        <f>SUM(N27:N28)</f>
        <v>0</v>
      </c>
      <c r="O30" s="329">
        <f>SUM(B30:N30)</f>
        <v>1881</v>
      </c>
    </row>
    <row r="31" spans="1:18" ht="15" x14ac:dyDescent="0.25">
      <c r="A31" s="330"/>
    </row>
    <row r="32" spans="1:18" ht="39" thickBot="1" x14ac:dyDescent="0.25">
      <c r="B32" s="373" t="s">
        <v>18</v>
      </c>
      <c r="C32" s="372" t="s">
        <v>207</v>
      </c>
      <c r="D32" s="445" t="s">
        <v>161</v>
      </c>
      <c r="E32" s="373" t="s">
        <v>99</v>
      </c>
      <c r="F32" s="372" t="s">
        <v>167</v>
      </c>
      <c r="G32" s="373" t="s">
        <v>141</v>
      </c>
      <c r="H32" s="373" t="s">
        <v>115</v>
      </c>
      <c r="I32" s="372" t="s">
        <v>201</v>
      </c>
      <c r="J32" s="372" t="s">
        <v>196</v>
      </c>
      <c r="K32" s="372" t="s">
        <v>208</v>
      </c>
      <c r="L32" s="372" t="s">
        <v>166</v>
      </c>
      <c r="M32" s="373" t="s">
        <v>160</v>
      </c>
      <c r="N32" s="373" t="s">
        <v>142</v>
      </c>
      <c r="O32" s="372" t="s">
        <v>144</v>
      </c>
    </row>
    <row r="33" spans="1:15" ht="15" x14ac:dyDescent="0.25">
      <c r="A33" s="495" t="s">
        <v>147</v>
      </c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7"/>
    </row>
    <row r="34" spans="1:15" x14ac:dyDescent="0.2">
      <c r="A34" s="47" t="s">
        <v>22</v>
      </c>
      <c r="B34" s="13">
        <f>SUM([3]Delta!$GB$15:$GF$15)</f>
        <v>2787</v>
      </c>
      <c r="C34" s="13">
        <f>SUM('[3]Atlantic Southeast'!$GB$15:$GF$15)</f>
        <v>0</v>
      </c>
      <c r="D34" s="13">
        <f>SUM([3]Pinnacle!$GB$15:$GF$15)</f>
        <v>391</v>
      </c>
      <c r="E34" s="13">
        <f>SUM('[3]Sky West'!$GB$15:$GF$15)</f>
        <v>884</v>
      </c>
      <c r="F34" s="13">
        <f>SUM('[3]Go Jet'!$GB$15:$GF$15)</f>
        <v>95</v>
      </c>
      <c r="G34" s="13">
        <f>SUM('[3]Sun Country'!$GB$15:$GF$15)</f>
        <v>828</v>
      </c>
      <c r="H34" s="13">
        <f>SUM([3]Icelandair!$GB$15:$GF$15)</f>
        <v>74</v>
      </c>
      <c r="I34" s="13">
        <f>SUM([3]KLM!$GB$15:$GF$15)</f>
        <v>84</v>
      </c>
      <c r="J34" s="13">
        <f>SUM('[3]Air Georgian'!$GB$15:$GF$15)</f>
        <v>0</v>
      </c>
      <c r="K34" s="13">
        <f>SUM('[3]Sky Regional'!$GB$15:$GF$15)</f>
        <v>400</v>
      </c>
      <c r="L34" s="13">
        <f>SUM([3]Condor!$GB$15:$GF$15)</f>
        <v>1</v>
      </c>
      <c r="M34" s="13">
        <f>SUM('[3]Air France'!$GB$15:$GF$15)</f>
        <v>27</v>
      </c>
      <c r="N34" s="13">
        <f>SUM('[3]Charter Misc'!$GB$15:$GF$15)+SUM([3]Ryan!$GB$15:$GF$15)+SUM([3]Omni!$GB$15:$GF$15)</f>
        <v>0</v>
      </c>
      <c r="O34" s="242">
        <f>SUM(B34:N34)</f>
        <v>5571</v>
      </c>
    </row>
    <row r="35" spans="1:15" x14ac:dyDescent="0.2">
      <c r="A35" s="47" t="s">
        <v>23</v>
      </c>
      <c r="B35" s="13">
        <f>SUM([3]Delta!$GB$16:$GF$16)</f>
        <v>2798</v>
      </c>
      <c r="C35" s="13">
        <f>SUM('[3]Atlantic Southeast'!$GB$16:$GF$16)</f>
        <v>0</v>
      </c>
      <c r="D35" s="13">
        <f>SUM([3]Pinnacle!$GB$16:$GF$16)</f>
        <v>391</v>
      </c>
      <c r="E35" s="13">
        <f>SUM('[3]Sky West'!$GB$16:$GF$16)</f>
        <v>882</v>
      </c>
      <c r="F35" s="13">
        <f>SUM('[3]Go Jet'!$GB$16:$GF$16)</f>
        <v>95</v>
      </c>
      <c r="G35" s="13">
        <f>SUM('[3]Sun Country'!$GB$16:$GF$16)</f>
        <v>826</v>
      </c>
      <c r="H35" s="13">
        <f>SUM([3]Icelandair!$GB$16:$GF$16)</f>
        <v>74</v>
      </c>
      <c r="I35" s="13">
        <f>SUM([3]KLM!$GB$16:$GF$16)</f>
        <v>84</v>
      </c>
      <c r="J35" s="13">
        <f>SUM('[3]Air Georgian'!$GB$16:$GF$16)</f>
        <v>0</v>
      </c>
      <c r="K35" s="13">
        <f>SUM('[3]Sky Regional'!$GB$16:$GF$16)</f>
        <v>400</v>
      </c>
      <c r="L35" s="13">
        <f>SUM([3]Condor!$GB$16:$GF$16)</f>
        <v>1</v>
      </c>
      <c r="M35" s="13">
        <f>SUM('[3]Air France'!$GB$16:$GF$16)</f>
        <v>27</v>
      </c>
      <c r="N35" s="13">
        <f>SUM('[3]Charter Misc'!$GB$16:$GF$16)+SUM([3]Ryan!$GB$16:$GF$16)+SUM([3]Omni!$GB$16:$GF$16)</f>
        <v>0</v>
      </c>
      <c r="O35" s="242">
        <f>SUM(B35:N35)</f>
        <v>5578</v>
      </c>
    </row>
    <row r="36" spans="1:15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42"/>
    </row>
    <row r="37" spans="1:15" ht="15.75" thickBot="1" x14ac:dyDescent="0.3">
      <c r="A37" s="48" t="s">
        <v>28</v>
      </c>
      <c r="B37" s="328">
        <f t="shared" ref="B37:J37" si="23">+SUM(B34:B35)</f>
        <v>5585</v>
      </c>
      <c r="C37" s="328">
        <f t="shared" si="23"/>
        <v>0</v>
      </c>
      <c r="D37" s="328">
        <f t="shared" si="23"/>
        <v>782</v>
      </c>
      <c r="E37" s="328">
        <f>+SUM(E34:E35)</f>
        <v>1766</v>
      </c>
      <c r="F37" s="328">
        <f>+SUM(F34:F35)</f>
        <v>190</v>
      </c>
      <c r="G37" s="328">
        <f t="shared" si="23"/>
        <v>1654</v>
      </c>
      <c r="H37" s="328">
        <f t="shared" si="23"/>
        <v>148</v>
      </c>
      <c r="I37" s="328">
        <f t="shared" ref="I37" si="24">+SUM(I34:I35)</f>
        <v>168</v>
      </c>
      <c r="J37" s="328">
        <f t="shared" si="23"/>
        <v>0</v>
      </c>
      <c r="K37" s="328">
        <f t="shared" ref="K37" si="25">+SUM(K34:K35)</f>
        <v>800</v>
      </c>
      <c r="L37" s="328">
        <f>+SUM(L34:L35)</f>
        <v>2</v>
      </c>
      <c r="M37" s="328">
        <f>+SUM(M34:M35)</f>
        <v>54</v>
      </c>
      <c r="N37" s="328">
        <f>+SUM(N34:N35)</f>
        <v>0</v>
      </c>
      <c r="O37" s="329">
        <f>SUM(B37:N37)</f>
        <v>11149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67" orientation="landscape" r:id="rId1"/>
  <headerFooter alignWithMargins="0">
    <oddHeader>&amp;LSchedule 9&amp;CMinneapolis-St. Paul International Airport
&amp;"Arial,Bold"International Detail&amp;"Arial,Regular"
&amp;"Arial,Bold"May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6"/>
  <sheetViews>
    <sheetView zoomScale="115" zoomScaleNormal="115" zoomScaleSheetLayoutView="85" workbookViewId="0">
      <selection activeCell="G63" sqref="G63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" style="2" bestFit="1" customWidth="1"/>
    <col min="5" max="5" width="8.85546875" style="3" bestFit="1" customWidth="1"/>
    <col min="6" max="6" width="8.5703125" style="192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" customWidth="1"/>
    <col min="11" max="11" width="14.42578125" style="196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01" t="s">
        <v>134</v>
      </c>
      <c r="B1" s="502"/>
      <c r="C1" s="382" t="s">
        <v>221</v>
      </c>
      <c r="D1" s="383" t="s">
        <v>202</v>
      </c>
      <c r="E1" s="229" t="s">
        <v>97</v>
      </c>
      <c r="F1" s="228" t="s">
        <v>222</v>
      </c>
      <c r="G1" s="383" t="s">
        <v>203</v>
      </c>
      <c r="H1" s="227" t="s">
        <v>98</v>
      </c>
      <c r="I1" s="229" t="s">
        <v>139</v>
      </c>
      <c r="J1" s="507" t="s">
        <v>138</v>
      </c>
      <c r="K1" s="508"/>
      <c r="L1" s="380" t="s">
        <v>223</v>
      </c>
      <c r="M1" s="381" t="s">
        <v>204</v>
      </c>
      <c r="N1" s="298" t="s">
        <v>98</v>
      </c>
      <c r="O1" s="417" t="s">
        <v>224</v>
      </c>
      <c r="P1" s="230" t="s">
        <v>205</v>
      </c>
      <c r="Q1" s="414" t="s">
        <v>98</v>
      </c>
      <c r="R1" s="418" t="s">
        <v>206</v>
      </c>
    </row>
    <row r="2" spans="1:18" s="9" customFormat="1" ht="13.5" customHeight="1" thickBot="1" x14ac:dyDescent="0.25">
      <c r="A2" s="503">
        <v>43586</v>
      </c>
      <c r="B2" s="504"/>
      <c r="C2" s="505" t="s">
        <v>9</v>
      </c>
      <c r="D2" s="506"/>
      <c r="E2" s="506"/>
      <c r="F2" s="506"/>
      <c r="G2" s="506"/>
      <c r="H2" s="506"/>
      <c r="I2" s="384"/>
      <c r="J2" s="503">
        <f>+A2</f>
        <v>43586</v>
      </c>
      <c r="K2" s="504"/>
      <c r="L2" s="498" t="s">
        <v>140</v>
      </c>
      <c r="M2" s="499"/>
      <c r="N2" s="499"/>
      <c r="O2" s="499"/>
      <c r="P2" s="499"/>
      <c r="Q2" s="499"/>
      <c r="R2" s="500"/>
    </row>
    <row r="3" spans="1:18" x14ac:dyDescent="0.2">
      <c r="A3" s="299"/>
      <c r="B3" s="300"/>
      <c r="C3" s="301"/>
      <c r="D3" s="302"/>
      <c r="E3" s="303"/>
      <c r="F3" s="356"/>
      <c r="G3" s="302"/>
      <c r="H3" s="412"/>
      <c r="I3" s="303"/>
      <c r="J3" s="304"/>
      <c r="K3" s="300"/>
      <c r="L3" s="310"/>
      <c r="N3" s="67"/>
      <c r="O3" s="299"/>
      <c r="P3" s="305"/>
      <c r="Q3" s="305"/>
      <c r="R3" s="300"/>
    </row>
    <row r="4" spans="1:18" ht="14.1" customHeight="1" x14ac:dyDescent="0.2">
      <c r="A4" s="306" t="s">
        <v>100</v>
      </c>
      <c r="B4" s="40"/>
      <c r="C4" s="307">
        <f>SUM(C5:C7)</f>
        <v>184</v>
      </c>
      <c r="D4" s="150">
        <f>SUM(D5:D7)</f>
        <v>182</v>
      </c>
      <c r="E4" s="309">
        <f>(C4-D4)/D4</f>
        <v>1.098901098901099E-2</v>
      </c>
      <c r="F4" s="307">
        <f>SUM(F5:F7)</f>
        <v>800</v>
      </c>
      <c r="G4" s="150">
        <f>SUM(G5:G7)</f>
        <v>826</v>
      </c>
      <c r="H4" s="308">
        <f>(F4-G4)/G4</f>
        <v>-3.1476997578692496E-2</v>
      </c>
      <c r="I4" s="309">
        <f>F4/$F$67</f>
        <v>5.4041639082913389E-3</v>
      </c>
      <c r="J4" s="306" t="s">
        <v>100</v>
      </c>
      <c r="K4" s="40"/>
      <c r="L4" s="307">
        <f>SUM(L5:L7)</f>
        <v>10020</v>
      </c>
      <c r="M4" s="150">
        <f>SUM(M5:M7)</f>
        <v>10190</v>
      </c>
      <c r="N4" s="309">
        <f>(L4-M4)/M4</f>
        <v>-1.6683022571148183E-2</v>
      </c>
      <c r="O4" s="307">
        <f>SUM(O5:O7)</f>
        <v>43100</v>
      </c>
      <c r="P4" s="150">
        <f>SUM(P5:P7)</f>
        <v>42707</v>
      </c>
      <c r="Q4" s="308">
        <f>(O4-P4)/P4</f>
        <v>9.2022385089095462E-3</v>
      </c>
      <c r="R4" s="309">
        <f>O4/$O$67</f>
        <v>2.896692843764015E-3</v>
      </c>
    </row>
    <row r="5" spans="1:18" ht="14.1" customHeight="1" x14ac:dyDescent="0.2">
      <c r="A5" s="306"/>
      <c r="B5" s="364" t="s">
        <v>100</v>
      </c>
      <c r="C5" s="310">
        <f>+[3]AirCanada!$GF$19</f>
        <v>0</v>
      </c>
      <c r="D5" s="2">
        <f>+[3]AirCanada!$FR$19</f>
        <v>0</v>
      </c>
      <c r="E5" s="67" t="e">
        <f>(C5-D5)/D5</f>
        <v>#DIV/0!</v>
      </c>
      <c r="F5" s="254">
        <f>SUM([3]AirCanada!$GB$19:$GF$19)</f>
        <v>0</v>
      </c>
      <c r="G5" s="254">
        <f>SUM([3]AirCanada!$FN$19:$FR$19)</f>
        <v>0</v>
      </c>
      <c r="H5" s="369" t="e">
        <f>(F5-G5)/G5</f>
        <v>#DIV/0!</v>
      </c>
      <c r="I5" s="67">
        <f>F5/$F$67</f>
        <v>0</v>
      </c>
      <c r="J5" s="306"/>
      <c r="K5" s="364" t="s">
        <v>100</v>
      </c>
      <c r="L5" s="368">
        <f>+[3]AirCanada!$GF$41</f>
        <v>0</v>
      </c>
      <c r="M5" s="254">
        <f>+[3]AirCanada!$FR$41</f>
        <v>0</v>
      </c>
      <c r="N5" s="370" t="e">
        <f>(L5-M5)/M5</f>
        <v>#DIV/0!</v>
      </c>
      <c r="O5" s="368">
        <f>SUM([3]AirCanada!$GB$41:$GF$41)</f>
        <v>0</v>
      </c>
      <c r="P5" s="254">
        <f>SUM([3]AirCanada!$FN$41:$FR$41)</f>
        <v>0</v>
      </c>
      <c r="Q5" s="369" t="e">
        <f>(O5-P5)/P5</f>
        <v>#DIV/0!</v>
      </c>
      <c r="R5" s="370">
        <f>O5/$O$67</f>
        <v>0</v>
      </c>
    </row>
    <row r="6" spans="1:18" ht="14.1" customHeight="1" x14ac:dyDescent="0.2">
      <c r="A6" s="306"/>
      <c r="B6" s="364" t="s">
        <v>169</v>
      </c>
      <c r="C6" s="310">
        <f>'[3]Air Georgian'!$GF$19</f>
        <v>0</v>
      </c>
      <c r="D6" s="2">
        <f>'[3]Air Georgian'!$FR$19</f>
        <v>0</v>
      </c>
      <c r="E6" s="67" t="e">
        <f>(C6-D6)/D6</f>
        <v>#DIV/0!</v>
      </c>
      <c r="F6" s="254">
        <f>SUM('[3]Air Georgian'!$GB$19:$GF$19)</f>
        <v>0</v>
      </c>
      <c r="G6" s="254">
        <f>SUM('[3]Air Georgian'!$FN$19:$FR$19)</f>
        <v>0</v>
      </c>
      <c r="H6" s="369" t="e">
        <f>(F6-G6)/G6</f>
        <v>#DIV/0!</v>
      </c>
      <c r="I6" s="67">
        <f>F6/$F$67</f>
        <v>0</v>
      </c>
      <c r="J6" s="306"/>
      <c r="K6" s="364" t="s">
        <v>169</v>
      </c>
      <c r="L6" s="310">
        <f>'[3]Air Georgian'!$GF$41</f>
        <v>0</v>
      </c>
      <c r="M6" s="2">
        <f>'[3]Air Georgian'!$FR$41</f>
        <v>0</v>
      </c>
      <c r="N6" s="67" t="e">
        <f>(L6-M6)/M6</f>
        <v>#DIV/0!</v>
      </c>
      <c r="O6" s="310">
        <f>SUM('[3]Air Georgian'!$GB$41:$GF$41)</f>
        <v>0</v>
      </c>
      <c r="P6" s="2">
        <f>SUM('[3]Air Georgian'!$FN$41:$FR$41)</f>
        <v>0</v>
      </c>
      <c r="Q6" s="3" t="e">
        <f>(O6-P6)/P6</f>
        <v>#DIV/0!</v>
      </c>
      <c r="R6" s="67">
        <f>O6/$O$67</f>
        <v>0</v>
      </c>
    </row>
    <row r="7" spans="1:18" ht="14.1" customHeight="1" x14ac:dyDescent="0.2">
      <c r="A7" s="306"/>
      <c r="B7" s="364" t="s">
        <v>199</v>
      </c>
      <c r="C7" s="310">
        <f>'[3]Sky Regional'!$GF$19</f>
        <v>184</v>
      </c>
      <c r="D7" s="2">
        <f>'[3]Sky Regional'!$FR$19</f>
        <v>182</v>
      </c>
      <c r="E7" s="67">
        <f>(C7-D7)/D7</f>
        <v>1.098901098901099E-2</v>
      </c>
      <c r="F7" s="254">
        <f>SUM('[3]Sky Regional'!$GB$19:$GF$19)</f>
        <v>800</v>
      </c>
      <c r="G7" s="254">
        <f>SUM('[3]Sky Regional'!$FN$19:$FR$19)</f>
        <v>826</v>
      </c>
      <c r="H7" s="369">
        <f>(F7-G7)/G7</f>
        <v>-3.1476997578692496E-2</v>
      </c>
      <c r="I7" s="67">
        <f>F7/$F$67</f>
        <v>5.4041639082913389E-3</v>
      </c>
      <c r="J7" s="306"/>
      <c r="K7" s="364" t="s">
        <v>199</v>
      </c>
      <c r="L7" s="310">
        <f>'[3]Sky Regional'!$GF$41</f>
        <v>10020</v>
      </c>
      <c r="M7" s="2">
        <f>'[3]Sky Regional'!$FR$41</f>
        <v>10190</v>
      </c>
      <c r="N7" s="67">
        <f>(L7-M7)/M7</f>
        <v>-1.6683022571148183E-2</v>
      </c>
      <c r="O7" s="310">
        <f>SUM('[3]Sky Regional'!$GB$41:$GF$41)</f>
        <v>43100</v>
      </c>
      <c r="P7" s="2">
        <f>SUM('[3]Sky Regional'!$FN$41:$FR$41)</f>
        <v>42707</v>
      </c>
      <c r="Q7" s="3">
        <f>(O7-P7)/P7</f>
        <v>9.2022385089095462E-3</v>
      </c>
      <c r="R7" s="67">
        <f>O7/$O$67</f>
        <v>2.896692843764015E-3</v>
      </c>
    </row>
    <row r="8" spans="1:18" ht="14.1" customHeight="1" x14ac:dyDescent="0.2">
      <c r="A8" s="306"/>
      <c r="B8" s="40"/>
      <c r="C8" s="307"/>
      <c r="D8" s="150"/>
      <c r="E8" s="309"/>
      <c r="F8" s="150"/>
      <c r="G8" s="150"/>
      <c r="H8" s="308"/>
      <c r="I8" s="309"/>
      <c r="J8" s="306"/>
      <c r="K8" s="40"/>
      <c r="L8" s="310"/>
      <c r="N8" s="67"/>
      <c r="O8" s="310"/>
      <c r="P8" s="2"/>
      <c r="Q8" s="3"/>
      <c r="R8" s="67"/>
    </row>
    <row r="9" spans="1:18" ht="14.1" customHeight="1" x14ac:dyDescent="0.2">
      <c r="A9" s="306" t="s">
        <v>183</v>
      </c>
      <c r="B9" s="40"/>
      <c r="C9" s="307">
        <f>'[3]Air Choice One'!$GF$19</f>
        <v>218</v>
      </c>
      <c r="D9" s="150">
        <f>'[3]Air Choice One'!$FR$19</f>
        <v>200</v>
      </c>
      <c r="E9" s="309">
        <f>(C9-D9)/D9</f>
        <v>0.09</v>
      </c>
      <c r="F9" s="150">
        <f>SUM('[3]Air Choice One'!$GB$19:$GF$19)</f>
        <v>984</v>
      </c>
      <c r="G9" s="150">
        <f>SUM('[3]Air Choice One'!$FN$19:$FR$19)</f>
        <v>1016</v>
      </c>
      <c r="H9" s="308">
        <f>(F9-G9)/G9</f>
        <v>-3.1496062992125984E-2</v>
      </c>
      <c r="I9" s="309">
        <f>F9/$F$67</f>
        <v>6.647121607198346E-3</v>
      </c>
      <c r="J9" s="306" t="s">
        <v>183</v>
      </c>
      <c r="K9" s="40"/>
      <c r="L9" s="307">
        <f>'[3]Air Choice One'!$GF$41</f>
        <v>917</v>
      </c>
      <c r="M9" s="150">
        <f>'[3]Air Choice One'!$FR$41</f>
        <v>846</v>
      </c>
      <c r="N9" s="309">
        <f>(L9-M9)/M9</f>
        <v>8.3924349881796687E-2</v>
      </c>
      <c r="O9" s="307">
        <f>SUM('[3]Air Choice One'!$GB$41:$GF$41)</f>
        <v>4018</v>
      </c>
      <c r="P9" s="150">
        <f>SUM('[3]Air Choice One'!$FN$41:$FR$41)</f>
        <v>3980</v>
      </c>
      <c r="Q9" s="308">
        <f>(O9-P9)/P9</f>
        <v>9.5477386934673374E-3</v>
      </c>
      <c r="R9" s="309">
        <f>O9/$O$67</f>
        <v>2.7004435838152697E-4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160</v>
      </c>
      <c r="B11" s="40"/>
      <c r="C11" s="307">
        <f>'[3]Air France'!$GF$19</f>
        <v>52</v>
      </c>
      <c r="D11" s="150">
        <f>'[3]Air France'!$FR$19</f>
        <v>40</v>
      </c>
      <c r="E11" s="309">
        <f>(C11-D11)/D11</f>
        <v>0.3</v>
      </c>
      <c r="F11" s="150">
        <f>SUM('[3]Air France'!$GB$19:$GF$19)</f>
        <v>54</v>
      </c>
      <c r="G11" s="150">
        <f>SUM('[3]Air France'!$FN$19:$FR$19)</f>
        <v>40</v>
      </c>
      <c r="H11" s="308">
        <f>(F11-G11)/G11</f>
        <v>0.35</v>
      </c>
      <c r="I11" s="309">
        <f>F11/$F$67</f>
        <v>3.6478106380966535E-4</v>
      </c>
      <c r="J11" s="306" t="s">
        <v>160</v>
      </c>
      <c r="K11" s="40"/>
      <c r="L11" s="307">
        <f>'[3]Air France'!$GF$41</f>
        <v>12001</v>
      </c>
      <c r="M11" s="150">
        <f>'[3]Air France'!$FR$41</f>
        <v>7583</v>
      </c>
      <c r="N11" s="309">
        <f>(L11-M11)/M11</f>
        <v>0.58261901622049317</v>
      </c>
      <c r="O11" s="307">
        <f>SUM('[3]Air France'!$GB$41:$GF$41)</f>
        <v>12495</v>
      </c>
      <c r="P11" s="150">
        <f>SUM('[3]Air France'!$FN$41:$FR$41)</f>
        <v>7583</v>
      </c>
      <c r="Q11" s="308">
        <f>(O11-P11)/P11</f>
        <v>0.6477647369115126</v>
      </c>
      <c r="R11" s="309">
        <f>O11/$O$67</f>
        <v>8.3977209008889492E-4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130</v>
      </c>
      <c r="B13" s="40"/>
      <c r="C13" s="307">
        <f>SUM(C14:C16)</f>
        <v>250</v>
      </c>
      <c r="D13" s="150">
        <f>SUM(D14:D16)</f>
        <v>342</v>
      </c>
      <c r="E13" s="309">
        <f>(C13-D13)/D13</f>
        <v>-0.26900584795321636</v>
      </c>
      <c r="F13" s="150">
        <f>SUM(F14:F16)</f>
        <v>1205</v>
      </c>
      <c r="G13" s="150">
        <f>SUM(G14:G16)</f>
        <v>1608</v>
      </c>
      <c r="H13" s="308">
        <f>(F13-G13)/G13</f>
        <v>-0.25062189054726369</v>
      </c>
      <c r="I13" s="309">
        <f>F13/$F$67</f>
        <v>8.1400218868638279E-3</v>
      </c>
      <c r="J13" s="306" t="s">
        <v>130</v>
      </c>
      <c r="K13" s="40"/>
      <c r="L13" s="307">
        <f>SUM(L14:L16)</f>
        <v>27244</v>
      </c>
      <c r="M13" s="150">
        <f>SUM(M14:M16)</f>
        <v>34032</v>
      </c>
      <c r="N13" s="309">
        <f>(L13-M13)/M13</f>
        <v>-0.19945933239304184</v>
      </c>
      <c r="O13" s="307">
        <f>SUM(O14:O16)</f>
        <v>129026</v>
      </c>
      <c r="P13" s="150">
        <f>SUM(P14:P16)</f>
        <v>149994</v>
      </c>
      <c r="Q13" s="308">
        <f>(O13-P13)/P13</f>
        <v>-0.13979225835700096</v>
      </c>
      <c r="R13" s="309">
        <f>O13/$O$67</f>
        <v>8.6716633610091839E-3</v>
      </c>
    </row>
    <row r="14" spans="1:18" ht="14.1" customHeight="1" x14ac:dyDescent="0.2">
      <c r="A14" s="306"/>
      <c r="B14" s="364" t="s">
        <v>130</v>
      </c>
      <c r="C14" s="368">
        <f>[3]Alaska!$GF$19</f>
        <v>188</v>
      </c>
      <c r="D14" s="254">
        <f>[3]Alaska!$FR$19</f>
        <v>118</v>
      </c>
      <c r="E14" s="370">
        <f>(C14-D14)/D14</f>
        <v>0.59322033898305082</v>
      </c>
      <c r="F14" s="254">
        <f>SUM([3]Alaska!$GB$19:$GF$19)</f>
        <v>773</v>
      </c>
      <c r="G14" s="254">
        <f>SUM([3]Alaska!$FN$19:$FR$19)</f>
        <v>580</v>
      </c>
      <c r="H14" s="369">
        <f>(F14-G14)/G14</f>
        <v>0.33275862068965517</v>
      </c>
      <c r="I14" s="370">
        <f>F14/$F$67</f>
        <v>5.221773376386506E-3</v>
      </c>
      <c r="J14" s="306"/>
      <c r="K14" s="364" t="s">
        <v>130</v>
      </c>
      <c r="L14" s="368">
        <f>[3]Alaska!$GF$41</f>
        <v>22992</v>
      </c>
      <c r="M14" s="254">
        <f>[3]Alaska!$FR$41</f>
        <v>18984</v>
      </c>
      <c r="N14" s="370">
        <f>(L14-M14)/M14</f>
        <v>0.2111251580278129</v>
      </c>
      <c r="O14" s="368">
        <f>SUM([3]Alaska!$GB$41:$GF$41)</f>
        <v>100692</v>
      </c>
      <c r="P14" s="254">
        <f>SUM([3]Alaska!$FN$41:$FR$41)</f>
        <v>83759</v>
      </c>
      <c r="Q14" s="369">
        <f>(O14-P14)/P14</f>
        <v>0.20216334961019114</v>
      </c>
      <c r="R14" s="370">
        <f>O14/$O$67</f>
        <v>6.7673734529996804E-3</v>
      </c>
    </row>
    <row r="15" spans="1:18" ht="14.1" customHeight="1" x14ac:dyDescent="0.2">
      <c r="A15" s="306"/>
      <c r="B15" s="364" t="s">
        <v>99</v>
      </c>
      <c r="C15" s="310">
        <f>'[3]Sky West_AS'!$GF$19</f>
        <v>62</v>
      </c>
      <c r="D15" s="2">
        <f>'[3]Sky West_AS'!$FR$19</f>
        <v>100</v>
      </c>
      <c r="E15" s="67">
        <f>(C15-D15)/D15</f>
        <v>-0.38</v>
      </c>
      <c r="F15" s="2">
        <f>SUM('[3]Sky West_AS'!$GB$19:$GF$19)</f>
        <v>420</v>
      </c>
      <c r="G15" s="2">
        <f>SUM('[3]Sky West_AS'!$FN$19:$FR$19)</f>
        <v>522</v>
      </c>
      <c r="H15" s="3">
        <f>(F15-G15)/G15</f>
        <v>-0.19540229885057472</v>
      </c>
      <c r="I15" s="67">
        <f>F15/$F$67</f>
        <v>2.8371860518529527E-3</v>
      </c>
      <c r="J15" s="306"/>
      <c r="K15" s="364" t="s">
        <v>99</v>
      </c>
      <c r="L15" s="310">
        <f>'[3]Sky West_AS'!$GF$41</f>
        <v>4252</v>
      </c>
      <c r="M15" s="2">
        <f>'[3]Sky West_AS'!$FR$41</f>
        <v>6782</v>
      </c>
      <c r="N15" s="67">
        <f>(L15-M15)/M15</f>
        <v>-0.37304629902683573</v>
      </c>
      <c r="O15" s="310">
        <f>SUM('[3]Sky West_AS'!$GB$41:$GF$41)</f>
        <v>27515</v>
      </c>
      <c r="P15" s="2">
        <f>SUM('[3]Sky West_AS'!$FN$41:$FR$41)</f>
        <v>34044</v>
      </c>
      <c r="Q15" s="3">
        <f>(O15-P15)/P15</f>
        <v>-0.19178122429796735</v>
      </c>
      <c r="R15" s="370">
        <f>O15/$O$67</f>
        <v>1.8492460231129206E-3</v>
      </c>
    </row>
    <row r="16" spans="1:18" ht="14.1" customHeight="1" x14ac:dyDescent="0.2">
      <c r="A16" s="306"/>
      <c r="B16" s="364" t="s">
        <v>200</v>
      </c>
      <c r="C16" s="310">
        <f>[3]Horizon_AS!$GF$19</f>
        <v>0</v>
      </c>
      <c r="D16" s="2">
        <f>[3]Horizon_AS!$FR$19</f>
        <v>124</v>
      </c>
      <c r="E16" s="67">
        <f>(C16-D16)/D16</f>
        <v>-1</v>
      </c>
      <c r="F16" s="2">
        <f>SUM([3]Horizon_AS!$GB$19:$GF$19)</f>
        <v>12</v>
      </c>
      <c r="G16" s="2">
        <f>SUM([3]Horizon_AS!$FN$19:$FR$19)</f>
        <v>506</v>
      </c>
      <c r="H16" s="3">
        <f>(F16-G16)/G16</f>
        <v>-0.97628458498023718</v>
      </c>
      <c r="I16" s="67">
        <f>F16/$F$67</f>
        <v>8.106245862437008E-5</v>
      </c>
      <c r="J16" s="306"/>
      <c r="K16" s="364" t="s">
        <v>200</v>
      </c>
      <c r="L16" s="310">
        <f>[3]Horizon_AS!$GF$41</f>
        <v>0</v>
      </c>
      <c r="M16" s="2">
        <f>[3]Horizon_AS!$FR$41</f>
        <v>8266</v>
      </c>
      <c r="N16" s="67">
        <f>(L16-M16)/M16</f>
        <v>-1</v>
      </c>
      <c r="O16" s="310">
        <f>SUM([3]Horizon_AS!$GB$41:$GF$41)</f>
        <v>819</v>
      </c>
      <c r="P16" s="2">
        <f>SUM([3]Horizon_AS!$FN$41:$FR$41)</f>
        <v>32191</v>
      </c>
      <c r="Q16" s="3">
        <f>(O16-P16)/P16</f>
        <v>-0.97455810630300399</v>
      </c>
      <c r="R16" s="370">
        <f>O16/$O$67</f>
        <v>5.5043884896583026E-5</v>
      </c>
    </row>
    <row r="17" spans="1:20" ht="14.1" customHeight="1" x14ac:dyDescent="0.2">
      <c r="A17" s="306"/>
      <c r="B17" s="40"/>
      <c r="C17" s="307"/>
      <c r="D17" s="165"/>
      <c r="E17" s="309"/>
      <c r="F17" s="165"/>
      <c r="G17" s="165"/>
      <c r="H17" s="308"/>
      <c r="I17" s="309"/>
      <c r="J17" s="306"/>
      <c r="K17" s="40"/>
      <c r="L17" s="141"/>
      <c r="M17" s="97"/>
      <c r="N17" s="67"/>
      <c r="O17" s="141"/>
      <c r="P17" s="97"/>
      <c r="Q17" s="3"/>
      <c r="R17" s="67"/>
    </row>
    <row r="18" spans="1:20" ht="14.1" customHeight="1" x14ac:dyDescent="0.2">
      <c r="A18" s="306" t="s">
        <v>17</v>
      </c>
      <c r="B18" s="311"/>
      <c r="C18" s="307">
        <f>SUM(C19:C25)</f>
        <v>1635</v>
      </c>
      <c r="D18" s="150">
        <f>SUM(D19:D25)</f>
        <v>1731</v>
      </c>
      <c r="E18" s="309">
        <f t="shared" ref="E18:E25" si="0">(C18-D18)/D18</f>
        <v>-5.5459272097053723E-2</v>
      </c>
      <c r="F18" s="307">
        <f>SUM(F19:F25)</f>
        <v>7950</v>
      </c>
      <c r="G18" s="150">
        <f>SUM(G19:G25)</f>
        <v>8362</v>
      </c>
      <c r="H18" s="308">
        <f t="shared" ref="H18:H25" si="1">(F18-G18)/G18</f>
        <v>-4.9270509447500596E-2</v>
      </c>
      <c r="I18" s="309">
        <f t="shared" ref="I18:I25" si="2">F18/$F$67</f>
        <v>5.3703878838645178E-2</v>
      </c>
      <c r="J18" s="306" t="s">
        <v>17</v>
      </c>
      <c r="K18" s="311"/>
      <c r="L18" s="307">
        <f>SUM(L19:L25)</f>
        <v>173404</v>
      </c>
      <c r="M18" s="150">
        <f>SUM(M19:M25)</f>
        <v>180747</v>
      </c>
      <c r="N18" s="309">
        <f t="shared" ref="N18:N25" si="3">(L18-M18)/M18</f>
        <v>-4.0625847178653036E-2</v>
      </c>
      <c r="O18" s="307">
        <f>SUM(O19:O25)</f>
        <v>841806</v>
      </c>
      <c r="P18" s="150">
        <f>SUM(P19:P25)</f>
        <v>859325</v>
      </c>
      <c r="Q18" s="308">
        <f t="shared" ref="Q18:Q25" si="4">(O18-P18)/P18</f>
        <v>-2.0386931603293284E-2</v>
      </c>
      <c r="R18" s="309">
        <f t="shared" ref="R18:R25" si="5">O18/$O$67</f>
        <v>5.6576645383703258E-2</v>
      </c>
    </row>
    <row r="19" spans="1:20" ht="14.1" customHeight="1" x14ac:dyDescent="0.2">
      <c r="A19" s="38"/>
      <c r="B19" s="40" t="s">
        <v>17</v>
      </c>
      <c r="C19" s="310">
        <f>[3]American!$GF$19</f>
        <v>1128</v>
      </c>
      <c r="D19" s="2">
        <f>[3]American!$FR$19</f>
        <v>1200</v>
      </c>
      <c r="E19" s="67">
        <f t="shared" si="0"/>
        <v>-0.06</v>
      </c>
      <c r="F19" s="2">
        <f>SUM([3]American!$GB$19:$GF$19)</f>
        <v>5967</v>
      </c>
      <c r="G19" s="2">
        <f>SUM([3]American!$FN$19:$FR$19)</f>
        <v>5600</v>
      </c>
      <c r="H19" s="3">
        <f t="shared" si="1"/>
        <v>6.553571428571428E-2</v>
      </c>
      <c r="I19" s="67">
        <f t="shared" si="2"/>
        <v>4.0308307550968023E-2</v>
      </c>
      <c r="J19" s="38"/>
      <c r="K19" s="40" t="s">
        <v>17</v>
      </c>
      <c r="L19" s="310">
        <f>[3]American!$GF$41</f>
        <v>143074</v>
      </c>
      <c r="M19" s="2">
        <f>[3]American!$FR$41</f>
        <v>150413</v>
      </c>
      <c r="N19" s="67">
        <f t="shared" si="3"/>
        <v>-4.8792325131471352E-2</v>
      </c>
      <c r="O19" s="310">
        <f>SUM([3]American!$GB$41:$GF$41)</f>
        <v>730503</v>
      </c>
      <c r="P19" s="2">
        <f>SUM([3]American!$FN$41:$FR$41)</f>
        <v>704761</v>
      </c>
      <c r="Q19" s="3">
        <f t="shared" si="4"/>
        <v>3.6525857702114618E-2</v>
      </c>
      <c r="R19" s="67">
        <f t="shared" si="5"/>
        <v>4.9096120938472029E-2</v>
      </c>
    </row>
    <row r="20" spans="1:20" ht="14.1" customHeight="1" x14ac:dyDescent="0.2">
      <c r="A20" s="38"/>
      <c r="B20" s="364" t="s">
        <v>170</v>
      </c>
      <c r="C20" s="310">
        <f>'[3]American Eagle'!$GF$19</f>
        <v>116</v>
      </c>
      <c r="D20" s="2">
        <f>'[3]American Eagle'!$FR$19</f>
        <v>73</v>
      </c>
      <c r="E20" s="67">
        <f t="shared" si="0"/>
        <v>0.58904109589041098</v>
      </c>
      <c r="F20" s="2">
        <f>SUM('[3]American Eagle'!$GB$19:$GF$19)</f>
        <v>398</v>
      </c>
      <c r="G20" s="2">
        <f>SUM('[3]American Eagle'!$FN$19:$FR$19)</f>
        <v>324</v>
      </c>
      <c r="H20" s="3">
        <f t="shared" si="1"/>
        <v>0.22839506172839505</v>
      </c>
      <c r="I20" s="67">
        <f t="shared" si="2"/>
        <v>2.6885715443749408E-3</v>
      </c>
      <c r="J20" s="38"/>
      <c r="K20" s="364" t="s">
        <v>170</v>
      </c>
      <c r="L20" s="310">
        <f>'[3]American Eagle'!$GF$41</f>
        <v>7856</v>
      </c>
      <c r="M20" s="2">
        <f>'[3]American Eagle'!$FR$41</f>
        <v>4802</v>
      </c>
      <c r="N20" s="67">
        <f t="shared" si="3"/>
        <v>0.63598500624739696</v>
      </c>
      <c r="O20" s="310">
        <f>SUM('[3]American Eagle'!$GB$41:$GF$41)</f>
        <v>27317</v>
      </c>
      <c r="P20" s="2">
        <f>SUM('[3]American Eagle'!$FN$41:$FR$41)</f>
        <v>20630</v>
      </c>
      <c r="Q20" s="3">
        <f t="shared" si="4"/>
        <v>0.32413960252060109</v>
      </c>
      <c r="R20" s="67">
        <f t="shared" si="5"/>
        <v>1.8359387102807796E-3</v>
      </c>
    </row>
    <row r="21" spans="1:20" ht="14.1" customHeight="1" x14ac:dyDescent="0.2">
      <c r="A21" s="38"/>
      <c r="B21" s="364" t="s">
        <v>52</v>
      </c>
      <c r="C21" s="310">
        <f>[3]Republic!$GF$19</f>
        <v>391</v>
      </c>
      <c r="D21" s="2">
        <f>[3]Republic!$FR$19</f>
        <v>444</v>
      </c>
      <c r="E21" s="67">
        <f t="shared" si="0"/>
        <v>-0.11936936936936937</v>
      </c>
      <c r="F21" s="2">
        <f>SUM([3]Republic!$GB$19:$GF$19)</f>
        <v>1585</v>
      </c>
      <c r="G21" s="2">
        <f>SUM([3]Republic!$FN$19:$FR$19)</f>
        <v>2033</v>
      </c>
      <c r="H21" s="3">
        <f t="shared" si="1"/>
        <v>-0.22036399409739302</v>
      </c>
      <c r="I21" s="67">
        <f t="shared" si="2"/>
        <v>1.0706999743302215E-2</v>
      </c>
      <c r="J21" s="38"/>
      <c r="K21" s="312" t="s">
        <v>52</v>
      </c>
      <c r="L21" s="310">
        <f>[3]Republic!$GF$41</f>
        <v>22474</v>
      </c>
      <c r="M21" s="2">
        <f>[3]Republic!$FR$41</f>
        <v>24807</v>
      </c>
      <c r="N21" s="67">
        <f t="shared" si="3"/>
        <v>-9.4046035393235777E-2</v>
      </c>
      <c r="O21" s="310">
        <f>SUM([3]Republic!$GB$41:$GF$41)</f>
        <v>83986</v>
      </c>
      <c r="P21" s="2">
        <f>SUM([3]Republic!$FN$41:$FR$41)</f>
        <v>112425</v>
      </c>
      <c r="Q21" s="3">
        <f t="shared" si="4"/>
        <v>-0.2529597509450745</v>
      </c>
      <c r="R21" s="67">
        <f t="shared" si="5"/>
        <v>5.6445857349504544E-3</v>
      </c>
    </row>
    <row r="22" spans="1:20" ht="14.1" customHeight="1" x14ac:dyDescent="0.2">
      <c r="A22" s="38"/>
      <c r="B22" s="364" t="s">
        <v>187</v>
      </c>
      <c r="C22" s="310">
        <f>[3]PSA!$GF$19</f>
        <v>0</v>
      </c>
      <c r="D22" s="2">
        <f>[3]PSA!$FR$19</f>
        <v>0</v>
      </c>
      <c r="E22" s="67" t="e">
        <f t="shared" si="0"/>
        <v>#DIV/0!</v>
      </c>
      <c r="F22" s="2">
        <f>SUM([3]PSA!$GB$19:$GF$19)</f>
        <v>0</v>
      </c>
      <c r="G22" s="2">
        <f>SUM([3]PSA!$FN$19:$FR$19)</f>
        <v>178</v>
      </c>
      <c r="H22" s="3">
        <f t="shared" si="1"/>
        <v>-1</v>
      </c>
      <c r="I22" s="67">
        <f t="shared" si="2"/>
        <v>0</v>
      </c>
      <c r="J22" s="38"/>
      <c r="K22" s="364" t="s">
        <v>187</v>
      </c>
      <c r="L22" s="310">
        <f>[3]PSA!$GF$41</f>
        <v>0</v>
      </c>
      <c r="M22" s="2">
        <f>[3]PSA!$FR$41</f>
        <v>0</v>
      </c>
      <c r="N22" s="67" t="e">
        <f t="shared" si="3"/>
        <v>#DIV/0!</v>
      </c>
      <c r="O22" s="310">
        <f>SUM([3]PSA!$GB$41:$GF$41)</f>
        <v>0</v>
      </c>
      <c r="P22" s="2">
        <f>SUM([3]PSA!$FN$41:$FR$41)</f>
        <v>7565</v>
      </c>
      <c r="Q22" s="3">
        <f t="shared" si="4"/>
        <v>-1</v>
      </c>
      <c r="R22" s="67">
        <f t="shared" si="5"/>
        <v>0</v>
      </c>
    </row>
    <row r="23" spans="1:20" ht="14.1" customHeight="1" x14ac:dyDescent="0.2">
      <c r="A23" s="38"/>
      <c r="B23" s="364" t="s">
        <v>99</v>
      </c>
      <c r="C23" s="310">
        <f>'[3]Sky West_AA'!$GF$19</f>
        <v>0</v>
      </c>
      <c r="D23" s="2">
        <f>'[3]Sky West_AA'!$FR$19</f>
        <v>14</v>
      </c>
      <c r="E23" s="67">
        <f>(C23-D23)/D23</f>
        <v>-1</v>
      </c>
      <c r="F23" s="2">
        <f>SUM('[3]Sky West_AA'!$GB$19:$GF$19)</f>
        <v>0</v>
      </c>
      <c r="G23" s="2">
        <f>SUM('[3]Sky West_AA'!$FN$19:$FR$19)</f>
        <v>227</v>
      </c>
      <c r="H23" s="3">
        <f>(F23-G23)/G23</f>
        <v>-1</v>
      </c>
      <c r="I23" s="67">
        <f t="shared" si="2"/>
        <v>0</v>
      </c>
      <c r="J23" s="38"/>
      <c r="K23" s="364" t="s">
        <v>99</v>
      </c>
      <c r="L23" s="310">
        <f>'[3]Sky West_AA'!$GF$41</f>
        <v>0</v>
      </c>
      <c r="M23" s="2">
        <f>'[3]Sky West_AA'!$FR$41</f>
        <v>725</v>
      </c>
      <c r="N23" s="67">
        <f>(L23-M23)/M23</f>
        <v>-1</v>
      </c>
      <c r="O23" s="310">
        <f>SUM('[3]Sky West_AA'!$GB$41:$GF$41)</f>
        <v>0</v>
      </c>
      <c r="P23" s="2">
        <f>SUM('[3]Sky West_AA'!$FN$41:$FR$41)</f>
        <v>13944</v>
      </c>
      <c r="Q23" s="3">
        <f>(O23-P23)/P23</f>
        <v>-1</v>
      </c>
      <c r="R23" s="370">
        <f t="shared" si="5"/>
        <v>0</v>
      </c>
    </row>
    <row r="24" spans="1:20" ht="14.1" customHeight="1" x14ac:dyDescent="0.2">
      <c r="A24" s="38"/>
      <c r="B24" s="364" t="s">
        <v>51</v>
      </c>
      <c r="C24" s="310">
        <f>[3]MESA!$GF$19</f>
        <v>0</v>
      </c>
      <c r="D24" s="2">
        <f>[3]MESA!$FR$19</f>
        <v>0</v>
      </c>
      <c r="E24" s="67" t="e">
        <f t="shared" si="0"/>
        <v>#DIV/0!</v>
      </c>
      <c r="F24" s="2">
        <f>SUM([3]MESA!$GB$19:$GF$19)</f>
        <v>0</v>
      </c>
      <c r="G24" s="2">
        <f>SUM([3]MESA!$FN$19:$FR$19)</f>
        <v>0</v>
      </c>
      <c r="H24" s="3" t="e">
        <f t="shared" si="1"/>
        <v>#DIV/0!</v>
      </c>
      <c r="I24" s="67">
        <f t="shared" si="2"/>
        <v>0</v>
      </c>
      <c r="J24" s="38"/>
      <c r="K24" s="364" t="s">
        <v>51</v>
      </c>
      <c r="L24" s="310">
        <f>[3]MESA!$GF$41</f>
        <v>0</v>
      </c>
      <c r="M24" s="2">
        <f>[3]MESA!$FR$41</f>
        <v>0</v>
      </c>
      <c r="N24" s="67" t="e">
        <f t="shared" si="3"/>
        <v>#DIV/0!</v>
      </c>
      <c r="O24" s="310">
        <f>SUM([3]MESA!$GB$41:$GF$41)</f>
        <v>0</v>
      </c>
      <c r="P24" s="2">
        <f>SUM([3]MESA!$FN$41:$FR$41)</f>
        <v>0</v>
      </c>
      <c r="Q24" s="3" t="e">
        <f t="shared" si="4"/>
        <v>#DIV/0!</v>
      </c>
      <c r="R24" s="67">
        <f t="shared" si="5"/>
        <v>0</v>
      </c>
    </row>
    <row r="25" spans="1:20" ht="14.1" customHeight="1" x14ac:dyDescent="0.2">
      <c r="A25" s="38"/>
      <c r="B25" s="364" t="s">
        <v>50</v>
      </c>
      <c r="C25" s="310">
        <f>'[3]Air Wisconsin'!$GF$19</f>
        <v>0</v>
      </c>
      <c r="D25" s="2">
        <f>'[3]Air Wisconsin'!$FR$19</f>
        <v>0</v>
      </c>
      <c r="E25" s="67" t="e">
        <f t="shared" si="0"/>
        <v>#DIV/0!</v>
      </c>
      <c r="F25" s="2">
        <f>SUM('[3]Air Wisconsin'!$GB$19:$GF$19)</f>
        <v>0</v>
      </c>
      <c r="G25" s="2">
        <f>SUM('[3]Air Wisconsin'!$FN$19:$FR$19)</f>
        <v>0</v>
      </c>
      <c r="H25" s="352" t="e">
        <f t="shared" si="1"/>
        <v>#DIV/0!</v>
      </c>
      <c r="I25" s="67">
        <f t="shared" si="2"/>
        <v>0</v>
      </c>
      <c r="J25" s="38"/>
      <c r="K25" s="312" t="s">
        <v>50</v>
      </c>
      <c r="L25" s="310">
        <f>'[3]Air Wisconsin'!$GF$41</f>
        <v>0</v>
      </c>
      <c r="M25" s="2">
        <f>'[3]Air Wisconsin'!$FR$41</f>
        <v>0</v>
      </c>
      <c r="N25" s="67" t="e">
        <f t="shared" si="3"/>
        <v>#DIV/0!</v>
      </c>
      <c r="O25" s="310">
        <f>SUM('[3]Air Wisconsin'!$GB$41:$GF$41)</f>
        <v>0</v>
      </c>
      <c r="P25" s="2">
        <f>SUM('[3]Air Wisconsin'!$FN$41:$FR$41)</f>
        <v>0</v>
      </c>
      <c r="Q25" s="3" t="e">
        <f t="shared" si="4"/>
        <v>#DIV/0!</v>
      </c>
      <c r="R25" s="67">
        <f t="shared" si="5"/>
        <v>0</v>
      </c>
    </row>
    <row r="26" spans="1:20" ht="14.1" customHeight="1" x14ac:dyDescent="0.2">
      <c r="A26" s="38"/>
      <c r="B26" s="40"/>
      <c r="C26" s="310"/>
      <c r="E26" s="67"/>
      <c r="F26" s="2"/>
      <c r="I26" s="67"/>
      <c r="J26" s="38"/>
      <c r="K26" s="40"/>
      <c r="L26" s="310"/>
      <c r="N26" s="67"/>
      <c r="O26" s="310"/>
      <c r="P26" s="2"/>
      <c r="Q26" s="3"/>
      <c r="R26" s="67"/>
      <c r="T26" s="2"/>
    </row>
    <row r="27" spans="1:20" ht="14.1" customHeight="1" x14ac:dyDescent="0.2">
      <c r="A27" s="306" t="s">
        <v>184</v>
      </c>
      <c r="B27" s="40"/>
      <c r="C27" s="307">
        <f>'[3]Boutique Air'!$GF$19</f>
        <v>152</v>
      </c>
      <c r="D27" s="150">
        <f>'[3]Boutique Air'!$FR$19</f>
        <v>158</v>
      </c>
      <c r="E27" s="309">
        <f>(C27-D27)/D27</f>
        <v>-3.7974683544303799E-2</v>
      </c>
      <c r="F27" s="150">
        <f>SUM('[3]Boutique Air'!$GB$19:$GF$19)</f>
        <v>706</v>
      </c>
      <c r="G27" s="150">
        <f>SUM('[3]Boutique Air'!$FN$19:$FR$19)</f>
        <v>746</v>
      </c>
      <c r="H27" s="308">
        <f>(F27-G27)/G27</f>
        <v>-5.3619302949061663E-2</v>
      </c>
      <c r="I27" s="309">
        <f>F27/$F$67</f>
        <v>4.7691746490671058E-3</v>
      </c>
      <c r="J27" s="306" t="s">
        <v>184</v>
      </c>
      <c r="K27" s="40"/>
      <c r="L27" s="307">
        <f>'[3]Boutique Air'!$GF$41</f>
        <v>804</v>
      </c>
      <c r="M27" s="150">
        <f>'[3]Boutique Air'!$FR$41</f>
        <v>894</v>
      </c>
      <c r="N27" s="309">
        <f>(L27-M27)/M27</f>
        <v>-0.10067114093959731</v>
      </c>
      <c r="O27" s="307">
        <f>SUM('[3]Boutique Air'!$GB$41:$GF$41)</f>
        <v>3141</v>
      </c>
      <c r="P27" s="150">
        <f>SUM('[3]Boutique Air'!$FN$41:$FR$41)</f>
        <v>3997</v>
      </c>
      <c r="Q27" s="308">
        <f>(O27-P27)/P27</f>
        <v>-0.21416062046534901</v>
      </c>
      <c r="R27" s="309">
        <f>O27/$O$67</f>
        <v>2.1110237174623599E-4</v>
      </c>
      <c r="T27" s="2"/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166</v>
      </c>
      <c r="B29" s="40"/>
      <c r="C29" s="307">
        <f>[3]Condor!$GF$19</f>
        <v>2</v>
      </c>
      <c r="D29" s="150">
        <f>[3]Condor!$FR$19</f>
        <v>10</v>
      </c>
      <c r="E29" s="309">
        <f>(C29-D29)/D29</f>
        <v>-0.8</v>
      </c>
      <c r="F29" s="150">
        <f>SUM([3]Condor!$GB$19:$GF$19)</f>
        <v>2</v>
      </c>
      <c r="G29" s="150">
        <f>SUM([3]Condor!$FN$19:$FR$19)</f>
        <v>10</v>
      </c>
      <c r="H29" s="308">
        <f>(F29-G29)/G29</f>
        <v>-0.8</v>
      </c>
      <c r="I29" s="309">
        <f>F29/$F$67</f>
        <v>1.3510409770728347E-5</v>
      </c>
      <c r="J29" s="306" t="s">
        <v>166</v>
      </c>
      <c r="K29" s="40"/>
      <c r="L29" s="307">
        <f>[3]Condor!$GF$41</f>
        <v>486</v>
      </c>
      <c r="M29" s="150">
        <f>[3]Condor!$FR$41</f>
        <v>1702</v>
      </c>
      <c r="N29" s="309">
        <f>(L29-M29)/M29</f>
        <v>-0.71445358401880144</v>
      </c>
      <c r="O29" s="307">
        <f>SUM([3]Condor!$GB$41:$GF$41)</f>
        <v>486</v>
      </c>
      <c r="P29" s="150">
        <f>SUM([3]Condor!$FN$41:$FR$41)</f>
        <v>1702</v>
      </c>
      <c r="Q29" s="308">
        <f>(O29-P29)/P29</f>
        <v>-0.71445358401880144</v>
      </c>
      <c r="R29" s="309">
        <f>O29/$O$67</f>
        <v>3.2663404224345974E-5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18</v>
      </c>
      <c r="B31" s="311"/>
      <c r="C31" s="307">
        <f>SUM(C32:C38)</f>
        <v>23115</v>
      </c>
      <c r="D31" s="150">
        <f>SUM(D32:D38)</f>
        <v>23463</v>
      </c>
      <c r="E31" s="309">
        <f t="shared" ref="E31:E38" si="6">(C31-D31)/D31</f>
        <v>-1.4831862933128756E-2</v>
      </c>
      <c r="F31" s="165">
        <f>SUM(F32:F38)</f>
        <v>108305</v>
      </c>
      <c r="G31" s="165">
        <f>SUM(G32:G38)</f>
        <v>108623</v>
      </c>
      <c r="H31" s="308">
        <f>(F31-G31)/G31</f>
        <v>-2.9275567789510508E-3</v>
      </c>
      <c r="I31" s="309">
        <f t="shared" ref="I31:I38" si="7">F31/$F$67</f>
        <v>0.73162246510936679</v>
      </c>
      <c r="J31" s="306" t="s">
        <v>18</v>
      </c>
      <c r="K31" s="311"/>
      <c r="L31" s="307">
        <f>SUM(L32:L38)</f>
        <v>2336883</v>
      </c>
      <c r="M31" s="150">
        <f>SUM(M32:M38)</f>
        <v>2231715</v>
      </c>
      <c r="N31" s="309">
        <f t="shared" ref="N31:N38" si="8">(L31-M31)/M31</f>
        <v>4.7124296785207791E-2</v>
      </c>
      <c r="O31" s="307">
        <f>SUM(O32:O38)</f>
        <v>10465716</v>
      </c>
      <c r="P31" s="150">
        <f>SUM(P32:P38)</f>
        <v>10218080</v>
      </c>
      <c r="Q31" s="308">
        <f t="shared" ref="Q31:Q38" si="9">(O31-P31)/P31</f>
        <v>2.4235081346006295E-2</v>
      </c>
      <c r="R31" s="309">
        <f t="shared" ref="R31:R38" si="10">O31/$O$67</f>
        <v>0.70338665062799433</v>
      </c>
      <c r="S31" s="353"/>
    </row>
    <row r="32" spans="1:20" ht="14.1" customHeight="1" x14ac:dyDescent="0.2">
      <c r="A32" s="38"/>
      <c r="B32" s="40" t="s">
        <v>18</v>
      </c>
      <c r="C32" s="310">
        <f>[3]Delta!$GF$19</f>
        <v>12474</v>
      </c>
      <c r="D32" s="2">
        <f>[3]Delta!$FR$19</f>
        <v>11674</v>
      </c>
      <c r="E32" s="67">
        <f t="shared" si="6"/>
        <v>6.8528353606304604E-2</v>
      </c>
      <c r="F32" s="2">
        <f>SUM([3]Delta!$GB$19:$GF$19)</f>
        <v>58084</v>
      </c>
      <c r="G32" s="2">
        <f>SUM([3]Delta!$FN$19:$FR$19)</f>
        <v>55261</v>
      </c>
      <c r="H32" s="3">
        <f t="shared" ref="H32:H38" si="11">(F32-G32)/G32</f>
        <v>5.1084851884692639E-2</v>
      </c>
      <c r="I32" s="67">
        <f t="shared" si="7"/>
        <v>0.39236932056149265</v>
      </c>
      <c r="J32" s="38"/>
      <c r="K32" s="40" t="s">
        <v>18</v>
      </c>
      <c r="L32" s="310">
        <f>[3]Delta!$GF$41</f>
        <v>1763826</v>
      </c>
      <c r="M32" s="2">
        <f>[3]Delta!$FR$41</f>
        <v>1632259</v>
      </c>
      <c r="N32" s="67">
        <f t="shared" si="8"/>
        <v>8.0604242341442131E-2</v>
      </c>
      <c r="O32" s="310">
        <f>SUM([3]Delta!$GB$41:$GF$41)</f>
        <v>7897759</v>
      </c>
      <c r="P32" s="2">
        <f>SUM([3]Delta!$FN$41:$FR$41)</f>
        <v>7559095</v>
      </c>
      <c r="Q32" s="3">
        <f t="shared" si="9"/>
        <v>4.4802188621786074E-2</v>
      </c>
      <c r="R32" s="67">
        <f t="shared" si="10"/>
        <v>0.53079772568614492</v>
      </c>
      <c r="T32" s="2"/>
    </row>
    <row r="33" spans="1:21" ht="14.1" customHeight="1" x14ac:dyDescent="0.2">
      <c r="A33" s="38"/>
      <c r="B33" s="312" t="s">
        <v>119</v>
      </c>
      <c r="C33" s="310">
        <f>[3]Compass!$GF$19</f>
        <v>0</v>
      </c>
      <c r="D33" s="2">
        <f>[3]Compass!$FR$19</f>
        <v>0</v>
      </c>
      <c r="E33" s="67" t="e">
        <f t="shared" si="6"/>
        <v>#DIV/0!</v>
      </c>
      <c r="F33" s="2">
        <f>SUM([3]Compass!$GB$19:$GF$19)</f>
        <v>0</v>
      </c>
      <c r="G33" s="2">
        <f>SUM([3]Compass!$FN$19:$FR$19)</f>
        <v>2</v>
      </c>
      <c r="H33" s="3">
        <f t="shared" si="11"/>
        <v>-1</v>
      </c>
      <c r="I33" s="67">
        <f t="shared" si="7"/>
        <v>0</v>
      </c>
      <c r="J33" s="38"/>
      <c r="K33" s="312" t="s">
        <v>119</v>
      </c>
      <c r="L33" s="310">
        <f>[3]Compass!$GF$41</f>
        <v>0</v>
      </c>
      <c r="M33" s="2">
        <f>[3]Compass!$FR$41</f>
        <v>0</v>
      </c>
      <c r="N33" s="67" t="e">
        <f t="shared" si="8"/>
        <v>#DIV/0!</v>
      </c>
      <c r="O33" s="310">
        <f>SUM([3]Compass!$GB$41:$GF$41)</f>
        <v>0</v>
      </c>
      <c r="P33" s="2">
        <f>SUM([3]Compass!$FN$41:$FR$41)</f>
        <v>0</v>
      </c>
      <c r="Q33" s="3" t="e">
        <f t="shared" si="9"/>
        <v>#DIV/0!</v>
      </c>
      <c r="R33" s="67">
        <f t="shared" si="10"/>
        <v>0</v>
      </c>
      <c r="S33" s="2"/>
      <c r="T33" s="2"/>
    </row>
    <row r="34" spans="1:21" ht="14.1" customHeight="1" x14ac:dyDescent="0.2">
      <c r="A34" s="38"/>
      <c r="B34" s="40" t="s">
        <v>162</v>
      </c>
      <c r="C34" s="310">
        <f>[3]Pinnacle!$GF$19</f>
        <v>2532</v>
      </c>
      <c r="D34" s="2">
        <f>[3]Pinnacle!$FR$19</f>
        <v>1613</v>
      </c>
      <c r="E34" s="67">
        <f t="shared" si="6"/>
        <v>0.56974581525108492</v>
      </c>
      <c r="F34" s="2">
        <f>SUM([3]Pinnacle!$GB$19:$GF$19)</f>
        <v>10778</v>
      </c>
      <c r="G34" s="2">
        <f>SUM([3]Pinnacle!$FN$19:$FR$19)</f>
        <v>10068</v>
      </c>
      <c r="H34" s="3">
        <f t="shared" si="11"/>
        <v>7.0520460866110454E-2</v>
      </c>
      <c r="I34" s="67">
        <f t="shared" si="7"/>
        <v>7.2807598254455055E-2</v>
      </c>
      <c r="J34" s="38"/>
      <c r="K34" s="40" t="s">
        <v>162</v>
      </c>
      <c r="L34" s="310">
        <f>[3]Pinnacle!$GF$41</f>
        <v>160838</v>
      </c>
      <c r="M34" s="2">
        <f>[3]Pinnacle!$FR$41</f>
        <v>95958</v>
      </c>
      <c r="N34" s="67">
        <f t="shared" si="8"/>
        <v>0.67612913983200984</v>
      </c>
      <c r="O34" s="310">
        <f>SUM([3]Pinnacle!$GB$41:$GF$41)</f>
        <v>655395</v>
      </c>
      <c r="P34" s="2">
        <f>SUM([3]Pinnacle!$FN$41:$FR$41)</f>
        <v>575141</v>
      </c>
      <c r="Q34" s="3">
        <f t="shared" si="9"/>
        <v>0.13953795677929412</v>
      </c>
      <c r="R34" s="67">
        <f t="shared" si="10"/>
        <v>4.4048213604146562E-2</v>
      </c>
    </row>
    <row r="35" spans="1:21" ht="14.1" customHeight="1" x14ac:dyDescent="0.2">
      <c r="A35" s="38"/>
      <c r="B35" s="40" t="s">
        <v>158</v>
      </c>
      <c r="C35" s="310">
        <f>'[3]Go Jet'!$GF$19</f>
        <v>114</v>
      </c>
      <c r="D35" s="2">
        <f>'[3]Go Jet'!$FR$19</f>
        <v>848</v>
      </c>
      <c r="E35" s="67">
        <f t="shared" si="6"/>
        <v>-0.86556603773584906</v>
      </c>
      <c r="F35" s="2">
        <f>SUM('[3]Go Jet'!$GB$19:$GF$19)</f>
        <v>1168</v>
      </c>
      <c r="G35" s="2">
        <f>SUM('[3]Go Jet'!$FN$19:$FR$19)</f>
        <v>3346</v>
      </c>
      <c r="H35" s="3">
        <f>(F35-G35)/G35</f>
        <v>-0.65092647937836223</v>
      </c>
      <c r="I35" s="67">
        <f t="shared" si="7"/>
        <v>7.8900793061053541E-3</v>
      </c>
      <c r="J35" s="38"/>
      <c r="K35" s="40" t="s">
        <v>158</v>
      </c>
      <c r="L35" s="310">
        <f>'[3]Go Jet'!$GF$41</f>
        <v>6958</v>
      </c>
      <c r="M35" s="2">
        <f>'[3]Go Jet'!$FR$41</f>
        <v>51273</v>
      </c>
      <c r="N35" s="67">
        <f t="shared" si="8"/>
        <v>-0.86429504807598545</v>
      </c>
      <c r="O35" s="310">
        <f>SUM('[3]Go Jet'!$GB$41:$GF$41)</f>
        <v>67017</v>
      </c>
      <c r="P35" s="2">
        <f>SUM('[3]Go Jet'!$FN$41:$FR$41)</f>
        <v>192678</v>
      </c>
      <c r="Q35" s="3">
        <f>(O35-P35)/P35</f>
        <v>-0.65218135957400425</v>
      </c>
      <c r="R35" s="67">
        <f t="shared" si="10"/>
        <v>4.5041221417757077E-3</v>
      </c>
      <c r="S35" s="285"/>
      <c r="T35" s="193"/>
    </row>
    <row r="36" spans="1:21" ht="14.1" customHeight="1" x14ac:dyDescent="0.2">
      <c r="A36" s="38"/>
      <c r="B36" s="40" t="s">
        <v>99</v>
      </c>
      <c r="C36" s="310">
        <f>'[3]Sky West'!$GF$19</f>
        <v>7995</v>
      </c>
      <c r="D36" s="2">
        <f>'[3]Sky West'!$FR$19</f>
        <v>9053</v>
      </c>
      <c r="E36" s="67">
        <f t="shared" si="6"/>
        <v>-0.11686733679443279</v>
      </c>
      <c r="F36" s="2">
        <f>SUM('[3]Sky West'!$GB$19:$GF$19)</f>
        <v>37953</v>
      </c>
      <c r="G36" s="2">
        <f>SUM('[3]Sky West'!$FN$19:$FR$19)</f>
        <v>38574</v>
      </c>
      <c r="H36" s="3">
        <f t="shared" si="11"/>
        <v>-1.6098926738217452E-2</v>
      </c>
      <c r="I36" s="67">
        <f t="shared" si="7"/>
        <v>0.25638029101422644</v>
      </c>
      <c r="J36" s="38"/>
      <c r="K36" s="40" t="s">
        <v>99</v>
      </c>
      <c r="L36" s="310">
        <f>'[3]Sky West'!$GF$41</f>
        <v>405261</v>
      </c>
      <c r="M36" s="2">
        <f>'[3]Sky West'!$FR$41</f>
        <v>438002</v>
      </c>
      <c r="N36" s="67">
        <f t="shared" si="8"/>
        <v>-7.4750800224656508E-2</v>
      </c>
      <c r="O36" s="310">
        <f>SUM('[3]Sky West'!$GB$41:$GF$41)</f>
        <v>1828911</v>
      </c>
      <c r="P36" s="2">
        <f>SUM('[3]Sky West'!$FN$41:$FR$41)</f>
        <v>1820339</v>
      </c>
      <c r="Q36" s="3">
        <f t="shared" si="9"/>
        <v>4.709012991536192E-3</v>
      </c>
      <c r="R36" s="67">
        <f t="shared" si="10"/>
        <v>0.12291864050072596</v>
      </c>
    </row>
    <row r="37" spans="1:21" ht="14.1" customHeight="1" x14ac:dyDescent="0.2">
      <c r="A37" s="38"/>
      <c r="B37" s="40" t="s">
        <v>133</v>
      </c>
      <c r="C37" s="310">
        <f>'[3]Shuttle America_Delta'!$GF$19</f>
        <v>0</v>
      </c>
      <c r="D37" s="2">
        <f>'[3]Shuttle America_Delta'!$FR$19</f>
        <v>0</v>
      </c>
      <c r="E37" s="67" t="e">
        <f t="shared" si="6"/>
        <v>#DIV/0!</v>
      </c>
      <c r="F37" s="2">
        <f>SUM('[3]Shuttle America_Delta'!$GB$19:$GF$19)</f>
        <v>322</v>
      </c>
      <c r="G37" s="2">
        <f>SUM('[3]Shuttle America_Delta'!$FN$19:$FR$19)</f>
        <v>76</v>
      </c>
      <c r="H37" s="3">
        <f t="shared" si="11"/>
        <v>3.236842105263158</v>
      </c>
      <c r="I37" s="67">
        <f t="shared" si="7"/>
        <v>2.1751759730872637E-3</v>
      </c>
      <c r="J37" s="38"/>
      <c r="K37" s="40" t="s">
        <v>133</v>
      </c>
      <c r="L37" s="310">
        <f>'[3]Shuttle America_Delta'!$GF$41</f>
        <v>0</v>
      </c>
      <c r="M37" s="2">
        <f>'[3]Shuttle America_Delta'!$FR$41</f>
        <v>0</v>
      </c>
      <c r="N37" s="67" t="e">
        <f t="shared" si="8"/>
        <v>#DIV/0!</v>
      </c>
      <c r="O37" s="310">
        <f>SUM('[3]Shuttle America_Delta'!$GB$41:$GF$41)</f>
        <v>16634</v>
      </c>
      <c r="P37" s="2">
        <f>SUM('[3]Shuttle America_Delta'!$FN$41:$FR$41)</f>
        <v>4528</v>
      </c>
      <c r="Q37" s="3">
        <f t="shared" si="9"/>
        <v>2.6735865724381624</v>
      </c>
      <c r="R37" s="67">
        <f t="shared" si="10"/>
        <v>1.1179486952011747E-3</v>
      </c>
    </row>
    <row r="38" spans="1:21" ht="14.1" customHeight="1" x14ac:dyDescent="0.2">
      <c r="A38" s="38"/>
      <c r="B38" s="364" t="s">
        <v>171</v>
      </c>
      <c r="C38" s="310">
        <f>'[3]Atlantic Southeast'!$GF$19</f>
        <v>0</v>
      </c>
      <c r="D38" s="2">
        <f>'[3]Atlantic Southeast'!$FR$19</f>
        <v>275</v>
      </c>
      <c r="E38" s="67">
        <f t="shared" si="6"/>
        <v>-1</v>
      </c>
      <c r="F38" s="2">
        <f>SUM('[3]Atlantic Southeast'!$GB$19:$GF$19)</f>
        <v>0</v>
      </c>
      <c r="G38" s="2">
        <f>SUM('[3]Atlantic Southeast'!$FN$19:$FR$19)</f>
        <v>1296</v>
      </c>
      <c r="H38" s="3">
        <f t="shared" si="11"/>
        <v>-1</v>
      </c>
      <c r="I38" s="67">
        <f t="shared" si="7"/>
        <v>0</v>
      </c>
      <c r="J38" s="38"/>
      <c r="K38" s="364" t="s">
        <v>171</v>
      </c>
      <c r="L38" s="310">
        <f>'[3]Atlantic Southeast'!$GF$41</f>
        <v>0</v>
      </c>
      <c r="M38" s="2">
        <f>'[3]Atlantic Southeast'!$FR$41</f>
        <v>14223</v>
      </c>
      <c r="N38" s="67">
        <f t="shared" si="8"/>
        <v>-1</v>
      </c>
      <c r="O38" s="310">
        <f>SUM('[3]Atlantic Southeast'!$GB$41:$GF$41)</f>
        <v>0</v>
      </c>
      <c r="P38" s="2">
        <f>SUM('[3]Atlantic Southeast'!$FN$41:$FR$41)</f>
        <v>66299</v>
      </c>
      <c r="Q38" s="3">
        <f t="shared" si="9"/>
        <v>-1</v>
      </c>
      <c r="R38" s="67">
        <f t="shared" si="10"/>
        <v>0</v>
      </c>
      <c r="S38" s="284"/>
    </row>
    <row r="39" spans="1:21" ht="14.1" customHeight="1" x14ac:dyDescent="0.2">
      <c r="A39" s="38"/>
      <c r="B39" s="364"/>
      <c r="C39" s="310"/>
      <c r="E39" s="67"/>
      <c r="F39" s="2"/>
      <c r="I39" s="67"/>
      <c r="J39" s="38"/>
      <c r="K39" s="364"/>
      <c r="L39" s="310"/>
      <c r="N39" s="67"/>
      <c r="O39" s="310"/>
      <c r="P39" s="2"/>
      <c r="Q39" s="3"/>
      <c r="R39" s="67"/>
      <c r="S39" s="284"/>
    </row>
    <row r="40" spans="1:21" ht="14.1" customHeight="1" x14ac:dyDescent="0.2">
      <c r="A40" s="306" t="s">
        <v>47</v>
      </c>
      <c r="B40" s="40"/>
      <c r="C40" s="307">
        <f>[3]Frontier!$GF$19</f>
        <v>320</v>
      </c>
      <c r="D40" s="150">
        <f>[3]Frontier!$FR$19</f>
        <v>326</v>
      </c>
      <c r="E40" s="309">
        <f>(C40-D40)/D40</f>
        <v>-1.8404907975460124E-2</v>
      </c>
      <c r="F40" s="150">
        <f>SUM([3]Frontier!$GB$19:$GF$19)</f>
        <v>1141</v>
      </c>
      <c r="G40" s="150">
        <f>SUM([3]Frontier!$FN$19:$FR$19)</f>
        <v>1320</v>
      </c>
      <c r="H40" s="308">
        <f>(F40-G40)/G40</f>
        <v>-0.13560606060606062</v>
      </c>
      <c r="I40" s="309">
        <f>F40/$F$67</f>
        <v>7.7076887742005213E-3</v>
      </c>
      <c r="J40" s="306" t="s">
        <v>47</v>
      </c>
      <c r="K40" s="40"/>
      <c r="L40" s="307">
        <f>[3]Frontier!$GF$41</f>
        <v>48811</v>
      </c>
      <c r="M40" s="150">
        <f>[3]Frontier!$FR$41</f>
        <v>45519</v>
      </c>
      <c r="N40" s="309">
        <f>(L40-M40)/M40</f>
        <v>7.2321448186471585E-2</v>
      </c>
      <c r="O40" s="307">
        <f>SUM([3]Frontier!$GB$41:$GF$41)</f>
        <v>190075</v>
      </c>
      <c r="P40" s="150">
        <f>SUM([3]Frontier!$FN$41:$FR$41)</f>
        <v>198186</v>
      </c>
      <c r="Q40" s="308">
        <f>(O40-P40)/P40</f>
        <v>-4.0926200639803012E-2</v>
      </c>
      <c r="R40" s="309">
        <f>O40/$O$67</f>
        <v>1.2774684275601977E-2</v>
      </c>
      <c r="S40" s="398"/>
      <c r="U40" s="2"/>
    </row>
    <row r="41" spans="1:21" ht="14.1" customHeight="1" x14ac:dyDescent="0.2">
      <c r="A41" s="306"/>
      <c r="B41" s="40"/>
      <c r="C41" s="307"/>
      <c r="D41" s="150"/>
      <c r="E41" s="309"/>
      <c r="F41" s="150"/>
      <c r="G41" s="150"/>
      <c r="H41" s="308"/>
      <c r="I41" s="309"/>
      <c r="J41" s="306"/>
      <c r="K41" s="40"/>
      <c r="L41" s="310"/>
      <c r="N41" s="67"/>
      <c r="O41" s="310"/>
      <c r="P41" s="2"/>
      <c r="Q41" s="3"/>
      <c r="R41" s="67"/>
      <c r="S41" s="398"/>
    </row>
    <row r="42" spans="1:21" ht="14.1" customHeight="1" x14ac:dyDescent="0.2">
      <c r="A42" s="306" t="s">
        <v>48</v>
      </c>
      <c r="B42" s="40"/>
      <c r="C42" s="307">
        <f>[3]Icelandair!$GF$19</f>
        <v>62</v>
      </c>
      <c r="D42" s="150">
        <f>[3]Icelandair!$FR$19</f>
        <v>74</v>
      </c>
      <c r="E42" s="309">
        <f>(C42-D42)/D42</f>
        <v>-0.16216216216216217</v>
      </c>
      <c r="F42" s="150">
        <f>SUM([3]Icelandair!$GB$19:$GF$19)</f>
        <v>148</v>
      </c>
      <c r="G42" s="150">
        <f>SUM([3]Icelandair!$FN$19:$FR$19)</f>
        <v>158</v>
      </c>
      <c r="H42" s="308">
        <f>(F42-G42)/G42</f>
        <v>-6.3291139240506333E-2</v>
      </c>
      <c r="I42" s="309">
        <f>F42/$F$67</f>
        <v>9.9977032303389768E-4</v>
      </c>
      <c r="J42" s="306" t="s">
        <v>48</v>
      </c>
      <c r="K42" s="40"/>
      <c r="L42" s="307">
        <f>[3]Icelandair!$GF$41</f>
        <v>10828</v>
      </c>
      <c r="M42" s="150">
        <f>[3]Icelandair!$FR$41</f>
        <v>10034</v>
      </c>
      <c r="N42" s="309">
        <f>(L42-M42)/M42</f>
        <v>7.9130954753836955E-2</v>
      </c>
      <c r="O42" s="307">
        <f>SUM([3]Icelandair!$GB$41:$GF$41)</f>
        <v>22346</v>
      </c>
      <c r="P42" s="150">
        <f>SUM([3]Icelandair!$FN$41:$FR$41)</f>
        <v>21369</v>
      </c>
      <c r="Q42" s="308">
        <f>(O42-P42)/P42</f>
        <v>4.5720436145818708E-2</v>
      </c>
      <c r="R42" s="309">
        <f>O42/$O$67</f>
        <v>1.5018445078132409E-3</v>
      </c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</row>
    <row r="44" spans="1:21" ht="14.1" customHeight="1" x14ac:dyDescent="0.2">
      <c r="A44" s="306" t="s">
        <v>216</v>
      </c>
      <c r="B44" s="40"/>
      <c r="C44" s="307">
        <f>'[3]Jet Blue'!$GF$19</f>
        <v>186</v>
      </c>
      <c r="D44" s="150">
        <f>'[3]Jet Blue'!$FR$19</f>
        <v>173</v>
      </c>
      <c r="E44" s="309">
        <f>(C44-D44)/D44</f>
        <v>7.5144508670520235E-2</v>
      </c>
      <c r="F44" s="150">
        <f>SUM('[3]Jet Blue'!$GB$19:$GF$19)</f>
        <v>846</v>
      </c>
      <c r="G44" s="150">
        <f>SUM('[3]Jet Blue'!$FN$19:$FR$19)</f>
        <v>173</v>
      </c>
      <c r="H44" s="308">
        <f>(F44-G44)/G44</f>
        <v>3.8901734104046244</v>
      </c>
      <c r="I44" s="309">
        <f>F44/$F$67</f>
        <v>5.71490333301809E-3</v>
      </c>
      <c r="J44" s="306" t="s">
        <v>216</v>
      </c>
      <c r="K44" s="40"/>
      <c r="L44" s="307">
        <f>'[3]Jet Blue'!$GF$41</f>
        <v>21368</v>
      </c>
      <c r="M44" s="150">
        <f>'[3]Jet Blue'!$FR$41</f>
        <v>19572</v>
      </c>
      <c r="N44" s="309">
        <f>(L44-M44)/M44</f>
        <v>9.1763744124259139E-2</v>
      </c>
      <c r="O44" s="307">
        <f>SUM('[3]Jet Blue'!$GB$41:$GF$41)</f>
        <v>86974</v>
      </c>
      <c r="P44" s="150">
        <f>SUM('[3]Jet Blue'!$FN$41:$FR$41)</f>
        <v>19572</v>
      </c>
      <c r="Q44" s="308">
        <f>(O44-P44)/P44</f>
        <v>3.4437972613938279</v>
      </c>
      <c r="R44" s="309">
        <f>O44/$O$67</f>
        <v>5.8454051831445808E-3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201</v>
      </c>
      <c r="B46" s="40"/>
      <c r="C46" s="307">
        <f>[3]KLM!$GF$19</f>
        <v>38</v>
      </c>
      <c r="D46" s="150">
        <f>[3]KLM!$FR$19</f>
        <v>34</v>
      </c>
      <c r="E46" s="309">
        <f>(C46-D46)/D46</f>
        <v>0.11764705882352941</v>
      </c>
      <c r="F46" s="150">
        <f>SUM([3]KLM!$GB$19:$GF$19)</f>
        <v>168</v>
      </c>
      <c r="G46" s="150">
        <f>SUM([3]KLM!$FN$19:$FR$19)</f>
        <v>128</v>
      </c>
      <c r="H46" s="308">
        <f>(F46-G46)/G46</f>
        <v>0.3125</v>
      </c>
      <c r="I46" s="309">
        <f>F46/$F$67</f>
        <v>1.1348744207411812E-3</v>
      </c>
      <c r="J46" s="306" t="s">
        <v>201</v>
      </c>
      <c r="K46" s="40"/>
      <c r="L46" s="307">
        <f>[3]KLM!$GF$41</f>
        <v>8000</v>
      </c>
      <c r="M46" s="150">
        <f>[3]KLM!$FR$41</f>
        <v>8241</v>
      </c>
      <c r="N46" s="309">
        <f>(L46-M46)/M46</f>
        <v>-2.9244023783521419E-2</v>
      </c>
      <c r="O46" s="307">
        <f>SUM([3]KLM!$GB$41:$GF$41)</f>
        <v>37063</v>
      </c>
      <c r="P46" s="150">
        <f>SUM([3]KLM!$FN$41:$FR$41)</f>
        <v>28253</v>
      </c>
      <c r="Q46" s="308">
        <f>(O46-P46)/P46</f>
        <v>0.3118252928892507</v>
      </c>
      <c r="R46" s="309">
        <f>O46/$O$67</f>
        <v>2.4909542196850511E-3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131</v>
      </c>
      <c r="B48" s="40"/>
      <c r="C48" s="307">
        <f>SUM(C49:C49)</f>
        <v>1380</v>
      </c>
      <c r="D48" s="150">
        <f>SUM(D49:D49)</f>
        <v>1372</v>
      </c>
      <c r="E48" s="309">
        <f>(C48-D48)/D48</f>
        <v>5.8309037900874635E-3</v>
      </c>
      <c r="F48" s="307">
        <f>SUM(F49:F49)</f>
        <v>6639</v>
      </c>
      <c r="G48" s="150">
        <f>SUM(G49:G49)</f>
        <v>6497</v>
      </c>
      <c r="H48" s="308">
        <f>(F48-G48)/G48</f>
        <v>2.1856241342157919E-2</v>
      </c>
      <c r="I48" s="309">
        <f>F48/$F$67</f>
        <v>4.4847805233932746E-2</v>
      </c>
      <c r="J48" s="306" t="s">
        <v>131</v>
      </c>
      <c r="K48" s="40"/>
      <c r="L48" s="307">
        <f>SUM(L49:L49)</f>
        <v>156520</v>
      </c>
      <c r="M48" s="150">
        <f>SUM(M49:M49)</f>
        <v>161388</v>
      </c>
      <c r="N48" s="309">
        <f>(L48-M48)/M48</f>
        <v>-3.016333308548343E-2</v>
      </c>
      <c r="O48" s="307">
        <f>SUM(O49:O49)</f>
        <v>762215</v>
      </c>
      <c r="P48" s="150">
        <f>SUM(P49:P49)</f>
        <v>776247</v>
      </c>
      <c r="Q48" s="308">
        <f>(O48-P48)/P48</f>
        <v>-1.8076720425328537E-2</v>
      </c>
      <c r="R48" s="309">
        <f>O48/$O$67</f>
        <v>5.1227441668435937E-2</v>
      </c>
    </row>
    <row r="49" spans="1:20" ht="14.1" customHeight="1" x14ac:dyDescent="0.2">
      <c r="A49" s="306"/>
      <c r="B49" s="40" t="s">
        <v>131</v>
      </c>
      <c r="C49" s="368">
        <f>[3]Southwest!$GF$19</f>
        <v>1380</v>
      </c>
      <c r="D49" s="254">
        <f>[3]Southwest!$FR$19</f>
        <v>1372</v>
      </c>
      <c r="E49" s="370">
        <f>(C49-D49)/D49</f>
        <v>5.8309037900874635E-3</v>
      </c>
      <c r="F49" s="254">
        <f>SUM([3]Southwest!$GB$19:$GF$19)</f>
        <v>6639</v>
      </c>
      <c r="G49" s="254">
        <f>SUM([3]Southwest!$FN$19:$FR$19)</f>
        <v>6497</v>
      </c>
      <c r="H49" s="369">
        <f>(F49-G49)/G49</f>
        <v>2.1856241342157919E-2</v>
      </c>
      <c r="I49" s="370">
        <f>F49/$F$67</f>
        <v>4.4847805233932746E-2</v>
      </c>
      <c r="J49" s="306"/>
      <c r="K49" s="40" t="s">
        <v>131</v>
      </c>
      <c r="L49" s="368">
        <f>[3]Southwest!$GF$41</f>
        <v>156520</v>
      </c>
      <c r="M49" s="254">
        <f>[3]Southwest!$FR$41</f>
        <v>161388</v>
      </c>
      <c r="N49" s="370">
        <f>(L49-M49)/M49</f>
        <v>-3.016333308548343E-2</v>
      </c>
      <c r="O49" s="368">
        <f>SUM([3]Southwest!$GB$41:$GF$41)</f>
        <v>762215</v>
      </c>
      <c r="P49" s="254">
        <f>SUM([3]Southwest!$FN$41:$FR$41)</f>
        <v>776247</v>
      </c>
      <c r="Q49" s="369">
        <f>(O49-P49)/P49</f>
        <v>-1.8076720425328537E-2</v>
      </c>
      <c r="R49" s="370">
        <f>O49/$O$67</f>
        <v>5.1227441668435937E-2</v>
      </c>
    </row>
    <row r="50" spans="1:20" ht="14.1" customHeight="1" x14ac:dyDescent="0.2">
      <c r="A50" s="306"/>
      <c r="B50" s="40"/>
      <c r="C50" s="307"/>
      <c r="D50" s="150"/>
      <c r="E50" s="309"/>
      <c r="F50" s="150"/>
      <c r="G50" s="150"/>
      <c r="H50" s="308"/>
      <c r="I50" s="309"/>
      <c r="J50" s="306"/>
      <c r="K50" s="40"/>
      <c r="L50" s="310"/>
      <c r="N50" s="67"/>
      <c r="O50" s="310"/>
      <c r="P50" s="2"/>
      <c r="Q50" s="3"/>
      <c r="R50" s="67"/>
    </row>
    <row r="51" spans="1:20" ht="14.1" customHeight="1" x14ac:dyDescent="0.2">
      <c r="A51" s="306" t="s">
        <v>159</v>
      </c>
      <c r="B51" s="40"/>
      <c r="C51" s="307">
        <f>[3]Spirit!$GF$19</f>
        <v>611</v>
      </c>
      <c r="D51" s="150">
        <f>[3]Spirit!$FR$19</f>
        <v>689</v>
      </c>
      <c r="E51" s="309">
        <f>(C51-D51)/D51</f>
        <v>-0.11320754716981132</v>
      </c>
      <c r="F51" s="150">
        <f>SUM([3]Spirit!$GB$19:$GF$19)</f>
        <v>3398</v>
      </c>
      <c r="G51" s="150">
        <f>SUM([3]Spirit!$FN$19:$FR$19)</f>
        <v>3573</v>
      </c>
      <c r="H51" s="308">
        <f>(F51-G51)/G51</f>
        <v>-4.897844948222782E-2</v>
      </c>
      <c r="I51" s="309">
        <f>F51/$F$67</f>
        <v>2.295418620046746E-2</v>
      </c>
      <c r="J51" s="306" t="s">
        <v>159</v>
      </c>
      <c r="K51" s="40"/>
      <c r="L51" s="307">
        <f>[3]Spirit!$GF$41</f>
        <v>89581</v>
      </c>
      <c r="M51" s="150">
        <f>[3]Spirit!$FR$41</f>
        <v>88010</v>
      </c>
      <c r="N51" s="309">
        <f>(L51-M51)/M51</f>
        <v>1.7850244290421542E-2</v>
      </c>
      <c r="O51" s="307">
        <f>SUM([3]Spirit!$GB$41:$GF$41)</f>
        <v>500090</v>
      </c>
      <c r="P51" s="150">
        <f>SUM([3]Spirit!$FN$41:$FR$41)</f>
        <v>470915</v>
      </c>
      <c r="Q51" s="308">
        <f>(O51-P51)/P51</f>
        <v>6.1953855791384856E-2</v>
      </c>
      <c r="R51" s="309">
        <f>O51/$O$67</f>
        <v>3.3610374112249333E-2</v>
      </c>
    </row>
    <row r="52" spans="1:20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>
        <f>O52/$O$67</f>
        <v>0</v>
      </c>
    </row>
    <row r="53" spans="1:20" ht="14.1" customHeight="1" x14ac:dyDescent="0.2">
      <c r="A53" s="306" t="s">
        <v>49</v>
      </c>
      <c r="B53" s="40"/>
      <c r="C53" s="307">
        <f>'[3]Sun Country'!$GF$19</f>
        <v>1637</v>
      </c>
      <c r="D53" s="150">
        <f>'[3]Sun Country'!$FR$19</f>
        <v>1450</v>
      </c>
      <c r="E53" s="309">
        <f>(C53-D53)/D53</f>
        <v>0.12896551724137931</v>
      </c>
      <c r="F53" s="150">
        <f>SUM('[3]Sun Country'!$GB$19:$GF$19)</f>
        <v>8734</v>
      </c>
      <c r="G53" s="150">
        <f>SUM('[3]Sun Country'!$FN$19:$FR$19)</f>
        <v>9229</v>
      </c>
      <c r="H53" s="308">
        <f>(F53-G53)/G53</f>
        <v>-5.3635280095351609E-2</v>
      </c>
      <c r="I53" s="309">
        <f>F53/$F$67</f>
        <v>5.8999959468770687E-2</v>
      </c>
      <c r="J53" s="306" t="s">
        <v>49</v>
      </c>
      <c r="K53" s="40"/>
      <c r="L53" s="307">
        <f>'[3]Sun Country'!$GF$41</f>
        <v>209348</v>
      </c>
      <c r="M53" s="150">
        <f>'[3]Sun Country'!$FR$41</f>
        <v>175056</v>
      </c>
      <c r="N53" s="309">
        <f>(L53-M53)/M53</f>
        <v>0.19589160040215703</v>
      </c>
      <c r="O53" s="307">
        <f>SUM('[3]Sun Country'!$GB$41:$GF$41)</f>
        <v>1188886</v>
      </c>
      <c r="P53" s="150">
        <f>SUM('[3]Sun Country'!$FN$41:$FR$41)</f>
        <v>1107984</v>
      </c>
      <c r="Q53" s="308">
        <f>(O53-P53)/P53</f>
        <v>7.3017299888807063E-2</v>
      </c>
      <c r="R53" s="309">
        <f>O53/$O$67</f>
        <v>7.9903423857337008E-2</v>
      </c>
    </row>
    <row r="54" spans="1:20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/>
    </row>
    <row r="55" spans="1:20" ht="14.1" customHeight="1" x14ac:dyDescent="0.2">
      <c r="A55" s="306" t="s">
        <v>19</v>
      </c>
      <c r="B55" s="311"/>
      <c r="C55" s="307">
        <f>SUM(C56:C62)</f>
        <v>1486</v>
      </c>
      <c r="D55" s="150">
        <f>SUM(D56:D62)</f>
        <v>1490</v>
      </c>
      <c r="E55" s="309">
        <f t="shared" ref="E55:E62" si="12">(C55-D55)/D55</f>
        <v>-2.6845637583892616E-3</v>
      </c>
      <c r="F55" s="150">
        <f>SUM(F56:F62)</f>
        <v>6954</v>
      </c>
      <c r="G55" s="150">
        <f>SUM(G56:G62)</f>
        <v>7042</v>
      </c>
      <c r="H55" s="308">
        <f t="shared" ref="H55:H62" si="13">(F55-G55)/G55</f>
        <v>-1.2496449872195399E-2</v>
      </c>
      <c r="I55" s="309">
        <f t="shared" ref="I55:I62" si="14">F55/$F$67</f>
        <v>4.6975694772822457E-2</v>
      </c>
      <c r="J55" s="306" t="s">
        <v>19</v>
      </c>
      <c r="K55" s="311"/>
      <c r="L55" s="307">
        <f>SUM(L56:L62)</f>
        <v>128782</v>
      </c>
      <c r="M55" s="150">
        <f>SUM(M56:M62)</f>
        <v>127183</v>
      </c>
      <c r="N55" s="309">
        <f t="shared" ref="N55:N62" si="15">(L55-M55)/M55</f>
        <v>1.2572434995243074E-2</v>
      </c>
      <c r="O55" s="307">
        <f>SUM(O56:O62)</f>
        <v>591600</v>
      </c>
      <c r="P55" s="150">
        <f>SUM(P56:P62)</f>
        <v>610372</v>
      </c>
      <c r="Q55" s="308">
        <f t="shared" ref="Q55:Q62" si="16">(O55-P55)/P55</f>
        <v>-3.0755014974474582E-2</v>
      </c>
      <c r="R55" s="309">
        <f t="shared" ref="R55:R62" si="17">O55/$O$67</f>
        <v>3.9760637734821143E-2</v>
      </c>
    </row>
    <row r="56" spans="1:20" ht="14.1" customHeight="1" x14ac:dyDescent="0.2">
      <c r="A56" s="38"/>
      <c r="B56" s="364" t="s">
        <v>19</v>
      </c>
      <c r="C56" s="310">
        <f>[3]United!$GF$19</f>
        <v>548</v>
      </c>
      <c r="D56" s="2">
        <f>[3]United!$FR$19+[3]Continental!$FR$19</f>
        <v>588</v>
      </c>
      <c r="E56" s="67">
        <f t="shared" si="12"/>
        <v>-6.8027210884353748E-2</v>
      </c>
      <c r="F56" s="2">
        <f>SUM([3]United!$GB$19:$GF$19)</f>
        <v>2450</v>
      </c>
      <c r="G56" s="2">
        <f>SUM([3]United!$FN$19:$FR$19)+SUM([3]Continental!$FN$19:$FR$19)</f>
        <v>2674</v>
      </c>
      <c r="H56" s="3">
        <f t="shared" si="13"/>
        <v>-8.3769633507853408E-2</v>
      </c>
      <c r="I56" s="67">
        <f t="shared" si="14"/>
        <v>1.6550251969142223E-2</v>
      </c>
      <c r="J56" s="38"/>
      <c r="K56" s="364" t="s">
        <v>19</v>
      </c>
      <c r="L56" s="310">
        <f>[3]United!$GF$41</f>
        <v>72574</v>
      </c>
      <c r="M56" s="2">
        <f>[3]United!$FR$41+[3]Continental!$FR$41</f>
        <v>68557</v>
      </c>
      <c r="N56" s="67">
        <f t="shared" si="15"/>
        <v>5.859357906559505E-2</v>
      </c>
      <c r="O56" s="310">
        <f>SUM([3]United!$GB$41:$GF$41)</f>
        <v>315277</v>
      </c>
      <c r="P56" s="2">
        <f>SUM([3]United!$FN$41:$FR$41)+SUM([3]Continental!$FN$41:$FR$41)</f>
        <v>334171</v>
      </c>
      <c r="Q56" s="3">
        <f t="shared" si="16"/>
        <v>-5.653991519311969E-2</v>
      </c>
      <c r="R56" s="67">
        <f t="shared" si="17"/>
        <v>2.1189341756459104E-2</v>
      </c>
    </row>
    <row r="57" spans="1:20" ht="14.1" customHeight="1" x14ac:dyDescent="0.2">
      <c r="A57" s="38"/>
      <c r="B57" s="364" t="s">
        <v>171</v>
      </c>
      <c r="C57" s="310">
        <f>'[3]Continental Express'!$GF$19</f>
        <v>0</v>
      </c>
      <c r="D57" s="2">
        <f>'[3]Continental Express'!$FR$19</f>
        <v>0</v>
      </c>
      <c r="E57" s="67" t="e">
        <f t="shared" si="12"/>
        <v>#DIV/0!</v>
      </c>
      <c r="F57" s="2">
        <f>SUM('[3]Continental Express'!$GB$19:$GF$19)</f>
        <v>54</v>
      </c>
      <c r="G57" s="2">
        <f>SUM('[3]Continental Express'!$FN$19:$FR$19)</f>
        <v>52</v>
      </c>
      <c r="H57" s="3">
        <f t="shared" si="13"/>
        <v>3.8461538461538464E-2</v>
      </c>
      <c r="I57" s="67">
        <f t="shared" si="14"/>
        <v>3.6478106380966535E-4</v>
      </c>
      <c r="J57" s="38"/>
      <c r="K57" s="364" t="s">
        <v>171</v>
      </c>
      <c r="L57" s="310">
        <f>'[3]Continental Express'!$GF$41</f>
        <v>0</v>
      </c>
      <c r="M57" s="2">
        <f>'[3]Continental Express'!$FR$41</f>
        <v>0</v>
      </c>
      <c r="N57" s="67" t="e">
        <f t="shared" si="15"/>
        <v>#DIV/0!</v>
      </c>
      <c r="O57" s="310">
        <f>SUM('[3]Continental Express'!$GB$41:$GF$41)</f>
        <v>1426</v>
      </c>
      <c r="P57" s="2">
        <f>SUM('[3]Continental Express'!$FN$41:$FR$41)</f>
        <v>1597</v>
      </c>
      <c r="Q57" s="3">
        <f t="shared" si="16"/>
        <v>-0.10707576706324358</v>
      </c>
      <c r="R57" s="67">
        <f t="shared" si="17"/>
        <v>9.5839535851681795E-5</v>
      </c>
    </row>
    <row r="58" spans="1:20" ht="14.1" customHeight="1" x14ac:dyDescent="0.2">
      <c r="A58" s="38"/>
      <c r="B58" s="40" t="s">
        <v>158</v>
      </c>
      <c r="C58" s="310">
        <f>'[3]Go Jet_UA'!$GF$19</f>
        <v>4</v>
      </c>
      <c r="D58" s="2">
        <f>'[3]Go Jet_UA'!$FR$19</f>
        <v>0</v>
      </c>
      <c r="E58" s="67" t="e">
        <f t="shared" si="12"/>
        <v>#DIV/0!</v>
      </c>
      <c r="F58" s="2">
        <f>SUM('[3]Go Jet_UA'!$GB$19:$GF$19)</f>
        <v>40</v>
      </c>
      <c r="G58" s="2">
        <f>SUM('[3]Go Jet_UA'!$FN$19:$FR$19)</f>
        <v>150</v>
      </c>
      <c r="H58" s="3">
        <f t="shared" si="13"/>
        <v>-0.73333333333333328</v>
      </c>
      <c r="I58" s="67">
        <f t="shared" si="14"/>
        <v>2.7020819541456693E-4</v>
      </c>
      <c r="J58" s="38"/>
      <c r="K58" s="40" t="s">
        <v>158</v>
      </c>
      <c r="L58" s="310">
        <f>'[3]Go Jet_UA'!$GF$41</f>
        <v>262</v>
      </c>
      <c r="M58" s="2">
        <f>'[3]Go Jet_UA'!$FR$41</f>
        <v>0</v>
      </c>
      <c r="N58" s="67" t="e">
        <f t="shared" si="15"/>
        <v>#DIV/0!</v>
      </c>
      <c r="O58" s="310">
        <f>SUM('[3]Go Jet_UA'!$GB$41:$GF$41)</f>
        <v>2380</v>
      </c>
      <c r="P58" s="2">
        <f>SUM('[3]Go Jet_UA'!$FN$41:$FR$41)</f>
        <v>9913</v>
      </c>
      <c r="Q58" s="3">
        <f t="shared" si="16"/>
        <v>-0.7599112276808232</v>
      </c>
      <c r="R58" s="67">
        <f t="shared" si="17"/>
        <v>1.5995658858836094E-4</v>
      </c>
    </row>
    <row r="59" spans="1:20" ht="14.1" customHeight="1" x14ac:dyDescent="0.2">
      <c r="A59" s="38"/>
      <c r="B59" s="40" t="s">
        <v>51</v>
      </c>
      <c r="C59" s="310">
        <f>[3]MESA_UA!$GF$19</f>
        <v>294</v>
      </c>
      <c r="D59" s="2">
        <f>[3]MESA_UA!$FR$19</f>
        <v>328</v>
      </c>
      <c r="E59" s="67">
        <f t="shared" si="12"/>
        <v>-0.10365853658536585</v>
      </c>
      <c r="F59" s="2">
        <f>SUM([3]MESA_UA!$GB$19:$GF$19)</f>
        <v>1248</v>
      </c>
      <c r="G59" s="2">
        <f>SUM([3]MESA_UA!$FN$19:$FR$19)</f>
        <v>1394</v>
      </c>
      <c r="H59" s="3">
        <f>(F59-G59)/G59</f>
        <v>-0.10473457675753228</v>
      </c>
      <c r="I59" s="67">
        <f t="shared" si="14"/>
        <v>8.4304956969344872E-3</v>
      </c>
      <c r="J59" s="38"/>
      <c r="K59" s="40" t="s">
        <v>51</v>
      </c>
      <c r="L59" s="310">
        <f>[3]MESA_UA!$GF$41</f>
        <v>18416</v>
      </c>
      <c r="M59" s="2">
        <f>[3]MESA_UA!$FR$41</f>
        <v>20914</v>
      </c>
      <c r="N59" s="67">
        <f t="shared" si="15"/>
        <v>-0.11944152242516974</v>
      </c>
      <c r="O59" s="310">
        <f>SUM([3]MESA_UA!$GB$41:$GF$41)</f>
        <v>78942</v>
      </c>
      <c r="P59" s="2">
        <f>SUM([3]MESA_UA!$FN$41:$FR$41)</f>
        <v>86428</v>
      </c>
      <c r="Q59" s="3">
        <f t="shared" si="16"/>
        <v>-8.6615448697181463E-2</v>
      </c>
      <c r="R59" s="67">
        <f t="shared" si="17"/>
        <v>5.3055853009841966E-3</v>
      </c>
    </row>
    <row r="60" spans="1:20" ht="14.1" customHeight="1" x14ac:dyDescent="0.2">
      <c r="A60" s="38"/>
      <c r="B60" s="364" t="s">
        <v>52</v>
      </c>
      <c r="C60" s="310">
        <f>[3]Republic_UA!$GF$19</f>
        <v>506</v>
      </c>
      <c r="D60" s="2">
        <f>[3]Republic_UA!$FR$19</f>
        <v>342</v>
      </c>
      <c r="E60" s="67">
        <f t="shared" si="12"/>
        <v>0.47953216374269003</v>
      </c>
      <c r="F60" s="2">
        <f>SUM([3]Republic_UA!$GB$19:$GF$19)</f>
        <v>2448</v>
      </c>
      <c r="G60" s="2">
        <f>SUM([3]Republic_UA!$FN$19:$FR$19)</f>
        <v>1826</v>
      </c>
      <c r="H60" s="3">
        <f t="shared" ref="H60" si="18">(F60-G60)/G60</f>
        <v>0.34063526834611174</v>
      </c>
      <c r="I60" s="67">
        <f t="shared" si="14"/>
        <v>1.6536741559371494E-2</v>
      </c>
      <c r="J60" s="38"/>
      <c r="K60" s="364" t="s">
        <v>52</v>
      </c>
      <c r="L60" s="310">
        <f>[3]Republic_UA!$GF$41</f>
        <v>28406</v>
      </c>
      <c r="M60" s="2">
        <f>[3]Republic_UA!$FR$41</f>
        <v>22995</v>
      </c>
      <c r="N60" s="67">
        <f t="shared" si="15"/>
        <v>0.23531202435312024</v>
      </c>
      <c r="O60" s="310">
        <f>SUM([3]Republic_UA!$GB$41:$GF$41)</f>
        <v>145964</v>
      </c>
      <c r="P60" s="2">
        <f>SUM([3]Republic_UA!$FN$41:$FR$41)</f>
        <v>116205</v>
      </c>
      <c r="Q60" s="3">
        <f t="shared" si="16"/>
        <v>0.25609052966739815</v>
      </c>
      <c r="R60" s="67">
        <f t="shared" si="17"/>
        <v>9.810043486013241E-3</v>
      </c>
    </row>
    <row r="61" spans="1:20" ht="14.1" customHeight="1" x14ac:dyDescent="0.2">
      <c r="A61" s="38"/>
      <c r="B61" s="40" t="s">
        <v>99</v>
      </c>
      <c r="C61" s="310">
        <f>'[3]Sky West_UA'!$GF$19</f>
        <v>134</v>
      </c>
      <c r="D61" s="2">
        <f>'[3]Sky West_UA'!$FR$19+'[3]Sky West_CO'!$FR$19</f>
        <v>232</v>
      </c>
      <c r="E61" s="67">
        <f t="shared" si="12"/>
        <v>-0.42241379310344829</v>
      </c>
      <c r="F61" s="2">
        <f>SUM('[3]Sky West_UA'!$GB$19:$GF$19)</f>
        <v>714</v>
      </c>
      <c r="G61" s="2">
        <f>SUM('[3]Sky West_UA'!$FN$19:$FR$19)+SUM('[3]Sky West_CO'!$FN$19:$FR$19)</f>
        <v>946</v>
      </c>
      <c r="H61" s="3">
        <f t="shared" si="13"/>
        <v>-0.2452431289640592</v>
      </c>
      <c r="I61" s="67">
        <f t="shared" si="14"/>
        <v>4.8232162881500194E-3</v>
      </c>
      <c r="J61" s="38"/>
      <c r="K61" s="40" t="s">
        <v>99</v>
      </c>
      <c r="L61" s="310">
        <f>'[3]Sky West_UA'!$GF$41</f>
        <v>9124</v>
      </c>
      <c r="M61" s="2">
        <f>'[3]Sky West_UA'!$FR$41+'[3]Sky West_CO'!$FR$41</f>
        <v>14717</v>
      </c>
      <c r="N61" s="67">
        <f t="shared" si="15"/>
        <v>-0.38003669226065095</v>
      </c>
      <c r="O61" s="310">
        <f>SUM('[3]Sky West_UA'!$GB$41:$GF$41)</f>
        <v>47611</v>
      </c>
      <c r="P61" s="2">
        <f>SUM('[3]Sky West_UA'!$FN$41:$FR$41)+SUM('[3]Sky West_CO'!$FN$41:$FR$41)</f>
        <v>62058</v>
      </c>
      <c r="Q61" s="3">
        <f t="shared" si="16"/>
        <v>-0.23279834993070997</v>
      </c>
      <c r="R61" s="67">
        <f t="shared" si="17"/>
        <v>3.1998710669245596E-3</v>
      </c>
    </row>
    <row r="62" spans="1:20" ht="14.1" customHeight="1" x14ac:dyDescent="0.2">
      <c r="A62" s="38"/>
      <c r="B62" s="312" t="s">
        <v>133</v>
      </c>
      <c r="C62" s="310">
        <f>'[3]Shuttle America'!$GF$19</f>
        <v>0</v>
      </c>
      <c r="D62" s="2">
        <f>'[3]Shuttle America'!$FR$19</f>
        <v>0</v>
      </c>
      <c r="E62" s="67" t="e">
        <f t="shared" si="12"/>
        <v>#DIV/0!</v>
      </c>
      <c r="F62" s="2">
        <f>SUM('[3]Shuttle America'!$GB$19:$GF$19)</f>
        <v>0</v>
      </c>
      <c r="G62" s="2">
        <f>SUM('[3]Shuttle America'!$FN$19:$FR$19)</f>
        <v>0</v>
      </c>
      <c r="H62" s="3" t="e">
        <f t="shared" si="13"/>
        <v>#DIV/0!</v>
      </c>
      <c r="I62" s="67">
        <f t="shared" si="14"/>
        <v>0</v>
      </c>
      <c r="J62" s="38"/>
      <c r="K62" s="312" t="s">
        <v>133</v>
      </c>
      <c r="L62" s="310">
        <f>'[3]Shuttle America'!$GF$41</f>
        <v>0</v>
      </c>
      <c r="M62" s="2">
        <f>'[3]Shuttle America'!$FR$41</f>
        <v>0</v>
      </c>
      <c r="N62" s="67" t="e">
        <f t="shared" si="15"/>
        <v>#DIV/0!</v>
      </c>
      <c r="O62" s="310">
        <f>SUM('[3]Shuttle America'!$GB$41:$GF$41)</f>
        <v>0</v>
      </c>
      <c r="P62" s="2">
        <f>SUM('[3]Shuttle America'!$FN$41:$FR$41)</f>
        <v>0</v>
      </c>
      <c r="Q62" s="3" t="e">
        <f t="shared" si="16"/>
        <v>#DIV/0!</v>
      </c>
      <c r="R62" s="67">
        <f t="shared" si="17"/>
        <v>0</v>
      </c>
    </row>
    <row r="63" spans="1:20" ht="14.1" customHeight="1" thickBot="1" x14ac:dyDescent="0.25">
      <c r="A63" s="366"/>
      <c r="B63" s="367"/>
      <c r="C63" s="313"/>
      <c r="D63" s="315"/>
      <c r="E63" s="316"/>
      <c r="F63" s="315"/>
      <c r="G63" s="315"/>
      <c r="H63" s="314"/>
      <c r="I63" s="316"/>
      <c r="J63" s="366"/>
      <c r="K63" s="367"/>
      <c r="L63" s="313"/>
      <c r="M63" s="315"/>
      <c r="N63" s="316"/>
      <c r="O63" s="313"/>
      <c r="P63" s="315"/>
      <c r="Q63" s="314"/>
      <c r="R63" s="400"/>
    </row>
    <row r="64" spans="1:20" s="194" customFormat="1" ht="14.1" customHeight="1" thickBot="1" x14ac:dyDescent="0.25">
      <c r="B64" s="193"/>
      <c r="C64" s="150"/>
      <c r="D64" s="150"/>
      <c r="E64" s="308"/>
      <c r="F64" s="365"/>
      <c r="G64" s="150"/>
      <c r="H64" s="308"/>
      <c r="I64" s="308"/>
      <c r="J64" s="317"/>
      <c r="K64" s="193"/>
      <c r="L64" s="318"/>
      <c r="M64" s="319"/>
      <c r="N64" s="317"/>
      <c r="S64"/>
      <c r="T64"/>
    </row>
    <row r="65" spans="2:18" ht="14.1" customHeight="1" x14ac:dyDescent="0.2">
      <c r="B65" s="320" t="s">
        <v>135</v>
      </c>
      <c r="C65" s="374">
        <f>+C67-C66</f>
        <v>18996</v>
      </c>
      <c r="D65" s="374">
        <f>+D67-D66</f>
        <v>18106</v>
      </c>
      <c r="E65" s="375">
        <f>(C65-D65)/D65</f>
        <v>4.9154976250966528E-2</v>
      </c>
      <c r="F65" s="374">
        <f>+F67-F66</f>
        <v>90094</v>
      </c>
      <c r="G65" s="374">
        <f>+G67-G66</f>
        <v>87005</v>
      </c>
      <c r="H65" s="375">
        <f>(F65-G65)/G65</f>
        <v>3.5503706683523935E-2</v>
      </c>
      <c r="I65" s="424">
        <f>F65/$F$67</f>
        <v>0.60860342894199981</v>
      </c>
      <c r="K65" s="320" t="s">
        <v>135</v>
      </c>
      <c r="L65" s="374">
        <f>+L67-L66</f>
        <v>2561130</v>
      </c>
      <c r="M65" s="374">
        <f>+M67-M66</f>
        <v>2389058</v>
      </c>
      <c r="N65" s="375">
        <f>(L65-M65)/M65</f>
        <v>7.2025040831993195E-2</v>
      </c>
      <c r="O65" s="374">
        <f>+O67-O66</f>
        <v>11852020</v>
      </c>
      <c r="P65" s="374">
        <f>+P67-P66</f>
        <v>11321574</v>
      </c>
      <c r="Q65" s="415">
        <f>(O65-P65)/P65</f>
        <v>4.6852672605416881E-2</v>
      </c>
      <c r="R65" s="419">
        <f>+O65/O67</f>
        <v>0.79655827188278383</v>
      </c>
    </row>
    <row r="66" spans="2:18" ht="14.1" customHeight="1" x14ac:dyDescent="0.2">
      <c r="B66" s="193" t="s">
        <v>136</v>
      </c>
      <c r="C66" s="376">
        <f>C62+C38+C36+C34+C33+C37+C20+C61+C58+C35+C57+C59+C25+C24+C21+C15+C6+C60+C22+C23+C7+C16</f>
        <v>12332</v>
      </c>
      <c r="D66" s="376">
        <f>D62+D38+D36+D34+D33+D37+D20+D61+D58+D35+D57+D59+D25+D24+D21+D15+D6+D60+D22+D23+D7+D16</f>
        <v>13628</v>
      </c>
      <c r="E66" s="321">
        <f>(C66-D66)/D66</f>
        <v>-9.5098326973877309E-2</v>
      </c>
      <c r="F66" s="376">
        <f>F62+F38+F36+F34+F33+F37+F20+F61+F58+F35+F57+F59+F25+F24+F21+F15+F6+F60+F22+F23+F7+F16</f>
        <v>57940</v>
      </c>
      <c r="G66" s="376">
        <f>G62+G38+G36+G34+G33+G37+G20+G61+G58+G35+G57+G59+G25+G24+G21+G15+G6+G60+G22+G23+G7+G16</f>
        <v>62346</v>
      </c>
      <c r="H66" s="321">
        <f>(F66-G66)/G66</f>
        <v>-7.06701312032849E-2</v>
      </c>
      <c r="I66" s="425">
        <f>F66/$F$67</f>
        <v>0.39139657105800019</v>
      </c>
      <c r="K66" s="193" t="s">
        <v>136</v>
      </c>
      <c r="L66" s="376">
        <f>L62+L38+L36+L34+L33+L37+L20+L61+L58+L35+L57+L59+L25+L24+L21+L15+L6+L60+L22+L23+L7+L16</f>
        <v>673867</v>
      </c>
      <c r="M66" s="376">
        <f>M62+M38+M36+M34+M33+M37+M20+M61+M58+M35+M57+M59+M25+M24+M21+M15+M6+M60+M22+M23+M7+M16</f>
        <v>713654</v>
      </c>
      <c r="N66" s="321">
        <f>(L66-M66)/M66</f>
        <v>-5.5751106278392609E-2</v>
      </c>
      <c r="O66" s="376">
        <f>O62+O38+O36+O34+O33+O37+O20+O61+O58+O35+O57+O59+O25+O24+O21+O15+O6+O60+O22+O23+O7+O16</f>
        <v>3027017</v>
      </c>
      <c r="P66" s="376">
        <f>P62+P38+P36+P34+P33+P37+P20+P61+P58+P35+P57+P59+P25+P24+P21+P15+P6+P60+P22+P23+P7+P16</f>
        <v>3198692</v>
      </c>
      <c r="Q66" s="413">
        <f>(O66-P66)/P66</f>
        <v>-5.3670375265889934E-2</v>
      </c>
      <c r="R66" s="420">
        <f>+O66/O67</f>
        <v>0.2034417281172162</v>
      </c>
    </row>
    <row r="67" spans="2:18" ht="14.1" customHeight="1" thickBot="1" x14ac:dyDescent="0.25">
      <c r="B67" s="193" t="s">
        <v>137</v>
      </c>
      <c r="C67" s="377">
        <f>C55+C53+C48+C42+C40+C31+C18+C13+C4+C51+C29+C27+C9+C46+C11+C44</f>
        <v>31328</v>
      </c>
      <c r="D67" s="377">
        <f>D55+D53+D48+D42+D40+D31+D18+D13+D4+D51+D29+D27+D9+D46+D11+D44</f>
        <v>31734</v>
      </c>
      <c r="E67" s="378">
        <f>(C67-D67)/D67</f>
        <v>-1.2793848868721246E-2</v>
      </c>
      <c r="F67" s="377">
        <f>F55+F53+F48+F42+F40+F31+F18+F13+F4+F51+F29+F27+F9+F46+F11+F44</f>
        <v>148034</v>
      </c>
      <c r="G67" s="377">
        <f>G55+G53+G48+G42+G40+G31+G18+G13+G4+G51+G29+G27+G9+G46+G11+G44</f>
        <v>149351</v>
      </c>
      <c r="H67" s="378">
        <f>(F67-G67)/G67</f>
        <v>-8.8181532095533335E-3</v>
      </c>
      <c r="I67" s="426">
        <f>+H67/H67</f>
        <v>1</v>
      </c>
      <c r="K67" s="193" t="s">
        <v>137</v>
      </c>
      <c r="L67" s="377">
        <f>L55+L53+L48+L42+L40+L31+L18+L13+L4+L51+L29+L27+L9+L46+L11+L44</f>
        <v>3234997</v>
      </c>
      <c r="M67" s="377">
        <f>M55+M53+M48+M42+M40+M31+M18+M13+M4+M51+M29+M27+M9+M46+M11+M44</f>
        <v>3102712</v>
      </c>
      <c r="N67" s="378">
        <f>(L67-M67)/M67</f>
        <v>4.2635281650375542E-2</v>
      </c>
      <c r="O67" s="377">
        <f>O55+O53+O48+O42+O40+O31+O18+O13+O4+O51+O29+O27+O9+O46+O11+O44</f>
        <v>14879037</v>
      </c>
      <c r="P67" s="377">
        <f>P55+P53+P48+P42+P40+P31+P18+P13+P4+P51+P29+P27+P9+P46+P11+P44</f>
        <v>14520266</v>
      </c>
      <c r="Q67" s="416">
        <f>(O67-P67)/P67</f>
        <v>2.4708293911420081E-2</v>
      </c>
      <c r="R67" s="421">
        <f>+O67/O67</f>
        <v>1</v>
      </c>
    </row>
    <row r="68" spans="2:18" x14ac:dyDescent="0.2">
      <c r="D68" s="3"/>
      <c r="F68" s="2"/>
      <c r="G68"/>
      <c r="H68"/>
      <c r="I68"/>
      <c r="J68"/>
      <c r="K68"/>
      <c r="M68"/>
      <c r="N68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F71" s="2"/>
      <c r="H71"/>
      <c r="I71"/>
      <c r="J71"/>
      <c r="K71"/>
      <c r="N71"/>
      <c r="O71" s="2"/>
      <c r="P71" s="2"/>
    </row>
    <row r="72" spans="2:18" x14ac:dyDescent="0.2">
      <c r="D72" s="3"/>
      <c r="F72"/>
      <c r="G72"/>
      <c r="H72"/>
      <c r="I72"/>
      <c r="J72"/>
      <c r="K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F139" s="195"/>
      <c r="K139"/>
    </row>
    <row r="140" spans="4:14" x14ac:dyDescent="0.2">
      <c r="F140" s="195"/>
      <c r="K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May 2019</oddHeader>
    <oddFooter>&amp;LPrinted on &amp;D&amp;RPage &amp;P of &amp;N</oddFooter>
  </headerFooter>
  <colBreaks count="1" manualBreakCount="1">
    <brk id="9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abSelected="1" zoomScaleNormal="100" zoomScaleSheetLayoutView="100" workbookViewId="0">
      <selection activeCell="E15" sqref="E1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43586</v>
      </c>
      <c r="B1" s="373" t="s">
        <v>17</v>
      </c>
      <c r="C1" s="373" t="s">
        <v>18</v>
      </c>
      <c r="D1" s="373" t="s">
        <v>19</v>
      </c>
      <c r="E1" s="373" t="s">
        <v>159</v>
      </c>
      <c r="F1" s="373" t="s">
        <v>166</v>
      </c>
      <c r="G1" s="373" t="s">
        <v>160</v>
      </c>
      <c r="H1" s="428" t="s">
        <v>216</v>
      </c>
      <c r="I1" s="428" t="s">
        <v>201</v>
      </c>
      <c r="J1" s="373" t="s">
        <v>20</v>
      </c>
      <c r="K1" s="372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7"/>
      <c r="I2" s="427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[3]American!$GF$22</f>
        <v>73548</v>
      </c>
      <c r="C4" s="13">
        <f>[3]Delta!$GF$22+[3]Delta!$GF$32</f>
        <v>883190</v>
      </c>
      <c r="D4" s="13">
        <f>[3]United!$GF$22</f>
        <v>36712</v>
      </c>
      <c r="E4" s="13">
        <f>[3]Spirit!$GF$22</f>
        <v>45815</v>
      </c>
      <c r="F4" s="13">
        <f>[3]Condor!$GF$22+[3]Condor!$GF$32</f>
        <v>236</v>
      </c>
      <c r="G4" s="13">
        <f>'[3]Air France'!$GF$22+'[3]Air France'!$GF$32</f>
        <v>5627</v>
      </c>
      <c r="H4" s="13">
        <f>'[3]Jet Blue'!$GF$22</f>
        <v>10378</v>
      </c>
      <c r="I4" s="13">
        <f>[3]KLM!$GF$22+[3]KLM!$GF$32</f>
        <v>3686</v>
      </c>
      <c r="J4" s="13">
        <f>'Other Major Airline Stats'!I5</f>
        <v>227889</v>
      </c>
      <c r="K4" s="242">
        <f>SUM(B4:J4)</f>
        <v>1287081</v>
      </c>
    </row>
    <row r="5" spans="1:20" x14ac:dyDescent="0.2">
      <c r="A5" s="47" t="s">
        <v>31</v>
      </c>
      <c r="B5" s="7">
        <f>[3]American!$GF$23</f>
        <v>69526</v>
      </c>
      <c r="C5" s="7">
        <f>[3]Delta!$GF$23+[3]Delta!$GF$33</f>
        <v>880636</v>
      </c>
      <c r="D5" s="7">
        <f>[3]United!$GF$23</f>
        <v>35862</v>
      </c>
      <c r="E5" s="7">
        <f>[3]Spirit!$GF$23</f>
        <v>43766</v>
      </c>
      <c r="F5" s="7">
        <f>[3]Condor!$GF$23+[3]Condor!$GF$33</f>
        <v>250</v>
      </c>
      <c r="G5" s="7">
        <f>'[3]Air France'!$GF$23+'[3]Air France'!$GF$33</f>
        <v>6374</v>
      </c>
      <c r="H5" s="7">
        <f>'[3]Jet Blue'!$GF$23</f>
        <v>10990</v>
      </c>
      <c r="I5" s="7">
        <f>[3]KLM!$GF$23+[3]KLM!$GF$33</f>
        <v>4314</v>
      </c>
      <c r="J5" s="7">
        <f>'Other Major Airline Stats'!I6</f>
        <v>222331</v>
      </c>
      <c r="K5" s="243">
        <f>SUM(B5:J5)</f>
        <v>1274049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143074</v>
      </c>
      <c r="C6" s="25">
        <f t="shared" si="0"/>
        <v>1763826</v>
      </c>
      <c r="D6" s="25">
        <f t="shared" si="0"/>
        <v>72574</v>
      </c>
      <c r="E6" s="25">
        <f t="shared" si="0"/>
        <v>89581</v>
      </c>
      <c r="F6" s="25">
        <f t="shared" ref="F6" si="1">SUM(F4:F5)</f>
        <v>486</v>
      </c>
      <c r="G6" s="25">
        <f t="shared" ref="G6:I6" si="2">SUM(G4:G5)</f>
        <v>12001</v>
      </c>
      <c r="H6" s="25">
        <f t="shared" ref="H6" si="3">SUM(H4:H5)</f>
        <v>21368</v>
      </c>
      <c r="I6" s="25">
        <f t="shared" si="2"/>
        <v>8000</v>
      </c>
      <c r="J6" s="25">
        <f t="shared" si="0"/>
        <v>450220</v>
      </c>
      <c r="K6" s="244">
        <f>SUM(B6:J6)</f>
        <v>2561130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[3]American!$GF$27</f>
        <v>2803</v>
      </c>
      <c r="C9" s="13">
        <f>[3]Delta!$GF$27+[3]Delta!$GF$37</f>
        <v>32052</v>
      </c>
      <c r="D9" s="13">
        <f>[3]United!$GF$27</f>
        <v>1370</v>
      </c>
      <c r="E9" s="13">
        <f>[3]Spirit!$GF$27</f>
        <v>252</v>
      </c>
      <c r="F9" s="13">
        <f>[3]Condor!$GF$27+[3]Condor!$GF$37</f>
        <v>1</v>
      </c>
      <c r="G9" s="13">
        <f>'[3]Air France'!$GF$27+'[3]Air France'!$GF$37</f>
        <v>0</v>
      </c>
      <c r="H9" s="13">
        <f>'[3]Jet Blue'!$GF$27</f>
        <v>230</v>
      </c>
      <c r="I9" s="13">
        <f>[3]KLM!$GF$27+[3]KLM!$GF$37</f>
        <v>6</v>
      </c>
      <c r="J9" s="13">
        <f>'Other Major Airline Stats'!I10</f>
        <v>4406</v>
      </c>
      <c r="K9" s="242">
        <f>SUM(B9:J9)</f>
        <v>41120</v>
      </c>
    </row>
    <row r="10" spans="1:20" x14ac:dyDescent="0.2">
      <c r="A10" s="47" t="s">
        <v>33</v>
      </c>
      <c r="B10" s="7">
        <f>[3]American!$GF$28</f>
        <v>3020</v>
      </c>
      <c r="C10" s="7">
        <f>[3]Delta!$GF$28+[3]Delta!$GF$38</f>
        <v>31783</v>
      </c>
      <c r="D10" s="7">
        <f>[3]United!$GF$28</f>
        <v>1358</v>
      </c>
      <c r="E10" s="7">
        <f>[3]Spirit!$GF$28</f>
        <v>262</v>
      </c>
      <c r="F10" s="7">
        <f>[3]Condor!$GF$28+[3]Condor!$GF$38</f>
        <v>0</v>
      </c>
      <c r="G10" s="7">
        <f>'[3]Air France'!$GF$28+'[3]Air France'!$GF$38</f>
        <v>0</v>
      </c>
      <c r="H10" s="7">
        <f>'[3]Jet Blue'!$GF$28</f>
        <v>280</v>
      </c>
      <c r="I10" s="7">
        <f>[3]KLM!$GF$28+[3]KLM!$GF$38</f>
        <v>9</v>
      </c>
      <c r="J10" s="7">
        <f>'Other Major Airline Stats'!I11</f>
        <v>4467</v>
      </c>
      <c r="K10" s="243">
        <f>SUM(B10:J10)</f>
        <v>41179</v>
      </c>
    </row>
    <row r="11" spans="1:20" ht="15.75" thickBot="1" x14ac:dyDescent="0.3">
      <c r="A11" s="48" t="s">
        <v>34</v>
      </c>
      <c r="B11" s="245">
        <f t="shared" ref="B11:J11" si="4">SUM(B9:B10)</f>
        <v>5823</v>
      </c>
      <c r="C11" s="245">
        <f t="shared" si="4"/>
        <v>63835</v>
      </c>
      <c r="D11" s="245">
        <f t="shared" si="4"/>
        <v>2728</v>
      </c>
      <c r="E11" s="245">
        <f t="shared" si="4"/>
        <v>514</v>
      </c>
      <c r="F11" s="245">
        <f t="shared" ref="F11" si="5">SUM(F9:F10)</f>
        <v>1</v>
      </c>
      <c r="G11" s="245">
        <f t="shared" ref="G11:I11" si="6">SUM(G9:G10)</f>
        <v>0</v>
      </c>
      <c r="H11" s="245">
        <f t="shared" ref="H11" si="7">SUM(H9:H10)</f>
        <v>510</v>
      </c>
      <c r="I11" s="245">
        <f t="shared" si="6"/>
        <v>15</v>
      </c>
      <c r="J11" s="245">
        <f t="shared" si="4"/>
        <v>8873</v>
      </c>
      <c r="K11" s="246">
        <f>SUM(B11:J11)</f>
        <v>82299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[3]American!$GF$4</f>
        <v>563</v>
      </c>
      <c r="C15" s="13">
        <f>[3]Delta!$GF$4+[3]Delta!$GF$15</f>
        <v>6233</v>
      </c>
      <c r="D15" s="13">
        <f>[3]United!$GF$4</f>
        <v>274</v>
      </c>
      <c r="E15" s="13">
        <f>[3]Spirit!$GF$4</f>
        <v>306</v>
      </c>
      <c r="F15" s="13">
        <f>[3]Condor!$GF$4+[3]Condor!$GF$15</f>
        <v>1</v>
      </c>
      <c r="G15" s="13">
        <f>'[3]Air France'!$GF$4+'[3]Air France'!$GF$15</f>
        <v>26</v>
      </c>
      <c r="H15" s="13">
        <f>'[3]Jet Blue'!$GF$4</f>
        <v>93</v>
      </c>
      <c r="I15" s="13">
        <f>[3]KLM!$GF$4+[3]KLM!$GF$15</f>
        <v>19</v>
      </c>
      <c r="J15" s="13">
        <f>'Other Major Airline Stats'!I16</f>
        <v>1867</v>
      </c>
      <c r="K15" s="18">
        <f>SUM(B15:J15)</f>
        <v>9382</v>
      </c>
      <c r="M15" s="267"/>
    </row>
    <row r="16" spans="1:20" x14ac:dyDescent="0.2">
      <c r="A16" s="47" t="s">
        <v>23</v>
      </c>
      <c r="B16" s="7">
        <f>[3]American!$GF$5</f>
        <v>565</v>
      </c>
      <c r="C16" s="7">
        <f>[3]Delta!$GF$5+[3]Delta!$GF$16</f>
        <v>6219</v>
      </c>
      <c r="D16" s="7">
        <f>[3]United!$GF$5</f>
        <v>274</v>
      </c>
      <c r="E16" s="7">
        <f>[3]Spirit!$GF$5</f>
        <v>305</v>
      </c>
      <c r="F16" s="7">
        <f>[3]Condor!$GF$5+[3]Condor!$GF$16</f>
        <v>1</v>
      </c>
      <c r="G16" s="7">
        <f>'[3]Air France'!$GF$5+'[3]Air France'!$GF$16</f>
        <v>26</v>
      </c>
      <c r="H16" s="7">
        <f>'[3]Jet Blue'!$GF$5</f>
        <v>93</v>
      </c>
      <c r="I16" s="7">
        <f>[3]KLM!$GF$5+[3]KLM!$GF$16</f>
        <v>19</v>
      </c>
      <c r="J16" s="7">
        <f>'Other Major Airline Stats'!I17</f>
        <v>1862</v>
      </c>
      <c r="K16" s="24">
        <f>SUM(B16:J16)</f>
        <v>9364</v>
      </c>
    </row>
    <row r="17" spans="1:11" x14ac:dyDescent="0.2">
      <c r="A17" s="47" t="s">
        <v>24</v>
      </c>
      <c r="B17" s="249">
        <f t="shared" ref="B17:J17" si="8">SUM(B15:B16)</f>
        <v>1128</v>
      </c>
      <c r="C17" s="247">
        <f t="shared" si="8"/>
        <v>12452</v>
      </c>
      <c r="D17" s="247">
        <f t="shared" si="8"/>
        <v>548</v>
      </c>
      <c r="E17" s="247">
        <f t="shared" si="8"/>
        <v>611</v>
      </c>
      <c r="F17" s="247">
        <f t="shared" ref="F17" si="9">SUM(F15:F16)</f>
        <v>2</v>
      </c>
      <c r="G17" s="247">
        <f t="shared" ref="G17:I17" si="10">SUM(G15:G16)</f>
        <v>52</v>
      </c>
      <c r="H17" s="247">
        <f t="shared" ref="H17" si="11">SUM(H15:H16)</f>
        <v>186</v>
      </c>
      <c r="I17" s="247">
        <f t="shared" si="10"/>
        <v>38</v>
      </c>
      <c r="J17" s="247">
        <f t="shared" si="8"/>
        <v>3729</v>
      </c>
      <c r="K17" s="248">
        <f>SUM(B17:J17)</f>
        <v>18746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[3]American!$GF$8</f>
        <v>0</v>
      </c>
      <c r="C19" s="13">
        <f>[3]Delta!$GF$8</f>
        <v>2</v>
      </c>
      <c r="D19" s="13">
        <f>[3]United!$GF$8</f>
        <v>0</v>
      </c>
      <c r="E19" s="13">
        <f>[3]Spirit!$GF$8</f>
        <v>0</v>
      </c>
      <c r="F19" s="13">
        <f>[3]Condor!$GF$8</f>
        <v>0</v>
      </c>
      <c r="G19" s="13">
        <f>'[3]Air France'!$GF$8</f>
        <v>0</v>
      </c>
      <c r="H19" s="13">
        <f>'[3]Jet Blue'!$GF$8</f>
        <v>0</v>
      </c>
      <c r="I19" s="13">
        <f>[3]KLM!$GF$8</f>
        <v>0</v>
      </c>
      <c r="J19" s="13">
        <f>'Other Major Airline Stats'!I20</f>
        <v>115</v>
      </c>
      <c r="K19" s="18">
        <f>SUM(B19:J19)</f>
        <v>117</v>
      </c>
    </row>
    <row r="20" spans="1:11" x14ac:dyDescent="0.2">
      <c r="A20" s="47" t="s">
        <v>26</v>
      </c>
      <c r="B20" s="7">
        <f>[3]American!$GF$9</f>
        <v>0</v>
      </c>
      <c r="C20" s="7">
        <f>[3]Delta!$GF$9</f>
        <v>20</v>
      </c>
      <c r="D20" s="7">
        <f>[3]United!$GF$9</f>
        <v>0</v>
      </c>
      <c r="E20" s="7">
        <f>[3]Spirit!$GF$9</f>
        <v>0</v>
      </c>
      <c r="F20" s="7">
        <f>[3]Condor!$GF$9</f>
        <v>0</v>
      </c>
      <c r="G20" s="7">
        <f>'[3]Air France'!$GF$9</f>
        <v>0</v>
      </c>
      <c r="H20" s="7">
        <f>'[3]Jet Blue'!$GF$9</f>
        <v>0</v>
      </c>
      <c r="I20" s="7">
        <f>[3]KLM!$GF$9</f>
        <v>0</v>
      </c>
      <c r="J20" s="7">
        <f>'Other Major Airline Stats'!I21</f>
        <v>113</v>
      </c>
      <c r="K20" s="24">
        <f>SUM(B20:J20)</f>
        <v>133</v>
      </c>
    </row>
    <row r="21" spans="1:11" x14ac:dyDescent="0.2">
      <c r="A21" s="47" t="s">
        <v>27</v>
      </c>
      <c r="B21" s="249">
        <f t="shared" ref="B21:J21" si="12">SUM(B19:B20)</f>
        <v>0</v>
      </c>
      <c r="C21" s="247">
        <f t="shared" si="12"/>
        <v>22</v>
      </c>
      <c r="D21" s="247">
        <f t="shared" si="12"/>
        <v>0</v>
      </c>
      <c r="E21" s="247">
        <f t="shared" si="12"/>
        <v>0</v>
      </c>
      <c r="F21" s="247">
        <f t="shared" ref="F21" si="13">SUM(F19:F20)</f>
        <v>0</v>
      </c>
      <c r="G21" s="247">
        <f t="shared" ref="G21:I21" si="14">SUM(G19:G20)</f>
        <v>0</v>
      </c>
      <c r="H21" s="247">
        <f t="shared" ref="H21" si="15">SUM(H19:H20)</f>
        <v>0</v>
      </c>
      <c r="I21" s="247">
        <f t="shared" si="14"/>
        <v>0</v>
      </c>
      <c r="J21" s="247">
        <f t="shared" si="12"/>
        <v>228</v>
      </c>
      <c r="K21" s="148">
        <f>SUM(B21:J21)</f>
        <v>250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6">B17+B21</f>
        <v>1128</v>
      </c>
      <c r="C23" s="19">
        <f t="shared" si="16"/>
        <v>12474</v>
      </c>
      <c r="D23" s="19">
        <f t="shared" si="16"/>
        <v>548</v>
      </c>
      <c r="E23" s="19">
        <f>E17+E21</f>
        <v>611</v>
      </c>
      <c r="F23" s="19">
        <f t="shared" ref="F23" si="17">F17+F21</f>
        <v>2</v>
      </c>
      <c r="G23" s="19">
        <f t="shared" ref="G23:I23" si="18">G17+G21</f>
        <v>52</v>
      </c>
      <c r="H23" s="19">
        <f t="shared" ref="H23" si="19">H17+H21</f>
        <v>186</v>
      </c>
      <c r="I23" s="19">
        <f t="shared" si="18"/>
        <v>38</v>
      </c>
      <c r="J23" s="19">
        <f t="shared" si="16"/>
        <v>3957</v>
      </c>
      <c r="K23" s="20">
        <f>SUM(B23:J23)</f>
        <v>18996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[3]American!$GF$47</f>
        <v>51055</v>
      </c>
      <c r="C28" s="13">
        <f>[3]Delta!$GF$47</f>
        <v>3975921</v>
      </c>
      <c r="D28" s="13">
        <f>[3]United!$GF$47</f>
        <v>60344</v>
      </c>
      <c r="E28" s="13">
        <f>[3]Spirit!$GF$47</f>
        <v>0</v>
      </c>
      <c r="F28" s="13">
        <f>[3]Condor!$GF$47</f>
        <v>1166</v>
      </c>
      <c r="G28" s="13">
        <f>'[3]Air France'!$GF$47</f>
        <v>225854</v>
      </c>
      <c r="H28" s="13">
        <f>'[3]Jet Blue'!$GF$47</f>
        <v>0</v>
      </c>
      <c r="I28" s="13">
        <f>[3]KLM!$GF$47</f>
        <v>409299</v>
      </c>
      <c r="J28" s="13">
        <f>'Other Major Airline Stats'!I28</f>
        <v>439453</v>
      </c>
      <c r="K28" s="18">
        <f>SUM(B28:J28)</f>
        <v>5163092</v>
      </c>
    </row>
    <row r="29" spans="1:11" x14ac:dyDescent="0.2">
      <c r="A29" s="47" t="s">
        <v>38</v>
      </c>
      <c r="B29" s="7">
        <f>[3]American!$GF$48</f>
        <v>29101</v>
      </c>
      <c r="C29" s="7">
        <f>[3]Delta!$GF$48</f>
        <v>1634037</v>
      </c>
      <c r="D29" s="7">
        <f>[3]United!$GF$48</f>
        <v>28427</v>
      </c>
      <c r="E29" s="7">
        <f>[3]Spirit!$GF$48</f>
        <v>0</v>
      </c>
      <c r="F29" s="7">
        <f>[3]Condor!$GF$48</f>
        <v>0</v>
      </c>
      <c r="G29" s="7">
        <f>'[3]Air France'!$GF$48</f>
        <v>0</v>
      </c>
      <c r="H29" s="7">
        <f>'[3]Jet Blue'!$GF$48</f>
        <v>0</v>
      </c>
      <c r="I29" s="7">
        <f>[3]KLM!$GF$48</f>
        <v>0</v>
      </c>
      <c r="J29" s="7">
        <f>'Other Major Airline Stats'!I29</f>
        <v>289879</v>
      </c>
      <c r="K29" s="24">
        <f>SUM(B29:J29)</f>
        <v>1981444</v>
      </c>
    </row>
    <row r="30" spans="1:11" x14ac:dyDescent="0.2">
      <c r="A30" s="51" t="s">
        <v>39</v>
      </c>
      <c r="B30" s="249">
        <f t="shared" ref="B30:J30" si="20">SUM(B28:B29)</f>
        <v>80156</v>
      </c>
      <c r="C30" s="249">
        <f t="shared" si="20"/>
        <v>5609958</v>
      </c>
      <c r="D30" s="249">
        <f t="shared" si="20"/>
        <v>88771</v>
      </c>
      <c r="E30" s="249">
        <f t="shared" si="20"/>
        <v>0</v>
      </c>
      <c r="F30" s="249">
        <f t="shared" ref="F30" si="21">SUM(F28:F29)</f>
        <v>1166</v>
      </c>
      <c r="G30" s="249">
        <f t="shared" ref="G30:I30" si="22">SUM(G28:G29)</f>
        <v>225854</v>
      </c>
      <c r="H30" s="249">
        <f t="shared" ref="H30" si="23">SUM(H28:H29)</f>
        <v>0</v>
      </c>
      <c r="I30" s="249">
        <f t="shared" si="22"/>
        <v>409299</v>
      </c>
      <c r="J30" s="249">
        <f t="shared" si="20"/>
        <v>729332</v>
      </c>
      <c r="K30" s="18">
        <f>SUM(B30:J30)</f>
        <v>7144536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24">SUM(B32:J32)</f>
        <v>0</v>
      </c>
    </row>
    <row r="33" spans="1:11" x14ac:dyDescent="0.2">
      <c r="A33" s="47" t="s">
        <v>37</v>
      </c>
      <c r="B33" s="13">
        <f>[3]American!$GF$52</f>
        <v>7562</v>
      </c>
      <c r="C33" s="13">
        <f>[3]Delta!$GF$52</f>
        <v>1802014</v>
      </c>
      <c r="D33" s="13">
        <f>[3]United!$GF$52</f>
        <v>48651</v>
      </c>
      <c r="E33" s="13">
        <f>[3]Spirit!$GF$52</f>
        <v>0</v>
      </c>
      <c r="F33" s="13">
        <f>[3]Condor!$GF$52</f>
        <v>0</v>
      </c>
      <c r="G33" s="13">
        <f>'[3]Air France'!$GF$52</f>
        <v>97680</v>
      </c>
      <c r="H33" s="13">
        <f>'[3]Jet Blue'!$GF$52</f>
        <v>0</v>
      </c>
      <c r="I33" s="13">
        <f>[3]KLM!$GF$52</f>
        <v>114525</v>
      </c>
      <c r="J33" s="13">
        <f>'Other Major Airline Stats'!I33</f>
        <v>160054</v>
      </c>
      <c r="K33" s="18">
        <f t="shared" si="24"/>
        <v>2230486</v>
      </c>
    </row>
    <row r="34" spans="1:11" x14ac:dyDescent="0.2">
      <c r="A34" s="47" t="s">
        <v>38</v>
      </c>
      <c r="B34" s="7">
        <f>[3]American!$GF$53</f>
        <v>60899</v>
      </c>
      <c r="C34" s="7">
        <f>[3]Delta!$GF$53</f>
        <v>1782671</v>
      </c>
      <c r="D34" s="7">
        <f>[3]United!$GF$53</f>
        <v>39191</v>
      </c>
      <c r="E34" s="7">
        <f>[3]Spirit!$GF$53</f>
        <v>0</v>
      </c>
      <c r="F34" s="7">
        <f>[3]Condor!$GF$53</f>
        <v>0</v>
      </c>
      <c r="G34" s="7">
        <f>'[3]Air France'!$GF$53</f>
        <v>0</v>
      </c>
      <c r="H34" s="7">
        <f>'[3]Jet Blue'!$GF$53</f>
        <v>0</v>
      </c>
      <c r="I34" s="7">
        <f>[3]KLM!$GF$53</f>
        <v>0</v>
      </c>
      <c r="J34" s="7">
        <f>'Other Major Airline Stats'!I34</f>
        <v>348170</v>
      </c>
      <c r="K34" s="24">
        <f t="shared" si="24"/>
        <v>2230931</v>
      </c>
    </row>
    <row r="35" spans="1:11" x14ac:dyDescent="0.2">
      <c r="A35" s="51" t="s">
        <v>41</v>
      </c>
      <c r="B35" s="249">
        <f t="shared" ref="B35:J35" si="25">SUM(B33:B34)</f>
        <v>68461</v>
      </c>
      <c r="C35" s="249">
        <f t="shared" si="25"/>
        <v>3584685</v>
      </c>
      <c r="D35" s="249">
        <f t="shared" si="25"/>
        <v>87842</v>
      </c>
      <c r="E35" s="249">
        <f t="shared" si="25"/>
        <v>0</v>
      </c>
      <c r="F35" s="249">
        <f t="shared" ref="F35" si="26">SUM(F33:F34)</f>
        <v>0</v>
      </c>
      <c r="G35" s="249">
        <f t="shared" ref="G35:I35" si="27">SUM(G33:G34)</f>
        <v>97680</v>
      </c>
      <c r="H35" s="249">
        <f t="shared" ref="H35" si="28">SUM(H33:H34)</f>
        <v>0</v>
      </c>
      <c r="I35" s="249">
        <f t="shared" si="27"/>
        <v>114525</v>
      </c>
      <c r="J35" s="249">
        <f t="shared" si="25"/>
        <v>508224</v>
      </c>
      <c r="K35" s="18">
        <f t="shared" si="24"/>
        <v>4461417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24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24"/>
        <v>0</v>
      </c>
    </row>
    <row r="38" spans="1:11" hidden="1" x14ac:dyDescent="0.2">
      <c r="A38" s="47" t="s">
        <v>37</v>
      </c>
      <c r="B38" s="13">
        <f>[3]American!$GF$57</f>
        <v>0</v>
      </c>
      <c r="C38" s="13">
        <f>[3]Delta!$GF$57</f>
        <v>0</v>
      </c>
      <c r="D38" s="13">
        <f>[3]United!$GF$57</f>
        <v>0</v>
      </c>
      <c r="E38" s="13">
        <f>[3]Spirit!$GF$57</f>
        <v>0</v>
      </c>
      <c r="F38" s="13">
        <f>[3]Condor!$GF$57</f>
        <v>0</v>
      </c>
      <c r="G38" s="13">
        <f>'[3]Air France'!$GF$57</f>
        <v>0</v>
      </c>
      <c r="H38" s="13">
        <f>'[3]Jet Blue'!$GF$57</f>
        <v>0</v>
      </c>
      <c r="I38" s="13">
        <f>[3]KLM!$GF$57</f>
        <v>0</v>
      </c>
      <c r="J38" s="13">
        <f>'Other Major Airline Stats'!I38</f>
        <v>0</v>
      </c>
      <c r="K38" s="18">
        <f t="shared" si="24"/>
        <v>0</v>
      </c>
    </row>
    <row r="39" spans="1:11" hidden="1" x14ac:dyDescent="0.2">
      <c r="A39" s="47" t="s">
        <v>38</v>
      </c>
      <c r="B39" s="7">
        <f>[3]American!$GF$58</f>
        <v>0</v>
      </c>
      <c r="C39" s="7">
        <f>[3]Delta!$GF$58</f>
        <v>0</v>
      </c>
      <c r="D39" s="7">
        <f>[3]United!$GF$58</f>
        <v>0</v>
      </c>
      <c r="E39" s="7">
        <f>[3]Spirit!$GF$58</f>
        <v>0</v>
      </c>
      <c r="F39" s="7">
        <f>[3]Condor!$GF$58</f>
        <v>0</v>
      </c>
      <c r="G39" s="7">
        <f>'[3]Air France'!$GF$58</f>
        <v>0</v>
      </c>
      <c r="H39" s="7">
        <f>'[3]Jet Blue'!$GF$58</f>
        <v>0</v>
      </c>
      <c r="I39" s="7">
        <f>[3]KLM!$GF$58</f>
        <v>0</v>
      </c>
      <c r="J39" s="7">
        <f>'Other Major Airline Stats'!I39</f>
        <v>0</v>
      </c>
      <c r="K39" s="24">
        <f t="shared" si="24"/>
        <v>0</v>
      </c>
    </row>
    <row r="40" spans="1:11" hidden="1" x14ac:dyDescent="0.2">
      <c r="A40" s="51" t="s">
        <v>43</v>
      </c>
      <c r="B40" s="249">
        <f t="shared" ref="B40:J40" si="29">SUM(B38:B39)</f>
        <v>0</v>
      </c>
      <c r="C40" s="249">
        <f t="shared" si="29"/>
        <v>0</v>
      </c>
      <c r="D40" s="249">
        <f t="shared" si="29"/>
        <v>0</v>
      </c>
      <c r="E40" s="249">
        <f t="shared" si="29"/>
        <v>0</v>
      </c>
      <c r="F40" s="249">
        <f t="shared" ref="F40" si="30">SUM(F38:F39)</f>
        <v>0</v>
      </c>
      <c r="G40" s="249">
        <f t="shared" ref="G40:I40" si="31">SUM(G38:G39)</f>
        <v>0</v>
      </c>
      <c r="H40" s="249">
        <f t="shared" ref="H40" si="32">SUM(H38:H39)</f>
        <v>0</v>
      </c>
      <c r="I40" s="249">
        <f t="shared" si="31"/>
        <v>0</v>
      </c>
      <c r="J40" s="249">
        <f t="shared" si="29"/>
        <v>0</v>
      </c>
      <c r="K40" s="18">
        <f t="shared" si="24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33">B28+B33+B38</f>
        <v>58617</v>
      </c>
      <c r="C43" s="13">
        <f t="shared" si="33"/>
        <v>5777935</v>
      </c>
      <c r="D43" s="13">
        <f t="shared" si="33"/>
        <v>108995</v>
      </c>
      <c r="E43" s="13">
        <f>E28+E33+E38</f>
        <v>0</v>
      </c>
      <c r="F43" s="13">
        <f t="shared" ref="F43" si="34">F28+F33+F38</f>
        <v>1166</v>
      </c>
      <c r="G43" s="13">
        <f t="shared" ref="G43:I43" si="35">G28+G33+G38</f>
        <v>323534</v>
      </c>
      <c r="H43" s="13">
        <f t="shared" ref="H43" si="36">H28+H33+H38</f>
        <v>0</v>
      </c>
      <c r="I43" s="13">
        <f t="shared" si="35"/>
        <v>523824</v>
      </c>
      <c r="J43" s="13">
        <f t="shared" si="33"/>
        <v>599507</v>
      </c>
      <c r="K43" s="18">
        <f>SUM(B43:J43)</f>
        <v>7393578</v>
      </c>
    </row>
    <row r="44" spans="1:11" x14ac:dyDescent="0.2">
      <c r="A44" s="47" t="s">
        <v>38</v>
      </c>
      <c r="B44" s="7">
        <f t="shared" si="33"/>
        <v>90000</v>
      </c>
      <c r="C44" s="7">
        <f t="shared" si="33"/>
        <v>3416708</v>
      </c>
      <c r="D44" s="7">
        <f t="shared" si="33"/>
        <v>67618</v>
      </c>
      <c r="E44" s="7">
        <f>E29+E34+E39</f>
        <v>0</v>
      </c>
      <c r="F44" s="7">
        <f t="shared" ref="F44" si="37">F29+F34+F39</f>
        <v>0</v>
      </c>
      <c r="G44" s="7">
        <f t="shared" ref="G44:I44" si="38">G29+G34+G39</f>
        <v>0</v>
      </c>
      <c r="H44" s="7">
        <f t="shared" ref="H44" si="39">H29+H34+H39</f>
        <v>0</v>
      </c>
      <c r="I44" s="7">
        <f t="shared" si="38"/>
        <v>0</v>
      </c>
      <c r="J44" s="7">
        <f t="shared" si="33"/>
        <v>638049</v>
      </c>
      <c r="K44" s="18">
        <f>SUM(B44:J44)</f>
        <v>4212375</v>
      </c>
    </row>
    <row r="45" spans="1:11" ht="15.75" thickBot="1" x14ac:dyDescent="0.3">
      <c r="A45" s="48" t="s">
        <v>46</v>
      </c>
      <c r="B45" s="250">
        <f t="shared" ref="B45:J45" si="40">SUM(B43:B44)</f>
        <v>148617</v>
      </c>
      <c r="C45" s="250">
        <f t="shared" si="40"/>
        <v>9194643</v>
      </c>
      <c r="D45" s="250">
        <f t="shared" si="40"/>
        <v>176613</v>
      </c>
      <c r="E45" s="250">
        <f t="shared" si="40"/>
        <v>0</v>
      </c>
      <c r="F45" s="250">
        <f t="shared" ref="F45" si="41">SUM(F43:F44)</f>
        <v>1166</v>
      </c>
      <c r="G45" s="250">
        <f t="shared" ref="G45:I45" si="42">SUM(G43:G44)</f>
        <v>323534</v>
      </c>
      <c r="H45" s="250">
        <f t="shared" ref="H45" si="43">SUM(H43:H44)</f>
        <v>0</v>
      </c>
      <c r="I45" s="250">
        <f t="shared" si="42"/>
        <v>523824</v>
      </c>
      <c r="J45" s="250">
        <f t="shared" si="40"/>
        <v>1237556</v>
      </c>
      <c r="K45" s="251">
        <f>SUM(B45:J45)</f>
        <v>11605953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123</v>
      </c>
      <c r="C47" s="276">
        <f>[3]Delta!$GF$70+[3]Delta!$GF$73</f>
        <v>436645</v>
      </c>
      <c r="D47" s="264"/>
      <c r="E47" s="264"/>
      <c r="F47" s="264"/>
      <c r="G47" s="264"/>
      <c r="H47" s="264"/>
      <c r="I47" s="264"/>
      <c r="J47" s="264"/>
      <c r="K47" s="265">
        <f>SUM(B47:J47)</f>
        <v>436645</v>
      </c>
    </row>
    <row r="48" spans="1:11" hidden="1" x14ac:dyDescent="0.2">
      <c r="A48" s="323" t="s">
        <v>124</v>
      </c>
      <c r="C48" s="276">
        <f>[3]Delta!$GF$71+[3]Delta!$GF$74</f>
        <v>443991</v>
      </c>
      <c r="D48" s="264"/>
      <c r="E48" s="264"/>
      <c r="F48" s="264"/>
      <c r="G48" s="264"/>
      <c r="H48" s="264"/>
      <c r="I48" s="264"/>
      <c r="J48" s="264"/>
      <c r="K48" s="265">
        <f>SUM(B48:J48)</f>
        <v>443991</v>
      </c>
    </row>
    <row r="49" spans="1:11" hidden="1" x14ac:dyDescent="0.2">
      <c r="A49" s="324" t="s">
        <v>125</v>
      </c>
      <c r="C49" s="277">
        <f>SUM(C47:C48)</f>
        <v>880636</v>
      </c>
      <c r="K49" s="265">
        <f>SUM(B49:J49)</f>
        <v>880636</v>
      </c>
    </row>
    <row r="50" spans="1:11" x14ac:dyDescent="0.2">
      <c r="A50" s="322" t="s">
        <v>123</v>
      </c>
      <c r="B50" s="333"/>
      <c r="C50" s="279">
        <f>[3]Delta!$GF$70+[3]Delta!$GF$73</f>
        <v>436645</v>
      </c>
      <c r="D50" s="333"/>
      <c r="E50" s="279">
        <f>[3]Spirit!$GF$70+[3]Spirit!$GF$73</f>
        <v>0</v>
      </c>
      <c r="F50" s="333"/>
      <c r="G50" s="333"/>
      <c r="H50" s="333"/>
      <c r="I50" s="333"/>
      <c r="J50" s="278">
        <f>'Other Major Airline Stats'!I48</f>
        <v>176636</v>
      </c>
      <c r="K50" s="268">
        <f>SUM(B50:J50)</f>
        <v>613281</v>
      </c>
    </row>
    <row r="51" spans="1:11" x14ac:dyDescent="0.2">
      <c r="A51" s="335" t="s">
        <v>124</v>
      </c>
      <c r="B51" s="333"/>
      <c r="C51" s="279">
        <f>[3]Delta!$GF$71+[3]Delta!$GF$74</f>
        <v>443991</v>
      </c>
      <c r="D51" s="333"/>
      <c r="E51" s="279">
        <f>[3]Spirit!$GF$71+[3]Spirit!$GF$74</f>
        <v>0</v>
      </c>
      <c r="F51" s="333"/>
      <c r="G51" s="333"/>
      <c r="H51" s="333"/>
      <c r="I51" s="333"/>
      <c r="J51" s="278">
        <f>+'Other Major Airline Stats'!I49</f>
        <v>3522</v>
      </c>
      <c r="K51" s="268">
        <f>SUM(B51:J51)</f>
        <v>447513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C8" sqref="C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25">
        <v>43586</v>
      </c>
      <c r="B2" s="373" t="s">
        <v>47</v>
      </c>
      <c r="C2" s="372" t="s">
        <v>183</v>
      </c>
      <c r="D2" s="372" t="s">
        <v>184</v>
      </c>
      <c r="E2" s="373" t="s">
        <v>48</v>
      </c>
      <c r="F2" s="372" t="s">
        <v>131</v>
      </c>
      <c r="G2" s="372" t="s">
        <v>49</v>
      </c>
      <c r="H2" s="372" t="s">
        <v>130</v>
      </c>
      <c r="I2" s="146" t="s">
        <v>61</v>
      </c>
    </row>
    <row r="3" spans="1:12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25"/>
    </row>
    <row r="4" spans="1:12" x14ac:dyDescent="0.2">
      <c r="A4" s="47" t="s">
        <v>29</v>
      </c>
      <c r="B4" s="97"/>
      <c r="C4" s="97"/>
      <c r="D4" s="97"/>
      <c r="E4" s="97"/>
      <c r="F4" s="97"/>
      <c r="G4" s="97"/>
      <c r="H4" s="97"/>
      <c r="I4" s="126"/>
    </row>
    <row r="5" spans="1:12" x14ac:dyDescent="0.2">
      <c r="A5" s="47" t="s">
        <v>30</v>
      </c>
      <c r="B5" s="97">
        <f>[3]Frontier!$GF$22</f>
        <v>24830</v>
      </c>
      <c r="C5" s="97">
        <f>'[3]Air Choice One'!$GF$22</f>
        <v>468</v>
      </c>
      <c r="D5" s="97">
        <f>'[3]Boutique Air'!$GF$22</f>
        <v>387</v>
      </c>
      <c r="E5" s="97">
        <f>[3]Icelandair!$GF$32</f>
        <v>4855</v>
      </c>
      <c r="F5" s="97">
        <f>[3]Southwest!$GF$22</f>
        <v>80371</v>
      </c>
      <c r="G5" s="97">
        <f>'[3]Sun Country'!$GF$22+'[3]Sun Country'!$GF$32</f>
        <v>105339</v>
      </c>
      <c r="H5" s="97">
        <f>[3]Alaska!$GF$22</f>
        <v>11639</v>
      </c>
      <c r="I5" s="120">
        <f>SUM(B5:H5)</f>
        <v>227889</v>
      </c>
      <c r="L5" s="97"/>
    </row>
    <row r="6" spans="1:12" x14ac:dyDescent="0.2">
      <c r="A6" s="47" t="s">
        <v>31</v>
      </c>
      <c r="B6" s="97">
        <f>[3]Frontier!$GF$23</f>
        <v>23981</v>
      </c>
      <c r="C6" s="97">
        <f>'[3]Air Choice One'!$GF$23</f>
        <v>449</v>
      </c>
      <c r="D6" s="97">
        <f>'[3]Boutique Air'!$GF$23</f>
        <v>417</v>
      </c>
      <c r="E6" s="97">
        <f>[3]Icelandair!$GF$33</f>
        <v>5973</v>
      </c>
      <c r="F6" s="97">
        <f>[3]Southwest!$GF$23</f>
        <v>76149</v>
      </c>
      <c r="G6" s="97">
        <f>'[3]Sun Country'!$GF$23+'[3]Sun Country'!$GF$33</f>
        <v>104009</v>
      </c>
      <c r="H6" s="97">
        <f>[3]Alaska!$GF$23</f>
        <v>11353</v>
      </c>
      <c r="I6" s="120">
        <f>SUM(B6:H6)</f>
        <v>222331</v>
      </c>
    </row>
    <row r="7" spans="1:12" ht="15" x14ac:dyDescent="0.25">
      <c r="A7" s="45" t="s">
        <v>7</v>
      </c>
      <c r="B7" s="128">
        <f t="shared" ref="B7:H7" si="0">SUM(B5:B6)</f>
        <v>48811</v>
      </c>
      <c r="C7" s="128">
        <f t="shared" ref="C7:D7" si="1">SUM(C5:C6)</f>
        <v>917</v>
      </c>
      <c r="D7" s="128">
        <f t="shared" si="1"/>
        <v>804</v>
      </c>
      <c r="E7" s="128">
        <f t="shared" si="0"/>
        <v>10828</v>
      </c>
      <c r="F7" s="128">
        <f t="shared" si="0"/>
        <v>156520</v>
      </c>
      <c r="G7" s="128">
        <f>SUM(G5:G6)</f>
        <v>209348</v>
      </c>
      <c r="H7" s="128">
        <f t="shared" si="0"/>
        <v>22992</v>
      </c>
      <c r="I7" s="129">
        <f>SUM(B7:H7)</f>
        <v>450220</v>
      </c>
    </row>
    <row r="8" spans="1:12" x14ac:dyDescent="0.2">
      <c r="A8" s="47"/>
      <c r="B8" s="127"/>
      <c r="C8" s="127"/>
      <c r="D8" s="127"/>
      <c r="E8" s="127"/>
      <c r="F8" s="127"/>
      <c r="G8" s="127"/>
      <c r="H8" s="127"/>
      <c r="I8" s="120"/>
    </row>
    <row r="9" spans="1:12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0"/>
    </row>
    <row r="10" spans="1:12" x14ac:dyDescent="0.2">
      <c r="A10" s="47" t="s">
        <v>30</v>
      </c>
      <c r="B10" s="127">
        <f>[3]Frontier!$GF$27</f>
        <v>157</v>
      </c>
      <c r="C10" s="127">
        <f>'[3]Air Choice One'!$GF$27</f>
        <v>0</v>
      </c>
      <c r="D10" s="127">
        <f>'[3]Boutique Air'!$GF$27</f>
        <v>0</v>
      </c>
      <c r="E10" s="127">
        <f>[3]Icelandair!$GF$37</f>
        <v>30</v>
      </c>
      <c r="F10" s="127">
        <f>[3]Southwest!$GF$27</f>
        <v>1877</v>
      </c>
      <c r="G10" s="127">
        <f>'[3]Sun Country'!$GF$27+'[3]Sun Country'!$GF$37</f>
        <v>2009</v>
      </c>
      <c r="H10" s="127">
        <f>[3]Alaska!$GF$27</f>
        <v>333</v>
      </c>
      <c r="I10" s="120">
        <f>SUM(B10:H10)</f>
        <v>4406</v>
      </c>
    </row>
    <row r="11" spans="1:12" x14ac:dyDescent="0.2">
      <c r="A11" s="47" t="s">
        <v>33</v>
      </c>
      <c r="B11" s="130">
        <f>[3]Frontier!$GF$28</f>
        <v>130</v>
      </c>
      <c r="C11" s="130">
        <f>'[3]Air Choice One'!$GF$28</f>
        <v>0</v>
      </c>
      <c r="D11" s="130">
        <f>'[3]Boutique Air'!$GF$28</f>
        <v>0</v>
      </c>
      <c r="E11" s="130">
        <f>[3]Icelandair!$GF$38</f>
        <v>32</v>
      </c>
      <c r="F11" s="130">
        <f>[3]Southwest!$GF$28</f>
        <v>1995</v>
      </c>
      <c r="G11" s="130">
        <f>'[3]Sun Country'!$GF$28+'[3]Sun Country'!$GF$38</f>
        <v>1943</v>
      </c>
      <c r="H11" s="130">
        <f>[3]Alaska!$GF$28</f>
        <v>367</v>
      </c>
      <c r="I11" s="120">
        <f>SUM(B11:H11)</f>
        <v>4467</v>
      </c>
    </row>
    <row r="12" spans="1:12" ht="15.75" thickBot="1" x14ac:dyDescent="0.3">
      <c r="A12" s="48" t="s">
        <v>34</v>
      </c>
      <c r="B12" s="123">
        <f t="shared" ref="B12:H12" si="2">SUM(B10:B11)</f>
        <v>287</v>
      </c>
      <c r="C12" s="123">
        <f t="shared" ref="C12:D12" si="3">SUM(C10:C11)</f>
        <v>0</v>
      </c>
      <c r="D12" s="123">
        <f t="shared" si="3"/>
        <v>0</v>
      </c>
      <c r="E12" s="123">
        <f t="shared" si="2"/>
        <v>62</v>
      </c>
      <c r="F12" s="123">
        <f t="shared" si="2"/>
        <v>3872</v>
      </c>
      <c r="G12" s="123">
        <f>SUM(G10:G11)</f>
        <v>3952</v>
      </c>
      <c r="H12" s="123">
        <f t="shared" si="2"/>
        <v>700</v>
      </c>
      <c r="I12" s="131">
        <f>SUM(B12:H12)</f>
        <v>8873</v>
      </c>
      <c r="L12" s="97"/>
    </row>
    <row r="13" spans="1:12" ht="15" x14ac:dyDescent="0.25">
      <c r="A13" s="44"/>
      <c r="B13" s="252"/>
      <c r="C13" s="252"/>
      <c r="D13" s="252"/>
      <c r="E13" s="252"/>
      <c r="F13" s="252"/>
      <c r="G13" s="252"/>
      <c r="H13" s="252"/>
      <c r="I13" s="253"/>
    </row>
    <row r="14" spans="1:12" ht="13.5" thickBot="1" x14ac:dyDescent="0.25"/>
    <row r="15" spans="1:12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9"/>
    </row>
    <row r="16" spans="1:12" x14ac:dyDescent="0.2">
      <c r="A16" s="47" t="s">
        <v>22</v>
      </c>
      <c r="B16" s="97">
        <f>[3]Frontier!$GF$4</f>
        <v>160</v>
      </c>
      <c r="C16" s="87">
        <f>'[3]Air Choice One'!$GF$4</f>
        <v>109</v>
      </c>
      <c r="D16" s="87">
        <f>'[3]Boutique Air'!$GF$4</f>
        <v>76</v>
      </c>
      <c r="E16" s="97">
        <f>[3]Icelandair!$GF$15</f>
        <v>31</v>
      </c>
      <c r="F16" s="87">
        <f>[3]Southwest!$GF$4</f>
        <v>691</v>
      </c>
      <c r="G16" s="97">
        <f>'[3]Sun Country'!$GF$4+'[3]Sun Country'!$GF$15</f>
        <v>708</v>
      </c>
      <c r="H16" s="97">
        <f>[3]Alaska!$GF$4</f>
        <v>92</v>
      </c>
      <c r="I16" s="120">
        <f>SUM(B16:H16)</f>
        <v>1867</v>
      </c>
    </row>
    <row r="17" spans="1:256" x14ac:dyDescent="0.2">
      <c r="A17" s="47" t="s">
        <v>23</v>
      </c>
      <c r="B17" s="97">
        <f>[3]Frontier!$GF$5</f>
        <v>160</v>
      </c>
      <c r="C17" s="87">
        <f>'[3]Air Choice One'!$GF$5</f>
        <v>109</v>
      </c>
      <c r="D17" s="87">
        <f>'[3]Boutique Air'!$GF$5</f>
        <v>76</v>
      </c>
      <c r="E17" s="97">
        <f>[3]Icelandair!$GF$16</f>
        <v>31</v>
      </c>
      <c r="F17" s="87">
        <f>[3]Southwest!$GF$5</f>
        <v>689</v>
      </c>
      <c r="G17" s="97">
        <f>'[3]Sun Country'!$GF$5+'[3]Sun Country'!$GF$16</f>
        <v>705</v>
      </c>
      <c r="H17" s="97">
        <f>[3]Alaska!$GF$5</f>
        <v>92</v>
      </c>
      <c r="I17" s="120">
        <f>SUM(B17:H17)</f>
        <v>1862</v>
      </c>
    </row>
    <row r="18" spans="1:256" x14ac:dyDescent="0.2">
      <c r="A18" s="51" t="s">
        <v>24</v>
      </c>
      <c r="B18" s="121">
        <f t="shared" ref="B18:H18" si="4">SUM(B16:B17)</f>
        <v>320</v>
      </c>
      <c r="C18" s="121">
        <f t="shared" ref="C18:D18" si="5">SUM(C16:C17)</f>
        <v>218</v>
      </c>
      <c r="D18" s="121">
        <f t="shared" si="5"/>
        <v>152</v>
      </c>
      <c r="E18" s="121">
        <f t="shared" si="4"/>
        <v>62</v>
      </c>
      <c r="F18" s="121">
        <f t="shared" si="4"/>
        <v>1380</v>
      </c>
      <c r="G18" s="121">
        <f t="shared" si="4"/>
        <v>1413</v>
      </c>
      <c r="H18" s="121">
        <f t="shared" si="4"/>
        <v>184</v>
      </c>
      <c r="I18" s="122">
        <f>SUM(B18:H18)</f>
        <v>3729</v>
      </c>
    </row>
    <row r="19" spans="1:256" x14ac:dyDescent="0.2">
      <c r="A19" s="51"/>
      <c r="B19" s="95"/>
      <c r="C19" s="95"/>
      <c r="D19" s="95"/>
      <c r="E19" s="95"/>
      <c r="F19" s="95"/>
      <c r="G19" s="95"/>
      <c r="H19" s="95"/>
      <c r="I19" s="120"/>
    </row>
    <row r="20" spans="1:256" x14ac:dyDescent="0.2">
      <c r="A20" s="47" t="s">
        <v>25</v>
      </c>
      <c r="B20" s="97">
        <f>[3]Frontier!$GF$8</f>
        <v>0</v>
      </c>
      <c r="C20" s="97">
        <f>'[3]Air Choice One'!$GF$8</f>
        <v>0</v>
      </c>
      <c r="D20" s="97">
        <f>'[3]Boutique Air'!$GF$8</f>
        <v>0</v>
      </c>
      <c r="E20" s="97">
        <f>[3]Icelandair!$GF$8</f>
        <v>0</v>
      </c>
      <c r="F20" s="97">
        <f>[3]Southwest!$GF$8</f>
        <v>0</v>
      </c>
      <c r="G20" s="97">
        <f>'[3]Sun Country'!$GF$8</f>
        <v>113</v>
      </c>
      <c r="H20" s="97">
        <f>[3]Alaska!$GF$8</f>
        <v>2</v>
      </c>
      <c r="I20" s="120">
        <f>SUM(B20:H20)</f>
        <v>115</v>
      </c>
    </row>
    <row r="21" spans="1:256" x14ac:dyDescent="0.2">
      <c r="A21" s="47" t="s">
        <v>26</v>
      </c>
      <c r="B21" s="97">
        <f>[3]Frontier!$GF$9</f>
        <v>0</v>
      </c>
      <c r="C21" s="97">
        <f>'[3]Air Choice One'!$GF$9</f>
        <v>0</v>
      </c>
      <c r="D21" s="97">
        <f>'[3]Boutique Air'!$GF$9</f>
        <v>0</v>
      </c>
      <c r="E21" s="97">
        <f>[3]Icelandair!$GF$9</f>
        <v>0</v>
      </c>
      <c r="F21" s="97">
        <f>[3]Southwest!$GF$9</f>
        <v>0</v>
      </c>
      <c r="G21" s="97">
        <f>'[3]Sun Country'!$GF$9</f>
        <v>111</v>
      </c>
      <c r="H21" s="97">
        <f>[3]Alaska!$GF$9</f>
        <v>2</v>
      </c>
      <c r="I21" s="120">
        <f>SUM(B21:H21)</f>
        <v>113</v>
      </c>
    </row>
    <row r="22" spans="1:256" x14ac:dyDescent="0.2">
      <c r="A22" s="51" t="s">
        <v>27</v>
      </c>
      <c r="B22" s="121">
        <f t="shared" ref="B22:H22" si="6">SUM(B20:B21)</f>
        <v>0</v>
      </c>
      <c r="C22" s="121">
        <f t="shared" ref="C22:D22" si="7">SUM(C20:C21)</f>
        <v>0</v>
      </c>
      <c r="D22" s="121">
        <f t="shared" si="7"/>
        <v>0</v>
      </c>
      <c r="E22" s="121">
        <f t="shared" si="6"/>
        <v>0</v>
      </c>
      <c r="F22" s="121">
        <f t="shared" si="6"/>
        <v>0</v>
      </c>
      <c r="G22" s="121">
        <f t="shared" si="6"/>
        <v>224</v>
      </c>
      <c r="H22" s="121">
        <f t="shared" si="6"/>
        <v>4</v>
      </c>
      <c r="I22" s="122">
        <f>SUM(B22:H22)</f>
        <v>228</v>
      </c>
    </row>
    <row r="23" spans="1:256" ht="15.75" thickBot="1" x14ac:dyDescent="0.3">
      <c r="A23" s="48" t="s">
        <v>28</v>
      </c>
      <c r="B23" s="123">
        <f t="shared" ref="B23:H23" si="8">B22+B18</f>
        <v>320</v>
      </c>
      <c r="C23" s="123">
        <f t="shared" ref="C23:D23" si="9">C22+C18</f>
        <v>218</v>
      </c>
      <c r="D23" s="123">
        <f t="shared" si="9"/>
        <v>152</v>
      </c>
      <c r="E23" s="123">
        <f t="shared" si="8"/>
        <v>62</v>
      </c>
      <c r="F23" s="123">
        <f t="shared" si="8"/>
        <v>1380</v>
      </c>
      <c r="G23" s="123">
        <f t="shared" si="8"/>
        <v>1637</v>
      </c>
      <c r="H23" s="123">
        <f t="shared" si="8"/>
        <v>188</v>
      </c>
      <c r="I23" s="124">
        <f>SUM(B23:H23)</f>
        <v>3957</v>
      </c>
    </row>
    <row r="24" spans="1:256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3.5" thickBot="1" x14ac:dyDescent="0.25">
      <c r="B25" s="357"/>
      <c r="C25" s="357"/>
      <c r="D25" s="357"/>
      <c r="E25" s="357"/>
      <c r="F25" s="357"/>
      <c r="G25" s="357"/>
      <c r="H25" s="357"/>
      <c r="I25" s="97"/>
    </row>
    <row r="26" spans="1:256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3"/>
    </row>
    <row r="27" spans="1:256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26"/>
    </row>
    <row r="28" spans="1:256" x14ac:dyDescent="0.2">
      <c r="A28" s="47" t="s">
        <v>37</v>
      </c>
      <c r="B28" s="97">
        <f>[3]Frontier!$GF$47</f>
        <v>0</v>
      </c>
      <c r="C28" s="97">
        <f>'[3]Air Choice One'!$GF$47</f>
        <v>0</v>
      </c>
      <c r="D28" s="97">
        <f>'[3]Boutique Air'!$GF$47</f>
        <v>0</v>
      </c>
      <c r="E28" s="97">
        <f>[3]Icelandair!$GF$47</f>
        <v>41427</v>
      </c>
      <c r="F28" s="97">
        <f>[3]Southwest!$GF$47</f>
        <v>266811</v>
      </c>
      <c r="G28" s="97">
        <f>'[3]Sun Country'!$GF$47</f>
        <v>95266</v>
      </c>
      <c r="H28" s="97">
        <f>[3]Alaska!$GF$47</f>
        <v>35949</v>
      </c>
      <c r="I28" s="120">
        <f>SUM(B28:H28)</f>
        <v>439453</v>
      </c>
    </row>
    <row r="29" spans="1:256" x14ac:dyDescent="0.2">
      <c r="A29" s="47" t="s">
        <v>38</v>
      </c>
      <c r="B29" s="97">
        <f>[3]Frontier!$GF$48</f>
        <v>0</v>
      </c>
      <c r="C29" s="97">
        <f>'[3]Air Choice One'!$GF$48</f>
        <v>0</v>
      </c>
      <c r="D29" s="97">
        <f>'[3]Boutique Air'!$GF$48</f>
        <v>0</v>
      </c>
      <c r="E29" s="97">
        <f>[3]Icelandair!$GF$48</f>
        <v>0</v>
      </c>
      <c r="F29" s="97">
        <f>[3]Southwest!$GF$48</f>
        <v>0</v>
      </c>
      <c r="G29" s="97">
        <f>'[3]Sun Country'!$GF$48</f>
        <v>288566</v>
      </c>
      <c r="H29" s="97">
        <f>[3]Alaska!$GF$48</f>
        <v>1313</v>
      </c>
      <c r="I29" s="120">
        <f>SUM(B29:H29)</f>
        <v>289879</v>
      </c>
    </row>
    <row r="30" spans="1:256" x14ac:dyDescent="0.2">
      <c r="A30" s="51" t="s">
        <v>39</v>
      </c>
      <c r="B30" s="135">
        <f t="shared" ref="B30:H30" si="10">SUM(B28:B29)</f>
        <v>0</v>
      </c>
      <c r="C30" s="135">
        <f t="shared" ref="C30:D30" si="11">SUM(C28:C29)</f>
        <v>0</v>
      </c>
      <c r="D30" s="135">
        <f t="shared" si="11"/>
        <v>0</v>
      </c>
      <c r="E30" s="135">
        <f t="shared" si="10"/>
        <v>41427</v>
      </c>
      <c r="F30" s="135">
        <f t="shared" si="10"/>
        <v>266811</v>
      </c>
      <c r="G30" s="135">
        <f t="shared" si="10"/>
        <v>383832</v>
      </c>
      <c r="H30" s="135">
        <f t="shared" si="10"/>
        <v>37262</v>
      </c>
      <c r="I30" s="137">
        <f>SUM(B30:H30)</f>
        <v>729332</v>
      </c>
    </row>
    <row r="31" spans="1:256" x14ac:dyDescent="0.2">
      <c r="A31" s="47"/>
      <c r="B31" s="127"/>
      <c r="C31" s="127"/>
      <c r="D31" s="127"/>
      <c r="E31" s="127"/>
      <c r="F31" s="127"/>
      <c r="G31" s="127"/>
      <c r="H31" s="127"/>
      <c r="I31" s="120"/>
    </row>
    <row r="32" spans="1:256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120"/>
    </row>
    <row r="33" spans="1:9" x14ac:dyDescent="0.2">
      <c r="A33" s="47" t="s">
        <v>37</v>
      </c>
      <c r="B33" s="97">
        <f>[3]Frontier!$GF$52</f>
        <v>0</v>
      </c>
      <c r="C33" s="97">
        <f>'[3]Air Choice One'!$GF$52</f>
        <v>0</v>
      </c>
      <c r="D33" s="97">
        <f>'[3]Boutique Air'!$GF$52</f>
        <v>0</v>
      </c>
      <c r="E33" s="97">
        <f>[3]Icelandair!$GF$52</f>
        <v>268</v>
      </c>
      <c r="F33" s="97">
        <f>[3]Southwest!$GF$52</f>
        <v>80317</v>
      </c>
      <c r="G33" s="97">
        <f>'[3]Sun Country'!$GF$52</f>
        <v>72761</v>
      </c>
      <c r="H33" s="97">
        <f>[3]Alaska!$GF$52</f>
        <v>6708</v>
      </c>
      <c r="I33" s="120">
        <f>SUM(B33:H33)</f>
        <v>160054</v>
      </c>
    </row>
    <row r="34" spans="1:9" x14ac:dyDescent="0.2">
      <c r="A34" s="47" t="s">
        <v>38</v>
      </c>
      <c r="B34" s="97">
        <f>[3]Frontier!$GF$53</f>
        <v>0</v>
      </c>
      <c r="C34" s="97">
        <f>'[3]Air Choice One'!$GF$53</f>
        <v>0</v>
      </c>
      <c r="D34" s="97">
        <f>'[3]Boutique Air'!$GF$53</f>
        <v>0</v>
      </c>
      <c r="E34" s="97">
        <f>[3]Icelandair!$GF$53</f>
        <v>0</v>
      </c>
      <c r="F34" s="97">
        <f>[3]Southwest!$GF$53</f>
        <v>0</v>
      </c>
      <c r="G34" s="97">
        <f>'[3]Sun Country'!$GF$53</f>
        <v>340404</v>
      </c>
      <c r="H34" s="97">
        <f>[3]Alaska!$GF$53</f>
        <v>7766</v>
      </c>
      <c r="I34" s="136">
        <f>SUM(B34:H34)</f>
        <v>348170</v>
      </c>
    </row>
    <row r="35" spans="1:9" x14ac:dyDescent="0.2">
      <c r="A35" s="51" t="s">
        <v>41</v>
      </c>
      <c r="B35" s="121">
        <f t="shared" ref="B35:H35" si="12">SUM(B33:B34)</f>
        <v>0</v>
      </c>
      <c r="C35" s="121">
        <f t="shared" ref="C35:D35" si="13">SUM(C33:C34)</f>
        <v>0</v>
      </c>
      <c r="D35" s="121">
        <f t="shared" si="13"/>
        <v>0</v>
      </c>
      <c r="E35" s="121">
        <f t="shared" si="12"/>
        <v>268</v>
      </c>
      <c r="F35" s="121">
        <f t="shared" si="12"/>
        <v>80317</v>
      </c>
      <c r="G35" s="121">
        <f t="shared" si="12"/>
        <v>413165</v>
      </c>
      <c r="H35" s="121">
        <f t="shared" si="12"/>
        <v>14474</v>
      </c>
      <c r="I35" s="137">
        <f>SUM(B35:H35)</f>
        <v>508224</v>
      </c>
    </row>
    <row r="36" spans="1:9" hidden="1" x14ac:dyDescent="0.2">
      <c r="A36" s="47"/>
      <c r="B36" s="127"/>
      <c r="C36" s="127"/>
      <c r="D36" s="127"/>
      <c r="E36" s="127"/>
      <c r="F36" s="127"/>
      <c r="G36" s="127"/>
      <c r="H36" s="127"/>
      <c r="I36" s="120"/>
    </row>
    <row r="37" spans="1:9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0"/>
    </row>
    <row r="38" spans="1:9" hidden="1" x14ac:dyDescent="0.2">
      <c r="A38" s="47" t="s">
        <v>37</v>
      </c>
      <c r="B38" s="127">
        <f>[3]Frontier!$GF$57</f>
        <v>0</v>
      </c>
      <c r="C38" s="127">
        <f>'[3]Air Choice One'!$GF$57</f>
        <v>0</v>
      </c>
      <c r="D38" s="127">
        <f>'[3]Boutique Air'!$GF$57</f>
        <v>0</v>
      </c>
      <c r="E38" s="127">
        <f>[3]Icelandair!$GF$57</f>
        <v>0</v>
      </c>
      <c r="F38" s="127">
        <f>[3]Southwest!$GF$57</f>
        <v>0</v>
      </c>
      <c r="G38" s="127">
        <f>'[3]Sun Country'!$GF$57</f>
        <v>0</v>
      </c>
      <c r="H38" s="127">
        <f>[3]Alaska!$GF$57</f>
        <v>0</v>
      </c>
      <c r="I38" s="120">
        <f>SUM(B38:G38)</f>
        <v>0</v>
      </c>
    </row>
    <row r="39" spans="1:9" hidden="1" x14ac:dyDescent="0.2">
      <c r="A39" s="47" t="s">
        <v>38</v>
      </c>
      <c r="B39" s="130">
        <f>[3]Frontier!$GF$58</f>
        <v>0</v>
      </c>
      <c r="C39" s="130">
        <f>'[3]Air Choice One'!$GF$58</f>
        <v>0</v>
      </c>
      <c r="D39" s="130">
        <f>'[3]Boutique Air'!$GF$58</f>
        <v>0</v>
      </c>
      <c r="E39" s="130">
        <f>[3]Icelandair!$GF$58</f>
        <v>0</v>
      </c>
      <c r="F39" s="130">
        <f>[3]Southwest!$GF$58</f>
        <v>0</v>
      </c>
      <c r="G39" s="130">
        <f>'[3]Sun Country'!$GF$58</f>
        <v>0</v>
      </c>
      <c r="H39" s="130">
        <f>[3]Alaska!$GF$58</f>
        <v>0</v>
      </c>
      <c r="I39" s="136">
        <f>SUM(B39:G39)</f>
        <v>0</v>
      </c>
    </row>
    <row r="40" spans="1:9" hidden="1" x14ac:dyDescent="0.2">
      <c r="A40" s="51" t="s">
        <v>43</v>
      </c>
      <c r="B40" s="138">
        <f t="shared" ref="B40:H40" si="14">SUM(B38:B39)</f>
        <v>0</v>
      </c>
      <c r="C40" s="138">
        <f t="shared" ref="C40:D40" si="15">SUM(C38:C39)</f>
        <v>0</v>
      </c>
      <c r="D40" s="138">
        <f t="shared" si="15"/>
        <v>0</v>
      </c>
      <c r="E40" s="138">
        <f t="shared" si="14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20">
        <f>SUM(B40:G40)</f>
        <v>0</v>
      </c>
    </row>
    <row r="41" spans="1:9" x14ac:dyDescent="0.2">
      <c r="A41" s="47"/>
      <c r="B41" s="127"/>
      <c r="C41" s="127"/>
      <c r="D41" s="127"/>
      <c r="E41" s="127"/>
      <c r="F41" s="127"/>
      <c r="G41" s="127"/>
      <c r="H41" s="127"/>
      <c r="I41" s="120"/>
    </row>
    <row r="42" spans="1:9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0"/>
    </row>
    <row r="43" spans="1:9" x14ac:dyDescent="0.2">
      <c r="A43" s="47" t="s">
        <v>45</v>
      </c>
      <c r="B43" s="127">
        <f t="shared" ref="B43:H43" si="16">B28+B33+B38</f>
        <v>0</v>
      </c>
      <c r="C43" s="127">
        <f t="shared" ref="C43:D43" si="17">C28+C33+C38</f>
        <v>0</v>
      </c>
      <c r="D43" s="127">
        <f t="shared" si="17"/>
        <v>0</v>
      </c>
      <c r="E43" s="127">
        <f t="shared" si="16"/>
        <v>41695</v>
      </c>
      <c r="F43" s="127">
        <f t="shared" si="16"/>
        <v>347128</v>
      </c>
      <c r="G43" s="127">
        <f t="shared" si="16"/>
        <v>168027</v>
      </c>
      <c r="H43" s="127">
        <f t="shared" si="16"/>
        <v>42657</v>
      </c>
      <c r="I43" s="120">
        <f>SUM(B43:H43)</f>
        <v>599507</v>
      </c>
    </row>
    <row r="44" spans="1:9" x14ac:dyDescent="0.2">
      <c r="A44" s="47" t="s">
        <v>38</v>
      </c>
      <c r="B44" s="130">
        <f t="shared" ref="B44:H44" si="18">+B39+B34+B29</f>
        <v>0</v>
      </c>
      <c r="C44" s="130">
        <f t="shared" ref="C44:D44" si="19">+C39+C34+C29</f>
        <v>0</v>
      </c>
      <c r="D44" s="130">
        <f t="shared" si="19"/>
        <v>0</v>
      </c>
      <c r="E44" s="130">
        <f t="shared" si="18"/>
        <v>0</v>
      </c>
      <c r="F44" s="130">
        <f t="shared" si="18"/>
        <v>0</v>
      </c>
      <c r="G44" s="130">
        <f t="shared" si="18"/>
        <v>628970</v>
      </c>
      <c r="H44" s="130">
        <f t="shared" si="18"/>
        <v>9079</v>
      </c>
      <c r="I44" s="120">
        <f>SUM(B44:H44)</f>
        <v>638049</v>
      </c>
    </row>
    <row r="45" spans="1:9" ht="15.75" thickBot="1" x14ac:dyDescent="0.3">
      <c r="A45" s="48" t="s">
        <v>46</v>
      </c>
      <c r="B45" s="139">
        <f t="shared" ref="B45:H45" si="20">B43+B44</f>
        <v>0</v>
      </c>
      <c r="C45" s="139">
        <f t="shared" ref="C45:D45" si="21">C43+C44</f>
        <v>0</v>
      </c>
      <c r="D45" s="139">
        <f t="shared" si="21"/>
        <v>0</v>
      </c>
      <c r="E45" s="139">
        <f t="shared" si="20"/>
        <v>41695</v>
      </c>
      <c r="F45" s="139">
        <f t="shared" si="20"/>
        <v>347128</v>
      </c>
      <c r="G45" s="139">
        <f t="shared" si="20"/>
        <v>796997</v>
      </c>
      <c r="H45" s="139">
        <f t="shared" si="20"/>
        <v>51736</v>
      </c>
      <c r="I45" s="140">
        <f>SUM(B45:H45)</f>
        <v>1237556</v>
      </c>
    </row>
    <row r="48" spans="1:9" x14ac:dyDescent="0.2">
      <c r="A48" s="322" t="s">
        <v>123</v>
      </c>
      <c r="B48" s="333"/>
      <c r="C48" s="333"/>
      <c r="D48" s="333"/>
      <c r="F48" s="279">
        <f>[3]Southwest!$GF$70+[3]Southwest!$GF$73</f>
        <v>75064</v>
      </c>
      <c r="G48" s="279">
        <f>'[3]Sun Country'!$GF$70+'[3]Sun Country'!$GF$73</f>
        <v>101572</v>
      </c>
      <c r="H48" s="333"/>
      <c r="I48" s="268">
        <f>SUM(B48:H48)</f>
        <v>176636</v>
      </c>
    </row>
    <row r="49" spans="1:9" x14ac:dyDescent="0.2">
      <c r="A49" s="335" t="s">
        <v>124</v>
      </c>
      <c r="B49" s="333"/>
      <c r="C49" s="333"/>
      <c r="D49" s="333"/>
      <c r="F49" s="279">
        <f>[3]Southwest!$GF$71+[3]Southwest!$GF$74</f>
        <v>1085</v>
      </c>
      <c r="G49" s="279">
        <f>'[3]Sun Country'!$GF$71+'[3]Sun Country'!$GF$74</f>
        <v>2437</v>
      </c>
      <c r="H49" s="333"/>
      <c r="I49" s="268">
        <f>SUM(B49:H49)</f>
        <v>3522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May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D11" activeCellId="1" sqref="D6 D1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331"/>
    </row>
    <row r="2" spans="1:13" ht="51.75" thickBot="1" x14ac:dyDescent="0.25">
      <c r="A2" s="325">
        <v>43586</v>
      </c>
      <c r="B2" s="371" t="s">
        <v>161</v>
      </c>
      <c r="C2" s="371" t="s">
        <v>164</v>
      </c>
      <c r="D2" s="371" t="s">
        <v>173</v>
      </c>
      <c r="E2" s="371" t="s">
        <v>172</v>
      </c>
      <c r="F2" s="371" t="s">
        <v>174</v>
      </c>
      <c r="G2" s="371" t="s">
        <v>212</v>
      </c>
      <c r="H2" s="371" t="s">
        <v>178</v>
      </c>
      <c r="I2" s="371" t="s">
        <v>185</v>
      </c>
      <c r="J2" s="371" t="s">
        <v>208</v>
      </c>
      <c r="K2" s="371" t="s">
        <v>177</v>
      </c>
      <c r="L2" s="12" t="s">
        <v>117</v>
      </c>
      <c r="M2" s="12" t="s">
        <v>21</v>
      </c>
    </row>
    <row r="3" spans="1:13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13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13" x14ac:dyDescent="0.2">
      <c r="A5" s="47" t="s">
        <v>30</v>
      </c>
      <c r="B5" s="89">
        <f>[3]Pinnacle!$GF$22+[3]Pinnacle!$GF$32</f>
        <v>80794</v>
      </c>
      <c r="C5" s="89">
        <f>[3]MESA_UA!$GF$22</f>
        <v>9478</v>
      </c>
      <c r="D5" s="97">
        <f>'[3]Sky West'!$GF$22+'[3]Sky West'!$GF$32</f>
        <v>203749</v>
      </c>
      <c r="E5" s="97">
        <f>'[3]Sky West_UA'!$GF$22</f>
        <v>4429</v>
      </c>
      <c r="F5" s="97">
        <f>'[3]Sky West_AS'!$GF$22</f>
        <v>2103</v>
      </c>
      <c r="G5" s="97">
        <f>'[3]Sky West_AA'!$GF$22</f>
        <v>0</v>
      </c>
      <c r="H5" s="97">
        <f>[3]Republic!$GF$22</f>
        <v>11122</v>
      </c>
      <c r="I5" s="97">
        <f>[3]Republic_UA!$GF$22</f>
        <v>14497</v>
      </c>
      <c r="J5" s="97">
        <f>'[3]Sky Regional'!$GF$32</f>
        <v>4807</v>
      </c>
      <c r="K5" s="97">
        <f>'[3]American Eagle'!$GF$22</f>
        <v>3857</v>
      </c>
      <c r="L5" s="97">
        <f>'Other Regional'!J5</f>
        <v>3599</v>
      </c>
      <c r="M5" s="90">
        <f>SUM(B5:L5)</f>
        <v>338435</v>
      </c>
    </row>
    <row r="6" spans="1:13" s="6" customFormat="1" x14ac:dyDescent="0.2">
      <c r="A6" s="47" t="s">
        <v>31</v>
      </c>
      <c r="B6" s="89">
        <f>[3]Pinnacle!$GF$23+[3]Pinnacle!$GF$33</f>
        <v>80044</v>
      </c>
      <c r="C6" s="89">
        <f>[3]MESA_UA!$GF$23</f>
        <v>8938</v>
      </c>
      <c r="D6" s="97">
        <f>'[3]Sky West'!$GF$23+'[3]Sky West'!$GF$33</f>
        <v>201512</v>
      </c>
      <c r="E6" s="97">
        <f>'[3]Sky West_UA'!$GF$23</f>
        <v>4695</v>
      </c>
      <c r="F6" s="97">
        <f>'[3]Sky West_AS'!$GF$23</f>
        <v>2149</v>
      </c>
      <c r="G6" s="97">
        <f>'[3]Sky West_AA'!$GF$23</f>
        <v>0</v>
      </c>
      <c r="H6" s="97">
        <f>[3]Republic!$GF$23</f>
        <v>11352</v>
      </c>
      <c r="I6" s="97">
        <f>[3]Republic_UA!$GF$23</f>
        <v>13909</v>
      </c>
      <c r="J6" s="97">
        <f>'[3]Sky Regional'!$GF$33</f>
        <v>5213</v>
      </c>
      <c r="K6" s="97">
        <f>'[3]American Eagle'!$GF$23</f>
        <v>3999</v>
      </c>
      <c r="L6" s="97">
        <f>'Other Regional'!J6</f>
        <v>3621</v>
      </c>
      <c r="M6" s="94">
        <f>SUM(B6:L6)</f>
        <v>335432</v>
      </c>
    </row>
    <row r="7" spans="1:13" ht="15" thickBot="1" x14ac:dyDescent="0.25">
      <c r="A7" s="56" t="s">
        <v>7</v>
      </c>
      <c r="B7" s="107">
        <f>SUM(B5:B6)</f>
        <v>160838</v>
      </c>
      <c r="C7" s="107">
        <f t="shared" ref="C7:L7" si="0">SUM(C5:C6)</f>
        <v>18416</v>
      </c>
      <c r="D7" s="107">
        <f t="shared" si="0"/>
        <v>405261</v>
      </c>
      <c r="E7" s="107">
        <f t="shared" si="0"/>
        <v>9124</v>
      </c>
      <c r="F7" s="107">
        <f t="shared" ref="F7:G7" si="1">SUM(F5:F6)</f>
        <v>4252</v>
      </c>
      <c r="G7" s="107">
        <f t="shared" si="1"/>
        <v>0</v>
      </c>
      <c r="H7" s="107">
        <f t="shared" si="0"/>
        <v>22474</v>
      </c>
      <c r="I7" s="107">
        <f t="shared" si="0"/>
        <v>28406</v>
      </c>
      <c r="J7" s="107">
        <f t="shared" si="0"/>
        <v>10020</v>
      </c>
      <c r="K7" s="107">
        <f t="shared" si="0"/>
        <v>7856</v>
      </c>
      <c r="L7" s="107">
        <f t="shared" si="0"/>
        <v>7220</v>
      </c>
      <c r="M7" s="108">
        <f>SUM(B7:L7)</f>
        <v>673867</v>
      </c>
    </row>
    <row r="8" spans="1:13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13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13" x14ac:dyDescent="0.2">
      <c r="A10" s="47" t="s">
        <v>30</v>
      </c>
      <c r="B10" s="89">
        <f>[3]Pinnacle!$GF$27+[3]Pinnacle!$GF$37</f>
        <v>2526</v>
      </c>
      <c r="C10" s="89">
        <f>[3]MESA_UA!$GF$27</f>
        <v>299</v>
      </c>
      <c r="D10" s="97">
        <f>'[3]Sky West'!$GF$27+'[3]Sky West'!$GF$37</f>
        <v>7194</v>
      </c>
      <c r="E10" s="97">
        <f>'[3]Sky West_UA'!$GF$27</f>
        <v>141</v>
      </c>
      <c r="F10" s="97">
        <f>'[3]Sky West_AS'!$GF$27</f>
        <v>97</v>
      </c>
      <c r="G10" s="97">
        <f>'[3]Sky West_AA'!$GF$27</f>
        <v>0</v>
      </c>
      <c r="H10" s="97">
        <f>[3]Republic!$GF$27</f>
        <v>447</v>
      </c>
      <c r="I10" s="97">
        <f>[3]Republic_UA!$GF$27</f>
        <v>587</v>
      </c>
      <c r="J10" s="97">
        <f>'[3]Sky Regional'!$GF$37</f>
        <v>76</v>
      </c>
      <c r="K10" s="97">
        <f>'[3]American Eagle'!$GF$27</f>
        <v>236</v>
      </c>
      <c r="L10" s="97">
        <f>'Other Regional'!J10</f>
        <v>134</v>
      </c>
      <c r="M10" s="90">
        <f>SUM(B10:L10)</f>
        <v>11737</v>
      </c>
    </row>
    <row r="11" spans="1:13" x14ac:dyDescent="0.2">
      <c r="A11" s="47" t="s">
        <v>33</v>
      </c>
      <c r="B11" s="89">
        <f>[3]Pinnacle!$GF$28+[3]Pinnacle!$GF$38</f>
        <v>2553</v>
      </c>
      <c r="C11" s="89">
        <f>[3]MESA_UA!$GF$28</f>
        <v>285</v>
      </c>
      <c r="D11" s="97">
        <f>'[3]Sky West'!$GF$28+'[3]Sky West'!$GF$38</f>
        <v>6864</v>
      </c>
      <c r="E11" s="97">
        <f>'[3]Sky West_UA'!$GF$28</f>
        <v>126</v>
      </c>
      <c r="F11" s="97">
        <f>'[3]Sky West_AS'!$GF$28</f>
        <v>131</v>
      </c>
      <c r="G11" s="97">
        <f>'[3]Sky West_AA'!$GF$28</f>
        <v>0</v>
      </c>
      <c r="H11" s="97">
        <f>[3]Republic!$GF$28</f>
        <v>504</v>
      </c>
      <c r="I11" s="97">
        <f>[3]Republic_UA!$GF$28</f>
        <v>609</v>
      </c>
      <c r="J11" s="97">
        <f>'[3]Sky Regional'!$GF$38</f>
        <v>72</v>
      </c>
      <c r="K11" s="97">
        <f>'[3]American Eagle'!$GF$28</f>
        <v>184</v>
      </c>
      <c r="L11" s="97">
        <f>'Other Regional'!J11</f>
        <v>142</v>
      </c>
      <c r="M11" s="94">
        <f>SUM(B11:L11)</f>
        <v>11470</v>
      </c>
    </row>
    <row r="12" spans="1:13" ht="15" thickBot="1" x14ac:dyDescent="0.25">
      <c r="A12" s="57" t="s">
        <v>34</v>
      </c>
      <c r="B12" s="110">
        <f t="shared" ref="B12:L12" si="2">SUM(B10:B11)</f>
        <v>5079</v>
      </c>
      <c r="C12" s="110">
        <f t="shared" si="2"/>
        <v>584</v>
      </c>
      <c r="D12" s="110">
        <f t="shared" si="2"/>
        <v>14058</v>
      </c>
      <c r="E12" s="110">
        <f t="shared" si="2"/>
        <v>267</v>
      </c>
      <c r="F12" s="110">
        <f t="shared" ref="F12:G12" si="3">SUM(F10:F11)</f>
        <v>228</v>
      </c>
      <c r="G12" s="110">
        <f t="shared" si="3"/>
        <v>0</v>
      </c>
      <c r="H12" s="110">
        <f t="shared" si="2"/>
        <v>951</v>
      </c>
      <c r="I12" s="110">
        <f t="shared" si="2"/>
        <v>1196</v>
      </c>
      <c r="J12" s="110">
        <f t="shared" si="2"/>
        <v>148</v>
      </c>
      <c r="K12" s="110">
        <f t="shared" si="2"/>
        <v>420</v>
      </c>
      <c r="L12" s="110">
        <f t="shared" si="2"/>
        <v>276</v>
      </c>
      <c r="M12" s="111">
        <f>SUM(B12:L12)</f>
        <v>23207</v>
      </c>
    </row>
    <row r="13" spans="1:13" ht="13.5" thickBot="1" x14ac:dyDescent="0.25"/>
    <row r="14" spans="1:13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13" x14ac:dyDescent="0.2">
      <c r="A15" s="47" t="s">
        <v>53</v>
      </c>
      <c r="B15" s="13">
        <f>[3]Pinnacle!$GF$4+[3]Pinnacle!$GF$15</f>
        <v>1266</v>
      </c>
      <c r="C15" s="88">
        <f>[3]MESA_UA!$GF$4</f>
        <v>147</v>
      </c>
      <c r="D15" s="87">
        <f>'[3]Sky West'!$GF$4+'[3]Sky West'!$GF$15</f>
        <v>3996</v>
      </c>
      <c r="E15" s="87">
        <f>'[3]Sky West_UA'!$GF$4</f>
        <v>67</v>
      </c>
      <c r="F15" s="87">
        <f>'[3]Sky West_AS'!$GF$4</f>
        <v>31</v>
      </c>
      <c r="G15" s="87">
        <f>'[3]Sky West_AA'!$GF$4</f>
        <v>0</v>
      </c>
      <c r="H15" s="89">
        <f>[3]Republic!$GF$4</f>
        <v>195</v>
      </c>
      <c r="I15" s="385">
        <f>[3]Republic_UA!$GF$4</f>
        <v>253</v>
      </c>
      <c r="J15" s="385">
        <f>'[3]Sky Regional'!$GF$15</f>
        <v>92</v>
      </c>
      <c r="K15" s="89">
        <f>'[3]American Eagle'!$GF$4</f>
        <v>58</v>
      </c>
      <c r="L15" s="88">
        <f>'Other Regional'!J15</f>
        <v>59</v>
      </c>
      <c r="M15" s="90">
        <f t="shared" ref="M15:M21" si="5">SUM(B15:L15)</f>
        <v>6164</v>
      </c>
    </row>
    <row r="16" spans="1:13" x14ac:dyDescent="0.2">
      <c r="A16" s="47" t="s">
        <v>54</v>
      </c>
      <c r="B16" s="7">
        <f>[3]Pinnacle!$GF$5+[3]Pinnacle!$GF$16</f>
        <v>1263</v>
      </c>
      <c r="C16" s="92">
        <f>[3]MESA_UA!$GF$5</f>
        <v>147</v>
      </c>
      <c r="D16" s="91">
        <f>'[3]Sky West'!$GF$5+'[3]Sky West'!$GF$16</f>
        <v>3985</v>
      </c>
      <c r="E16" s="91">
        <f>'[3]Sky West_UA'!$GF$5</f>
        <v>67</v>
      </c>
      <c r="F16" s="91">
        <f>'[3]Sky West_AS'!$GF$5</f>
        <v>31</v>
      </c>
      <c r="G16" s="91">
        <f>'[3]Sky West_AA'!$GF$5</f>
        <v>0</v>
      </c>
      <c r="H16" s="93">
        <f>[3]Republic!$GF$5</f>
        <v>196</v>
      </c>
      <c r="I16" s="255">
        <f>[3]Republic_UA!$GF$5</f>
        <v>253</v>
      </c>
      <c r="J16" s="255">
        <f>'[3]Sky Regional'!$GF$16</f>
        <v>92</v>
      </c>
      <c r="K16" s="93">
        <f>'[3]American Eagle'!$GF$5</f>
        <v>58</v>
      </c>
      <c r="L16" s="92">
        <f>'Other Regional'!J16</f>
        <v>59</v>
      </c>
      <c r="M16" s="94">
        <f t="shared" si="5"/>
        <v>6151</v>
      </c>
    </row>
    <row r="17" spans="1:13" x14ac:dyDescent="0.2">
      <c r="A17" s="51" t="s">
        <v>55</v>
      </c>
      <c r="B17" s="95">
        <f t="shared" ref="B17:K17" si="6">SUM(B15:B16)</f>
        <v>2529</v>
      </c>
      <c r="C17" s="95">
        <f t="shared" si="6"/>
        <v>294</v>
      </c>
      <c r="D17" s="95">
        <f t="shared" si="6"/>
        <v>7981</v>
      </c>
      <c r="E17" s="95">
        <f t="shared" si="6"/>
        <v>134</v>
      </c>
      <c r="F17" s="95">
        <f t="shared" ref="F17:G17" si="7">SUM(F15:F16)</f>
        <v>62</v>
      </c>
      <c r="G17" s="95">
        <f t="shared" si="7"/>
        <v>0</v>
      </c>
      <c r="H17" s="95">
        <f t="shared" si="6"/>
        <v>391</v>
      </c>
      <c r="I17" s="95">
        <f t="shared" ref="I17:J17" si="8">SUM(I15:I16)</f>
        <v>506</v>
      </c>
      <c r="J17" s="95">
        <f t="shared" si="8"/>
        <v>184</v>
      </c>
      <c r="K17" s="95">
        <f t="shared" si="6"/>
        <v>116</v>
      </c>
      <c r="L17" s="95">
        <f>SUM(L15:L16)</f>
        <v>118</v>
      </c>
      <c r="M17" s="96">
        <f t="shared" si="5"/>
        <v>12315</v>
      </c>
    </row>
    <row r="18" spans="1:13" x14ac:dyDescent="0.2">
      <c r="A18" s="47" t="s">
        <v>56</v>
      </c>
      <c r="B18" s="97">
        <f>[3]Pinnacle!$GF$8</f>
        <v>0</v>
      </c>
      <c r="C18" s="89">
        <f>[3]MESA_UA!$GF$8</f>
        <v>0</v>
      </c>
      <c r="D18" s="97">
        <f>'[3]Sky West'!$GF$8</f>
        <v>0</v>
      </c>
      <c r="E18" s="97">
        <f>'[3]Sky West_UA'!$GF$8</f>
        <v>0</v>
      </c>
      <c r="F18" s="97">
        <f>'[3]Sky West_AS'!$GF$8</f>
        <v>0</v>
      </c>
      <c r="G18" s="97">
        <f>'[3]Sky West_AA'!$GF$8</f>
        <v>0</v>
      </c>
      <c r="H18" s="97">
        <f>[3]Republic!$GF$8</f>
        <v>0</v>
      </c>
      <c r="I18" s="97">
        <f>[3]Republic_UA!$GF$8</f>
        <v>0</v>
      </c>
      <c r="J18" s="97">
        <f>'[3]Sky Regional'!$GF$8</f>
        <v>0</v>
      </c>
      <c r="K18" s="97">
        <f>'[3]American Eagle'!$GF$8</f>
        <v>0</v>
      </c>
      <c r="L18" s="97">
        <f>'Other Regional'!J18</f>
        <v>0</v>
      </c>
      <c r="M18" s="90">
        <f t="shared" si="5"/>
        <v>0</v>
      </c>
    </row>
    <row r="19" spans="1:13" x14ac:dyDescent="0.2">
      <c r="A19" s="47" t="s">
        <v>57</v>
      </c>
      <c r="B19" s="98">
        <f>[3]Pinnacle!$GF$9</f>
        <v>3</v>
      </c>
      <c r="C19" s="93">
        <f>[3]MESA_UA!$GF$9</f>
        <v>0</v>
      </c>
      <c r="D19" s="98">
        <f>'[3]Sky West'!$GF$9</f>
        <v>14</v>
      </c>
      <c r="E19" s="98">
        <f>'[3]Sky West_UA'!$GF$9</f>
        <v>0</v>
      </c>
      <c r="F19" s="98">
        <f>'[3]Sky West_AS'!$GF$9</f>
        <v>0</v>
      </c>
      <c r="G19" s="98">
        <f>'[3]Sky West_AA'!$GF$9</f>
        <v>0</v>
      </c>
      <c r="H19" s="98">
        <f>[3]Republic!$GF$9</f>
        <v>0</v>
      </c>
      <c r="I19" s="98">
        <f>[3]Republic_UA!$GF$9</f>
        <v>0</v>
      </c>
      <c r="J19" s="98">
        <f>'[3]Sky Regional'!$GF$9</f>
        <v>0</v>
      </c>
      <c r="K19" s="98">
        <f>'[3]American Eagle'!$GF$9</f>
        <v>0</v>
      </c>
      <c r="L19" s="98">
        <f>'Other Regional'!J19</f>
        <v>0</v>
      </c>
      <c r="M19" s="94">
        <f t="shared" si="5"/>
        <v>17</v>
      </c>
    </row>
    <row r="20" spans="1:13" x14ac:dyDescent="0.2">
      <c r="A20" s="51" t="s">
        <v>58</v>
      </c>
      <c r="B20" s="95">
        <f t="shared" ref="B20:L20" si="9">SUM(B18:B19)</f>
        <v>3</v>
      </c>
      <c r="C20" s="95">
        <f t="shared" si="9"/>
        <v>0</v>
      </c>
      <c r="D20" s="95">
        <f t="shared" si="9"/>
        <v>14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0</v>
      </c>
      <c r="M20" s="96">
        <f t="shared" si="5"/>
        <v>17</v>
      </c>
    </row>
    <row r="21" spans="1:13" ht="15.75" thickBot="1" x14ac:dyDescent="0.3">
      <c r="A21" s="55" t="s">
        <v>28</v>
      </c>
      <c r="B21" s="99">
        <f t="shared" ref="B21:K21" si="11">SUM(B20,B17)</f>
        <v>2532</v>
      </c>
      <c r="C21" s="99">
        <f t="shared" si="11"/>
        <v>294</v>
      </c>
      <c r="D21" s="99">
        <f t="shared" si="11"/>
        <v>7995</v>
      </c>
      <c r="E21" s="99">
        <f t="shared" si="11"/>
        <v>134</v>
      </c>
      <c r="F21" s="99">
        <f t="shared" ref="F21:G21" si="12">SUM(F20,F17)</f>
        <v>62</v>
      </c>
      <c r="G21" s="99">
        <f t="shared" si="12"/>
        <v>0</v>
      </c>
      <c r="H21" s="99">
        <f t="shared" si="11"/>
        <v>391</v>
      </c>
      <c r="I21" s="99">
        <f t="shared" si="11"/>
        <v>506</v>
      </c>
      <c r="J21" s="99">
        <f t="shared" si="11"/>
        <v>184</v>
      </c>
      <c r="K21" s="99">
        <f t="shared" si="11"/>
        <v>116</v>
      </c>
      <c r="L21" s="99">
        <f>SUM(L20,L17)</f>
        <v>118</v>
      </c>
      <c r="M21" s="100">
        <f t="shared" si="5"/>
        <v>12332</v>
      </c>
    </row>
    <row r="22" spans="1:13" ht="13.5" thickBot="1" x14ac:dyDescent="0.25"/>
    <row r="23" spans="1:13" ht="15.75" thickTop="1" x14ac:dyDescent="0.25">
      <c r="A23" s="50" t="s">
        <v>116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[3]Pinnacle!$GF$47</f>
        <v>0</v>
      </c>
      <c r="C25" s="89">
        <f>[3]MESA_UA!$GF$47</f>
        <v>0</v>
      </c>
      <c r="D25" s="97">
        <f>'[3]Sky West'!$GF$47</f>
        <v>0</v>
      </c>
      <c r="E25" s="97">
        <f>'[3]Sky West_UA'!$GF$47</f>
        <v>0</v>
      </c>
      <c r="F25" s="97">
        <f>'[3]Sky West_AS'!$GF$47</f>
        <v>2344</v>
      </c>
      <c r="G25" s="97">
        <f>'[3]Sky West_AA'!$GF$47</f>
        <v>0</v>
      </c>
      <c r="H25" s="97">
        <f>[3]Republic!$GF$47</f>
        <v>638</v>
      </c>
      <c r="I25" s="97">
        <f>[3]Republic_UA!$GF$47</f>
        <v>0</v>
      </c>
      <c r="J25" s="97">
        <f>'[3]Sky Regional'!$GF$47</f>
        <v>2840</v>
      </c>
      <c r="K25" s="97">
        <f>'[3]American Eagle'!$GF$47</f>
        <v>0</v>
      </c>
      <c r="L25" s="97">
        <f>'Other Regional'!J25</f>
        <v>79</v>
      </c>
      <c r="M25" s="90">
        <f>SUM(B25:L25)</f>
        <v>5901</v>
      </c>
    </row>
    <row r="26" spans="1:13" x14ac:dyDescent="0.2">
      <c r="A26" s="47" t="s">
        <v>38</v>
      </c>
      <c r="B26" s="97">
        <f>[3]Pinnacle!$GF$48</f>
        <v>0</v>
      </c>
      <c r="C26" s="89">
        <f>[3]MESA_UA!$GF$48</f>
        <v>0</v>
      </c>
      <c r="D26" s="97">
        <f>'[3]Sky West'!$GF$48</f>
        <v>0</v>
      </c>
      <c r="E26" s="97">
        <f>'[3]Sky West_UA'!$GF$48</f>
        <v>0</v>
      </c>
      <c r="F26" s="97">
        <f>'[3]Sky West_AS'!$GF$48</f>
        <v>0</v>
      </c>
      <c r="G26" s="97">
        <f>'[3]Sky West_AA'!$GF$48</f>
        <v>0</v>
      </c>
      <c r="H26" s="97">
        <f>[3]Republic!$GF$48</f>
        <v>20</v>
      </c>
      <c r="I26" s="97">
        <f>[3]Republic_UA!$GF$48</f>
        <v>0</v>
      </c>
      <c r="J26" s="97">
        <f>'[3]Sky Regional'!$GF$48</f>
        <v>7</v>
      </c>
      <c r="K26" s="97">
        <f>'[3]American Eagle'!$GF$48</f>
        <v>0</v>
      </c>
      <c r="L26" s="97">
        <f>'Other Regional'!J26</f>
        <v>0</v>
      </c>
      <c r="M26" s="90">
        <f>SUM(B26:L26)</f>
        <v>27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2344</v>
      </c>
      <c r="G27" s="107">
        <f t="shared" si="14"/>
        <v>0</v>
      </c>
      <c r="H27" s="107">
        <f t="shared" si="13"/>
        <v>658</v>
      </c>
      <c r="I27" s="107">
        <f t="shared" si="13"/>
        <v>0</v>
      </c>
      <c r="J27" s="107">
        <f t="shared" si="13"/>
        <v>2847</v>
      </c>
      <c r="K27" s="107">
        <f t="shared" si="13"/>
        <v>0</v>
      </c>
      <c r="L27" s="107">
        <f t="shared" si="13"/>
        <v>79</v>
      </c>
      <c r="M27" s="108">
        <f>SUM(B27:L27)</f>
        <v>5928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[3]Pinnacle!$GF$52</f>
        <v>0</v>
      </c>
      <c r="C30" s="89">
        <f>[3]MESA_UA!$GF$52</f>
        <v>0</v>
      </c>
      <c r="D30" s="97">
        <f>'[3]Sky West'!$GF$52</f>
        <v>0</v>
      </c>
      <c r="E30" s="97">
        <f>'[3]Sky West_UA'!$GF$52</f>
        <v>0</v>
      </c>
      <c r="F30" s="97">
        <f>'[3]Sky West_AS'!$GF$52</f>
        <v>215</v>
      </c>
      <c r="G30" s="97">
        <f>'[3]Sky West_AA'!$GF$52</f>
        <v>0</v>
      </c>
      <c r="H30" s="97">
        <f>[3]Republic!$GF$52</f>
        <v>0</v>
      </c>
      <c r="I30" s="97">
        <f>[3]Republic_UA!$GF$52</f>
        <v>0</v>
      </c>
      <c r="J30" s="97">
        <f>'[3]Sky Regional'!$GF$52</f>
        <v>3093</v>
      </c>
      <c r="K30" s="97">
        <f>'[3]American Eagle'!$GF$52</f>
        <v>144</v>
      </c>
      <c r="L30" s="97">
        <f>'Other Regional'!J30</f>
        <v>0</v>
      </c>
      <c r="M30" s="90">
        <f t="shared" ref="M30:M37" si="15">SUM(B30:L30)</f>
        <v>3452</v>
      </c>
    </row>
    <row r="31" spans="1:13" x14ac:dyDescent="0.2">
      <c r="A31" s="47" t="s">
        <v>60</v>
      </c>
      <c r="B31" s="97">
        <f>[3]Pinnacle!$GF$53</f>
        <v>0</v>
      </c>
      <c r="C31" s="89">
        <f>[3]MESA_UA!$GF$53</f>
        <v>0</v>
      </c>
      <c r="D31" s="97">
        <f>'[3]Sky West'!$GF$53</f>
        <v>0</v>
      </c>
      <c r="E31" s="97">
        <f>'[3]Sky West_UA'!$GF$53</f>
        <v>0</v>
      </c>
      <c r="F31" s="97">
        <f>'[3]Sky West_AS'!$GF$53</f>
        <v>5340</v>
      </c>
      <c r="G31" s="97">
        <f>'[3]Sky West_AA'!$GF$53</f>
        <v>0</v>
      </c>
      <c r="H31" s="97">
        <f>[3]Republic!$GF$53</f>
        <v>0</v>
      </c>
      <c r="I31" s="97">
        <f>[3]Republic_UA!$GF$53</f>
        <v>0</v>
      </c>
      <c r="J31" s="97">
        <f>'[3]Sky Regional'!$GF$53</f>
        <v>0</v>
      </c>
      <c r="K31" s="97">
        <f>'[3]American Eagle'!$GF$53</f>
        <v>0</v>
      </c>
      <c r="L31" s="97">
        <f>'Other Regional'!J31</f>
        <v>0</v>
      </c>
      <c r="M31" s="90">
        <f t="shared" si="15"/>
        <v>5340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5555</v>
      </c>
      <c r="G32" s="107">
        <f t="shared" si="17"/>
        <v>0</v>
      </c>
      <c r="H32" s="107">
        <f t="shared" si="16"/>
        <v>0</v>
      </c>
      <c r="I32" s="107">
        <f t="shared" si="16"/>
        <v>0</v>
      </c>
      <c r="J32" s="107">
        <f t="shared" si="16"/>
        <v>3093</v>
      </c>
      <c r="K32" s="107">
        <f t="shared" si="16"/>
        <v>144</v>
      </c>
      <c r="L32" s="107">
        <f>SUM(L30:L31)</f>
        <v>0</v>
      </c>
      <c r="M32" s="108">
        <f t="shared" si="15"/>
        <v>8792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[3]Pinnacle!$GF$57</f>
        <v>0</v>
      </c>
      <c r="C35" s="89">
        <f>[3]MESA_UA!$GF$57</f>
        <v>0</v>
      </c>
      <c r="D35" s="97">
        <f>'[3]Sky West'!$GF$57</f>
        <v>0</v>
      </c>
      <c r="E35" s="97">
        <f>'[3]Sky West_UA'!$GF$57</f>
        <v>0</v>
      </c>
      <c r="F35" s="97">
        <f>'[3]Sky West_AS'!$GF$57</f>
        <v>0</v>
      </c>
      <c r="G35" s="97">
        <f>'[3]Sky West_AA'!$GF$57</f>
        <v>0</v>
      </c>
      <c r="H35" s="97">
        <f>[3]Republic!$GF$57</f>
        <v>0</v>
      </c>
      <c r="I35" s="97">
        <f>[3]Republic!$GF$57</f>
        <v>0</v>
      </c>
      <c r="J35" s="97">
        <f>[3]Republic!$GF$57</f>
        <v>0</v>
      </c>
      <c r="K35" s="97">
        <f>'[3]American Eagle'!$GF$57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[3]Pinnacle!$GF$58</f>
        <v>0</v>
      </c>
      <c r="C36" s="89">
        <f>[3]MESA_UA!$GF$58</f>
        <v>0</v>
      </c>
      <c r="D36" s="97">
        <f>'[3]Sky West'!$GF$58</f>
        <v>0</v>
      </c>
      <c r="E36" s="97">
        <f>'[3]Sky West_UA'!$GF$58</f>
        <v>0</v>
      </c>
      <c r="F36" s="97">
        <f>'[3]Sky West_AS'!$GF$58</f>
        <v>0</v>
      </c>
      <c r="G36" s="97">
        <f>'[3]Sky West_AA'!$GF$58</f>
        <v>0</v>
      </c>
      <c r="H36" s="97">
        <f>[3]Republic!$GF$58</f>
        <v>0</v>
      </c>
      <c r="I36" s="97">
        <f>[3]Republic!$GF$58</f>
        <v>0</v>
      </c>
      <c r="J36" s="97">
        <f>[3]Republic!$GF$58</f>
        <v>0</v>
      </c>
      <c r="K36" s="97">
        <f>'[3]American Eagle'!$GF$58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2559</v>
      </c>
      <c r="G40" s="97">
        <f t="shared" ref="G40" si="22">SUM(G35,G30,G25)</f>
        <v>0</v>
      </c>
      <c r="H40" s="97">
        <f t="shared" si="20"/>
        <v>638</v>
      </c>
      <c r="I40" s="97">
        <f t="shared" si="20"/>
        <v>0</v>
      </c>
      <c r="J40" s="97">
        <f t="shared" si="20"/>
        <v>5933</v>
      </c>
      <c r="K40" s="97">
        <f>SUM(K35,K30,K25)</f>
        <v>144</v>
      </c>
      <c r="L40" s="97">
        <f>L35+L30+L25</f>
        <v>79</v>
      </c>
      <c r="M40" s="90">
        <f>SUM(B40:L40)</f>
        <v>9353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5340</v>
      </c>
      <c r="G41" s="97">
        <f t="shared" ref="G41" si="23">SUM(G36,G31,G26)</f>
        <v>0</v>
      </c>
      <c r="H41" s="97">
        <f t="shared" si="20"/>
        <v>20</v>
      </c>
      <c r="I41" s="97">
        <f t="shared" si="20"/>
        <v>0</v>
      </c>
      <c r="J41" s="97">
        <f t="shared" si="20"/>
        <v>7</v>
      </c>
      <c r="K41" s="97">
        <f>SUM(K36,K31,K26)</f>
        <v>0</v>
      </c>
      <c r="L41" s="97">
        <f>L36+L31+L26</f>
        <v>0</v>
      </c>
      <c r="M41" s="90">
        <f>SUM(B41:L41)</f>
        <v>5367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7899</v>
      </c>
      <c r="G42" s="110">
        <f t="shared" ref="G42" si="24">SUM(G37,G32,G27)</f>
        <v>0</v>
      </c>
      <c r="H42" s="110">
        <f t="shared" si="20"/>
        <v>658</v>
      </c>
      <c r="I42" s="110">
        <f t="shared" si="20"/>
        <v>0</v>
      </c>
      <c r="J42" s="110">
        <f t="shared" si="20"/>
        <v>5940</v>
      </c>
      <c r="K42" s="110">
        <f>SUM(K37,K32,K27)</f>
        <v>144</v>
      </c>
      <c r="L42" s="110">
        <f>SUM(L37,L32,L27)</f>
        <v>79</v>
      </c>
      <c r="M42" s="111">
        <f>SUM(B42:L42)</f>
        <v>14720</v>
      </c>
    </row>
    <row r="44" spans="1:13" x14ac:dyDescent="0.2">
      <c r="A44" s="322" t="s">
        <v>123</v>
      </c>
      <c r="B44" s="278">
        <f>[3]Pinnacle!$GF$70+[3]Pinnacle!$GF$73</f>
        <v>38186</v>
      </c>
      <c r="D44" s="279">
        <f>'[3]Sky West'!$GF$70+'[3]Sky West'!$GF$73</f>
        <v>61050</v>
      </c>
      <c r="E44" s="2"/>
      <c r="F44" s="2"/>
      <c r="G44" s="2"/>
      <c r="L44" s="279">
        <f>+'Other Regional'!J46</f>
        <v>1151</v>
      </c>
      <c r="M44" s="268">
        <f>SUM(B44:L44)</f>
        <v>100387</v>
      </c>
    </row>
    <row r="45" spans="1:13" x14ac:dyDescent="0.2">
      <c r="A45" s="335" t="s">
        <v>124</v>
      </c>
      <c r="B45" s="278">
        <f>[3]Pinnacle!$GF$71+[3]Pinnacle!$GF$74</f>
        <v>41858</v>
      </c>
      <c r="D45" s="279">
        <f>'[3]Sky West'!$GF$71+'[3]Sky West'!$GF$74</f>
        <v>140462</v>
      </c>
      <c r="E45" s="2"/>
      <c r="F45" s="2"/>
      <c r="G45" s="2"/>
      <c r="L45" s="279">
        <f>+'Other Regional'!J47</f>
        <v>2334</v>
      </c>
      <c r="M45" s="268">
        <f>SUM(B45:L45)</f>
        <v>184654</v>
      </c>
    </row>
    <row r="46" spans="1:13" x14ac:dyDescent="0.2">
      <c r="A46" s="269" t="s">
        <v>125</v>
      </c>
      <c r="B46" s="270">
        <f>SUM(B44:B45)</f>
        <v>80044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May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I11" activeCellId="1" sqref="I6 I11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1"/>
    </row>
    <row r="2" spans="1:10" ht="55.5" customHeight="1" thickBot="1" x14ac:dyDescent="0.25">
      <c r="A2" s="325">
        <v>43586</v>
      </c>
      <c r="B2" s="430" t="s">
        <v>176</v>
      </c>
      <c r="C2" s="430" t="s">
        <v>175</v>
      </c>
      <c r="D2" s="430" t="s">
        <v>211</v>
      </c>
      <c r="E2" s="430" t="s">
        <v>186</v>
      </c>
      <c r="F2" s="430" t="s">
        <v>180</v>
      </c>
      <c r="G2" s="430" t="s">
        <v>179</v>
      </c>
      <c r="H2" s="430" t="s">
        <v>163</v>
      </c>
      <c r="I2" s="430" t="s">
        <v>167</v>
      </c>
      <c r="J2" s="431" t="s">
        <v>21</v>
      </c>
    </row>
    <row r="3" spans="1:10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429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America'!$GF$22</f>
        <v>0</v>
      </c>
      <c r="C5" s="89">
        <f>'[3]Shuttle America_Delta'!$GF$22</f>
        <v>0</v>
      </c>
      <c r="D5" s="385">
        <f>[3]Horizon_AS!$GF$22</f>
        <v>0</v>
      </c>
      <c r="E5" s="385">
        <f>[3]PSA!$GF$22</f>
        <v>0</v>
      </c>
      <c r="F5" s="89">
        <f>'[3]Atlantic Southeast'!$GF$22+'[3]Atlantic Southeast'!$GF$32</f>
        <v>0</v>
      </c>
      <c r="G5" s="89">
        <f>'[3]Continental Express'!$GF$22</f>
        <v>0</v>
      </c>
      <c r="H5" s="97">
        <f>'[3]Go Jet_UA'!$GF$22</f>
        <v>126</v>
      </c>
      <c r="I5" s="13">
        <f>'[3]Go Jet'!$GF$22+'[3]Go Jet'!$GF$32</f>
        <v>3473</v>
      </c>
      <c r="J5" s="90">
        <f>SUM(B5:I5)</f>
        <v>3599</v>
      </c>
    </row>
    <row r="6" spans="1:10" s="6" customFormat="1" x14ac:dyDescent="0.2">
      <c r="A6" s="47" t="s">
        <v>31</v>
      </c>
      <c r="B6" s="89">
        <f>'[3]Shuttle America'!$GF$23</f>
        <v>0</v>
      </c>
      <c r="C6" s="89">
        <f>'[3]Shuttle America_Delta'!$GF$23</f>
        <v>0</v>
      </c>
      <c r="D6" s="385">
        <f>[3]Horizon_AS!$GF$23</f>
        <v>0</v>
      </c>
      <c r="E6" s="385">
        <f>[3]PSA!$GF$23</f>
        <v>0</v>
      </c>
      <c r="F6" s="89">
        <f>'[3]Atlantic Southeast'!$GF$23+'[3]Atlantic Southeast'!$GF$33</f>
        <v>0</v>
      </c>
      <c r="G6" s="89">
        <f>'[3]Continental Express'!$GF$23</f>
        <v>0</v>
      </c>
      <c r="H6" s="97">
        <f>'[3]Go Jet_UA'!$GF$23</f>
        <v>136</v>
      </c>
      <c r="I6" s="7">
        <f>'[3]Go Jet'!$GF$23+'[3]Go Jet'!$GF$33</f>
        <v>3485</v>
      </c>
      <c r="J6" s="94">
        <f>SUM(B6:I6)</f>
        <v>3621</v>
      </c>
    </row>
    <row r="7" spans="1:10" ht="15" thickBot="1" x14ac:dyDescent="0.25">
      <c r="A7" s="56" t="s">
        <v>7</v>
      </c>
      <c r="B7" s="107">
        <f t="shared" ref="B7:H7" si="0">SUM(B5:B6)</f>
        <v>0</v>
      </c>
      <c r="C7" s="107">
        <f t="shared" si="0"/>
        <v>0</v>
      </c>
      <c r="D7" s="107">
        <f t="shared" ref="D7" si="1">SUM(D5:D6)</f>
        <v>0</v>
      </c>
      <c r="E7" s="107">
        <f t="shared" si="0"/>
        <v>0</v>
      </c>
      <c r="F7" s="107">
        <f t="shared" si="0"/>
        <v>0</v>
      </c>
      <c r="G7" s="107">
        <f t="shared" si="0"/>
        <v>0</v>
      </c>
      <c r="H7" s="107">
        <f t="shared" si="0"/>
        <v>262</v>
      </c>
      <c r="I7" s="107">
        <f>SUM(I5:I6)</f>
        <v>6958</v>
      </c>
      <c r="J7" s="108">
        <f>SUM(B7:I7)</f>
        <v>7220</v>
      </c>
    </row>
    <row r="8" spans="1:10" ht="13.5" thickTop="1" x14ac:dyDescent="0.2">
      <c r="A8" s="47"/>
      <c r="B8" s="89"/>
      <c r="C8" s="89"/>
      <c r="D8" s="385"/>
      <c r="E8" s="385"/>
      <c r="F8" s="89"/>
      <c r="G8" s="89"/>
      <c r="H8" s="97"/>
      <c r="I8" s="297"/>
      <c r="J8" s="109"/>
    </row>
    <row r="9" spans="1:10" s="6" customFormat="1" x14ac:dyDescent="0.2">
      <c r="A9" s="47" t="s">
        <v>32</v>
      </c>
      <c r="B9" s="89"/>
      <c r="C9" s="89"/>
      <c r="D9" s="385"/>
      <c r="E9" s="385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America'!$GF$27</f>
        <v>0</v>
      </c>
      <c r="C10" s="89">
        <f>'[3]Shuttle America_Delta'!$GF$27</f>
        <v>0</v>
      </c>
      <c r="D10" s="385">
        <f>[3]Horizon_AS!$GF$27</f>
        <v>0</v>
      </c>
      <c r="E10" s="385">
        <f>[3]PSA!$GF$27</f>
        <v>0</v>
      </c>
      <c r="F10" s="13">
        <f>'[3]Atlantic Southeast'!$GF$27+'[3]Atlantic Southeast'!$GF$37</f>
        <v>0</v>
      </c>
      <c r="G10" s="89">
        <f>'[3]Continental Express'!$GF$27</f>
        <v>0</v>
      </c>
      <c r="H10" s="97">
        <f>'[3]Go Jet_UA'!$GF$27</f>
        <v>13</v>
      </c>
      <c r="I10" s="13">
        <f>'[3]Go Jet'!$GF$27+'[3]Go Jet'!$GF$37</f>
        <v>121</v>
      </c>
      <c r="J10" s="90">
        <f>SUM(B10:I10)</f>
        <v>134</v>
      </c>
    </row>
    <row r="11" spans="1:10" x14ac:dyDescent="0.2">
      <c r="A11" s="47" t="s">
        <v>33</v>
      </c>
      <c r="B11" s="89">
        <f>'[3]Shuttle America'!$GF$28</f>
        <v>0</v>
      </c>
      <c r="C11" s="89">
        <f>'[3]Shuttle America_Delta'!$GF$28</f>
        <v>0</v>
      </c>
      <c r="D11" s="385">
        <f>[3]Horizon_AS!$GF$28</f>
        <v>0</v>
      </c>
      <c r="E11" s="385">
        <f>[3]PSA!$GF$28</f>
        <v>0</v>
      </c>
      <c r="F11" s="7">
        <f>'[3]Atlantic Southeast'!$GF$28+'[3]Atlantic Southeast'!$GF$38</f>
        <v>0</v>
      </c>
      <c r="G11" s="89">
        <f>'[3]Continental Express'!$GF$28</f>
        <v>0</v>
      </c>
      <c r="H11" s="97">
        <f>'[3]Go Jet_UA'!$GF$28</f>
        <v>1</v>
      </c>
      <c r="I11" s="7">
        <f>'[3]Go Jet'!$GF$28+'[3]Go Jet'!$GF$38</f>
        <v>141</v>
      </c>
      <c r="J11" s="94">
        <f>SUM(B11:I11)</f>
        <v>142</v>
      </c>
    </row>
    <row r="12" spans="1:10" ht="15" thickBot="1" x14ac:dyDescent="0.25">
      <c r="A12" s="57" t="s">
        <v>34</v>
      </c>
      <c r="B12" s="110">
        <f>SUM(B10:B11)</f>
        <v>0</v>
      </c>
      <c r="C12" s="110">
        <f>SUM(C10:C11)</f>
        <v>0</v>
      </c>
      <c r="D12" s="110">
        <f t="shared" ref="D12:E12" si="2">SUM(D10:D11)</f>
        <v>0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0</v>
      </c>
      <c r="H12" s="110">
        <f t="shared" si="3"/>
        <v>14</v>
      </c>
      <c r="I12" s="110">
        <f t="shared" ref="I12" si="4">SUM(I10:I11)</f>
        <v>262</v>
      </c>
      <c r="J12" s="111">
        <f>SUM(B12:I12)</f>
        <v>276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America'!$GF$4</f>
        <v>0</v>
      </c>
      <c r="C15" s="87">
        <f>'[3]Shuttle America_Delta'!$GF$4</f>
        <v>0</v>
      </c>
      <c r="D15" s="386">
        <f>[3]Horizon_AS!$GF$4</f>
        <v>0</v>
      </c>
      <c r="E15" s="386">
        <f>[3]PSA!$GF$4</f>
        <v>0</v>
      </c>
      <c r="F15" s="88">
        <f>'[3]Atlantic Southeast'!$GF$4+'[3]Atlantic Southeast'!$GF$15</f>
        <v>0</v>
      </c>
      <c r="G15" s="88">
        <f>'[3]Continental Express'!$GF$4</f>
        <v>0</v>
      </c>
      <c r="H15" s="87">
        <f>'[3]Go Jet_UA'!$GF$4</f>
        <v>2</v>
      </c>
      <c r="I15" s="13">
        <f>'[3]Go Jet'!$GF$4+'[3]Go Jet'!$GF$15</f>
        <v>57</v>
      </c>
      <c r="J15" s="90">
        <f t="shared" ref="J15:J21" si="5">SUM(B15:I15)</f>
        <v>59</v>
      </c>
    </row>
    <row r="16" spans="1:10" x14ac:dyDescent="0.2">
      <c r="A16" s="47" t="s">
        <v>54</v>
      </c>
      <c r="B16" s="91">
        <f>'[3]Shuttle America'!$GF$5</f>
        <v>0</v>
      </c>
      <c r="C16" s="91">
        <f>'[3]Shuttle America_Delta'!$GF$5</f>
        <v>0</v>
      </c>
      <c r="D16" s="387">
        <f>[3]Horizon_AS!$GF$5</f>
        <v>0</v>
      </c>
      <c r="E16" s="387">
        <f>[3]PSA!$GF$5</f>
        <v>0</v>
      </c>
      <c r="F16" s="92">
        <f>'[3]Atlantic Southeast'!$GF$5+'[3]Atlantic Southeast'!$GF$16</f>
        <v>0</v>
      </c>
      <c r="G16" s="92">
        <f>'[3]Continental Express'!$GF$5</f>
        <v>0</v>
      </c>
      <c r="H16" s="91">
        <f>'[3]Go Jet_UA'!$GF$5</f>
        <v>2</v>
      </c>
      <c r="I16" s="7">
        <f>'[3]Go Jet'!$GF$5+'[3]Go Jet'!$GF$16</f>
        <v>57</v>
      </c>
      <c r="J16" s="94">
        <f t="shared" si="5"/>
        <v>59</v>
      </c>
    </row>
    <row r="17" spans="1:10" x14ac:dyDescent="0.2">
      <c r="A17" s="51" t="s">
        <v>55</v>
      </c>
      <c r="B17" s="95">
        <f>SUM(B15:B16)</f>
        <v>0</v>
      </c>
      <c r="C17" s="95">
        <f>SUM(C15:C16)</f>
        <v>0</v>
      </c>
      <c r="D17" s="95">
        <f t="shared" ref="D17:E17" si="6">SUM(D15:D16)</f>
        <v>0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0</v>
      </c>
      <c r="H17" s="95">
        <f t="shared" si="7"/>
        <v>4</v>
      </c>
      <c r="I17" s="247">
        <f>SUM(I15:I16)</f>
        <v>114</v>
      </c>
      <c r="J17" s="96">
        <f t="shared" si="5"/>
        <v>118</v>
      </c>
    </row>
    <row r="18" spans="1:10" x14ac:dyDescent="0.2">
      <c r="A18" s="47" t="s">
        <v>56</v>
      </c>
      <c r="B18" s="97">
        <f>'[3]Shuttle America'!$GF$8</f>
        <v>0</v>
      </c>
      <c r="C18" s="97">
        <f>'[3]Shuttle America_Delta'!$GF$8</f>
        <v>0</v>
      </c>
      <c r="D18" s="97">
        <f>[3]Horizon_AS!$GF$8</f>
        <v>0</v>
      </c>
      <c r="E18" s="97">
        <f>[3]PSA!$GF$8</f>
        <v>0</v>
      </c>
      <c r="F18" s="89">
        <f>'[3]Atlantic Southeast'!$GF$8</f>
        <v>0</v>
      </c>
      <c r="G18" s="89">
        <f>'[3]Continental Express'!$GF$8</f>
        <v>0</v>
      </c>
      <c r="H18" s="97">
        <f>'[3]Go Jet_UA'!$GF$8</f>
        <v>0</v>
      </c>
      <c r="I18" s="13">
        <f>'[3]Go Jet'!$GF$8</f>
        <v>0</v>
      </c>
      <c r="J18" s="90">
        <f t="shared" si="5"/>
        <v>0</v>
      </c>
    </row>
    <row r="19" spans="1:10" x14ac:dyDescent="0.2">
      <c r="A19" s="47" t="s">
        <v>57</v>
      </c>
      <c r="B19" s="98">
        <f>'[3]Shuttle America'!$GF$9</f>
        <v>0</v>
      </c>
      <c r="C19" s="98">
        <f>'[3]Shuttle America_Delta'!$GF$9</f>
        <v>0</v>
      </c>
      <c r="D19" s="98">
        <f>[3]Horizon_AS!$GF$9</f>
        <v>0</v>
      </c>
      <c r="E19" s="98">
        <f>[3]PSA!$GF$9</f>
        <v>0</v>
      </c>
      <c r="F19" s="93">
        <f>'[3]Atlantic Southeast'!$GF$9</f>
        <v>0</v>
      </c>
      <c r="G19" s="93">
        <f>'[3]Continental Express'!$GF$9</f>
        <v>0</v>
      </c>
      <c r="H19" s="98">
        <f>'[3]Go Jet_UA'!$GF$9</f>
        <v>0</v>
      </c>
      <c r="I19" s="7">
        <f>'[3]Go Jet'!$GF$9</f>
        <v>0</v>
      </c>
      <c r="J19" s="94">
        <f t="shared" si="5"/>
        <v>0</v>
      </c>
    </row>
    <row r="20" spans="1:10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7">
        <f>SUM(I18:I19)</f>
        <v>0</v>
      </c>
      <c r="J20" s="96">
        <f t="shared" si="5"/>
        <v>0</v>
      </c>
    </row>
    <row r="21" spans="1:10" ht="15.75" thickBot="1" x14ac:dyDescent="0.3">
      <c r="A21" s="55" t="s">
        <v>28</v>
      </c>
      <c r="B21" s="99">
        <f>SUM(B20,B17)</f>
        <v>0</v>
      </c>
      <c r="C21" s="99">
        <f>SUM(C20,C17)</f>
        <v>0</v>
      </c>
      <c r="D21" s="99">
        <f t="shared" ref="D21:E21" si="10">SUM(D20,D17)</f>
        <v>0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0</v>
      </c>
      <c r="H21" s="99">
        <f t="shared" si="11"/>
        <v>4</v>
      </c>
      <c r="I21" s="99">
        <f t="shared" ref="I21" si="12">SUM(I20,I17)</f>
        <v>114</v>
      </c>
      <c r="J21" s="100">
        <f t="shared" si="5"/>
        <v>118</v>
      </c>
    </row>
    <row r="22" spans="1:10" ht="3.75" customHeight="1" thickBot="1" x14ac:dyDescent="0.25"/>
    <row r="23" spans="1:10" ht="15.75" thickTop="1" x14ac:dyDescent="0.25">
      <c r="A23" s="50" t="s">
        <v>116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America'!$GF$47</f>
        <v>0</v>
      </c>
      <c r="C25" s="97">
        <f>'[3]Shuttle America_Delta'!$GF$47</f>
        <v>0</v>
      </c>
      <c r="D25" s="97">
        <f>[3]Horizon_AS!$GF$47</f>
        <v>0</v>
      </c>
      <c r="E25" s="97">
        <f>[3]PSA!$GF$47</f>
        <v>0</v>
      </c>
      <c r="F25" s="89">
        <f>'[3]Atlantic Southeast'!$GF$47</f>
        <v>0</v>
      </c>
      <c r="G25" s="89">
        <f>'[3]Continental Express'!$GF$47</f>
        <v>0</v>
      </c>
      <c r="H25" s="97">
        <f>'[3]Go Jet_UA'!$GF$47</f>
        <v>0</v>
      </c>
      <c r="I25" s="97">
        <f>'[3]Go Jet'!$GF$47</f>
        <v>79</v>
      </c>
      <c r="J25" s="90">
        <f>SUM(B25:I25)</f>
        <v>79</v>
      </c>
    </row>
    <row r="26" spans="1:10" x14ac:dyDescent="0.2">
      <c r="A26" s="47" t="s">
        <v>38</v>
      </c>
      <c r="B26" s="97">
        <f>'[3]Shuttle America'!$GF$48</f>
        <v>0</v>
      </c>
      <c r="C26" s="97">
        <f>'[3]Shuttle America_Delta'!$GF$48</f>
        <v>0</v>
      </c>
      <c r="D26" s="97">
        <f>[3]Horizon_AS!$GF$48</f>
        <v>0</v>
      </c>
      <c r="E26" s="97">
        <f>[3]PSA!$GF$48</f>
        <v>0</v>
      </c>
      <c r="F26" s="89">
        <f>'[3]Atlantic Southeast'!$GF$48</f>
        <v>0</v>
      </c>
      <c r="G26" s="89">
        <f>'[3]Continental Express'!$GF$48</f>
        <v>0</v>
      </c>
      <c r="H26" s="97">
        <f>'[3]Go Jet_UA'!$GF$48</f>
        <v>0</v>
      </c>
      <c r="I26" s="97">
        <f>'[3]Go Jet'!$GF$48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0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79</v>
      </c>
      <c r="J27" s="108">
        <f>SUM(B27:I27)</f>
        <v>79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America'!$GF$52</f>
        <v>0</v>
      </c>
      <c r="C30" s="97">
        <f>'[3]Shuttle America_Delta'!$GF$52</f>
        <v>0</v>
      </c>
      <c r="D30" s="97">
        <f>[3]Horizon_AS!$GF$52</f>
        <v>0</v>
      </c>
      <c r="E30" s="97">
        <f>[3]PSA!$GF$52</f>
        <v>0</v>
      </c>
      <c r="F30" s="89">
        <f>'[3]Atlantic Southeast'!$GF$52</f>
        <v>0</v>
      </c>
      <c r="G30" s="89">
        <f>'[3]Continental Express'!$GF$52</f>
        <v>0</v>
      </c>
      <c r="H30" s="97">
        <f>'[3]Go Jet_UA'!$GF$52</f>
        <v>0</v>
      </c>
      <c r="I30" s="97">
        <f>'[3]Go Jet'!$GF$52</f>
        <v>0</v>
      </c>
      <c r="J30" s="90">
        <f>SUM(B30:I30)</f>
        <v>0</v>
      </c>
    </row>
    <row r="31" spans="1:10" x14ac:dyDescent="0.2">
      <c r="A31" s="47" t="s">
        <v>60</v>
      </c>
      <c r="B31" s="97">
        <f>'[3]Shuttle America'!$GF$53</f>
        <v>0</v>
      </c>
      <c r="C31" s="97">
        <f>'[3]Shuttle America_Delta'!$GF$53</f>
        <v>0</v>
      </c>
      <c r="D31" s="97">
        <f>[3]Horizon_AS!$GF$53</f>
        <v>0</v>
      </c>
      <c r="E31" s="97">
        <f>[3]PSA!$GF$53</f>
        <v>0</v>
      </c>
      <c r="F31" s="89">
        <f>'[3]Atlantic Southeast'!$GF$53</f>
        <v>0</v>
      </c>
      <c r="G31" s="89">
        <f>'[3]Continental Express'!$GF$53</f>
        <v>0</v>
      </c>
      <c r="H31" s="97">
        <f>'[3]Go Jet_UA'!$GF$53</f>
        <v>0</v>
      </c>
      <c r="I31" s="97">
        <f>'[3]Go Jet'!$GF$53</f>
        <v>0</v>
      </c>
      <c r="J31" s="90">
        <f>SUM(B31:I31)</f>
        <v>0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0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0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America'!$GF$57</f>
        <v>0</v>
      </c>
      <c r="C35" s="97">
        <f>'[3]Shuttle America_Delta'!$GF$57</f>
        <v>0</v>
      </c>
      <c r="D35" s="97">
        <f>[3]Horizon_AS!$GF$57</f>
        <v>0</v>
      </c>
      <c r="E35" s="97">
        <f>[3]PSA!$GF$57</f>
        <v>0</v>
      </c>
      <c r="F35" s="89">
        <f>'[3]Atlantic Southeast'!$GF$57</f>
        <v>0</v>
      </c>
      <c r="G35" s="89">
        <f>'[3]Continental Express'!$GF$57</f>
        <v>0</v>
      </c>
      <c r="H35" s="97">
        <f>'[3]Go Jet_UA'!$AJ$57</f>
        <v>0</v>
      </c>
      <c r="I35" s="97">
        <f>'[3]Go Jet'!$GF$57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0</v>
      </c>
      <c r="D40" s="97">
        <f t="shared" ref="D40:E41" si="21">SUM(D35,D30,D25)</f>
        <v>0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79</v>
      </c>
      <c r="J40" s="90">
        <f>SUM(B40:I40)</f>
        <v>79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0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0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0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79</v>
      </c>
      <c r="J42" s="111">
        <f>SUM(B42:I42)</f>
        <v>79</v>
      </c>
    </row>
    <row r="43" spans="1:10" ht="4.5" customHeight="1" x14ac:dyDescent="0.2"/>
    <row r="44" spans="1:10" hidden="1" x14ac:dyDescent="0.2">
      <c r="A44" s="280" t="s">
        <v>126</v>
      </c>
      <c r="F44" s="266"/>
      <c r="I44" s="279">
        <f>'[3]Go Jet'!BK$70+'[3]Go Jet'!BK$73</f>
        <v>0</v>
      </c>
      <c r="J44" s="268" t="e">
        <f>SUM(#REF!)</f>
        <v>#REF!</v>
      </c>
    </row>
    <row r="45" spans="1:10" hidden="1" x14ac:dyDescent="0.2">
      <c r="A45" s="280" t="s">
        <v>127</v>
      </c>
      <c r="F45" s="283"/>
      <c r="I45" s="279">
        <f>'[3]Go Jet'!BK$71+'[3]Go Jet'!BK$74</f>
        <v>0</v>
      </c>
      <c r="J45" s="268" t="e">
        <f>SUM(#REF!)</f>
        <v>#REF!</v>
      </c>
    </row>
    <row r="46" spans="1:10" x14ac:dyDescent="0.2">
      <c r="A46" s="322" t="s">
        <v>123</v>
      </c>
      <c r="C46" s="279">
        <f>'[3]Shuttle America_Delta'!$GF$70+'[3]Shuttle America_Delta'!$GF$73</f>
        <v>0</v>
      </c>
      <c r="D46" s="2"/>
      <c r="F46" s="279">
        <f>'[3]Atlantic Southeast'!$GF$70+'[3]Atlantic Southeast'!$GF$73</f>
        <v>0</v>
      </c>
      <c r="I46" s="279">
        <f>'[3]Go Jet'!$GF$70+'[3]Go Jet'!$GF$73</f>
        <v>1151</v>
      </c>
      <c r="J46" s="334">
        <f>SUM(B46:I46)</f>
        <v>1151</v>
      </c>
    </row>
    <row r="47" spans="1:10" x14ac:dyDescent="0.2">
      <c r="A47" s="335" t="s">
        <v>124</v>
      </c>
      <c r="C47" s="279">
        <f>'[3]Shuttle America_Delta'!$GF$71+'[3]Shuttle America_Delta'!$GF$74</f>
        <v>0</v>
      </c>
      <c r="D47" s="2"/>
      <c r="F47" s="279">
        <f>'[3]Atlantic Southeast'!$GF$71+'[3]Atlantic Southeast'!$GF$74</f>
        <v>0</v>
      </c>
      <c r="I47" s="279">
        <f>'[3]Go Jet'!$GF$71+'[3]Go Jet'!$GF$74</f>
        <v>2334</v>
      </c>
      <c r="J47" s="334">
        <f>SUM(B47:I47)</f>
        <v>2334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May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I6" sqref="I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43586</v>
      </c>
      <c r="B2" s="152" t="s">
        <v>118</v>
      </c>
      <c r="C2" s="152" t="s">
        <v>156</v>
      </c>
      <c r="D2" s="83" t="s">
        <v>78</v>
      </c>
      <c r="E2" s="83" t="s">
        <v>157</v>
      </c>
      <c r="F2" s="152" t="s">
        <v>132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Misc'!$GF$22</f>
        <v>0</v>
      </c>
      <c r="C5" s="156">
        <f>[3]Ryan!$GF$22</f>
        <v>0</v>
      </c>
      <c r="D5" s="156">
        <f>'[3]Charter Misc'!$GF$32</f>
        <v>0</v>
      </c>
      <c r="E5" s="156">
        <f>[3]Omni!$GF$32</f>
        <v>0</v>
      </c>
      <c r="F5" s="156">
        <f>[3]Xtra!$GF$32+[3]Xtra!$GF$22</f>
        <v>0</v>
      </c>
      <c r="G5" s="296">
        <f>SUM(B5:F5)</f>
        <v>0</v>
      </c>
    </row>
    <row r="6" spans="1:17" x14ac:dyDescent="0.2">
      <c r="A6" s="47" t="s">
        <v>31</v>
      </c>
      <c r="B6" s="360">
        <f>'[3]Charter Misc'!$GF$23</f>
        <v>149</v>
      </c>
      <c r="C6" s="159">
        <f>[3]Ryan!$GF$23</f>
        <v>0</v>
      </c>
      <c r="D6" s="159">
        <f>'[3]Charter Misc'!$GF$33</f>
        <v>0</v>
      </c>
      <c r="E6" s="159">
        <f>[3]Omni!$GF$33+[3]Omni!$GF$23</f>
        <v>160</v>
      </c>
      <c r="F6" s="159">
        <f>[3]Xtra!$GF$33+[3]Xtra!$GF$23</f>
        <v>0</v>
      </c>
      <c r="G6" s="295">
        <f>SUM(B6:F6)</f>
        <v>309</v>
      </c>
    </row>
    <row r="7" spans="1:17" ht="15.75" thickBot="1" x14ac:dyDescent="0.3">
      <c r="A7" s="155" t="s">
        <v>7</v>
      </c>
      <c r="B7" s="361">
        <f>SUM(B5:B6)</f>
        <v>149</v>
      </c>
      <c r="C7" s="256">
        <f>SUM(C5:C6)</f>
        <v>0</v>
      </c>
      <c r="D7" s="256">
        <f>SUM(D5:D6)</f>
        <v>0</v>
      </c>
      <c r="E7" s="256">
        <f>SUM(E5:E6)</f>
        <v>160</v>
      </c>
      <c r="F7" s="256">
        <f>SUM(F5:F6)</f>
        <v>0</v>
      </c>
      <c r="G7" s="257">
        <f>SUM(B7:F7)</f>
        <v>309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Misc'!$GF$4</f>
        <v>0</v>
      </c>
      <c r="C10" s="156">
        <f>[3]Ryan!$GF$4</f>
        <v>0</v>
      </c>
      <c r="D10" s="156">
        <f>'[3]Charter Misc'!$GF$15</f>
        <v>0</v>
      </c>
      <c r="E10" s="156">
        <f>[3]Omni!$GF$15+[3]Omni!$GF$4+[3]Omni!$GF$8</f>
        <v>1</v>
      </c>
      <c r="F10" s="156">
        <f>[3]Xtra!$GF$15+[3]Xtra!$GF$4+[3]Omni!$GF$8</f>
        <v>1</v>
      </c>
      <c r="G10" s="295">
        <f>SUM(B10:F10)</f>
        <v>2</v>
      </c>
    </row>
    <row r="11" spans="1:17" x14ac:dyDescent="0.2">
      <c r="A11" s="154" t="s">
        <v>81</v>
      </c>
      <c r="B11" s="359">
        <f>'[3]Charter Misc'!$GF$5</f>
        <v>1</v>
      </c>
      <c r="C11" s="156">
        <f>[3]Ryan!$GF$5</f>
        <v>0</v>
      </c>
      <c r="D11" s="156">
        <f>'[3]Charter Misc'!$GF$16</f>
        <v>0</v>
      </c>
      <c r="E11" s="156">
        <f>[3]Omni!$GF$16+[3]Omni!$GF$5+[3]Omni!$GF$9</f>
        <v>1</v>
      </c>
      <c r="F11" s="156">
        <f>[3]Xtra!$GF$16+[3]Xtra!$GF$5+[3]Omni!$GF$9</f>
        <v>1</v>
      </c>
      <c r="G11" s="295">
        <f>SUM(B11:F11)</f>
        <v>3</v>
      </c>
    </row>
    <row r="12" spans="1:17" ht="15.75" thickBot="1" x14ac:dyDescent="0.3">
      <c r="A12" s="238" t="s">
        <v>28</v>
      </c>
      <c r="B12" s="363">
        <f>SUM(B10:B11)</f>
        <v>1</v>
      </c>
      <c r="C12" s="258">
        <f>SUM(C10:C11)</f>
        <v>0</v>
      </c>
      <c r="D12" s="258">
        <f>SUM(D10:D11)</f>
        <v>0</v>
      </c>
      <c r="E12" s="258">
        <f>SUM(E10:E11)</f>
        <v>2</v>
      </c>
      <c r="F12" s="258">
        <f>SUM(F10:F11)</f>
        <v>2</v>
      </c>
      <c r="G12" s="259">
        <f>SUM(B12:F12)</f>
        <v>5</v>
      </c>
      <c r="Q12" s="97"/>
    </row>
    <row r="17" spans="1:16" x14ac:dyDescent="0.2">
      <c r="B17" s="455" t="s">
        <v>154</v>
      </c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7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58" t="s">
        <v>120</v>
      </c>
      <c r="C19" s="459"/>
      <c r="D19" s="459"/>
      <c r="E19" s="460"/>
      <c r="G19" s="458" t="s">
        <v>121</v>
      </c>
      <c r="H19" s="461"/>
      <c r="I19" s="461"/>
      <c r="J19" s="462"/>
      <c r="L19" s="463" t="s">
        <v>122</v>
      </c>
      <c r="M19" s="464"/>
      <c r="N19" s="464"/>
      <c r="O19" s="465"/>
    </row>
    <row r="20" spans="1:16" ht="13.5" thickBot="1" x14ac:dyDescent="0.25">
      <c r="A20" s="200" t="s">
        <v>101</v>
      </c>
      <c r="B20" s="205" t="s">
        <v>102</v>
      </c>
      <c r="C20" s="5" t="s">
        <v>103</v>
      </c>
      <c r="D20" s="5" t="s">
        <v>217</v>
      </c>
      <c r="E20" s="5" t="s">
        <v>210</v>
      </c>
      <c r="F20" s="206" t="s">
        <v>98</v>
      </c>
      <c r="G20" s="5" t="s">
        <v>102</v>
      </c>
      <c r="H20" s="5" t="s">
        <v>103</v>
      </c>
      <c r="I20" s="5" t="s">
        <v>217</v>
      </c>
      <c r="J20" s="5" t="s">
        <v>210</v>
      </c>
      <c r="K20" s="206" t="s">
        <v>98</v>
      </c>
      <c r="L20" s="205" t="s">
        <v>102</v>
      </c>
      <c r="M20" s="199" t="s">
        <v>103</v>
      </c>
      <c r="N20" s="5" t="s">
        <v>217</v>
      </c>
      <c r="O20" s="5" t="s">
        <v>210</v>
      </c>
      <c r="P20" s="206" t="s">
        <v>98</v>
      </c>
    </row>
    <row r="21" spans="1:16" ht="14.1" customHeight="1" x14ac:dyDescent="0.2">
      <c r="A21" s="209" t="s">
        <v>104</v>
      </c>
      <c r="B21" s="439">
        <f>+[4]Charter!$B$21</f>
        <v>137103</v>
      </c>
      <c r="C21" s="440">
        <f>+[4]Charter!$C$21</f>
        <v>129608</v>
      </c>
      <c r="D21" s="437">
        <f t="shared" ref="D21:D32" si="0">SUM(B21:C21)</f>
        <v>266711</v>
      </c>
      <c r="E21" s="438">
        <f>[5]Charter!$D$21</f>
        <v>268837</v>
      </c>
      <c r="F21" s="294">
        <f t="shared" ref="F21:F32" si="1">(D21-E21)/E21</f>
        <v>-7.9081376447438408E-3</v>
      </c>
      <c r="G21" s="290">
        <f t="shared" ref="G21:H22" si="2">L21-B21</f>
        <v>1214024</v>
      </c>
      <c r="H21" s="291">
        <f t="shared" si="2"/>
        <v>1256106</v>
      </c>
      <c r="I21" s="291">
        <f>SUM(G21:H21)</f>
        <v>2470130</v>
      </c>
      <c r="J21" s="292">
        <f>[5]Charter!$I$21</f>
        <v>2415973</v>
      </c>
      <c r="K21" s="210">
        <f t="shared" ref="K21:K32" si="3">(I21-J21)/J21</f>
        <v>2.2416227333666394E-2</v>
      </c>
      <c r="L21" s="443">
        <f>+[4]Charter!$L$21</f>
        <v>1351127</v>
      </c>
      <c r="M21" s="444">
        <f>+[4]Charter!$M$21</f>
        <v>1385714</v>
      </c>
      <c r="N21" s="291">
        <f t="shared" ref="N21:N32" si="4">SUM(L21:M21)</f>
        <v>2736841</v>
      </c>
      <c r="O21" s="292">
        <f>[5]Charter!$N$21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105</v>
      </c>
      <c r="B22" s="441">
        <f>+[6]Charter!$B22</f>
        <v>135822</v>
      </c>
      <c r="C22" s="442">
        <f>+[6]Charter!$C22</f>
        <v>139060</v>
      </c>
      <c r="D22" s="433">
        <f t="shared" ref="D22" si="5">SUM(B22:C22)</f>
        <v>274882</v>
      </c>
      <c r="E22" s="434">
        <f>[7]Charter!$D22</f>
        <v>285115</v>
      </c>
      <c r="F22" s="289">
        <f t="shared" si="1"/>
        <v>-3.5890780912964944E-2</v>
      </c>
      <c r="G22" s="435">
        <f t="shared" si="2"/>
        <v>1165574</v>
      </c>
      <c r="H22" s="436">
        <f t="shared" si="2"/>
        <v>1184555</v>
      </c>
      <c r="I22" s="436">
        <f>SUM(G22:H22)</f>
        <v>2350129</v>
      </c>
      <c r="J22" s="293">
        <f>[7]Charter!$I22</f>
        <v>2426258</v>
      </c>
      <c r="K22" s="213">
        <f t="shared" si="3"/>
        <v>-3.1377124774034745E-2</v>
      </c>
      <c r="L22" s="286">
        <f>+[6]Charter!$L22</f>
        <v>1301396</v>
      </c>
      <c r="M22" s="288">
        <f>+[6]Charter!$M22</f>
        <v>1323615</v>
      </c>
      <c r="N22" s="436">
        <f t="shared" ref="N22" si="6">SUM(L22:M22)</f>
        <v>2625011</v>
      </c>
      <c r="O22" s="293">
        <f>[7]Charter!$N22</f>
        <v>2711373</v>
      </c>
      <c r="P22" s="212">
        <f t="shared" ref="P22:P32" si="7">(N22-O22)/O22</f>
        <v>-3.1851759237847395E-2</v>
      </c>
    </row>
    <row r="23" spans="1:16" ht="14.1" customHeight="1" x14ac:dyDescent="0.2">
      <c r="A23" s="211" t="s">
        <v>106</v>
      </c>
      <c r="B23" s="441">
        <f>+[8]Charter!$B23</f>
        <v>182334</v>
      </c>
      <c r="C23" s="442">
        <f>+[8]Charter!$C23</f>
        <v>184603</v>
      </c>
      <c r="D23" s="433">
        <f t="shared" ref="D23" si="8">SUM(B23:C23)</f>
        <v>366937</v>
      </c>
      <c r="E23" s="434">
        <f>[9]Charter!$D23</f>
        <v>367828</v>
      </c>
      <c r="F23" s="212">
        <f t="shared" si="1"/>
        <v>-2.4223278271365964E-3</v>
      </c>
      <c r="G23" s="435">
        <f t="shared" ref="G23" si="9">L23-B23</f>
        <v>1576599</v>
      </c>
      <c r="H23" s="436">
        <f t="shared" ref="H23" si="10">M23-C23</f>
        <v>1593868</v>
      </c>
      <c r="I23" s="436">
        <f>SUM(G23:H23)</f>
        <v>3170467</v>
      </c>
      <c r="J23" s="293">
        <f>[9]Charter!$I23</f>
        <v>3043039</v>
      </c>
      <c r="K23" s="213">
        <f t="shared" si="3"/>
        <v>4.187524379411503E-2</v>
      </c>
      <c r="L23" s="286">
        <f>+[8]Charter!$L23</f>
        <v>1758933</v>
      </c>
      <c r="M23" s="288">
        <f>+[8]Charter!$M23</f>
        <v>1778471</v>
      </c>
      <c r="N23" s="436">
        <f t="shared" ref="N23" si="11">SUM(L23:M23)</f>
        <v>3537404</v>
      </c>
      <c r="O23" s="293">
        <f>[9]Charter!$N23</f>
        <v>3410867</v>
      </c>
      <c r="P23" s="212">
        <f t="shared" si="7"/>
        <v>3.7098192336435284E-2</v>
      </c>
    </row>
    <row r="24" spans="1:16" ht="14.1" customHeight="1" x14ac:dyDescent="0.2">
      <c r="A24" s="211" t="s">
        <v>107</v>
      </c>
      <c r="B24" s="441">
        <f>+[2]Charter!$B24</f>
        <v>134432</v>
      </c>
      <c r="C24" s="442">
        <f>+[2]Charter!$C24</f>
        <v>115520</v>
      </c>
      <c r="D24" s="433">
        <f t="shared" ref="D24" si="12">SUM(B24:C24)</f>
        <v>249952</v>
      </c>
      <c r="E24" s="434">
        <f>[10]Charter!$D24</f>
        <v>242418</v>
      </c>
      <c r="F24" s="212">
        <f t="shared" si="1"/>
        <v>3.1078550272669522E-2</v>
      </c>
      <c r="G24" s="435">
        <f t="shared" ref="G24" si="13">L24-B24</f>
        <v>1483600</v>
      </c>
      <c r="H24" s="436">
        <f t="shared" ref="H24" si="14">M24-C24</f>
        <v>1402478</v>
      </c>
      <c r="I24" s="287">
        <f>SUM(G24:H24)</f>
        <v>2886078</v>
      </c>
      <c r="J24" s="293">
        <f>[10]Charter!$I24</f>
        <v>2750844</v>
      </c>
      <c r="K24" s="213">
        <f t="shared" si="3"/>
        <v>4.9160912069168589E-2</v>
      </c>
      <c r="L24" s="286">
        <f>+[2]Charter!$L24</f>
        <v>1618032</v>
      </c>
      <c r="M24" s="288">
        <f>+[2]Charter!$M24</f>
        <v>1517998</v>
      </c>
      <c r="N24" s="436">
        <f t="shared" ref="N24" si="15">SUM(L24:M24)</f>
        <v>3136030</v>
      </c>
      <c r="O24" s="293">
        <f>[10]Charter!$N24</f>
        <v>2993262</v>
      </c>
      <c r="P24" s="212">
        <f t="shared" si="7"/>
        <v>4.7696459581553503E-2</v>
      </c>
    </row>
    <row r="25" spans="1:16" ht="14.1" customHeight="1" x14ac:dyDescent="0.2">
      <c r="A25" s="198" t="s">
        <v>76</v>
      </c>
      <c r="B25" s="432">
        <f>'Intl Detail'!$O$4+'Intl Detail'!$O$9</f>
        <v>120364</v>
      </c>
      <c r="C25" s="433">
        <f>'Intl Detail'!$O$5+'Intl Detail'!$O$10</f>
        <v>132909</v>
      </c>
      <c r="D25" s="433">
        <f t="shared" ref="D25" si="16">SUM(B25:C25)</f>
        <v>253273</v>
      </c>
      <c r="E25" s="434">
        <f>[1]Charter!$D25</f>
        <v>246334</v>
      </c>
      <c r="F25" s="201">
        <f t="shared" si="1"/>
        <v>2.8169071260970877E-2</v>
      </c>
      <c r="G25" s="435">
        <f t="shared" ref="G25" si="17">L25-B25</f>
        <v>1558009</v>
      </c>
      <c r="H25" s="436">
        <f t="shared" ref="H25" si="18">M25-C25</f>
        <v>1529530</v>
      </c>
      <c r="I25" s="287">
        <f>SUM(G25:H25)</f>
        <v>3087539</v>
      </c>
      <c r="J25" s="293">
        <f>[1]Charter!$I25</f>
        <v>2981156</v>
      </c>
      <c r="K25" s="207">
        <f t="shared" si="3"/>
        <v>3.5685150324236636E-2</v>
      </c>
      <c r="L25" s="435">
        <f>'Monthly Summary'!$B$11</f>
        <v>1678373</v>
      </c>
      <c r="M25" s="436">
        <f>'Monthly Summary'!$C$11</f>
        <v>1662439</v>
      </c>
      <c r="N25" s="287">
        <f t="shared" ref="N25" si="19">SUM(L25:M25)</f>
        <v>3340812</v>
      </c>
      <c r="O25" s="293">
        <f>[1]Charter!$N25</f>
        <v>3227490</v>
      </c>
      <c r="P25" s="201">
        <f t="shared" si="7"/>
        <v>3.5111495310597401E-2</v>
      </c>
    </row>
    <row r="26" spans="1:16" ht="14.1" customHeight="1" x14ac:dyDescent="0.2">
      <c r="A26" s="211" t="s">
        <v>108</v>
      </c>
      <c r="B26" s="286"/>
      <c r="C26" s="288"/>
      <c r="D26" s="287">
        <f t="shared" si="0"/>
        <v>0</v>
      </c>
      <c r="E26" s="293"/>
      <c r="F26" s="212" t="e">
        <f t="shared" si="1"/>
        <v>#DIV/0!</v>
      </c>
      <c r="G26" s="286"/>
      <c r="H26" s="288"/>
      <c r="I26" s="287">
        <f t="shared" ref="I26:I32" si="20">SUM(G26:H26)</f>
        <v>0</v>
      </c>
      <c r="J26" s="293"/>
      <c r="K26" s="213" t="e">
        <f t="shared" si="3"/>
        <v>#DIV/0!</v>
      </c>
      <c r="L26" s="286"/>
      <c r="M26" s="288"/>
      <c r="N26" s="287">
        <f t="shared" si="4"/>
        <v>0</v>
      </c>
      <c r="O26" s="293"/>
      <c r="P26" s="212" t="e">
        <f t="shared" si="7"/>
        <v>#DIV/0!</v>
      </c>
    </row>
    <row r="27" spans="1:16" ht="14.1" customHeight="1" x14ac:dyDescent="0.2">
      <c r="A27" s="198" t="s">
        <v>109</v>
      </c>
      <c r="B27" s="286"/>
      <c r="C27" s="288"/>
      <c r="D27" s="287">
        <f t="shared" si="0"/>
        <v>0</v>
      </c>
      <c r="E27" s="293"/>
      <c r="F27" s="201" t="e">
        <f t="shared" si="1"/>
        <v>#DIV/0!</v>
      </c>
      <c r="G27" s="286"/>
      <c r="H27" s="288"/>
      <c r="I27" s="287">
        <f t="shared" si="20"/>
        <v>0</v>
      </c>
      <c r="J27" s="293"/>
      <c r="K27" s="207" t="e">
        <f t="shared" si="3"/>
        <v>#DIV/0!</v>
      </c>
      <c r="L27" s="286"/>
      <c r="M27" s="288"/>
      <c r="N27" s="287">
        <f t="shared" si="4"/>
        <v>0</v>
      </c>
      <c r="O27" s="293"/>
      <c r="P27" s="201" t="e">
        <f t="shared" si="7"/>
        <v>#DIV/0!</v>
      </c>
    </row>
    <row r="28" spans="1:16" ht="14.1" customHeight="1" x14ac:dyDescent="0.2">
      <c r="A28" s="211" t="s">
        <v>110</v>
      </c>
      <c r="B28" s="286"/>
      <c r="C28" s="288"/>
      <c r="D28" s="287">
        <f t="shared" si="0"/>
        <v>0</v>
      </c>
      <c r="E28" s="293"/>
      <c r="F28" s="212" t="e">
        <f t="shared" si="1"/>
        <v>#DIV/0!</v>
      </c>
      <c r="G28" s="286"/>
      <c r="H28" s="288"/>
      <c r="I28" s="287">
        <f t="shared" si="20"/>
        <v>0</v>
      </c>
      <c r="J28" s="293"/>
      <c r="K28" s="213" t="e">
        <f t="shared" si="3"/>
        <v>#DIV/0!</v>
      </c>
      <c r="L28" s="286"/>
      <c r="M28" s="288"/>
      <c r="N28" s="287">
        <f t="shared" si="4"/>
        <v>0</v>
      </c>
      <c r="O28" s="293"/>
      <c r="P28" s="212" t="e">
        <f t="shared" si="7"/>
        <v>#DIV/0!</v>
      </c>
    </row>
    <row r="29" spans="1:16" ht="14.1" customHeight="1" x14ac:dyDescent="0.2">
      <c r="A29" s="198" t="s">
        <v>111</v>
      </c>
      <c r="B29" s="286"/>
      <c r="C29" s="288"/>
      <c r="D29" s="287">
        <f t="shared" si="0"/>
        <v>0</v>
      </c>
      <c r="E29" s="293"/>
      <c r="F29" s="201" t="e">
        <f t="shared" si="1"/>
        <v>#DIV/0!</v>
      </c>
      <c r="G29" s="286"/>
      <c r="H29" s="288"/>
      <c r="I29" s="287">
        <f t="shared" si="20"/>
        <v>0</v>
      </c>
      <c r="J29" s="293"/>
      <c r="K29" s="207" t="e">
        <f t="shared" si="3"/>
        <v>#DIV/0!</v>
      </c>
      <c r="L29" s="286"/>
      <c r="M29" s="288"/>
      <c r="N29" s="287">
        <f t="shared" si="4"/>
        <v>0</v>
      </c>
      <c r="O29" s="293"/>
      <c r="P29" s="201" t="e">
        <f t="shared" si="7"/>
        <v>#DIV/0!</v>
      </c>
    </row>
    <row r="30" spans="1:16" ht="14.1" customHeight="1" x14ac:dyDescent="0.2">
      <c r="A30" s="211" t="s">
        <v>112</v>
      </c>
      <c r="B30" s="286"/>
      <c r="C30" s="288"/>
      <c r="D30" s="287">
        <f>SUM(B30:C30)</f>
        <v>0</v>
      </c>
      <c r="E30" s="293"/>
      <c r="F30" s="212" t="e">
        <f t="shared" si="1"/>
        <v>#DIV/0!</v>
      </c>
      <c r="G30" s="286"/>
      <c r="H30" s="288"/>
      <c r="I30" s="287">
        <f>SUM(G30:H30)</f>
        <v>0</v>
      </c>
      <c r="J30" s="293"/>
      <c r="K30" s="213" t="e">
        <f t="shared" si="3"/>
        <v>#DIV/0!</v>
      </c>
      <c r="L30" s="286"/>
      <c r="M30" s="288"/>
      <c r="N30" s="287">
        <f>SUM(L30:M30)</f>
        <v>0</v>
      </c>
      <c r="O30" s="293"/>
      <c r="P30" s="212" t="e">
        <f t="shared" si="7"/>
        <v>#DIV/0!</v>
      </c>
    </row>
    <row r="31" spans="1:16" ht="14.1" customHeight="1" x14ac:dyDescent="0.2">
      <c r="A31" s="198" t="s">
        <v>113</v>
      </c>
      <c r="B31" s="286"/>
      <c r="C31" s="288"/>
      <c r="D31" s="287">
        <f>SUM(B31:C31)</f>
        <v>0</v>
      </c>
      <c r="E31" s="293"/>
      <c r="F31" s="201" t="e">
        <f t="shared" si="1"/>
        <v>#DIV/0!</v>
      </c>
      <c r="G31" s="286"/>
      <c r="H31" s="288"/>
      <c r="I31" s="287">
        <f t="shared" si="20"/>
        <v>0</v>
      </c>
      <c r="J31" s="293"/>
      <c r="K31" s="207" t="e">
        <f t="shared" si="3"/>
        <v>#DIV/0!</v>
      </c>
      <c r="L31" s="286"/>
      <c r="M31" s="288"/>
      <c r="N31" s="287">
        <f>SUM(L31:M31)</f>
        <v>0</v>
      </c>
      <c r="O31" s="293"/>
      <c r="P31" s="201" t="e">
        <f t="shared" si="7"/>
        <v>#DIV/0!</v>
      </c>
    </row>
    <row r="32" spans="1:16" ht="14.1" customHeight="1" x14ac:dyDescent="0.2">
      <c r="A32" s="214" t="s">
        <v>114</v>
      </c>
      <c r="B32" s="286"/>
      <c r="C32" s="288"/>
      <c r="D32" s="134">
        <f t="shared" si="0"/>
        <v>0</v>
      </c>
      <c r="E32" s="293"/>
      <c r="F32" s="215" t="e">
        <f t="shared" si="1"/>
        <v>#DIV/0!</v>
      </c>
      <c r="G32" s="216"/>
      <c r="H32" s="134"/>
      <c r="I32" s="134">
        <f t="shared" si="20"/>
        <v>0</v>
      </c>
      <c r="J32" s="293"/>
      <c r="K32" s="215" t="e">
        <f t="shared" si="3"/>
        <v>#DIV/0!</v>
      </c>
      <c r="L32" s="286"/>
      <c r="M32" s="288"/>
      <c r="N32" s="134">
        <f t="shared" si="4"/>
        <v>0</v>
      </c>
      <c r="O32" s="293"/>
      <c r="P32" s="215" t="e">
        <f t="shared" si="7"/>
        <v>#DIV/0!</v>
      </c>
    </row>
    <row r="33" spans="1:16" ht="13.5" thickBot="1" x14ac:dyDescent="0.25">
      <c r="A33" s="208" t="s">
        <v>77</v>
      </c>
      <c r="B33" s="218">
        <f>SUM(B21:B32)</f>
        <v>710055</v>
      </c>
      <c r="C33" s="219">
        <f>SUM(C21:C32)</f>
        <v>701700</v>
      </c>
      <c r="D33" s="219">
        <f>SUM(D21:D32)</f>
        <v>1411755</v>
      </c>
      <c r="E33" s="220">
        <f>SUM(E21:E32)</f>
        <v>1410532</v>
      </c>
      <c r="F33" s="203">
        <f>(D33-E33)/E33</f>
        <v>8.6704874472893914E-4</v>
      </c>
      <c r="G33" s="221">
        <f>SUM(G21:G32)</f>
        <v>6997806</v>
      </c>
      <c r="H33" s="219">
        <f>SUM(H21:H32)</f>
        <v>6966537</v>
      </c>
      <c r="I33" s="219">
        <f>SUM(I21:I32)</f>
        <v>13964343</v>
      </c>
      <c r="J33" s="222">
        <f>SUM(J21:J32)</f>
        <v>13617270</v>
      </c>
      <c r="K33" s="204">
        <f>(I33-J33)/J33</f>
        <v>2.5487707888585599E-2</v>
      </c>
      <c r="L33" s="221">
        <f>SUM(L21:L32)</f>
        <v>7707861</v>
      </c>
      <c r="M33" s="219">
        <f>SUM(M21:M32)</f>
        <v>7668237</v>
      </c>
      <c r="N33" s="219">
        <f>SUM(N21:N32)</f>
        <v>15376098</v>
      </c>
      <c r="O33" s="220">
        <f>SUM(O21:O32)</f>
        <v>15027802</v>
      </c>
      <c r="P33" s="202">
        <f>(N33-O33)/O33</f>
        <v>2.3176775951666118E-2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May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zoomScaleNormal="100" workbookViewId="0">
      <selection activeCell="H3" sqref="H3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0.28515625" customWidth="1"/>
    <col min="5" max="6" width="11.28515625" bestFit="1" customWidth="1"/>
    <col min="7" max="7" width="1" customWidth="1"/>
    <col min="8" max="8" width="11.28515625" bestFit="1" customWidth="1"/>
    <col min="9" max="11" width="11.28515625" customWidth="1"/>
    <col min="13" max="14" width="11.28515625" bestFit="1" customWidth="1"/>
    <col min="16" max="16" width="11.28515625" bestFit="1" customWidth="1"/>
  </cols>
  <sheetData>
    <row r="1" spans="1:19" s="44" customFormat="1" ht="15.75" thickBot="1" x14ac:dyDescent="0.3">
      <c r="B1" s="469"/>
      <c r="C1" s="469"/>
      <c r="D1" s="469"/>
      <c r="E1" s="469"/>
      <c r="F1" s="469"/>
      <c r="G1" s="379"/>
      <c r="H1" s="470" t="s">
        <v>93</v>
      </c>
      <c r="I1" s="471"/>
      <c r="J1" s="471"/>
      <c r="K1" s="471"/>
      <c r="L1" s="471"/>
      <c r="M1" s="471"/>
      <c r="N1" s="471"/>
      <c r="O1" s="472"/>
    </row>
    <row r="2" spans="1:19" s="28" customFormat="1" ht="30.75" customHeight="1" thickBot="1" x14ac:dyDescent="0.25">
      <c r="A2" s="325">
        <v>43586</v>
      </c>
      <c r="B2" s="372" t="s">
        <v>181</v>
      </c>
      <c r="C2" s="372" t="s">
        <v>229</v>
      </c>
      <c r="D2" s="372" t="s">
        <v>219</v>
      </c>
      <c r="E2" s="373" t="s">
        <v>82</v>
      </c>
      <c r="F2" s="373" t="s">
        <v>83</v>
      </c>
      <c r="G2" s="446"/>
      <c r="H2" s="447" t="s">
        <v>233</v>
      </c>
      <c r="I2" s="447" t="s">
        <v>227</v>
      </c>
      <c r="J2" s="447" t="s">
        <v>182</v>
      </c>
      <c r="K2" s="447" t="s">
        <v>165</v>
      </c>
      <c r="L2" s="448" t="s">
        <v>84</v>
      </c>
      <c r="M2" s="373" t="s">
        <v>85</v>
      </c>
      <c r="N2" s="447" t="s">
        <v>86</v>
      </c>
      <c r="O2" s="447" t="s">
        <v>129</v>
      </c>
      <c r="P2" s="447" t="s">
        <v>21</v>
      </c>
    </row>
    <row r="3" spans="1:19" ht="15" x14ac:dyDescent="0.25">
      <c r="A3" s="168" t="s">
        <v>9</v>
      </c>
      <c r="B3" s="169"/>
      <c r="C3" s="169"/>
      <c r="D3" s="169"/>
      <c r="E3" s="169"/>
      <c r="F3" s="169"/>
      <c r="G3" s="170"/>
      <c r="H3" s="30"/>
      <c r="I3" s="30"/>
      <c r="J3" s="30"/>
      <c r="K3" s="30"/>
      <c r="L3" s="30"/>
      <c r="M3" s="41"/>
      <c r="N3" s="30"/>
      <c r="O3" s="30"/>
      <c r="P3" s="171"/>
    </row>
    <row r="4" spans="1:19" x14ac:dyDescent="0.2">
      <c r="A4" s="38" t="s">
        <v>53</v>
      </c>
      <c r="B4" s="134">
        <f>[3]DHL_Atlas!$GF$4</f>
        <v>1</v>
      </c>
      <c r="C4" s="134">
        <f>[3]DHL_Kalitta!$GF$4</f>
        <v>22</v>
      </c>
      <c r="D4" s="134">
        <f>'[3]Atlas Air'!$GF$4+'[3]Atlas Air'!$GF$15</f>
        <v>32</v>
      </c>
      <c r="E4" s="134">
        <f>[3]FedEx!$GF$4+[3]FedEx!$GF$15</f>
        <v>135</v>
      </c>
      <c r="F4" s="134">
        <f>[3]UPS!$GF$4+[3]UPS!$GF$15</f>
        <v>150</v>
      </c>
      <c r="G4" s="161"/>
      <c r="H4" s="97">
        <f>[3]Airborne!$GF$4</f>
        <v>0</v>
      </c>
      <c r="I4" s="134">
        <f>[3]Encore!$GF$4+[3]Encore!$GF$15</f>
        <v>45</v>
      </c>
      <c r="J4" s="134">
        <f>[3]IFL!$GF$4+[3]IFL!$GF$15</f>
        <v>17</v>
      </c>
      <c r="K4" s="97">
        <f>'[3]Suburban Air Freight'!$GF$15</f>
        <v>0</v>
      </c>
      <c r="L4" s="97">
        <f>[3]Bemidji!$GF$4</f>
        <v>213</v>
      </c>
      <c r="M4" s="97">
        <f>'[3]CSA Air'!$GF$4</f>
        <v>3</v>
      </c>
      <c r="N4" s="97">
        <f>'[3]Mountain Cargo'!$GF$4</f>
        <v>21</v>
      </c>
      <c r="O4" s="97">
        <f>'[3]Misc Cargo'!$GF$4</f>
        <v>0</v>
      </c>
      <c r="P4" s="172">
        <f>SUM(B4:O4)</f>
        <v>639</v>
      </c>
    </row>
    <row r="5" spans="1:19" x14ac:dyDescent="0.2">
      <c r="A5" s="38" t="s">
        <v>54</v>
      </c>
      <c r="B5" s="167">
        <f>[3]DHL_Atlas!$GF$5</f>
        <v>1</v>
      </c>
      <c r="C5" s="167">
        <f>[3]DHL_Kalitta!$GF$5</f>
        <v>22</v>
      </c>
      <c r="D5" s="167">
        <f>'[3]Atlas Air'!$GF$5+'[3]Atlas Air'!$GF$16</f>
        <v>32</v>
      </c>
      <c r="E5" s="167">
        <f>[3]FedEx!$GF$5</f>
        <v>135</v>
      </c>
      <c r="F5" s="167">
        <f>[3]UPS!$GF$5+[3]UPS!$GF$16</f>
        <v>150</v>
      </c>
      <c r="G5" s="161"/>
      <c r="H5" s="98">
        <f>[3]Airborne!$GF$5</f>
        <v>0</v>
      </c>
      <c r="I5" s="167">
        <f>[3]Encore!$GF$5</f>
        <v>45</v>
      </c>
      <c r="J5" s="167">
        <f>[3]IFL!$GF$5</f>
        <v>17</v>
      </c>
      <c r="K5" s="98">
        <f>'[3]Suburban Air Freight'!$GF$16</f>
        <v>0</v>
      </c>
      <c r="L5" s="98">
        <f>[3]Bemidji!$GF$5</f>
        <v>213</v>
      </c>
      <c r="M5" s="98">
        <f>'[3]CSA Air'!$GF$5</f>
        <v>3</v>
      </c>
      <c r="N5" s="98">
        <f>'[3]Mountain Cargo'!$GF$5</f>
        <v>21</v>
      </c>
      <c r="O5" s="98">
        <f>'[3]Misc Cargo'!$GF$5</f>
        <v>0</v>
      </c>
      <c r="P5" s="176">
        <f>SUM(B5:O5)</f>
        <v>639</v>
      </c>
    </row>
    <row r="6" spans="1:19" s="160" customFormat="1" x14ac:dyDescent="0.2">
      <c r="A6" s="173" t="s">
        <v>55</v>
      </c>
      <c r="B6" s="174">
        <f>SUM(B4:B5)</f>
        <v>2</v>
      </c>
      <c r="C6" s="174">
        <f>SUM(C4:C5)</f>
        <v>44</v>
      </c>
      <c r="D6" s="174">
        <f>SUM(D4:D5)</f>
        <v>64</v>
      </c>
      <c r="E6" s="174">
        <f>SUM(E4:E5)</f>
        <v>270</v>
      </c>
      <c r="F6" s="174">
        <f>SUM(F4:F5)</f>
        <v>300</v>
      </c>
      <c r="G6" s="162"/>
      <c r="H6" s="95">
        <f t="shared" ref="H6:O6" si="0">SUM(H4:H5)</f>
        <v>0</v>
      </c>
      <c r="I6" s="174">
        <f>SUM(I4:I5)</f>
        <v>90</v>
      </c>
      <c r="J6" s="174">
        <f>SUM(J4:J5)</f>
        <v>34</v>
      </c>
      <c r="K6" s="95">
        <f t="shared" si="0"/>
        <v>0</v>
      </c>
      <c r="L6" s="95">
        <f t="shared" si="0"/>
        <v>426</v>
      </c>
      <c r="M6" s="95">
        <f t="shared" si="0"/>
        <v>6</v>
      </c>
      <c r="N6" s="95">
        <f t="shared" si="0"/>
        <v>42</v>
      </c>
      <c r="O6" s="95">
        <f t="shared" si="0"/>
        <v>0</v>
      </c>
      <c r="P6" s="175">
        <f>SUM(B6:O6)</f>
        <v>1278</v>
      </c>
    </row>
    <row r="7" spans="1:19" x14ac:dyDescent="0.2">
      <c r="A7" s="38"/>
      <c r="B7" s="134"/>
      <c r="C7" s="134"/>
      <c r="D7" s="134"/>
      <c r="E7" s="134"/>
      <c r="F7" s="134"/>
      <c r="G7" s="161"/>
      <c r="H7" s="97"/>
      <c r="I7" s="134"/>
      <c r="J7" s="134"/>
      <c r="K7" s="97"/>
      <c r="L7" s="97"/>
      <c r="M7" s="97"/>
      <c r="N7" s="97"/>
      <c r="O7" s="97"/>
      <c r="P7" s="172"/>
    </row>
    <row r="8" spans="1:19" x14ac:dyDescent="0.2">
      <c r="A8" s="38" t="s">
        <v>56</v>
      </c>
      <c r="B8" s="134"/>
      <c r="C8" s="134"/>
      <c r="D8" s="134"/>
      <c r="E8" s="134"/>
      <c r="F8" s="134"/>
      <c r="G8" s="161"/>
      <c r="H8" s="97"/>
      <c r="I8" s="134"/>
      <c r="J8" s="134"/>
      <c r="K8" s="97"/>
      <c r="L8" s="97"/>
      <c r="M8" s="97"/>
      <c r="N8" s="97"/>
      <c r="O8" s="97">
        <f>'[3]Misc Cargo'!$GF$8</f>
        <v>0</v>
      </c>
      <c r="P8" s="172">
        <f>SUM(B8:O8)</f>
        <v>0</v>
      </c>
    </row>
    <row r="9" spans="1:19" ht="15" x14ac:dyDescent="0.25">
      <c r="A9" s="38" t="s">
        <v>57</v>
      </c>
      <c r="B9" s="167"/>
      <c r="C9" s="167"/>
      <c r="D9" s="167"/>
      <c r="E9" s="167"/>
      <c r="F9" s="167"/>
      <c r="G9" s="161"/>
      <c r="H9" s="98"/>
      <c r="I9" s="167"/>
      <c r="J9" s="167"/>
      <c r="K9" s="98"/>
      <c r="L9" s="98"/>
      <c r="M9" s="98"/>
      <c r="N9" s="98"/>
      <c r="O9" s="98">
        <f>'[3]Misc Cargo'!$GF$9</f>
        <v>0</v>
      </c>
      <c r="P9" s="176">
        <f>SUM(B9:O9)</f>
        <v>0</v>
      </c>
      <c r="S9" s="8"/>
    </row>
    <row r="10" spans="1:19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74">
        <f>SUM(F8:F9)</f>
        <v>0</v>
      </c>
      <c r="G10" s="162"/>
      <c r="H10" s="95">
        <f t="shared" ref="H10:O10" si="1">SUM(H8:H9)</f>
        <v>0</v>
      </c>
      <c r="I10" s="174">
        <f>SUM(I8:I9)</f>
        <v>0</v>
      </c>
      <c r="J10" s="174">
        <f>SUM(J8:J9)</f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0</v>
      </c>
      <c r="O10" s="95">
        <f t="shared" si="1"/>
        <v>0</v>
      </c>
      <c r="P10" s="175">
        <f>SUM(B10:O10)</f>
        <v>0</v>
      </c>
    </row>
    <row r="11" spans="1:19" x14ac:dyDescent="0.2">
      <c r="A11" s="38"/>
      <c r="B11" s="134"/>
      <c r="C11" s="134"/>
      <c r="D11" s="134"/>
      <c r="E11" s="134"/>
      <c r="F11" s="134"/>
      <c r="G11" s="161"/>
      <c r="H11" s="97"/>
      <c r="I11" s="134"/>
      <c r="J11" s="134"/>
      <c r="K11" s="97"/>
      <c r="L11" s="97"/>
      <c r="M11" s="97"/>
      <c r="N11" s="97"/>
      <c r="O11" s="97"/>
      <c r="P11" s="142"/>
    </row>
    <row r="12" spans="1:19" ht="18" customHeight="1" thickBot="1" x14ac:dyDescent="0.25">
      <c r="A12" s="177" t="s">
        <v>28</v>
      </c>
      <c r="B12" s="178">
        <f>B6+B10</f>
        <v>2</v>
      </c>
      <c r="C12" s="178">
        <f>C6+C10</f>
        <v>44</v>
      </c>
      <c r="D12" s="178">
        <f>D6+D10</f>
        <v>64</v>
      </c>
      <c r="E12" s="178">
        <f>E6+E10</f>
        <v>270</v>
      </c>
      <c r="F12" s="178">
        <f>F6+F10</f>
        <v>300</v>
      </c>
      <c r="G12" s="179"/>
      <c r="H12" s="180">
        <f t="shared" ref="H12:O12" si="2">H6+H10</f>
        <v>0</v>
      </c>
      <c r="I12" s="178">
        <f>I6+I10</f>
        <v>90</v>
      </c>
      <c r="J12" s="178">
        <f>J6+J10</f>
        <v>34</v>
      </c>
      <c r="K12" s="180">
        <f t="shared" si="2"/>
        <v>0</v>
      </c>
      <c r="L12" s="180">
        <f t="shared" si="2"/>
        <v>426</v>
      </c>
      <c r="M12" s="180">
        <f t="shared" si="2"/>
        <v>6</v>
      </c>
      <c r="N12" s="180">
        <f t="shared" si="2"/>
        <v>42</v>
      </c>
      <c r="O12" s="180">
        <f t="shared" si="2"/>
        <v>0</v>
      </c>
      <c r="P12" s="181">
        <f>SUM(B12:O12)</f>
        <v>1278</v>
      </c>
    </row>
    <row r="13" spans="1:19" ht="18" customHeight="1" thickBot="1" x14ac:dyDescent="0.25">
      <c r="A13" s="149"/>
      <c r="B13" s="163"/>
      <c r="C13" s="163"/>
      <c r="D13" s="163"/>
      <c r="E13" s="163"/>
      <c r="F13" s="163"/>
      <c r="G13" s="164"/>
      <c r="H13" s="165"/>
      <c r="I13" s="163"/>
      <c r="J13" s="163"/>
      <c r="K13" s="165"/>
      <c r="L13" s="150"/>
      <c r="M13" s="150"/>
      <c r="N13" s="150"/>
      <c r="O13" s="150"/>
      <c r="P13" s="2"/>
    </row>
    <row r="14" spans="1:19" ht="15" x14ac:dyDescent="0.25">
      <c r="A14" s="182" t="s">
        <v>94</v>
      </c>
      <c r="B14" s="183"/>
      <c r="C14" s="183"/>
      <c r="D14" s="183"/>
      <c r="E14" s="183"/>
      <c r="F14" s="183"/>
      <c r="G14" s="184"/>
      <c r="H14" s="147"/>
      <c r="I14" s="183"/>
      <c r="J14" s="183"/>
      <c r="K14" s="147"/>
      <c r="L14" s="63"/>
      <c r="M14" s="63"/>
      <c r="N14" s="63"/>
      <c r="O14" s="63"/>
      <c r="P14" s="185"/>
    </row>
    <row r="15" spans="1:19" x14ac:dyDescent="0.2">
      <c r="A15" s="186" t="s">
        <v>95</v>
      </c>
      <c r="B15" s="134"/>
      <c r="C15" s="134"/>
      <c r="D15" s="134"/>
      <c r="E15" s="134"/>
      <c r="F15" s="134"/>
      <c r="G15" s="161"/>
      <c r="H15" s="97"/>
      <c r="I15" s="134"/>
      <c r="J15" s="134"/>
      <c r="K15" s="97"/>
      <c r="L15" s="2"/>
      <c r="M15" s="2"/>
      <c r="N15" s="2"/>
      <c r="O15" s="2"/>
      <c r="P15" s="151"/>
    </row>
    <row r="16" spans="1:19" x14ac:dyDescent="0.2">
      <c r="A16" s="38" t="s">
        <v>37</v>
      </c>
      <c r="B16" s="134">
        <f>[3]DHL_Atlas!$GF$47</f>
        <v>23188</v>
      </c>
      <c r="C16" s="134">
        <f>[3]DHL_Kalitta!$GF$47</f>
        <v>898289</v>
      </c>
      <c r="D16" s="134">
        <f>'[3]Atlas Air'!$GF$47</f>
        <v>1355874</v>
      </c>
      <c r="E16" s="134">
        <f>[3]FedEx!$GF$47</f>
        <v>2089943</v>
      </c>
      <c r="F16" s="134">
        <f>[3]UPS!$GF$47</f>
        <v>7007160</v>
      </c>
      <c r="G16" s="161"/>
      <c r="H16" s="97">
        <f>[3]Airborne!$GF$47</f>
        <v>0</v>
      </c>
      <c r="I16" s="134">
        <f>[3]Encore!$GF$47</f>
        <v>67065</v>
      </c>
      <c r="J16" s="134">
        <f>[3]IFL!$GF$47</f>
        <v>17762</v>
      </c>
      <c r="K16" s="97">
        <f>'[3]Suburban Air Freight'!$GF$47</f>
        <v>0</v>
      </c>
      <c r="L16" s="466" t="s">
        <v>87</v>
      </c>
      <c r="M16" s="97">
        <f>'[3]CSA Air'!$GF$47</f>
        <v>0</v>
      </c>
      <c r="N16" s="97">
        <f>'[3]Mountain Cargo'!$GF$47</f>
        <v>160627</v>
      </c>
      <c r="O16" s="97">
        <f>'[3]Misc Cargo'!$GF$47</f>
        <v>0</v>
      </c>
      <c r="P16" s="172">
        <f>SUM(B16:K16)+SUM(M16:O16)</f>
        <v>11619908</v>
      </c>
    </row>
    <row r="17" spans="1:16" x14ac:dyDescent="0.2">
      <c r="A17" s="38" t="s">
        <v>38</v>
      </c>
      <c r="B17" s="134">
        <f>[3]DHL_Atlas!$GF$48</f>
        <v>0</v>
      </c>
      <c r="C17" s="134">
        <f>[3]DHL_Kalitta!$GF$48</f>
        <v>0</v>
      </c>
      <c r="D17" s="134">
        <f>'[3]Atlas Air'!$GF$48</f>
        <v>0</v>
      </c>
      <c r="E17" s="134">
        <f>[3]FedEx!$GF$48</f>
        <v>0</v>
      </c>
      <c r="F17" s="134">
        <f>[3]UPS!$GF$48</f>
        <v>0</v>
      </c>
      <c r="G17" s="161"/>
      <c r="H17" s="97">
        <f>[3]Airborne!$GF$48</f>
        <v>0</v>
      </c>
      <c r="I17" s="134">
        <f>[3]Encore!$GF$48</f>
        <v>0</v>
      </c>
      <c r="J17" s="134">
        <f>[3]IFL!$GF$48</f>
        <v>0</v>
      </c>
      <c r="K17" s="97">
        <f>'[3]Suburban Air Freight'!$GF$48</f>
        <v>0</v>
      </c>
      <c r="L17" s="467"/>
      <c r="M17" s="97">
        <f>'[3]CSA Air'!$GF$48</f>
        <v>0</v>
      </c>
      <c r="N17" s="97">
        <f>'[3]Mountain Cargo'!$GF$48</f>
        <v>0</v>
      </c>
      <c r="O17" s="97">
        <f>'[3]Misc Cargo'!$GF$48</f>
        <v>0</v>
      </c>
      <c r="P17" s="172">
        <f>SUM(B17:K17)+SUM(M17:O17)</f>
        <v>0</v>
      </c>
    </row>
    <row r="18" spans="1:16" ht="18" customHeight="1" x14ac:dyDescent="0.2">
      <c r="A18" s="187" t="s">
        <v>39</v>
      </c>
      <c r="B18" s="260">
        <f>SUM(B16:B17)</f>
        <v>23188</v>
      </c>
      <c r="C18" s="260">
        <f>SUM(C16:C17)</f>
        <v>898289</v>
      </c>
      <c r="D18" s="260">
        <f>SUM(D16:D17)</f>
        <v>1355874</v>
      </c>
      <c r="E18" s="260">
        <f>SUM(E16:E17)</f>
        <v>2089943</v>
      </c>
      <c r="F18" s="260">
        <f>SUM(F16:F17)</f>
        <v>7007160</v>
      </c>
      <c r="G18" s="166"/>
      <c r="H18" s="261">
        <f>SUM(H16:H17)</f>
        <v>0</v>
      </c>
      <c r="I18" s="260">
        <f>SUM(I16:I17)</f>
        <v>67065</v>
      </c>
      <c r="J18" s="260">
        <f>SUM(J16:J17)</f>
        <v>17762</v>
      </c>
      <c r="K18" s="261">
        <f>SUM(K16:K17)</f>
        <v>0</v>
      </c>
      <c r="L18" s="467"/>
      <c r="M18" s="261">
        <f>SUM(M16:M17)</f>
        <v>0</v>
      </c>
      <c r="N18" s="261">
        <f>SUM(N16:N17)</f>
        <v>160627</v>
      </c>
      <c r="O18" s="261">
        <f>SUM(O16:O17)</f>
        <v>0</v>
      </c>
      <c r="P18" s="188">
        <f>SUM(B18:K18)+SUM(M18:O18)</f>
        <v>11619908</v>
      </c>
    </row>
    <row r="19" spans="1:16" x14ac:dyDescent="0.2">
      <c r="A19" s="38"/>
      <c r="B19" s="134"/>
      <c r="C19" s="134"/>
      <c r="D19" s="134"/>
      <c r="E19" s="134"/>
      <c r="F19" s="134"/>
      <c r="G19" s="161"/>
      <c r="H19" s="97"/>
      <c r="I19" s="134"/>
      <c r="J19" s="134"/>
      <c r="K19" s="97"/>
      <c r="L19" s="467"/>
      <c r="M19" s="97"/>
      <c r="N19" s="97"/>
      <c r="O19" s="97"/>
      <c r="P19" s="172"/>
    </row>
    <row r="20" spans="1:16" x14ac:dyDescent="0.2">
      <c r="A20" s="189" t="s">
        <v>88</v>
      </c>
      <c r="B20" s="134"/>
      <c r="C20" s="134"/>
      <c r="D20" s="134"/>
      <c r="E20" s="134"/>
      <c r="F20" s="134"/>
      <c r="G20" s="161"/>
      <c r="H20" s="97"/>
      <c r="I20" s="134"/>
      <c r="J20" s="134"/>
      <c r="K20" s="97"/>
      <c r="L20" s="467"/>
      <c r="M20" s="97"/>
      <c r="N20" s="97"/>
      <c r="O20" s="97"/>
      <c r="P20" s="172"/>
    </row>
    <row r="21" spans="1:16" x14ac:dyDescent="0.2">
      <c r="A21" s="38" t="s">
        <v>59</v>
      </c>
      <c r="B21" s="134">
        <f>[3]DHL_Atlas!$GF$52</f>
        <v>0</v>
      </c>
      <c r="C21" s="134">
        <f>[3]DHL_Kalitta!$GF$52</f>
        <v>541657</v>
      </c>
      <c r="D21" s="134">
        <f>'[3]Atlas Air'!$GF$52</f>
        <v>848285</v>
      </c>
      <c r="E21" s="134">
        <f>[3]FedEx!$GF$52</f>
        <v>9255506</v>
      </c>
      <c r="F21" s="134">
        <f>[3]UPS!$GF$52</f>
        <v>5241121</v>
      </c>
      <c r="G21" s="161"/>
      <c r="H21" s="97">
        <f>[3]Airborne!$GF$52</f>
        <v>0</v>
      </c>
      <c r="I21" s="134">
        <f>[3]Encore!$GF$52</f>
        <v>34983</v>
      </c>
      <c r="J21" s="134">
        <f>[3]IFL!$GF$52</f>
        <v>0</v>
      </c>
      <c r="K21" s="97">
        <f>'[3]Suburban Air Freight'!$GF$52</f>
        <v>0</v>
      </c>
      <c r="L21" s="467"/>
      <c r="M21" s="97">
        <f>'[3]CSA Air'!$GF$52</f>
        <v>4851</v>
      </c>
      <c r="N21" s="97">
        <f>'[3]Mountain Cargo'!$GF$52</f>
        <v>56842</v>
      </c>
      <c r="O21" s="97">
        <f>'[3]Misc Cargo'!$GF$52</f>
        <v>0</v>
      </c>
      <c r="P21" s="172">
        <f>SUM(B21:K21)+SUM(M21:O21)</f>
        <v>15983245</v>
      </c>
    </row>
    <row r="22" spans="1:16" x14ac:dyDescent="0.2">
      <c r="A22" s="38" t="s">
        <v>60</v>
      </c>
      <c r="B22" s="134">
        <f>[3]DHL_Atlas!$GF$53</f>
        <v>0</v>
      </c>
      <c r="C22" s="134">
        <f>[3]DHL_Kalitta!$GF$53</f>
        <v>0</v>
      </c>
      <c r="D22" s="134">
        <f>'[3]Atlas Air'!$GF$53</f>
        <v>0</v>
      </c>
      <c r="E22" s="134">
        <f>[3]FedEx!$GF$53</f>
        <v>0</v>
      </c>
      <c r="F22" s="134">
        <f>[3]UPS!$GF$53</f>
        <v>541360</v>
      </c>
      <c r="G22" s="161"/>
      <c r="H22" s="97">
        <f>[3]Airborne!$GF$53</f>
        <v>0</v>
      </c>
      <c r="I22" s="134">
        <f>[3]Encore!$GF$53</f>
        <v>0</v>
      </c>
      <c r="J22" s="134">
        <f>[3]IFL!$GF$53</f>
        <v>0</v>
      </c>
      <c r="K22" s="97">
        <f>'[3]Suburban Air Freight'!$GF$53</f>
        <v>0</v>
      </c>
      <c r="L22" s="467"/>
      <c r="M22" s="97">
        <f>'[3]CSA Air'!$GF$53</f>
        <v>0</v>
      </c>
      <c r="N22" s="97">
        <f>'[3]Mountain Cargo'!$GF$53</f>
        <v>0</v>
      </c>
      <c r="O22" s="97">
        <f>'[3]Misc Cargo'!$GF$53</f>
        <v>0</v>
      </c>
      <c r="P22" s="172">
        <f>SUM(B22:K22)+SUM(M22:O22)</f>
        <v>541360</v>
      </c>
    </row>
    <row r="23" spans="1:16" ht="18" customHeight="1" x14ac:dyDescent="0.2">
      <c r="A23" s="187" t="s">
        <v>41</v>
      </c>
      <c r="B23" s="260">
        <f>SUM(B21:B22)</f>
        <v>0</v>
      </c>
      <c r="C23" s="260">
        <f>SUM(C21:C22)</f>
        <v>541657</v>
      </c>
      <c r="D23" s="260">
        <f>SUM(D21:D22)</f>
        <v>848285</v>
      </c>
      <c r="E23" s="260">
        <f>SUM(E21:E22)</f>
        <v>9255506</v>
      </c>
      <c r="F23" s="260">
        <f>SUM(F21:F22)</f>
        <v>5782481</v>
      </c>
      <c r="G23" s="166"/>
      <c r="H23" s="261">
        <f>SUM(H21:H22)</f>
        <v>0</v>
      </c>
      <c r="I23" s="260">
        <f>SUM(I21:I22)</f>
        <v>34983</v>
      </c>
      <c r="J23" s="260">
        <f>SUM(J21:J22)</f>
        <v>0</v>
      </c>
      <c r="K23" s="261">
        <f>SUM(K21:K22)</f>
        <v>0</v>
      </c>
      <c r="L23" s="467"/>
      <c r="M23" s="261">
        <f>SUM(M21:M22)</f>
        <v>4851</v>
      </c>
      <c r="N23" s="261">
        <f>SUM(N21:N22)</f>
        <v>56842</v>
      </c>
      <c r="O23" s="261">
        <f>SUM(O21:O22)</f>
        <v>0</v>
      </c>
      <c r="P23" s="188">
        <f>SUM(B23:K23)+SUM(M23:O23)</f>
        <v>16524605</v>
      </c>
    </row>
    <row r="24" spans="1:16" x14ac:dyDescent="0.2">
      <c r="A24" s="38"/>
      <c r="B24" s="134"/>
      <c r="C24" s="134"/>
      <c r="D24" s="134"/>
      <c r="E24" s="134"/>
      <c r="F24" s="134"/>
      <c r="G24" s="161"/>
      <c r="H24" s="97"/>
      <c r="I24" s="134"/>
      <c r="J24" s="134"/>
      <c r="K24" s="97"/>
      <c r="L24" s="467"/>
      <c r="M24" s="97"/>
      <c r="N24" s="97"/>
      <c r="O24" s="97"/>
      <c r="P24" s="172"/>
    </row>
    <row r="25" spans="1:16" x14ac:dyDescent="0.2">
      <c r="A25" s="189" t="s">
        <v>96</v>
      </c>
      <c r="B25" s="134"/>
      <c r="C25" s="134"/>
      <c r="D25" s="134"/>
      <c r="E25" s="134"/>
      <c r="F25" s="134"/>
      <c r="G25" s="161"/>
      <c r="H25" s="97"/>
      <c r="I25" s="134"/>
      <c r="J25" s="134"/>
      <c r="K25" s="97"/>
      <c r="L25" s="467"/>
      <c r="M25" s="97"/>
      <c r="N25" s="97"/>
      <c r="O25" s="97"/>
      <c r="P25" s="172"/>
    </row>
    <row r="26" spans="1:16" x14ac:dyDescent="0.2">
      <c r="A26" s="38" t="s">
        <v>59</v>
      </c>
      <c r="B26" s="134">
        <f>[3]DHL_Atlas!$GF$57</f>
        <v>0</v>
      </c>
      <c r="C26" s="134">
        <f>[3]DHL_Kalitta!$GF$57</f>
        <v>0</v>
      </c>
      <c r="D26" s="134">
        <f>'[3]Atlas Air'!$GF$57</f>
        <v>0</v>
      </c>
      <c r="E26" s="134">
        <f>[3]FedEx!$GF$57</f>
        <v>0</v>
      </c>
      <c r="F26" s="134">
        <f>[3]UPS!$GF$57</f>
        <v>0</v>
      </c>
      <c r="G26" s="161"/>
      <c r="H26" s="97">
        <f>[3]Airborne!$GF$57</f>
        <v>0</v>
      </c>
      <c r="I26" s="134">
        <f>[3]Encore!$GF$57</f>
        <v>0</v>
      </c>
      <c r="J26" s="134">
        <f>[3]IFL!$GF$57</f>
        <v>0</v>
      </c>
      <c r="K26" s="97">
        <f>'[3]Suburban Air Freight'!$GF$57</f>
        <v>0</v>
      </c>
      <c r="L26" s="467"/>
      <c r="M26" s="97">
        <f>'[3]CSA Air'!$GF$57</f>
        <v>0</v>
      </c>
      <c r="N26" s="97">
        <f>'[3]Mountain Cargo'!$GF$57</f>
        <v>0</v>
      </c>
      <c r="O26" s="97">
        <f>'[3]Misc Cargo'!$GF$57</f>
        <v>0</v>
      </c>
      <c r="P26" s="172">
        <f>SUM(B26:K26)+SUM(M26:O26)</f>
        <v>0</v>
      </c>
    </row>
    <row r="27" spans="1:16" x14ac:dyDescent="0.2">
      <c r="A27" s="38" t="s">
        <v>60</v>
      </c>
      <c r="B27" s="134">
        <f>[3]DHL_Atlas!$GF$58</f>
        <v>0</v>
      </c>
      <c r="C27" s="134">
        <f>[3]DHL_Kalitta!$GF$58</f>
        <v>0</v>
      </c>
      <c r="D27" s="134">
        <f>'[3]Atlas Air'!$GF$58</f>
        <v>0</v>
      </c>
      <c r="E27" s="134">
        <f>[3]FedEx!$GF$58</f>
        <v>0</v>
      </c>
      <c r="F27" s="134">
        <f>[3]UPS!$GF$58</f>
        <v>0</v>
      </c>
      <c r="G27" s="161"/>
      <c r="H27" s="97">
        <f>[3]Airborne!$GF$58</f>
        <v>0</v>
      </c>
      <c r="I27" s="134">
        <f>[3]Encore!$GF$58</f>
        <v>0</v>
      </c>
      <c r="J27" s="134">
        <f>[3]IFL!$GF$58</f>
        <v>0</v>
      </c>
      <c r="K27" s="97">
        <f>'[3]Suburban Air Freight'!$GF$58</f>
        <v>0</v>
      </c>
      <c r="L27" s="467"/>
      <c r="M27" s="97">
        <f>'[3]CSA Air'!$GF$58</f>
        <v>0</v>
      </c>
      <c r="N27" s="97">
        <f>'[3]Mountain Cargo'!$GF$58</f>
        <v>0</v>
      </c>
      <c r="O27" s="97">
        <f>'[3]Misc Cargo'!$GF$58</f>
        <v>0</v>
      </c>
      <c r="P27" s="172">
        <f>SUM(B27:K27)+SUM(M27:O27)</f>
        <v>0</v>
      </c>
    </row>
    <row r="28" spans="1:16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260">
        <f>SUM(F26:F27)</f>
        <v>0</v>
      </c>
      <c r="G28" s="166"/>
      <c r="H28" s="261">
        <f>SUM(H26:H27)</f>
        <v>0</v>
      </c>
      <c r="I28" s="260">
        <f>SUM(I26:I27)</f>
        <v>0</v>
      </c>
      <c r="J28" s="260">
        <f>SUM(J26:J27)</f>
        <v>0</v>
      </c>
      <c r="K28" s="261">
        <f>SUM(K26:K27)</f>
        <v>0</v>
      </c>
      <c r="L28" s="467"/>
      <c r="M28" s="261">
        <f>SUM(M26:M27)</f>
        <v>0</v>
      </c>
      <c r="N28" s="261">
        <f>SUM(N26:N27)</f>
        <v>0</v>
      </c>
      <c r="O28" s="261">
        <f>SUM(O26:O27)</f>
        <v>0</v>
      </c>
      <c r="P28" s="188">
        <f>SUM(B28:K28)+SUM(M28:O28)</f>
        <v>0</v>
      </c>
    </row>
    <row r="29" spans="1:16" x14ac:dyDescent="0.2">
      <c r="A29" s="38"/>
      <c r="B29" s="134"/>
      <c r="C29" s="134"/>
      <c r="D29" s="134"/>
      <c r="E29" s="134"/>
      <c r="F29" s="134"/>
      <c r="G29" s="161"/>
      <c r="H29" s="97"/>
      <c r="I29" s="134"/>
      <c r="J29" s="134"/>
      <c r="K29" s="97"/>
      <c r="L29" s="467"/>
      <c r="M29" s="97"/>
      <c r="N29" s="97"/>
      <c r="O29" s="97"/>
      <c r="P29" s="172"/>
    </row>
    <row r="30" spans="1:16" x14ac:dyDescent="0.2">
      <c r="A30" s="190" t="s">
        <v>44</v>
      </c>
      <c r="B30" s="134"/>
      <c r="C30" s="134"/>
      <c r="D30" s="134"/>
      <c r="E30" s="134"/>
      <c r="F30" s="134"/>
      <c r="G30" s="161"/>
      <c r="H30" s="97"/>
      <c r="I30" s="134"/>
      <c r="J30" s="134"/>
      <c r="K30" s="97"/>
      <c r="L30" s="467"/>
      <c r="M30" s="97"/>
      <c r="N30" s="97"/>
      <c r="O30" s="97"/>
      <c r="P30" s="172"/>
    </row>
    <row r="31" spans="1:16" x14ac:dyDescent="0.2">
      <c r="A31" s="38" t="s">
        <v>89</v>
      </c>
      <c r="B31" s="134">
        <f t="shared" ref="B31:F33" si="3">B26+B21+B16</f>
        <v>23188</v>
      </c>
      <c r="C31" s="134">
        <f t="shared" ref="C31" si="4">C26+C21+C16</f>
        <v>1439946</v>
      </c>
      <c r="D31" s="134">
        <f t="shared" ref="D31" si="5">D26+D21+D16</f>
        <v>2204159</v>
      </c>
      <c r="E31" s="134">
        <f t="shared" si="3"/>
        <v>11345449</v>
      </c>
      <c r="F31" s="134">
        <f t="shared" si="3"/>
        <v>12248281</v>
      </c>
      <c r="G31" s="161"/>
      <c r="H31" s="97">
        <f t="shared" ref="H31:K33" si="6">H26+H21+H16</f>
        <v>0</v>
      </c>
      <c r="I31" s="134">
        <f t="shared" ref="I31" si="7">I26+I21+I16</f>
        <v>102048</v>
      </c>
      <c r="J31" s="134">
        <f t="shared" si="6"/>
        <v>17762</v>
      </c>
      <c r="K31" s="97">
        <f t="shared" si="6"/>
        <v>0</v>
      </c>
      <c r="L31" s="467"/>
      <c r="M31" s="97">
        <f t="shared" ref="M31:O33" si="8">M26+M21+M16</f>
        <v>4851</v>
      </c>
      <c r="N31" s="97">
        <f t="shared" si="8"/>
        <v>217469</v>
      </c>
      <c r="O31" s="97">
        <f>O26+O21+O16</f>
        <v>0</v>
      </c>
      <c r="P31" s="172">
        <f>SUM(B31:K31)+SUM(M31:O31)</f>
        <v>27603153</v>
      </c>
    </row>
    <row r="32" spans="1:16" x14ac:dyDescent="0.2">
      <c r="A32" s="38" t="s">
        <v>60</v>
      </c>
      <c r="B32" s="134">
        <f t="shared" si="3"/>
        <v>0</v>
      </c>
      <c r="C32" s="134">
        <f t="shared" ref="C32" si="9">C27+C22+C17</f>
        <v>0</v>
      </c>
      <c r="D32" s="134">
        <f t="shared" ref="D32" si="10">D27+D22+D17</f>
        <v>0</v>
      </c>
      <c r="E32" s="134">
        <f t="shared" si="3"/>
        <v>0</v>
      </c>
      <c r="F32" s="134">
        <f t="shared" si="3"/>
        <v>541360</v>
      </c>
      <c r="G32" s="161"/>
      <c r="H32" s="97">
        <f t="shared" si="6"/>
        <v>0</v>
      </c>
      <c r="I32" s="134">
        <f t="shared" ref="I32" si="11">I27+I22+I17</f>
        <v>0</v>
      </c>
      <c r="J32" s="134">
        <f t="shared" si="6"/>
        <v>0</v>
      </c>
      <c r="K32" s="97">
        <f t="shared" si="6"/>
        <v>0</v>
      </c>
      <c r="L32" s="468"/>
      <c r="M32" s="97">
        <f t="shared" si="8"/>
        <v>0</v>
      </c>
      <c r="N32" s="97">
        <f t="shared" si="8"/>
        <v>0</v>
      </c>
      <c r="O32" s="97">
        <f>O27+O22+O17</f>
        <v>0</v>
      </c>
      <c r="P32" s="176">
        <f>SUM(B32:K32)+SUM(M32:O32)</f>
        <v>541360</v>
      </c>
    </row>
    <row r="33" spans="1:16" ht="18" customHeight="1" thickBot="1" x14ac:dyDescent="0.25">
      <c r="A33" s="177" t="s">
        <v>46</v>
      </c>
      <c r="B33" s="178">
        <f t="shared" si="3"/>
        <v>23188</v>
      </c>
      <c r="C33" s="178">
        <f t="shared" ref="C33" si="12">C28+C23+C18</f>
        <v>1439946</v>
      </c>
      <c r="D33" s="178">
        <f t="shared" ref="D33" si="13">D28+D23+D18</f>
        <v>2204159</v>
      </c>
      <c r="E33" s="178">
        <f t="shared" si="3"/>
        <v>11345449</v>
      </c>
      <c r="F33" s="178">
        <f t="shared" si="3"/>
        <v>12789641</v>
      </c>
      <c r="G33" s="191"/>
      <c r="H33" s="180">
        <f t="shared" si="6"/>
        <v>0</v>
      </c>
      <c r="I33" s="178">
        <f t="shared" ref="I33" si="14">I28+I23+I18</f>
        <v>102048</v>
      </c>
      <c r="J33" s="178">
        <f t="shared" si="6"/>
        <v>17762</v>
      </c>
      <c r="K33" s="180">
        <f t="shared" si="6"/>
        <v>0</v>
      </c>
      <c r="L33" s="262">
        <f>L28+L23+L18</f>
        <v>0</v>
      </c>
      <c r="M33" s="180">
        <f t="shared" si="8"/>
        <v>4851</v>
      </c>
      <c r="N33" s="180">
        <f t="shared" si="8"/>
        <v>217469</v>
      </c>
      <c r="O33" s="180">
        <f t="shared" si="8"/>
        <v>0</v>
      </c>
      <c r="P33" s="181">
        <f>SUM(B33:K33)+SUM(M33:O33)</f>
        <v>28144513</v>
      </c>
    </row>
    <row r="34" spans="1:16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</row>
    <row r="35" spans="1:16" x14ac:dyDescent="0.2">
      <c r="A35" t="s">
        <v>90</v>
      </c>
      <c r="B35" s="2"/>
      <c r="C35" s="2"/>
      <c r="D35" s="2"/>
      <c r="E35" s="2"/>
      <c r="F35" s="2"/>
      <c r="G35" s="2"/>
    </row>
    <row r="36" spans="1:16" x14ac:dyDescent="0.2">
      <c r="A36" t="s">
        <v>91</v>
      </c>
    </row>
    <row r="37" spans="1:16" x14ac:dyDescent="0.2">
      <c r="A37" t="s">
        <v>92</v>
      </c>
    </row>
    <row r="43" spans="1:16" ht="15" x14ac:dyDescent="0.25">
      <c r="L43" s="44"/>
    </row>
  </sheetData>
  <mergeCells count="3">
    <mergeCell ref="L16:L32"/>
    <mergeCell ref="B1:F1"/>
    <mergeCell ref="H1:O1"/>
  </mergeCells>
  <phoneticPr fontId="6" type="noConversion"/>
  <pageMargins left="0.75" right="0.75" top="1" bottom="1" header="0.5" footer="0.5"/>
  <pageSetup scale="79" orientation="landscape" r:id="rId1"/>
  <headerFooter alignWithMargins="0">
    <oddHeader>&amp;L
Schedule 7
&amp;CMinneapolis-St. Paul International Airport
&amp;"Arial,Bold"Cargo
May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D3" sqref="D3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5">
        <v>43586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218</v>
      </c>
      <c r="G2" s="60" t="s">
        <v>209</v>
      </c>
      <c r="H2" s="61" t="s">
        <v>66</v>
      </c>
      <c r="I2" s="62" t="s">
        <v>214</v>
      </c>
      <c r="J2" s="62" t="s">
        <v>198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5163092</v>
      </c>
      <c r="C5" s="97">
        <f>'Regional Major'!M25</f>
        <v>5901</v>
      </c>
      <c r="D5" s="97">
        <f>Cargo!P16</f>
        <v>11619908</v>
      </c>
      <c r="E5" s="97">
        <f>SUM(B5:D5)</f>
        <v>16788901</v>
      </c>
      <c r="F5" s="97">
        <f>E5*0.00045359237</f>
        <v>7615.31739428537</v>
      </c>
      <c r="G5" s="97">
        <f>'[1]Cargo Summary'!F5</f>
        <v>10085.06661396542</v>
      </c>
      <c r="H5" s="79">
        <f>(F5-G5)/G5</f>
        <v>-0.24489171110283345</v>
      </c>
      <c r="I5" s="97">
        <f>+F5+'[2]Cargo Summary'!I5</f>
        <v>43659.375553029393</v>
      </c>
      <c r="J5" s="97">
        <f>'[1]Cargo Summary'!I5</f>
        <v>46175.862023329501</v>
      </c>
      <c r="K5" s="67">
        <f>(I5-J5)/J5</f>
        <v>-5.4497877463093147E-2</v>
      </c>
      <c r="M5" s="26"/>
    </row>
    <row r="6" spans="1:18" x14ac:dyDescent="0.2">
      <c r="A6" s="47" t="s">
        <v>16</v>
      </c>
      <c r="B6" s="141">
        <f>'Major Airline Stats'!K29</f>
        <v>1981444</v>
      </c>
      <c r="C6" s="97">
        <f>'Regional Major'!M26</f>
        <v>27</v>
      </c>
      <c r="D6" s="97">
        <f>Cargo!P17</f>
        <v>0</v>
      </c>
      <c r="E6" s="97">
        <f>SUM(B6:D6)</f>
        <v>1981471</v>
      </c>
      <c r="F6" s="97">
        <f>E6*0.00045359237</f>
        <v>898.78012697627003</v>
      </c>
      <c r="G6" s="97">
        <f>'[1]Cargo Summary'!F6</f>
        <v>913.94734864432996</v>
      </c>
      <c r="H6" s="3">
        <f>(F6-G6)/G6</f>
        <v>-1.659529040765606E-2</v>
      </c>
      <c r="I6" s="97">
        <f>+F6+'[2]Cargo Summary'!I6</f>
        <v>4255.7977528743604</v>
      </c>
      <c r="J6" s="97">
        <f>'[1]Cargo Summary'!I6</f>
        <v>4187.78838087841</v>
      </c>
      <c r="K6" s="67">
        <f>(I6-J6)/J6</f>
        <v>1.6239925662548678E-2</v>
      </c>
      <c r="M6" s="26"/>
    </row>
    <row r="7" spans="1:18" ht="18" customHeight="1" thickBot="1" x14ac:dyDescent="0.25">
      <c r="A7" s="56" t="s">
        <v>72</v>
      </c>
      <c r="B7" s="143">
        <f>SUM(B5:B6)</f>
        <v>7144536</v>
      </c>
      <c r="C7" s="107">
        <f t="shared" ref="C7:J7" si="0">SUM(C5:C6)</f>
        <v>5928</v>
      </c>
      <c r="D7" s="107">
        <f t="shared" si="0"/>
        <v>11619908</v>
      </c>
      <c r="E7" s="107">
        <f t="shared" si="0"/>
        <v>18770372</v>
      </c>
      <c r="F7" s="107">
        <f t="shared" si="0"/>
        <v>8514.0975212616395</v>
      </c>
      <c r="G7" s="107">
        <f t="shared" si="0"/>
        <v>10999.01396260975</v>
      </c>
      <c r="H7" s="29">
        <f>(F7-G7)/G7</f>
        <v>-0.22592174623974304</v>
      </c>
      <c r="I7" s="107">
        <f t="shared" si="0"/>
        <v>47915.173305903751</v>
      </c>
      <c r="J7" s="107">
        <f t="shared" si="0"/>
        <v>50363.65040420791</v>
      </c>
      <c r="K7" s="275">
        <f>(I7-J7)/J7</f>
        <v>-4.8615957712620214E-2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2230486</v>
      </c>
      <c r="C10" s="97">
        <f>'Regional Major'!M30</f>
        <v>3452</v>
      </c>
      <c r="D10" s="97">
        <f>Cargo!P21</f>
        <v>15983245</v>
      </c>
      <c r="E10" s="97">
        <f>SUM(B10:D10)</f>
        <v>18217183</v>
      </c>
      <c r="F10" s="97">
        <f>E10*0.00045359237</f>
        <v>8263.1752116937096</v>
      </c>
      <c r="G10" s="97">
        <f>'[1]Cargo Summary'!F10</f>
        <v>7636.0388545240794</v>
      </c>
      <c r="H10" s="3">
        <f>(F10-G10)/G10</f>
        <v>8.2128492156384764E-2</v>
      </c>
      <c r="I10" s="97">
        <f>+F10+'[2]Cargo Summary'!I10</f>
        <v>38155.217662358715</v>
      </c>
      <c r="J10" s="97">
        <f>'[1]Cargo Summary'!I10</f>
        <v>36613.150114694225</v>
      </c>
      <c r="K10" s="67">
        <f>(I10-J10)/J10</f>
        <v>4.2117860463626179E-2</v>
      </c>
      <c r="M10" s="26"/>
    </row>
    <row r="11" spans="1:18" x14ac:dyDescent="0.2">
      <c r="A11" s="47" t="s">
        <v>16</v>
      </c>
      <c r="B11" s="141">
        <f>'Major Airline Stats'!K34</f>
        <v>2230931</v>
      </c>
      <c r="C11" s="97">
        <f>'Regional Major'!M31</f>
        <v>5340</v>
      </c>
      <c r="D11" s="97">
        <f>Cargo!P22</f>
        <v>541360</v>
      </c>
      <c r="E11" s="97">
        <f>SUM(B11:D11)</f>
        <v>2777631</v>
      </c>
      <c r="F11" s="97">
        <f>E11*0.00045359237</f>
        <v>1259.9122282754699</v>
      </c>
      <c r="G11" s="97">
        <f>'[1]Cargo Summary'!F11</f>
        <v>1327.79550159256</v>
      </c>
      <c r="H11" s="26">
        <f>(F11-G11)/G11</f>
        <v>-5.1124795373738437E-2</v>
      </c>
      <c r="I11" s="97">
        <f>+F11+'[2]Cargo Summary'!I11</f>
        <v>6381.0471962783695</v>
      </c>
      <c r="J11" s="97">
        <f>'[1]Cargo Summary'!I11</f>
        <v>6266.4171469014509</v>
      </c>
      <c r="K11" s="67">
        <f>(I11-J11)/J11</f>
        <v>1.8292757518321229E-2</v>
      </c>
      <c r="M11" s="26"/>
    </row>
    <row r="12" spans="1:18" ht="18" customHeight="1" thickBot="1" x14ac:dyDescent="0.25">
      <c r="A12" s="56" t="s">
        <v>73</v>
      </c>
      <c r="B12" s="143">
        <f>SUM(B10:B11)</f>
        <v>4461417</v>
      </c>
      <c r="C12" s="107">
        <f t="shared" ref="C12:J12" si="1">SUM(C10:C11)</f>
        <v>8792</v>
      </c>
      <c r="D12" s="107">
        <f t="shared" si="1"/>
        <v>16524605</v>
      </c>
      <c r="E12" s="107">
        <f t="shared" si="1"/>
        <v>20994814</v>
      </c>
      <c r="F12" s="107">
        <f t="shared" si="1"/>
        <v>9523.0874399691802</v>
      </c>
      <c r="G12" s="107">
        <f t="shared" si="1"/>
        <v>8963.8343561166403</v>
      </c>
      <c r="H12" s="29">
        <f>(F12-G12)/G12</f>
        <v>6.2389939576574516E-2</v>
      </c>
      <c r="I12" s="107">
        <f t="shared" si="1"/>
        <v>44536.264858637085</v>
      </c>
      <c r="J12" s="107">
        <f t="shared" si="1"/>
        <v>42879.567261595672</v>
      </c>
      <c r="K12" s="275">
        <f>(I12-J12)/J12</f>
        <v>3.8636061482019785E-2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Cargo!P26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Cargo!P27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7393578</v>
      </c>
      <c r="C20" s="97">
        <f t="shared" si="3"/>
        <v>9353</v>
      </c>
      <c r="D20" s="97">
        <f t="shared" si="3"/>
        <v>27603153</v>
      </c>
      <c r="E20" s="97">
        <f>SUM(B20:D20)</f>
        <v>35006084</v>
      </c>
      <c r="F20" s="97">
        <f>E20*0.00045359237</f>
        <v>15878.49260597908</v>
      </c>
      <c r="G20" s="97">
        <f>'[1]Cargo Summary'!F20</f>
        <v>17721.105468489499</v>
      </c>
      <c r="H20" s="3">
        <f>(F20-G20)/G20</f>
        <v>-0.10397843778915666</v>
      </c>
      <c r="I20" s="97">
        <f>+I5+I10+I15</f>
        <v>81814.5932153881</v>
      </c>
      <c r="J20" s="97">
        <f>+J5+J10+J15</f>
        <v>82789.012138023725</v>
      </c>
      <c r="K20" s="67">
        <f>(I20-J20)/J20</f>
        <v>-1.1769906385778567E-2</v>
      </c>
      <c r="M20" s="26"/>
    </row>
    <row r="21" spans="1:13" x14ac:dyDescent="0.2">
      <c r="A21" s="47" t="s">
        <v>16</v>
      </c>
      <c r="B21" s="141">
        <f t="shared" si="3"/>
        <v>4212375</v>
      </c>
      <c r="C21" s="98">
        <f t="shared" si="3"/>
        <v>5367</v>
      </c>
      <c r="D21" s="98">
        <f t="shared" si="3"/>
        <v>541360</v>
      </c>
      <c r="E21" s="97">
        <f>SUM(B21:D21)</f>
        <v>4759102</v>
      </c>
      <c r="F21" s="97">
        <f>E21*0.00045359237</f>
        <v>2158.6923552517401</v>
      </c>
      <c r="G21" s="97">
        <f>'[1]Cargo Summary'!F21</f>
        <v>2241.7428502368898</v>
      </c>
      <c r="H21" s="3">
        <f>(F21-G21)/G21</f>
        <v>-3.7047288887917543E-2</v>
      </c>
      <c r="I21" s="97">
        <f>+I6+I11+I16</f>
        <v>10636.84494915273</v>
      </c>
      <c r="J21" s="97">
        <f>+J6+J11+J16</f>
        <v>10454.205527779861</v>
      </c>
      <c r="K21" s="67">
        <f>(I21-J21)/J21</f>
        <v>1.7470425742782944E-2</v>
      </c>
      <c r="M21" s="26"/>
    </row>
    <row r="22" spans="1:13" ht="18" customHeight="1" thickBot="1" x14ac:dyDescent="0.25">
      <c r="A22" s="69" t="s">
        <v>62</v>
      </c>
      <c r="B22" s="144">
        <f>SUM(B20:B21)</f>
        <v>11605953</v>
      </c>
      <c r="C22" s="145">
        <f t="shared" ref="C22:J22" si="4">SUM(C20:C21)</f>
        <v>14720</v>
      </c>
      <c r="D22" s="145">
        <f t="shared" si="4"/>
        <v>28144513</v>
      </c>
      <c r="E22" s="145">
        <f t="shared" si="4"/>
        <v>39765186</v>
      </c>
      <c r="F22" s="145">
        <f t="shared" si="4"/>
        <v>18037.184961230822</v>
      </c>
      <c r="G22" s="145">
        <f t="shared" si="4"/>
        <v>19962.848318726388</v>
      </c>
      <c r="H22" s="281">
        <f>(F22-G22)/G22</f>
        <v>-9.646235480781444E-2</v>
      </c>
      <c r="I22" s="145">
        <f t="shared" si="4"/>
        <v>92451.438164540828</v>
      </c>
      <c r="J22" s="145">
        <f t="shared" si="4"/>
        <v>93243.21766580359</v>
      </c>
      <c r="K22" s="282">
        <f>(I22-J22)/J22</f>
        <v>-8.4915506037190492E-3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May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9"/>
  <sheetViews>
    <sheetView zoomScaleNormal="100" workbookViewId="0">
      <selection activeCell="A7" sqref="A7:A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79" t="s">
        <v>192</v>
      </c>
      <c r="B2" s="480"/>
      <c r="C2" s="388" t="s">
        <v>221</v>
      </c>
      <c r="D2" s="390" t="s">
        <v>202</v>
      </c>
      <c r="E2" s="391" t="s">
        <v>97</v>
      </c>
      <c r="F2" s="392" t="s">
        <v>222</v>
      </c>
      <c r="G2" s="390" t="s">
        <v>203</v>
      </c>
      <c r="H2" s="389" t="s">
        <v>98</v>
      </c>
      <c r="I2" s="391" t="s">
        <v>139</v>
      </c>
      <c r="J2" s="479" t="s">
        <v>188</v>
      </c>
      <c r="K2" s="480"/>
      <c r="L2" s="388" t="s">
        <v>223</v>
      </c>
      <c r="M2" s="390" t="s">
        <v>204</v>
      </c>
      <c r="N2" s="393" t="s">
        <v>98</v>
      </c>
      <c r="O2" s="394" t="s">
        <v>224</v>
      </c>
      <c r="P2" s="394" t="s">
        <v>205</v>
      </c>
      <c r="Q2" s="423" t="s">
        <v>98</v>
      </c>
      <c r="R2" s="391" t="s">
        <v>225</v>
      </c>
    </row>
    <row r="3" spans="1:18" s="9" customFormat="1" ht="13.5" customHeight="1" thickBot="1" x14ac:dyDescent="0.25">
      <c r="A3" s="481">
        <v>43586</v>
      </c>
      <c r="B3" s="482"/>
      <c r="C3" s="483" t="s">
        <v>9</v>
      </c>
      <c r="D3" s="484"/>
      <c r="E3" s="484"/>
      <c r="F3" s="484"/>
      <c r="G3" s="484"/>
      <c r="H3" s="485"/>
      <c r="I3" s="395"/>
      <c r="J3" s="481">
        <f>+A3</f>
        <v>43586</v>
      </c>
      <c r="K3" s="482"/>
      <c r="L3" s="473" t="s">
        <v>189</v>
      </c>
      <c r="M3" s="474"/>
      <c r="N3" s="474"/>
      <c r="O3" s="474"/>
      <c r="P3" s="474"/>
      <c r="Q3" s="474"/>
      <c r="R3" s="475"/>
    </row>
    <row r="4" spans="1:18" x14ac:dyDescent="0.2">
      <c r="A4" s="299"/>
      <c r="B4" s="300"/>
      <c r="C4" s="301"/>
      <c r="D4" s="302"/>
      <c r="E4" s="303"/>
      <c r="F4" s="396"/>
      <c r="G4" s="302"/>
      <c r="H4" s="412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230</v>
      </c>
      <c r="B5" s="40"/>
      <c r="C5" s="307">
        <f>+[3]DHL!$GF$19</f>
        <v>0</v>
      </c>
      <c r="D5" s="150">
        <f>+[3]DHL!$FR$19</f>
        <v>42</v>
      </c>
      <c r="E5" s="309">
        <f>(C5-D5)/D5</f>
        <v>-1</v>
      </c>
      <c r="F5" s="307">
        <f>+SUM([3]DHL!$GB$12:$GF$12)</f>
        <v>0</v>
      </c>
      <c r="G5" s="150">
        <f>+SUM([3]DHL!$FN$12:$FR$12)</f>
        <v>196</v>
      </c>
      <c r="H5" s="308">
        <f>(F5-G5)/G5</f>
        <v>-1</v>
      </c>
      <c r="I5" s="309">
        <f>+F5/$F$32</f>
        <v>0</v>
      </c>
      <c r="J5" s="306" t="s">
        <v>230</v>
      </c>
      <c r="K5" s="40"/>
      <c r="L5" s="307">
        <f>+[3]DHL!$GF$64</f>
        <v>0</v>
      </c>
      <c r="M5" s="150">
        <f>+[3]DHL!$FR$64</f>
        <v>1387504</v>
      </c>
      <c r="N5" s="309">
        <f>(L5-M5)/M5</f>
        <v>-1</v>
      </c>
      <c r="O5" s="307">
        <f>+SUM([3]DHL!$GB$64:$GF$64)</f>
        <v>0</v>
      </c>
      <c r="P5" s="150">
        <f>+SUM([3]DHL!$FN$64:$FR$64)</f>
        <v>5919536</v>
      </c>
      <c r="Q5" s="308">
        <f>(O5-P5)/P5</f>
        <v>-1</v>
      </c>
      <c r="R5" s="309">
        <f>O5/$O$32</f>
        <v>0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231</v>
      </c>
      <c r="B7" s="40"/>
      <c r="C7" s="307">
        <f>+[3]DHL_Kalitta!$GF$19</f>
        <v>44</v>
      </c>
      <c r="D7" s="150">
        <f>+[3]DHL_Kalitta!$FR$19</f>
        <v>0</v>
      </c>
      <c r="E7" s="309" t="e">
        <f>(C7-D7)/D7</f>
        <v>#DIV/0!</v>
      </c>
      <c r="F7" s="307">
        <f>+SUM([3]DHL_Kalitta!$GB$12:$GF$12)</f>
        <v>210</v>
      </c>
      <c r="G7" s="150">
        <f>+SUM([3]DHL_Kalitta!$FN$12:$FR$12)</f>
        <v>0</v>
      </c>
      <c r="H7" s="308" t="e">
        <f>(F7-G7)/G7</f>
        <v>#DIV/0!</v>
      </c>
      <c r="I7" s="309">
        <f>+F7/$F$32</f>
        <v>3.6926323193247755E-2</v>
      </c>
      <c r="J7" s="306" t="s">
        <v>231</v>
      </c>
      <c r="K7" s="40"/>
      <c r="L7" s="307">
        <f>+[3]DHL_Kalitta!$GF$64</f>
        <v>1439946</v>
      </c>
      <c r="M7" s="150">
        <f>+[3]DHL_Kalitta!$FR$64</f>
        <v>0</v>
      </c>
      <c r="N7" s="309" t="e">
        <f>(L7-M7)/M7</f>
        <v>#DIV/0!</v>
      </c>
      <c r="O7" s="307">
        <f>+SUM([3]DHL_Kalitta!$GB$64:$GF$64)</f>
        <v>6473600</v>
      </c>
      <c r="P7" s="150">
        <f>+SUM([3]DHL_Kalitta!$FN$64:$FR$64)</f>
        <v>0</v>
      </c>
      <c r="Q7" s="308" t="e">
        <f>(O7-P7)/P7</f>
        <v>#DIV/0!</v>
      </c>
      <c r="R7" s="309">
        <f>O7/$O$32</f>
        <v>4.4403061824870908E-2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150"/>
      <c r="Q8" s="3"/>
      <c r="R8" s="67"/>
    </row>
    <row r="9" spans="1:18" ht="14.1" customHeight="1" x14ac:dyDescent="0.2">
      <c r="A9" s="306" t="s">
        <v>232</v>
      </c>
      <c r="B9" s="40"/>
      <c r="C9" s="307">
        <f>+[3]DHL_Atlas!$GF$19</f>
        <v>2</v>
      </c>
      <c r="D9" s="150">
        <f>+[3]DHL_Atlas!$FR$19</f>
        <v>0</v>
      </c>
      <c r="E9" s="309" t="e">
        <f>(C9-D9)/D9</f>
        <v>#DIV/0!</v>
      </c>
      <c r="F9" s="307">
        <f>+SUM([3]DHL_Atlas!$GB$12:$GF$12)</f>
        <v>4</v>
      </c>
      <c r="G9" s="150">
        <f>+SUM([3]DHL_Atlas!$FN$12:$FR$12)</f>
        <v>0</v>
      </c>
      <c r="H9" s="308" t="e">
        <f>(F9-G9)/G9</f>
        <v>#DIV/0!</v>
      </c>
      <c r="I9" s="309">
        <f>+F9/$F$32</f>
        <v>7.0335853701424303E-4</v>
      </c>
      <c r="J9" s="306" t="s">
        <v>232</v>
      </c>
      <c r="K9" s="40"/>
      <c r="L9" s="307">
        <f>+[3]DHL_Atlas!$GF$64</f>
        <v>23188</v>
      </c>
      <c r="M9" s="150">
        <f>+[3]DHL_Atlas!$FR$64</f>
        <v>0</v>
      </c>
      <c r="N9" s="309" t="e">
        <f>(L9-M9)/M9</f>
        <v>#DIV/0!</v>
      </c>
      <c r="O9" s="307">
        <f>+SUM([3]DHL_Atlas!$GB$64:$GF$64)</f>
        <v>41740</v>
      </c>
      <c r="P9" s="150">
        <f>+SUM([3]DHL_Atlas!$FN$64:$FR$64)</f>
        <v>0</v>
      </c>
      <c r="Q9" s="308" t="e">
        <f>(O9-P9)/P9</f>
        <v>#DIV/0!</v>
      </c>
      <c r="R9" s="309">
        <f>O9/$O$32</f>
        <v>2.8629878283646068E-4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220</v>
      </c>
      <c r="B11" s="40"/>
      <c r="C11" s="307">
        <f>+'[3]Atlas Air'!$GF$19</f>
        <v>64</v>
      </c>
      <c r="D11" s="150">
        <f>+'[3]Atlas Air'!$FR$19</f>
        <v>0</v>
      </c>
      <c r="E11" s="309" t="e">
        <f>(C11-D11)/D11</f>
        <v>#DIV/0!</v>
      </c>
      <c r="F11" s="307">
        <f>+SUM('[3]Atlas Air'!$GB$12:$GF$12)</f>
        <v>294</v>
      </c>
      <c r="G11" s="150">
        <f>+SUM('[3]Atlas Air'!$FN$12:$FR$12)</f>
        <v>0</v>
      </c>
      <c r="H11" s="308" t="e">
        <f>(F11-G11)/G11</f>
        <v>#DIV/0!</v>
      </c>
      <c r="I11" s="309">
        <f>+F11/$F$32</f>
        <v>5.169685247054686E-2</v>
      </c>
      <c r="J11" s="306" t="s">
        <v>220</v>
      </c>
      <c r="K11" s="40"/>
      <c r="L11" s="307">
        <f>+'[3]Atlas Air'!$GF$64</f>
        <v>2204159</v>
      </c>
      <c r="M11" s="150">
        <f>+'[3]Atlas Air'!$FR$64</f>
        <v>0</v>
      </c>
      <c r="N11" s="309" t="e">
        <f>(L11-M11)/M11</f>
        <v>#DIV/0!</v>
      </c>
      <c r="O11" s="307">
        <f>+SUM('[3]Atlas Air'!$GB$64:$GF$64)</f>
        <v>11013263</v>
      </c>
      <c r="P11" s="150">
        <f>+SUM('[3]Atlas Air'!$FN$64:$FR$64)</f>
        <v>0</v>
      </c>
      <c r="Q11" s="308" t="e">
        <f>(O11-P11)/P11</f>
        <v>#DIV/0!</v>
      </c>
      <c r="R11" s="309">
        <f>O11/$O$32</f>
        <v>7.5541058743599121E-2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150"/>
      <c r="Q12" s="3"/>
      <c r="R12" s="67"/>
    </row>
    <row r="13" spans="1:18" ht="14.1" customHeight="1" x14ac:dyDescent="0.2">
      <c r="A13" s="306" t="s">
        <v>228</v>
      </c>
      <c r="B13" s="40"/>
      <c r="C13" s="307">
        <f>+[3]Encore!$GF$19</f>
        <v>90</v>
      </c>
      <c r="D13" s="150">
        <f>+[3]Encore!$FR$19</f>
        <v>0</v>
      </c>
      <c r="E13" s="309" t="e">
        <f>(C13-D13)/D13</f>
        <v>#DIV/0!</v>
      </c>
      <c r="F13" s="307">
        <f>+SUM([3]Encore!$GB$12:$GF$12)</f>
        <v>425</v>
      </c>
      <c r="G13" s="150">
        <f>+SUM([3]Encore!$FN$12:$FR$12)</f>
        <v>0</v>
      </c>
      <c r="H13" s="308" t="e">
        <f>(F13-G13)/G13</f>
        <v>#DIV/0!</v>
      </c>
      <c r="I13" s="309">
        <f>+F13/$F$32</f>
        <v>7.4731844557763313E-2</v>
      </c>
      <c r="J13" s="306" t="s">
        <v>228</v>
      </c>
      <c r="K13" s="40"/>
      <c r="L13" s="307">
        <f>+[3]Encore!$GF$64</f>
        <v>102048</v>
      </c>
      <c r="M13" s="150">
        <f>+[3]Encore!$FR$64</f>
        <v>0</v>
      </c>
      <c r="N13" s="309" t="e">
        <f>(L13-M13)/M13</f>
        <v>#DIV/0!</v>
      </c>
      <c r="O13" s="307">
        <f>+SUM([3]Encore!$GB$64:$GF$64)</f>
        <v>520220</v>
      </c>
      <c r="P13" s="150">
        <f>+SUM([3]Encore!$FN$64:$FR$64)</f>
        <v>0</v>
      </c>
      <c r="Q13" s="308" t="e">
        <f>(O13-P13)/P13</f>
        <v>#DIV/0!</v>
      </c>
      <c r="R13" s="309">
        <f>O13/$O$32</f>
        <v>3.5682403643311827E-3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150"/>
      <c r="Q14" s="3"/>
      <c r="R14" s="67"/>
    </row>
    <row r="15" spans="1:18" ht="14.1" customHeight="1" x14ac:dyDescent="0.2">
      <c r="A15" s="306" t="s">
        <v>190</v>
      </c>
      <c r="B15" s="40"/>
      <c r="C15" s="307">
        <f>+[3]FedEx!$GF$19</f>
        <v>270</v>
      </c>
      <c r="D15" s="150">
        <f>+[3]FedEx!$FR$19</f>
        <v>232</v>
      </c>
      <c r="E15" s="309">
        <f>(C15-D15)/D15</f>
        <v>0.16379310344827586</v>
      </c>
      <c r="F15" s="307">
        <f>+SUM([3]FedEx!$GB$12:$GF$12)</f>
        <v>1282</v>
      </c>
      <c r="G15" s="150">
        <f>+SUM([3]FedEx!$FN$12:$FR$12)</f>
        <v>1204</v>
      </c>
      <c r="H15" s="308">
        <f t="shared" ref="H15" si="0">(F15-G15)/G15</f>
        <v>6.4784053156146174E-2</v>
      </c>
      <c r="I15" s="309">
        <f>+F15/$F$32</f>
        <v>0.22542641111306488</v>
      </c>
      <c r="J15" s="306" t="s">
        <v>190</v>
      </c>
      <c r="K15" s="40"/>
      <c r="L15" s="307">
        <f>+[3]FedEx!$GF$64</f>
        <v>11345449</v>
      </c>
      <c r="M15" s="150">
        <f>+[3]FedEx!$FR$64</f>
        <v>17677316</v>
      </c>
      <c r="N15" s="309">
        <f>(L15-M15)/M15</f>
        <v>-0.35819165081395843</v>
      </c>
      <c r="O15" s="307">
        <f>+SUM([3]FedEx!$GB$64:$GF$64)</f>
        <v>71036730</v>
      </c>
      <c r="P15" s="150">
        <f>+SUM([3]FedEx!$FN$64:$FR$64)</f>
        <v>84444146</v>
      </c>
      <c r="Q15" s="308">
        <f t="shared" ref="Q15" si="1">(O15-P15)/P15</f>
        <v>-0.15877259271471583</v>
      </c>
      <c r="R15" s="309">
        <f>O15/$O$32</f>
        <v>0.48724794766847845</v>
      </c>
    </row>
    <row r="16" spans="1:18" ht="14.1" customHeight="1" x14ac:dyDescent="0.2">
      <c r="A16" s="306"/>
      <c r="B16" s="40"/>
      <c r="C16" s="307"/>
      <c r="D16" s="150"/>
      <c r="E16" s="309"/>
      <c r="F16" s="307"/>
      <c r="G16" s="150"/>
      <c r="H16" s="308"/>
      <c r="I16" s="309"/>
      <c r="J16" s="306"/>
      <c r="K16" s="40"/>
      <c r="L16" s="310"/>
      <c r="N16" s="67"/>
      <c r="O16" s="310"/>
      <c r="P16" s="2"/>
      <c r="Q16" s="3"/>
      <c r="R16" s="67"/>
    </row>
    <row r="17" spans="1:19" ht="14.1" customHeight="1" x14ac:dyDescent="0.2">
      <c r="A17" s="306" t="s">
        <v>83</v>
      </c>
      <c r="B17" s="40"/>
      <c r="C17" s="307">
        <f>+[3]UPS!$GF$19</f>
        <v>300</v>
      </c>
      <c r="D17" s="150">
        <f>+[3]UPS!$FR$19</f>
        <v>258</v>
      </c>
      <c r="E17" s="309">
        <f>(C17-D17)/D17</f>
        <v>0.16279069767441862</v>
      </c>
      <c r="F17" s="307">
        <f>+SUM([3]UPS!$GB$12:$GF$12)</f>
        <v>1212</v>
      </c>
      <c r="G17" s="150">
        <f>+SUM([3]UPS!$FN$12:$FR$12)</f>
        <v>998</v>
      </c>
      <c r="H17" s="308">
        <f>(F17-G17)/G17</f>
        <v>0.21442885771543085</v>
      </c>
      <c r="I17" s="309">
        <f>+F17/$F$32</f>
        <v>0.21311763671531564</v>
      </c>
      <c r="J17" s="306" t="s">
        <v>83</v>
      </c>
      <c r="K17" s="40"/>
      <c r="L17" s="307">
        <f>+[3]UPS!$GF$64</f>
        <v>12789641</v>
      </c>
      <c r="M17" s="150">
        <f>+[3]UPS!$FR$64</f>
        <v>12140732</v>
      </c>
      <c r="N17" s="309">
        <f>(L17-M17)/M17</f>
        <v>5.3448918895499874E-2</v>
      </c>
      <c r="O17" s="307">
        <f>+SUM([3]UPS!$GB$64:$GF$64)</f>
        <v>56034524</v>
      </c>
      <c r="P17" s="150">
        <f>+SUM([3]UPS!$FN$64:$FR$64)</f>
        <v>54008500</v>
      </c>
      <c r="Q17" s="308">
        <f>(O17-P17)/P17</f>
        <v>3.751305812973884E-2</v>
      </c>
      <c r="R17" s="309">
        <f>O17/$O$32</f>
        <v>0.38434633488309639</v>
      </c>
    </row>
    <row r="18" spans="1:19" ht="14.1" customHeight="1" x14ac:dyDescent="0.2">
      <c r="A18" s="306"/>
      <c r="B18" s="40"/>
      <c r="C18" s="307"/>
      <c r="D18" s="150"/>
      <c r="E18" s="309"/>
      <c r="F18" s="307"/>
      <c r="G18" s="150"/>
      <c r="H18" s="308"/>
      <c r="I18" s="309"/>
      <c r="J18" s="306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182</v>
      </c>
      <c r="B19" s="40"/>
      <c r="C19" s="307">
        <f>+[3]IFL!$GF$19</f>
        <v>34</v>
      </c>
      <c r="D19" s="150">
        <f>+[3]IFL!$FR$19</f>
        <v>44</v>
      </c>
      <c r="E19" s="309">
        <f>(C19-D19)/D19</f>
        <v>-0.22727272727272727</v>
      </c>
      <c r="F19" s="307">
        <f>+SUM([3]IFL!$GB$12:$GF$12)</f>
        <v>163</v>
      </c>
      <c r="G19" s="150">
        <f>+SUM([3]IFL!$FN$12:$FR$12)</f>
        <v>222</v>
      </c>
      <c r="H19" s="308">
        <f>(F19-G19)/G19</f>
        <v>-0.26576576576576577</v>
      </c>
      <c r="I19" s="309">
        <f>+F19/$F$32</f>
        <v>2.8661860383330403E-2</v>
      </c>
      <c r="J19" s="306" t="s">
        <v>182</v>
      </c>
      <c r="K19" s="40"/>
      <c r="L19" s="307">
        <f>+[3]IFL!$GF$64</f>
        <v>17762</v>
      </c>
      <c r="M19" s="150">
        <f>+[3]IFL!$FR$64</f>
        <v>24753</v>
      </c>
      <c r="N19" s="309">
        <f>(L19-M19)/M19</f>
        <v>-0.28243041247525552</v>
      </c>
      <c r="O19" s="307">
        <f>+SUM([3]IFL!$GB$64:$GF$64)</f>
        <v>82259</v>
      </c>
      <c r="P19" s="150">
        <f>+SUM([3]IFL!$FN$64:$FR$64)</f>
        <v>101998</v>
      </c>
      <c r="Q19" s="308">
        <f>(O19-P19)/P19</f>
        <v>-0.19352340241965529</v>
      </c>
      <c r="R19" s="309">
        <f>O19/$O$32</f>
        <v>5.6422260606958359E-4</v>
      </c>
    </row>
    <row r="20" spans="1:19" ht="14.1" customHeight="1" x14ac:dyDescent="0.2">
      <c r="A20" s="306"/>
      <c r="B20" s="40"/>
      <c r="C20" s="307"/>
      <c r="D20" s="165"/>
      <c r="E20" s="309"/>
      <c r="F20" s="397"/>
      <c r="G20" s="165"/>
      <c r="H20" s="308"/>
      <c r="I20" s="309"/>
      <c r="J20" s="306"/>
      <c r="K20" s="40"/>
      <c r="L20" s="141"/>
      <c r="M20" s="97"/>
      <c r="N20" s="67"/>
      <c r="O20" s="141"/>
      <c r="P20" s="97"/>
      <c r="Q20" s="3"/>
      <c r="R20" s="67"/>
    </row>
    <row r="21" spans="1:19" ht="14.1" customHeight="1" x14ac:dyDescent="0.2">
      <c r="A21" s="306" t="s">
        <v>165</v>
      </c>
      <c r="B21" s="311"/>
      <c r="C21" s="307">
        <f>+'[3]Suburban Air Freight'!$GF$19</f>
        <v>0</v>
      </c>
      <c r="D21" s="150">
        <f>+'[3]Suburban Air Freight'!$FR$19</f>
        <v>0</v>
      </c>
      <c r="E21" s="309" t="e">
        <f>(C21-D21)/D21</f>
        <v>#DIV/0!</v>
      </c>
      <c r="F21" s="307">
        <f>+SUM('[3]Suburban Air Freight'!$GB$12:$GF$12)</f>
        <v>0</v>
      </c>
      <c r="G21" s="150">
        <f>+SUM('[3]Suburban Air Freight'!$FN$12:$FR$12)</f>
        <v>0</v>
      </c>
      <c r="H21" s="308" t="e">
        <f t="shared" ref="H21" si="2">(F21-G21)/G21</f>
        <v>#DIV/0!</v>
      </c>
      <c r="I21" s="309">
        <f>+F21/$F$32</f>
        <v>0</v>
      </c>
      <c r="J21" s="306" t="s">
        <v>165</v>
      </c>
      <c r="K21" s="311"/>
      <c r="L21" s="307">
        <f>+'[3]Suburban Air Freight'!$GF$64</f>
        <v>0</v>
      </c>
      <c r="M21" s="150">
        <f>+'[3]Suburban Air Freight'!$FR$64</f>
        <v>0</v>
      </c>
      <c r="N21" s="309" t="e">
        <f>(L21-M21)/M21</f>
        <v>#DIV/0!</v>
      </c>
      <c r="O21" s="307">
        <f>+SUM('[3]Suburban Air Freight'!$GB$64:$GF$64)</f>
        <v>0</v>
      </c>
      <c r="P21" s="150">
        <f>+SUM('[3]Suburban Air Freight'!$FN$64:$FR$64)</f>
        <v>0</v>
      </c>
      <c r="Q21" s="308" t="e">
        <f t="shared" ref="Q21" si="3">(O21-P21)/P21</f>
        <v>#DIV/0!</v>
      </c>
      <c r="R21" s="309">
        <f>O21/$O$32</f>
        <v>0</v>
      </c>
    </row>
    <row r="22" spans="1:19" ht="14.1" customHeight="1" x14ac:dyDescent="0.2">
      <c r="A22" s="38"/>
      <c r="B22" s="40"/>
      <c r="C22" s="307"/>
      <c r="E22" s="67"/>
      <c r="F22" s="310"/>
      <c r="I22" s="67"/>
      <c r="J22" s="38"/>
      <c r="K22" s="40"/>
      <c r="L22" s="310"/>
      <c r="N22" s="67"/>
      <c r="O22" s="310"/>
      <c r="P22" s="2"/>
      <c r="Q22" s="3"/>
      <c r="R22" s="67"/>
    </row>
    <row r="23" spans="1:19" ht="14.1" customHeight="1" x14ac:dyDescent="0.2">
      <c r="A23" s="306" t="s">
        <v>84</v>
      </c>
      <c r="B23" s="40"/>
      <c r="C23" s="307">
        <f>+[3]Bemidji!$GF$19</f>
        <v>426</v>
      </c>
      <c r="D23" s="150">
        <f>+[3]Bemidji!$FR$19</f>
        <v>590</v>
      </c>
      <c r="E23" s="309">
        <f>(C23-D23)/D23</f>
        <v>-0.27796610169491526</v>
      </c>
      <c r="F23" s="307">
        <f>+SUM([3]Bemidji!$GB$12:$GF$12)</f>
        <v>1928</v>
      </c>
      <c r="G23" s="150">
        <f>+SUM([3]Bemidji!$FN$12:$FR$12)</f>
        <v>2798</v>
      </c>
      <c r="H23" s="308">
        <f t="shared" ref="H23" si="4">(F23-G23)/G23</f>
        <v>-0.31093638313080774</v>
      </c>
      <c r="I23" s="309">
        <f>+F23/$F$32</f>
        <v>0.33901881484086516</v>
      </c>
      <c r="J23" s="306" t="s">
        <v>84</v>
      </c>
      <c r="K23" s="40"/>
      <c r="L23" s="476" t="s">
        <v>193</v>
      </c>
      <c r="M23" s="477"/>
      <c r="N23" s="477"/>
      <c r="O23" s="477"/>
      <c r="P23" s="477"/>
      <c r="Q23" s="477"/>
      <c r="R23" s="478"/>
    </row>
    <row r="24" spans="1:19" ht="14.1" customHeight="1" x14ac:dyDescent="0.2">
      <c r="A24" s="38"/>
      <c r="B24" s="40"/>
      <c r="C24" s="307"/>
      <c r="E24" s="67"/>
      <c r="F24" s="310"/>
      <c r="I24" s="67"/>
      <c r="J24" s="38"/>
      <c r="K24" s="40"/>
      <c r="L24" s="310"/>
      <c r="N24" s="67"/>
      <c r="O24" s="310"/>
      <c r="P24" s="2"/>
      <c r="Q24" s="3"/>
      <c r="R24" s="67"/>
    </row>
    <row r="25" spans="1:19" ht="14.1" customHeight="1" x14ac:dyDescent="0.2">
      <c r="A25" s="306" t="s">
        <v>85</v>
      </c>
      <c r="B25" s="40"/>
      <c r="C25" s="307">
        <f>+'[3]CSA Air'!$GF$19</f>
        <v>6</v>
      </c>
      <c r="D25" s="150">
        <f>+'[3]CSA Air'!$FR$19</f>
        <v>4</v>
      </c>
      <c r="E25" s="309">
        <f>(C25-D25)/D25</f>
        <v>0.5</v>
      </c>
      <c r="F25" s="307">
        <f>+SUM('[3]CSA Air'!$GB$12:$GF$12)</f>
        <v>9</v>
      </c>
      <c r="G25" s="150">
        <f>+SUM('[3]CSA Air'!$FN$12:$FR$12)</f>
        <v>6</v>
      </c>
      <c r="H25" s="308">
        <f t="shared" ref="H25" si="5">(F25-G25)/G25</f>
        <v>0.5</v>
      </c>
      <c r="I25" s="309">
        <f>+F25/$F$32</f>
        <v>1.5825567082820467E-3</v>
      </c>
      <c r="J25" s="306" t="s">
        <v>85</v>
      </c>
      <c r="K25" s="40"/>
      <c r="L25" s="307">
        <f>+'[3]CSA Air'!$GF$64</f>
        <v>4851</v>
      </c>
      <c r="M25" s="150">
        <f>+'[3]CSA Air'!$FR$64</f>
        <v>0</v>
      </c>
      <c r="N25" s="309" t="e">
        <f>(L25-M25)/M25</f>
        <v>#DIV/0!</v>
      </c>
      <c r="O25" s="307">
        <f>+SUM('[3]CSA Air'!$GB$64:$GF$64)</f>
        <v>9686</v>
      </c>
      <c r="P25" s="150">
        <f>+SUM('[3]CSA Air'!$FN$64:$FR$64)</f>
        <v>3414</v>
      </c>
      <c r="Q25" s="308">
        <f t="shared" ref="Q25" si="6">(O25-P25)/P25</f>
        <v>1.8371411833626246</v>
      </c>
      <c r="R25" s="309">
        <f>O25/$O$32</f>
        <v>6.6437230727215099E-5</v>
      </c>
    </row>
    <row r="26" spans="1:19" ht="14.1" customHeight="1" x14ac:dyDescent="0.2">
      <c r="A26" s="38"/>
      <c r="B26" s="40"/>
      <c r="C26" s="307"/>
      <c r="E26" s="67"/>
      <c r="F26" s="310"/>
      <c r="I26" s="67"/>
      <c r="J26" s="38"/>
      <c r="K26" s="40"/>
      <c r="L26" s="310"/>
      <c r="N26" s="67"/>
      <c r="O26" s="310"/>
      <c r="P26" s="2"/>
      <c r="Q26" s="3"/>
      <c r="R26" s="67"/>
    </row>
    <row r="27" spans="1:19" ht="14.1" customHeight="1" x14ac:dyDescent="0.2">
      <c r="A27" s="306" t="s">
        <v>86</v>
      </c>
      <c r="B27" s="311"/>
      <c r="C27" s="307">
        <f>+'[3]Mountain Cargo'!$GF$19</f>
        <v>42</v>
      </c>
      <c r="D27" s="150">
        <f>+'[3]Mountain Cargo'!$FR$19</f>
        <v>44</v>
      </c>
      <c r="E27" s="309">
        <f>(C27-D27)/D27</f>
        <v>-4.5454545454545456E-2</v>
      </c>
      <c r="F27" s="307">
        <f>+SUM('[3]Mountain Cargo'!$GB$12:$GF$12)</f>
        <v>160</v>
      </c>
      <c r="G27" s="150">
        <f>+SUM('[3]Mountain Cargo'!$FN$12:$FR$12)</f>
        <v>196</v>
      </c>
      <c r="H27" s="308">
        <f>(F27-G27)/G27</f>
        <v>-0.18367346938775511</v>
      </c>
      <c r="I27" s="309">
        <f>+F27/$F$32</f>
        <v>2.813434148056972E-2</v>
      </c>
      <c r="J27" s="306" t="s">
        <v>86</v>
      </c>
      <c r="K27" s="311"/>
      <c r="L27" s="307">
        <f>+'[3]Mountain Cargo'!$GF$64</f>
        <v>217469</v>
      </c>
      <c r="M27" s="150">
        <f>+'[3]Mountain Cargo'!$FR$64</f>
        <v>0</v>
      </c>
      <c r="N27" s="309" t="e">
        <f>(L27-M27)/M27</f>
        <v>#DIV/0!</v>
      </c>
      <c r="O27" s="307">
        <f>+SUM('[3]Mountain Cargo'!$GB$64:$GF$64)</f>
        <v>579726</v>
      </c>
      <c r="P27" s="150">
        <f>+SUM('[3]Mountain Cargo'!$FN$64:$FR$64)</f>
        <v>507777</v>
      </c>
      <c r="Q27" s="308">
        <f t="shared" ref="Q27" si="7">(O27-P27)/P27</f>
        <v>0.14169409012223869</v>
      </c>
      <c r="R27" s="309">
        <f>O27/$O$32</f>
        <v>3.9763978959906562E-3</v>
      </c>
      <c r="S27" s="353"/>
    </row>
    <row r="28" spans="1:19" ht="14.1" customHeight="1" x14ac:dyDescent="0.2">
      <c r="A28" s="38"/>
      <c r="B28" s="364"/>
      <c r="C28" s="307"/>
      <c r="E28" s="67"/>
      <c r="F28" s="310"/>
      <c r="I28" s="67"/>
      <c r="J28" s="38"/>
      <c r="K28" s="364"/>
      <c r="L28" s="310"/>
      <c r="N28" s="67"/>
      <c r="O28" s="310"/>
      <c r="P28" s="2"/>
      <c r="Q28" s="3"/>
      <c r="R28" s="67"/>
      <c r="S28" s="284"/>
    </row>
    <row r="29" spans="1:19" ht="14.1" customHeight="1" x14ac:dyDescent="0.2">
      <c r="A29" s="306" t="s">
        <v>129</v>
      </c>
      <c r="B29" s="40"/>
      <c r="C29" s="307">
        <f>+'[3]Misc Cargo'!$GF$19</f>
        <v>0</v>
      </c>
      <c r="D29" s="150">
        <f>+'[3]Misc Cargo'!$FR$19</f>
        <v>88</v>
      </c>
      <c r="E29" s="309">
        <f>(C29-D29)/D29</f>
        <v>-1</v>
      </c>
      <c r="F29" s="307">
        <f>+SUM('[3]Misc Cargo'!$GB$12:$GF$12)</f>
        <v>0</v>
      </c>
      <c r="G29" s="150">
        <f>+SUM('[3]Misc Cargo'!$FN$12:$FR$12)</f>
        <v>315</v>
      </c>
      <c r="H29" s="308">
        <f>(F29-G29)/G29</f>
        <v>-1</v>
      </c>
      <c r="I29" s="309">
        <f>+F29/$F$32</f>
        <v>0</v>
      </c>
      <c r="J29" s="306" t="s">
        <v>129</v>
      </c>
      <c r="K29" s="40"/>
      <c r="L29" s="307">
        <f>+'[3]Misc Cargo'!$GF$64</f>
        <v>0</v>
      </c>
      <c r="M29" s="150">
        <f>+'[3]Misc Cargo'!$FR$64</f>
        <v>116314</v>
      </c>
      <c r="N29" s="309">
        <f>(L29-M29)/M29</f>
        <v>-1</v>
      </c>
      <c r="O29" s="307">
        <f>+SUM('[3]Misc Cargo'!$GB$64:$GF$64)</f>
        <v>0</v>
      </c>
      <c r="P29" s="150">
        <f>+SUM('[3]Misc Cargo'!$FN$64:$FR$64)</f>
        <v>469747</v>
      </c>
      <c r="Q29" s="308">
        <f>(O29-P29)/P29</f>
        <v>-1</v>
      </c>
      <c r="R29" s="309">
        <f>O29/$O$32</f>
        <v>0</v>
      </c>
      <c r="S29" s="398"/>
    </row>
    <row r="30" spans="1:19" ht="14.1" customHeight="1" thickBot="1" x14ac:dyDescent="0.25">
      <c r="A30" s="399"/>
      <c r="B30" s="400"/>
      <c r="C30" s="401"/>
      <c r="D30" s="403"/>
      <c r="E30" s="404"/>
      <c r="F30" s="401"/>
      <c r="G30" s="403"/>
      <c r="H30" s="402"/>
      <c r="I30" s="404"/>
      <c r="J30" s="306"/>
      <c r="K30" s="40"/>
      <c r="L30" s="313"/>
      <c r="M30" s="315"/>
      <c r="N30" s="316"/>
      <c r="O30" s="313"/>
      <c r="P30" s="315"/>
      <c r="Q30" s="314"/>
      <c r="R30" s="400"/>
      <c r="S30" s="398"/>
    </row>
    <row r="31" spans="1:19" ht="13.5" thickBot="1" x14ac:dyDescent="0.25">
      <c r="D31" s="3"/>
      <c r="F31" s="2"/>
      <c r="G31"/>
      <c r="H31"/>
      <c r="I31"/>
      <c r="J31"/>
      <c r="K31"/>
      <c r="M31"/>
      <c r="N31"/>
    </row>
    <row r="32" spans="1:19" ht="15.75" thickBot="1" x14ac:dyDescent="0.3">
      <c r="B32" s="405" t="s">
        <v>191</v>
      </c>
      <c r="C32" s="406">
        <f>+SUM(C5:C29)</f>
        <v>1278</v>
      </c>
      <c r="D32" s="407">
        <f>SUM(D5:D30)</f>
        <v>1302</v>
      </c>
      <c r="E32" s="408">
        <f>(C32-D32)/D32</f>
        <v>-1.8433179723502304E-2</v>
      </c>
      <c r="F32" s="406">
        <f>+SUM(F5:F29)</f>
        <v>5687</v>
      </c>
      <c r="G32" s="406">
        <f>+SUM(G5:G29)</f>
        <v>5935</v>
      </c>
      <c r="H32" s="409">
        <f>(F32-G32)/G32</f>
        <v>-4.1786015164279697E-2</v>
      </c>
      <c r="I32" s="422"/>
      <c r="J32"/>
      <c r="K32" s="405" t="s">
        <v>191</v>
      </c>
      <c r="L32" s="406">
        <f>+SUM(L5:L29)</f>
        <v>28144513</v>
      </c>
      <c r="M32" s="410">
        <f>SUM(M5:M30)</f>
        <v>31346619</v>
      </c>
      <c r="N32" s="411">
        <f>(L32-M32)/M32</f>
        <v>-0.10215155899269392</v>
      </c>
      <c r="O32" s="406">
        <f>+SUM(O5:O29)</f>
        <v>145791748</v>
      </c>
      <c r="P32" s="406">
        <f>+SUM(P5:P29)</f>
        <v>145455118</v>
      </c>
      <c r="Q32" s="409">
        <f t="shared" ref="Q32" si="8">(O32-P32)/P32</f>
        <v>2.3143221402494754E-3</v>
      </c>
      <c r="R32" s="422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F102" s="195"/>
      <c r="K102"/>
    </row>
    <row r="103" spans="4:14" x14ac:dyDescent="0.2">
      <c r="F103" s="195"/>
      <c r="K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</sheetData>
  <mergeCells count="7">
    <mergeCell ref="L3:R3"/>
    <mergeCell ref="L23:R2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May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2019-04-26T15:48:52Z</cp:lastPrinted>
  <dcterms:created xsi:type="dcterms:W3CDTF">2007-09-24T12:26:24Z</dcterms:created>
  <dcterms:modified xsi:type="dcterms:W3CDTF">2021-02-26T19:52:09Z</dcterms:modified>
</cp:coreProperties>
</file>