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3E81927E-5D2D-4CA8-AEEF-9778782E6B8C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Stats'!$A$2:$K$49</definedName>
    <definedName name="_xlnm.Print_Area" localSheetId="4">'Other Regional'!$A$1:$K$47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29" i="17"/>
  <c r="L29" i="17"/>
  <c r="F29" i="17"/>
  <c r="C29" i="17"/>
  <c r="F27" i="17"/>
  <c r="C27" i="17"/>
  <c r="O26" i="17"/>
  <c r="L26" i="17"/>
  <c r="F26" i="17"/>
  <c r="C26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9" i="17"/>
  <c r="L19" i="17"/>
  <c r="F19" i="17"/>
  <c r="C19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P29" i="17"/>
  <c r="M29" i="17"/>
  <c r="G29" i="17"/>
  <c r="D29" i="17"/>
  <c r="G27" i="17"/>
  <c r="D27" i="17"/>
  <c r="P26" i="17"/>
  <c r="M26" i="17"/>
  <c r="G26" i="17"/>
  <c r="D26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9" i="17"/>
  <c r="M19" i="17"/>
  <c r="G19" i="17"/>
  <c r="D19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M24" i="7"/>
  <c r="L24" i="7"/>
  <c r="O25" i="7"/>
  <c r="J25" i="7"/>
  <c r="E25" i="7"/>
  <c r="E24" i="7"/>
  <c r="C24" i="7"/>
  <c r="D24" i="7" s="1"/>
  <c r="B24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C47" i="15"/>
  <c r="J46" i="15"/>
  <c r="G46" i="15"/>
  <c r="C46" i="15"/>
  <c r="J35" i="15"/>
  <c r="H35" i="15"/>
  <c r="G35" i="15"/>
  <c r="F35" i="15"/>
  <c r="E35" i="15"/>
  <c r="D35" i="15"/>
  <c r="C35" i="15"/>
  <c r="B35" i="15"/>
  <c r="J31" i="15"/>
  <c r="I31" i="15"/>
  <c r="H31" i="15"/>
  <c r="G31" i="15"/>
  <c r="F31" i="15"/>
  <c r="E31" i="15"/>
  <c r="D31" i="15"/>
  <c r="C31" i="15"/>
  <c r="B31" i="15"/>
  <c r="J30" i="15"/>
  <c r="I30" i="15"/>
  <c r="H30" i="15"/>
  <c r="G30" i="15"/>
  <c r="F30" i="15"/>
  <c r="E30" i="15"/>
  <c r="D30" i="15"/>
  <c r="C30" i="15"/>
  <c r="B30" i="15"/>
  <c r="J26" i="15"/>
  <c r="I26" i="15"/>
  <c r="H26" i="15"/>
  <c r="G26" i="15"/>
  <c r="F26" i="15"/>
  <c r="E26" i="15"/>
  <c r="D26" i="15"/>
  <c r="C26" i="15"/>
  <c r="B26" i="15"/>
  <c r="J25" i="15"/>
  <c r="I25" i="15"/>
  <c r="H25" i="15"/>
  <c r="G25" i="15"/>
  <c r="F25" i="15"/>
  <c r="E25" i="15"/>
  <c r="D25" i="15"/>
  <c r="C25" i="15"/>
  <c r="B25" i="15"/>
  <c r="J19" i="15"/>
  <c r="I19" i="15"/>
  <c r="H19" i="15"/>
  <c r="G19" i="15"/>
  <c r="F19" i="15"/>
  <c r="E19" i="15"/>
  <c r="D19" i="15"/>
  <c r="C19" i="15"/>
  <c r="B19" i="15"/>
  <c r="J18" i="15"/>
  <c r="I18" i="15"/>
  <c r="H18" i="15"/>
  <c r="G18" i="15"/>
  <c r="F18" i="15"/>
  <c r="E18" i="15"/>
  <c r="D18" i="15"/>
  <c r="C18" i="15"/>
  <c r="B18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1" i="15"/>
  <c r="I11" i="15"/>
  <c r="H11" i="15"/>
  <c r="G11" i="15"/>
  <c r="F11" i="15"/>
  <c r="E11" i="15"/>
  <c r="D11" i="15"/>
  <c r="C11" i="15"/>
  <c r="B11" i="15"/>
  <c r="J10" i="15"/>
  <c r="I10" i="15"/>
  <c r="H10" i="15"/>
  <c r="G10" i="15"/>
  <c r="F10" i="15"/>
  <c r="E10" i="15"/>
  <c r="D10" i="15"/>
  <c r="C10" i="15"/>
  <c r="B10" i="15"/>
  <c r="J6" i="15"/>
  <c r="I6" i="15"/>
  <c r="H6" i="15"/>
  <c r="G6" i="15"/>
  <c r="F6" i="15"/>
  <c r="E6" i="15"/>
  <c r="D6" i="15"/>
  <c r="C6" i="15"/>
  <c r="B6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N24" i="7" l="1"/>
  <c r="J24" i="7"/>
  <c r="O24" i="7"/>
  <c r="O23" i="7"/>
  <c r="M23" i="7"/>
  <c r="L23" i="7"/>
  <c r="E23" i="7"/>
  <c r="C23" i="7"/>
  <c r="B23" i="7"/>
  <c r="M22" i="7"/>
  <c r="L22" i="7"/>
  <c r="N23" i="7" l="1"/>
  <c r="D23" i="7"/>
  <c r="N22" i="7"/>
  <c r="J23" i="7" l="1"/>
  <c r="E22" i="7"/>
  <c r="C22" i="7"/>
  <c r="B22" i="7"/>
  <c r="T1048576" i="17"/>
  <c r="M21" i="7" l="1"/>
  <c r="L21" i="7"/>
  <c r="C21" i="7"/>
  <c r="B21" i="7"/>
  <c r="O22" i="7"/>
  <c r="J22" i="7"/>
  <c r="N21" i="7" l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41" i="15"/>
  <c r="E17" i="15"/>
  <c r="E7" i="15" l="1"/>
  <c r="E27" i="15"/>
  <c r="E32" i="15"/>
  <c r="E12" i="15"/>
  <c r="E40" i="15"/>
  <c r="E42" i="15" s="1"/>
  <c r="E20" i="15"/>
  <c r="E21" i="15" s="1"/>
  <c r="W33" i="9" l="1"/>
  <c r="Z33" i="9"/>
  <c r="E33" i="9"/>
  <c r="N33" i="9"/>
  <c r="H33" i="9"/>
  <c r="Q33" i="9"/>
  <c r="O21" i="7" l="1"/>
  <c r="J21" i="7"/>
  <c r="E21" i="7"/>
  <c r="D69" i="9" l="1"/>
  <c r="C69" i="9"/>
  <c r="F69" i="9"/>
  <c r="K5" i="3"/>
  <c r="Y69" i="9"/>
  <c r="P69" i="9"/>
  <c r="V69" i="9"/>
  <c r="M69" i="9"/>
  <c r="O69" i="9"/>
  <c r="X69" i="9"/>
  <c r="U69" i="9"/>
  <c r="L69" i="9"/>
  <c r="G69" i="9"/>
  <c r="Z64" i="9"/>
  <c r="W64" i="9"/>
  <c r="W63" i="9"/>
  <c r="W61" i="9"/>
  <c r="Z60" i="9"/>
  <c r="Z59" i="9"/>
  <c r="V58" i="9"/>
  <c r="Z52" i="9"/>
  <c r="W52" i="9"/>
  <c r="Z50" i="9"/>
  <c r="W46" i="9"/>
  <c r="Z44" i="9"/>
  <c r="Z42" i="9"/>
  <c r="W40" i="9"/>
  <c r="Z39" i="9"/>
  <c r="W39" i="9"/>
  <c r="W38" i="9"/>
  <c r="W37" i="9"/>
  <c r="V35" i="9"/>
  <c r="W36" i="9"/>
  <c r="W29" i="9"/>
  <c r="Z27" i="9"/>
  <c r="W27" i="9"/>
  <c r="W26" i="9"/>
  <c r="W25" i="9"/>
  <c r="W24" i="9"/>
  <c r="W23" i="9"/>
  <c r="Z22" i="9"/>
  <c r="W22" i="9"/>
  <c r="W21" i="9"/>
  <c r="Z18" i="9"/>
  <c r="W18" i="9"/>
  <c r="W17" i="9"/>
  <c r="W16" i="9"/>
  <c r="Z13" i="9"/>
  <c r="Z11" i="9"/>
  <c r="Z8" i="9"/>
  <c r="Z7" i="9"/>
  <c r="Y6" i="9"/>
  <c r="V6" i="9"/>
  <c r="W7" i="9"/>
  <c r="W8" i="9" l="1"/>
  <c r="W11" i="9"/>
  <c r="Z17" i="9"/>
  <c r="V20" i="9"/>
  <c r="Z26" i="9"/>
  <c r="W44" i="9"/>
  <c r="W48" i="9"/>
  <c r="Z54" i="9"/>
  <c r="V15" i="9"/>
  <c r="Y20" i="9"/>
  <c r="Z23" i="9"/>
  <c r="Z29" i="9"/>
  <c r="Y35" i="9"/>
  <c r="Z38" i="9"/>
  <c r="W42" i="9"/>
  <c r="W56" i="9"/>
  <c r="W65" i="9"/>
  <c r="X15" i="9"/>
  <c r="Y58" i="9"/>
  <c r="W4" i="9"/>
  <c r="U6" i="9"/>
  <c r="W6" i="9" s="1"/>
  <c r="Y15" i="9"/>
  <c r="W31" i="9"/>
  <c r="Z40" i="9"/>
  <c r="W50" i="9"/>
  <c r="Z56" i="9"/>
  <c r="W60" i="9"/>
  <c r="W62" i="9"/>
  <c r="W13" i="9"/>
  <c r="U35" i="9"/>
  <c r="W35" i="9" s="1"/>
  <c r="W41" i="9"/>
  <c r="W54" i="9"/>
  <c r="W59" i="9"/>
  <c r="X20" i="9"/>
  <c r="Z9" i="9"/>
  <c r="U15" i="9"/>
  <c r="Z21" i="9"/>
  <c r="Z31" i="9"/>
  <c r="Z41" i="9"/>
  <c r="X6" i="9"/>
  <c r="Z65" i="9"/>
  <c r="U58" i="9"/>
  <c r="Z63" i="9"/>
  <c r="Z4" i="9"/>
  <c r="Z16" i="9"/>
  <c r="U20" i="9"/>
  <c r="Z25" i="9"/>
  <c r="X35" i="9"/>
  <c r="Z37" i="9"/>
  <c r="Z48" i="9"/>
  <c r="Z62" i="9"/>
  <c r="W9" i="9"/>
  <c r="Z24" i="9"/>
  <c r="Z36" i="9"/>
  <c r="Z46" i="9"/>
  <c r="Z61" i="9"/>
  <c r="X58" i="9"/>
  <c r="V70" i="9" l="1"/>
  <c r="V68" i="9" s="1"/>
  <c r="X70" i="9"/>
  <c r="X68" i="9" s="1"/>
  <c r="Y70" i="9"/>
  <c r="Y68" i="9" s="1"/>
  <c r="U70" i="9"/>
  <c r="U68" i="9" s="1"/>
  <c r="W20" i="9"/>
  <c r="Z69" i="9"/>
  <c r="W69" i="9"/>
  <c r="Z15" i="9"/>
  <c r="W15" i="9"/>
  <c r="Z58" i="9"/>
  <c r="W58" i="9"/>
  <c r="Z6" i="9"/>
  <c r="Z20" i="9"/>
  <c r="Z35" i="9"/>
  <c r="AA4" i="9" l="1"/>
  <c r="AA6" i="9"/>
  <c r="AA20" i="9"/>
  <c r="AA70" i="9"/>
  <c r="AA60" i="9"/>
  <c r="AA44" i="9"/>
  <c r="Z70" i="9"/>
  <c r="AA33" i="9"/>
  <c r="AA18" i="9"/>
  <c r="AA65" i="9"/>
  <c r="AA54" i="9"/>
  <c r="AA40" i="9"/>
  <c r="AA7" i="9"/>
  <c r="AA8" i="9"/>
  <c r="AA29" i="9"/>
  <c r="AA64" i="9"/>
  <c r="AA55" i="9"/>
  <c r="AA52" i="9"/>
  <c r="AA39" i="9"/>
  <c r="AA27" i="9"/>
  <c r="AA56" i="9"/>
  <c r="AA13" i="9"/>
  <c r="AA59" i="9"/>
  <c r="AA23" i="9"/>
  <c r="AA36" i="9"/>
  <c r="AA17" i="9"/>
  <c r="AA63" i="9"/>
  <c r="AA69" i="9"/>
  <c r="AA46" i="9"/>
  <c r="AA50" i="9"/>
  <c r="AA9" i="9"/>
  <c r="AA24" i="9"/>
  <c r="AA41" i="9"/>
  <c r="AA22" i="9"/>
  <c r="AA11" i="9"/>
  <c r="AA31" i="9"/>
  <c r="AA26" i="9"/>
  <c r="AA15" i="9"/>
  <c r="AA37" i="9"/>
  <c r="AA25" i="9"/>
  <c r="AA62" i="9"/>
  <c r="AA21" i="9"/>
  <c r="AA48" i="9"/>
  <c r="AA42" i="9"/>
  <c r="AA38" i="9"/>
  <c r="AA61" i="9"/>
  <c r="AA16" i="9"/>
  <c r="W70" i="9"/>
  <c r="W68" i="9"/>
  <c r="AA35" i="9"/>
  <c r="AA58" i="9"/>
  <c r="AA68" i="9" l="1"/>
  <c r="Z68" i="9"/>
  <c r="G5" i="17" l="1"/>
  <c r="H19" i="17"/>
  <c r="P25" i="17"/>
  <c r="M25" i="17"/>
  <c r="H14" i="17"/>
  <c r="E29" i="17"/>
  <c r="L25" i="17"/>
  <c r="N22" i="17"/>
  <c r="N16" i="17"/>
  <c r="Q14" i="17"/>
  <c r="N14" i="17"/>
  <c r="N12" i="17"/>
  <c r="Q10" i="17"/>
  <c r="J3" i="17"/>
  <c r="H23" i="8"/>
  <c r="C18" i="8"/>
  <c r="P9" i="8"/>
  <c r="P8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22" i="17" l="1"/>
  <c r="N10" i="17"/>
  <c r="P5" i="17"/>
  <c r="G6" i="8"/>
  <c r="G12" i="8" s="1"/>
  <c r="O6" i="8"/>
  <c r="J23" i="8"/>
  <c r="H28" i="8"/>
  <c r="I6" i="8"/>
  <c r="I12" i="8" s="1"/>
  <c r="L18" i="8"/>
  <c r="M30" i="16"/>
  <c r="B6" i="8"/>
  <c r="B12" i="8" s="1"/>
  <c r="J6" i="8"/>
  <c r="J12" i="8" s="1"/>
  <c r="P5" i="8"/>
  <c r="C19" i="1" s="1"/>
  <c r="E18" i="8"/>
  <c r="M31" i="8"/>
  <c r="B23" i="8"/>
  <c r="K23" i="8"/>
  <c r="I28" i="8"/>
  <c r="L32" i="8"/>
  <c r="H10" i="17"/>
  <c r="C6" i="8"/>
  <c r="C12" i="8" s="1"/>
  <c r="K6" i="8"/>
  <c r="K12" i="8" s="1"/>
  <c r="F18" i="8"/>
  <c r="C23" i="8"/>
  <c r="O23" i="8"/>
  <c r="M32" i="8"/>
  <c r="P9" i="17"/>
  <c r="M18" i="17"/>
  <c r="M9" i="17"/>
  <c r="J18" i="8"/>
  <c r="F28" i="8"/>
  <c r="E6" i="17"/>
  <c r="E12" i="17"/>
  <c r="E14" i="17"/>
  <c r="E16" i="17"/>
  <c r="E22" i="17"/>
  <c r="E27" i="17"/>
  <c r="F9" i="17"/>
  <c r="G25" i="17"/>
  <c r="N13" i="17"/>
  <c r="C9" i="17"/>
  <c r="H6" i="8"/>
  <c r="H12" i="8" s="1"/>
  <c r="C18" i="17"/>
  <c r="H22" i="17"/>
  <c r="D6" i="8"/>
  <c r="D12" i="8" s="1"/>
  <c r="G18" i="8"/>
  <c r="O18" i="8"/>
  <c r="E23" i="8"/>
  <c r="M23" i="8"/>
  <c r="K28" i="8"/>
  <c r="N28" i="8"/>
  <c r="F18" i="17"/>
  <c r="E6" i="8"/>
  <c r="E12" i="8" s="1"/>
  <c r="M6" i="8"/>
  <c r="M12" i="8" s="1"/>
  <c r="H18" i="8"/>
  <c r="P17" i="8"/>
  <c r="D6" i="5" s="1"/>
  <c r="F23" i="8"/>
  <c r="N23" i="8"/>
  <c r="I32" i="8"/>
  <c r="C31" i="8"/>
  <c r="L31" i="8"/>
  <c r="G32" i="8"/>
  <c r="O28" i="8"/>
  <c r="L5" i="17"/>
  <c r="D5" i="17"/>
  <c r="D9" i="17"/>
  <c r="D18" i="17"/>
  <c r="E18" i="17" s="1"/>
  <c r="D25" i="17"/>
  <c r="M6" i="16"/>
  <c r="G9" i="17"/>
  <c r="G18" i="17"/>
  <c r="Q19" i="17"/>
  <c r="I23" i="8"/>
  <c r="B32" i="8"/>
  <c r="L6" i="8"/>
  <c r="L12" i="8" s="1"/>
  <c r="H32" i="8"/>
  <c r="B31" i="8"/>
  <c r="N6" i="17"/>
  <c r="E7" i="17"/>
  <c r="E13" i="17"/>
  <c r="E15" i="17"/>
  <c r="E21" i="17"/>
  <c r="E26" i="17"/>
  <c r="N29" i="17"/>
  <c r="N7" i="17"/>
  <c r="N15" i="17"/>
  <c r="N21" i="17"/>
  <c r="M18" i="8"/>
  <c r="F6" i="8"/>
  <c r="F12" i="8" s="1"/>
  <c r="N6" i="8"/>
  <c r="N12" i="8" s="1"/>
  <c r="I18" i="8"/>
  <c r="G23" i="8"/>
  <c r="E31" i="8"/>
  <c r="M28" i="8"/>
  <c r="O5" i="17"/>
  <c r="G28" i="8"/>
  <c r="O32" i="8"/>
  <c r="P16" i="8"/>
  <c r="K18" i="8"/>
  <c r="N18" i="8"/>
  <c r="P22" i="8"/>
  <c r="L23" i="8"/>
  <c r="J32" i="8"/>
  <c r="M11" i="16"/>
  <c r="M37" i="16"/>
  <c r="J31" i="8"/>
  <c r="E32" i="8"/>
  <c r="K32" i="8"/>
  <c r="M5" i="17"/>
  <c r="P18" i="17"/>
  <c r="Q13" i="17"/>
  <c r="N11" i="17"/>
  <c r="N19" i="17"/>
  <c r="N25" i="17"/>
  <c r="E19" i="17"/>
  <c r="H13" i="17"/>
  <c r="N20" i="17"/>
  <c r="N26" i="17"/>
  <c r="Q29" i="17"/>
  <c r="C5" i="17"/>
  <c r="Q7" i="17"/>
  <c r="E11" i="17"/>
  <c r="Q12" i="17"/>
  <c r="Q16" i="17"/>
  <c r="E20" i="17"/>
  <c r="Q21" i="17"/>
  <c r="C25" i="17"/>
  <c r="H29" i="17"/>
  <c r="H7" i="17"/>
  <c r="L9" i="17"/>
  <c r="H12" i="17"/>
  <c r="H16" i="17"/>
  <c r="L18" i="17"/>
  <c r="H21" i="17"/>
  <c r="H27" i="17"/>
  <c r="Q6" i="17"/>
  <c r="E10" i="17"/>
  <c r="Q11" i="17"/>
  <c r="Q15" i="17"/>
  <c r="Q20" i="17"/>
  <c r="O25" i="17"/>
  <c r="Q26" i="17"/>
  <c r="F5" i="17"/>
  <c r="H6" i="17"/>
  <c r="H11" i="17"/>
  <c r="H15" i="17"/>
  <c r="H20" i="17"/>
  <c r="F25" i="17"/>
  <c r="H26" i="17"/>
  <c r="O9" i="17"/>
  <c r="O18" i="17"/>
  <c r="C32" i="8"/>
  <c r="B28" i="8"/>
  <c r="J28" i="8"/>
  <c r="N32" i="8"/>
  <c r="F32" i="8"/>
  <c r="C28" i="8"/>
  <c r="O10" i="8"/>
  <c r="P10" i="8" s="1"/>
  <c r="P21" i="8"/>
  <c r="E28" i="8"/>
  <c r="K31" i="8"/>
  <c r="L28" i="8"/>
  <c r="P4" i="8"/>
  <c r="B19" i="1" s="1"/>
  <c r="P27" i="8"/>
  <c r="D16" i="5" s="1"/>
  <c r="P26" i="8"/>
  <c r="D15" i="5" s="1"/>
  <c r="F31" i="8"/>
  <c r="N31" i="8"/>
  <c r="G31" i="8"/>
  <c r="O31" i="8"/>
  <c r="H31" i="8"/>
  <c r="B18" i="8"/>
  <c r="I31" i="8"/>
  <c r="M18" i="16"/>
  <c r="M23" i="16"/>
  <c r="Q5" i="17" l="1"/>
  <c r="P33" i="17"/>
  <c r="N18" i="17"/>
  <c r="H9" i="17"/>
  <c r="O33" i="8"/>
  <c r="F33" i="8"/>
  <c r="H33" i="8"/>
  <c r="N9" i="17"/>
  <c r="K33" i="8"/>
  <c r="I33" i="8"/>
  <c r="N33" i="8"/>
  <c r="C33" i="8"/>
  <c r="L33" i="8"/>
  <c r="J33" i="8"/>
  <c r="E33" i="8"/>
  <c r="D33" i="17"/>
  <c r="P6" i="8"/>
  <c r="G33" i="8"/>
  <c r="P23" i="8"/>
  <c r="E9" i="17"/>
  <c r="G33" i="17"/>
  <c r="H18" i="17"/>
  <c r="E5" i="17"/>
  <c r="P32" i="8"/>
  <c r="N5" i="17"/>
  <c r="D10" i="5"/>
  <c r="M33" i="8"/>
  <c r="P18" i="8"/>
  <c r="D11" i="5"/>
  <c r="D5" i="5"/>
  <c r="M33" i="17"/>
  <c r="O33" i="17"/>
  <c r="R22" i="17" s="1"/>
  <c r="Q18" i="17"/>
  <c r="H25" i="17"/>
  <c r="E25" i="17"/>
  <c r="C33" i="17"/>
  <c r="L33" i="17"/>
  <c r="Q9" i="17"/>
  <c r="F33" i="17"/>
  <c r="I25" i="17" s="1"/>
  <c r="H5" i="17"/>
  <c r="Q25" i="17"/>
  <c r="O12" i="8"/>
  <c r="P12" i="8" s="1"/>
  <c r="P28" i="8"/>
  <c r="P31" i="8"/>
  <c r="B33" i="8"/>
  <c r="Q52" i="9"/>
  <c r="E52" i="9"/>
  <c r="N52" i="9"/>
  <c r="H52" i="9"/>
  <c r="E33" i="17" l="1"/>
  <c r="R9" i="17"/>
  <c r="R11" i="17"/>
  <c r="R20" i="17"/>
  <c r="P33" i="8"/>
  <c r="Q33" i="17"/>
  <c r="N33" i="17"/>
  <c r="R21" i="17"/>
  <c r="R26" i="17"/>
  <c r="R16" i="17"/>
  <c r="R10" i="17"/>
  <c r="R25" i="17"/>
  <c r="R15" i="17"/>
  <c r="R14" i="17"/>
  <c r="R6" i="17"/>
  <c r="R5" i="17"/>
  <c r="R19" i="17"/>
  <c r="R18" i="17"/>
  <c r="R12" i="17"/>
  <c r="R13" i="17"/>
  <c r="R7" i="17"/>
  <c r="R29" i="17"/>
  <c r="I5" i="17"/>
  <c r="I14" i="17"/>
  <c r="I19" i="17"/>
  <c r="H33" i="17"/>
  <c r="I10" i="17"/>
  <c r="I15" i="17"/>
  <c r="I22" i="17"/>
  <c r="I7" i="17"/>
  <c r="I18" i="17"/>
  <c r="I16" i="17"/>
  <c r="I26" i="17"/>
  <c r="I11" i="17"/>
  <c r="I6" i="17"/>
  <c r="I20" i="17"/>
  <c r="I12" i="17"/>
  <c r="I13" i="17"/>
  <c r="I27" i="17"/>
  <c r="I21" i="17"/>
  <c r="I9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58" i="9" l="1"/>
  <c r="E65" i="9" l="1"/>
  <c r="Q65" i="9"/>
  <c r="N65" i="9"/>
  <c r="E48" i="9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C68" i="9" s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N9" i="9"/>
  <c r="L35" i="9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H59" i="9"/>
  <c r="H61" i="9"/>
  <c r="H63" i="9"/>
  <c r="P70" i="9" l="1"/>
  <c r="P68" i="9" s="1"/>
  <c r="L70" i="9"/>
  <c r="L68" i="9" s="1"/>
  <c r="G70" i="9"/>
  <c r="G68" i="9" s="1"/>
  <c r="D70" i="9"/>
  <c r="D68" i="9" s="1"/>
  <c r="F70" i="9"/>
  <c r="F68" i="9" s="1"/>
  <c r="O70" i="9"/>
  <c r="O68" i="9" s="1"/>
  <c r="N35" i="9"/>
  <c r="Q35" i="9"/>
  <c r="E20" i="9"/>
  <c r="E69" i="9"/>
  <c r="N69" i="9"/>
  <c r="H58" i="9"/>
  <c r="H35" i="9"/>
  <c r="H6" i="9"/>
  <c r="Q69" i="9"/>
  <c r="N58" i="9"/>
  <c r="E15" i="9"/>
  <c r="H69" i="9"/>
  <c r="E58" i="9"/>
  <c r="R33" i="9" l="1"/>
  <c r="I52" i="9"/>
  <c r="I33" i="9"/>
  <c r="R4" i="9"/>
  <c r="R52" i="9"/>
  <c r="I4" i="9"/>
  <c r="R48" i="9"/>
  <c r="R16" i="9"/>
  <c r="I48" i="9"/>
  <c r="I6" i="9"/>
  <c r="I65" i="9"/>
  <c r="R61" i="9"/>
  <c r="R65" i="9"/>
  <c r="R59" i="9"/>
  <c r="R39" i="9"/>
  <c r="R24" i="9"/>
  <c r="R50" i="9"/>
  <c r="R35" i="9"/>
  <c r="R69" i="9"/>
  <c r="R25" i="9"/>
  <c r="R37" i="9"/>
  <c r="R26" i="9"/>
  <c r="R21" i="9"/>
  <c r="R4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Q70" i="9"/>
  <c r="R20" i="9"/>
  <c r="R31" i="9"/>
  <c r="R55" i="9"/>
  <c r="R17" i="9"/>
  <c r="R6" i="9"/>
  <c r="R41" i="9"/>
  <c r="R40" i="9"/>
  <c r="R23" i="9"/>
  <c r="R13" i="9"/>
  <c r="R42" i="9"/>
  <c r="R70" i="9"/>
  <c r="I69" i="9"/>
  <c r="I35" i="9"/>
  <c r="I58" i="9"/>
  <c r="H70" i="9"/>
  <c r="I70" i="9" s="1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E70" i="9"/>
  <c r="N70" i="9"/>
  <c r="R68" i="9" l="1"/>
  <c r="Q68" i="9"/>
  <c r="N68" i="9"/>
  <c r="E68" i="9"/>
  <c r="H68" i="9"/>
  <c r="I68" i="9"/>
  <c r="J2" i="9" l="1"/>
  <c r="S2" i="9" s="1"/>
  <c r="J45" i="15" l="1"/>
  <c r="J44" i="15"/>
  <c r="J36" i="15"/>
  <c r="J37" i="15" l="1"/>
  <c r="F11" i="16"/>
  <c r="F37" i="16"/>
  <c r="J12" i="15"/>
  <c r="J20" i="15"/>
  <c r="J32" i="15"/>
  <c r="F30" i="16"/>
  <c r="J7" i="15"/>
  <c r="J27" i="15"/>
  <c r="F23" i="16"/>
  <c r="J17" i="15"/>
  <c r="J41" i="15"/>
  <c r="F6" i="16"/>
  <c r="F18" i="16"/>
  <c r="J40" i="15"/>
  <c r="J21" i="15" l="1"/>
  <c r="J42" i="15"/>
  <c r="F36" i="15"/>
  <c r="F17" i="15" l="1"/>
  <c r="C18" i="3"/>
  <c r="F27" i="15"/>
  <c r="J7" i="4"/>
  <c r="C30" i="3"/>
  <c r="F22" i="3"/>
  <c r="I17" i="4"/>
  <c r="I37" i="4"/>
  <c r="J40" i="4"/>
  <c r="F44" i="3"/>
  <c r="C44" i="3"/>
  <c r="F7" i="15"/>
  <c r="J20" i="4"/>
  <c r="F12" i="15"/>
  <c r="F20" i="15"/>
  <c r="F32" i="15"/>
  <c r="C22" i="3"/>
  <c r="C7" i="3"/>
  <c r="C40" i="3"/>
  <c r="F7" i="3"/>
  <c r="F18" i="3"/>
  <c r="F30" i="3"/>
  <c r="J17" i="4"/>
  <c r="J27" i="4"/>
  <c r="J41" i="4"/>
  <c r="F41" i="15"/>
  <c r="F12" i="3"/>
  <c r="F35" i="3"/>
  <c r="I20" i="4"/>
  <c r="J37" i="4"/>
  <c r="J12" i="4"/>
  <c r="C12" i="3"/>
  <c r="C35" i="3"/>
  <c r="I7" i="4"/>
  <c r="I27" i="4"/>
  <c r="F40" i="15"/>
  <c r="F37" i="15"/>
  <c r="J32" i="4"/>
  <c r="I12" i="4"/>
  <c r="I32" i="4"/>
  <c r="I41" i="4"/>
  <c r="I40" i="4"/>
  <c r="F40" i="3"/>
  <c r="F43" i="3"/>
  <c r="C43" i="3"/>
  <c r="F21" i="15" l="1"/>
  <c r="F23" i="3"/>
  <c r="C23" i="3"/>
  <c r="C45" i="3"/>
  <c r="J21" i="4"/>
  <c r="I42" i="4"/>
  <c r="F45" i="3"/>
  <c r="I21" i="4"/>
  <c r="F42" i="15"/>
  <c r="J42" i="4"/>
  <c r="K10" i="15" l="1"/>
  <c r="K18" i="15"/>
  <c r="P4" i="16"/>
  <c r="K5" i="15"/>
  <c r="K15" i="15"/>
  <c r="K6" i="15"/>
  <c r="K16" i="15"/>
  <c r="K11" i="15"/>
  <c r="K19" i="15"/>
  <c r="F41" i="4" l="1"/>
  <c r="F20" i="4"/>
  <c r="F17" i="4"/>
  <c r="F40" i="4"/>
  <c r="F7" i="4"/>
  <c r="F27" i="4"/>
  <c r="F12" i="4"/>
  <c r="F32" i="4"/>
  <c r="F37" i="4"/>
  <c r="F21" i="4" l="1"/>
  <c r="F42" i="4"/>
  <c r="I36" i="15"/>
  <c r="H36" i="15"/>
  <c r="G36" i="15"/>
  <c r="C36" i="15"/>
  <c r="B36" i="15"/>
  <c r="I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I32" i="15"/>
  <c r="D17" i="4"/>
  <c r="G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K45" i="15"/>
  <c r="K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H18" i="3"/>
  <c r="I20" i="15"/>
  <c r="H17" i="4"/>
  <c r="I37" i="15"/>
  <c r="E40" i="2"/>
  <c r="B40" i="2"/>
  <c r="H40" i="15"/>
  <c r="O18" i="16"/>
  <c r="B27" i="15"/>
  <c r="B30" i="16"/>
  <c r="E30" i="16"/>
  <c r="N30" i="16"/>
  <c r="J18" i="16"/>
  <c r="E6" i="2"/>
  <c r="G12" i="15"/>
  <c r="J22" i="3"/>
  <c r="J23" i="3" s="1"/>
  <c r="B17" i="15"/>
  <c r="F12" i="7"/>
  <c r="B12" i="7"/>
  <c r="D20" i="1"/>
  <c r="G20" i="1" s="1"/>
  <c r="G41" i="15"/>
  <c r="B41" i="15"/>
  <c r="D41" i="4"/>
  <c r="K40" i="4"/>
  <c r="H18" i="16"/>
  <c r="E43" i="2"/>
  <c r="B43" i="2"/>
  <c r="H32" i="15"/>
  <c r="C32" i="15"/>
  <c r="H44" i="3"/>
  <c r="B23" i="16"/>
  <c r="G11" i="16"/>
  <c r="E6" i="16"/>
  <c r="B6" i="16"/>
  <c r="J11" i="16"/>
  <c r="H6" i="16"/>
  <c r="I12" i="15"/>
  <c r="H12" i="4"/>
  <c r="H12" i="3"/>
  <c r="C21" i="2"/>
  <c r="C23" i="2" s="1"/>
  <c r="H20" i="4"/>
  <c r="I17" i="15"/>
  <c r="D32" i="4"/>
  <c r="J35" i="3"/>
  <c r="G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H41" i="15"/>
  <c r="K36" i="15"/>
  <c r="L36" i="4" s="1"/>
  <c r="M36" i="4" s="1"/>
  <c r="C16" i="5" s="1"/>
  <c r="B37" i="4"/>
  <c r="D40" i="4"/>
  <c r="I40" i="3"/>
  <c r="B40" i="3"/>
  <c r="D40" i="2"/>
  <c r="G44" i="3"/>
  <c r="I7" i="15"/>
  <c r="D12" i="4"/>
  <c r="H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K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H7" i="15"/>
  <c r="E7" i="4"/>
  <c r="K16" i="3"/>
  <c r="J15" i="2" s="1"/>
  <c r="K15" i="2" s="1"/>
  <c r="I40" i="15"/>
  <c r="C44" i="2"/>
  <c r="G23" i="16"/>
  <c r="J4" i="2"/>
  <c r="C7" i="15"/>
  <c r="L5" i="4"/>
  <c r="M5" i="4" s="1"/>
  <c r="L16" i="4"/>
  <c r="M16" i="4" s="1"/>
  <c r="G20" i="15"/>
  <c r="G21" i="15" s="1"/>
  <c r="J30" i="3"/>
  <c r="J43" i="3"/>
  <c r="K34" i="3"/>
  <c r="J34" i="2" s="1"/>
  <c r="K34" i="2" s="1"/>
  <c r="K29" i="3"/>
  <c r="J29" i="2" s="1"/>
  <c r="G12" i="3"/>
  <c r="H35" i="3"/>
  <c r="K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H37" i="15"/>
  <c r="L18" i="4"/>
  <c r="M18" i="4" s="1"/>
  <c r="P10" i="16"/>
  <c r="B11" i="16"/>
  <c r="K51" i="2"/>
  <c r="K21" i="3"/>
  <c r="J20" i="2" s="1"/>
  <c r="K20" i="2" s="1"/>
  <c r="H22" i="3"/>
  <c r="H41" i="4"/>
  <c r="C37" i="15"/>
  <c r="H30" i="3"/>
  <c r="K46" i="15"/>
  <c r="L44" i="4" s="1"/>
  <c r="M44" i="4" s="1"/>
  <c r="N37" i="16"/>
  <c r="E11" i="16"/>
  <c r="K47" i="15"/>
  <c r="L45" i="4" s="1"/>
  <c r="M45" i="4" s="1"/>
  <c r="G22" i="3"/>
  <c r="G23" i="3" s="1"/>
  <c r="B21" i="2"/>
  <c r="E37" i="4"/>
  <c r="K30" i="15"/>
  <c r="L30" i="4" s="1"/>
  <c r="M30" i="4" s="1"/>
  <c r="C10" i="5" s="1"/>
  <c r="I27" i="15"/>
  <c r="H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G7" i="15"/>
  <c r="H7" i="4"/>
  <c r="D7" i="7"/>
  <c r="J12" i="3"/>
  <c r="D17" i="2"/>
  <c r="D23" i="2" s="1"/>
  <c r="C17" i="15"/>
  <c r="E17" i="4"/>
  <c r="D12" i="7"/>
  <c r="E12" i="7"/>
  <c r="I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K17" i="3"/>
  <c r="J16" i="2" s="1"/>
  <c r="C41" i="4"/>
  <c r="C40" i="15"/>
  <c r="K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5" i="7" s="1"/>
  <c r="B12" i="15"/>
  <c r="L10" i="4"/>
  <c r="M10" i="4" s="1"/>
  <c r="G40" i="15"/>
  <c r="K35" i="15"/>
  <c r="L35" i="4" s="1"/>
  <c r="G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5" i="7" l="1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K20" i="15"/>
  <c r="K7" i="15"/>
  <c r="B21" i="15"/>
  <c r="K17" i="15"/>
  <c r="K12" i="15"/>
  <c r="C6" i="1"/>
  <c r="B6" i="1"/>
  <c r="H21" i="4"/>
  <c r="H21" i="15"/>
  <c r="B23" i="3"/>
  <c r="B42" i="15"/>
  <c r="K42" i="4"/>
  <c r="L7" i="4"/>
  <c r="M7" i="4" s="1"/>
  <c r="K21" i="4"/>
  <c r="J45" i="3"/>
  <c r="C21" i="4"/>
  <c r="B23" i="2"/>
  <c r="B33" i="1"/>
  <c r="D33" i="1" s="1"/>
  <c r="I45" i="3"/>
  <c r="H45" i="3"/>
  <c r="D45" i="2"/>
  <c r="H23" i="3"/>
  <c r="H42" i="15"/>
  <c r="I21" i="15"/>
  <c r="B42" i="4"/>
  <c r="D7" i="1"/>
  <c r="G7" i="1" s="1"/>
  <c r="J17" i="2"/>
  <c r="K17" i="2" s="1"/>
  <c r="K44" i="3"/>
  <c r="E45" i="2"/>
  <c r="E21" i="4"/>
  <c r="D17" i="5"/>
  <c r="G45" i="3"/>
  <c r="G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K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I42" i="15"/>
  <c r="K22" i="3"/>
  <c r="E23" i="2"/>
  <c r="K27" i="15"/>
  <c r="B16" i="1"/>
  <c r="C17" i="1"/>
  <c r="P37" i="16"/>
  <c r="L41" i="4"/>
  <c r="M41" i="4" s="1"/>
  <c r="P18" i="16"/>
  <c r="D19" i="1"/>
  <c r="G19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K37" i="15"/>
  <c r="K18" i="3"/>
  <c r="L17" i="4"/>
  <c r="M17" i="4" s="1"/>
  <c r="E42" i="4"/>
  <c r="C42" i="15"/>
  <c r="K40" i="15"/>
  <c r="K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K43" i="3"/>
  <c r="D25" i="7" l="1"/>
  <c r="F25" i="7" s="1"/>
  <c r="F23" i="7"/>
  <c r="D22" i="7"/>
  <c r="F22" i="7" s="1"/>
  <c r="F18" i="1"/>
  <c r="B6" i="5"/>
  <c r="B7" i="5" s="1"/>
  <c r="B28" i="1"/>
  <c r="B10" i="5"/>
  <c r="B12" i="5" s="1"/>
  <c r="C27" i="1"/>
  <c r="B27" i="1"/>
  <c r="K6" i="2"/>
  <c r="D5" i="1" s="1"/>
  <c r="G5" i="1" s="1"/>
  <c r="B8" i="1"/>
  <c r="I7" i="1"/>
  <c r="I21" i="1"/>
  <c r="I20" i="1"/>
  <c r="K21" i="15"/>
  <c r="D6" i="1"/>
  <c r="G6" i="1" s="1"/>
  <c r="C8" i="1"/>
  <c r="C33" i="1" s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K42" i="15"/>
  <c r="K23" i="3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G16" i="1" s="1"/>
  <c r="C7" i="5"/>
  <c r="E5" i="5"/>
  <c r="I19" i="1" l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B32" i="1"/>
  <c r="D32" i="1" s="1"/>
  <c r="B11" i="1"/>
  <c r="L25" i="7" s="1"/>
  <c r="D33" i="7"/>
  <c r="D28" i="1"/>
  <c r="G28" i="1" s="1"/>
  <c r="B22" i="1"/>
  <c r="B29" i="1"/>
  <c r="C12" i="5"/>
  <c r="C21" i="5"/>
  <c r="E11" i="5"/>
  <c r="F11" i="5" s="1"/>
  <c r="I11" i="5" s="1"/>
  <c r="C29" i="1"/>
  <c r="F5" i="5"/>
  <c r="I5" i="5" s="1"/>
  <c r="F16" i="1"/>
  <c r="D22" i="1"/>
  <c r="F22" i="1" s="1"/>
  <c r="D22" i="5"/>
  <c r="F15" i="5"/>
  <c r="I15" i="5" s="1"/>
  <c r="E17" i="5"/>
  <c r="D27" i="1" s="1"/>
  <c r="G27" i="1" s="1"/>
  <c r="F17" i="1"/>
  <c r="G25" i="7" l="1"/>
  <c r="H24" i="7"/>
  <c r="M25" i="7"/>
  <c r="H25" i="7" s="1"/>
  <c r="I25" i="7" s="1"/>
  <c r="K25" i="7" s="1"/>
  <c r="P24" i="7"/>
  <c r="G24" i="7"/>
  <c r="I24" i="7" s="1"/>
  <c r="K24" i="7" s="1"/>
  <c r="H22" i="7"/>
  <c r="H23" i="7"/>
  <c r="G22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N25" i="7" l="1"/>
  <c r="P25" i="7" s="1"/>
  <c r="M33" i="7"/>
  <c r="P22" i="7"/>
  <c r="L33" i="7"/>
  <c r="P23" i="7"/>
  <c r="G23" i="7"/>
  <c r="I22" i="7"/>
  <c r="K22" i="7" s="1"/>
  <c r="H21" i="5"/>
  <c r="H33" i="7"/>
  <c r="I10" i="1"/>
  <c r="E22" i="5"/>
  <c r="G11" i="1"/>
  <c r="I11" i="1" s="1"/>
  <c r="I28" i="1"/>
  <c r="E33" i="1"/>
  <c r="K11" i="5"/>
  <c r="P21" i="7"/>
  <c r="I21" i="7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I23" i="7" l="1"/>
  <c r="K23" i="7" s="1"/>
  <c r="N33" i="7"/>
  <c r="P33" i="7" s="1"/>
  <c r="G33" i="7"/>
  <c r="K21" i="5"/>
  <c r="E32" i="1"/>
  <c r="K21" i="7"/>
  <c r="K20" i="5"/>
  <c r="I22" i="5"/>
  <c r="K22" i="5" s="1"/>
  <c r="I33" i="7" l="1"/>
  <c r="K33" i="7" l="1"/>
</calcChain>
</file>

<file path=xl/sharedStrings.xml><?xml version="1.0" encoding="utf-8"?>
<sst xmlns="http://schemas.openxmlformats.org/spreadsheetml/2006/main" count="683" uniqueCount="243">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</sst>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0" fontId="4" fillId="10" borderId="53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 vertical="center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41" fontId="4" fillId="0" borderId="76" xfId="0" applyNumberFormat="1" applyFont="1" applyBorder="1"/>
    <xf numFmtId="1" fontId="0" fillId="0" borderId="0" xfId="0" applyNumberFormat="1"/>
    <xf numFmtId="10" fontId="4" fillId="10" borderId="53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0" fontId="13" fillId="0" borderId="24" xfId="0" applyNumberFormat="1" applyFont="1" applyBorder="1"/>
    <xf numFmtId="0" fontId="4" fillId="0" borderId="21" xfId="0" applyFont="1" applyBorder="1" applyAlignment="1">
      <alignment horizontal="center" vertic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y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190675</v>
          </cell>
          <cell r="G5">
            <v>6086002</v>
          </cell>
        </row>
        <row r="6">
          <cell r="D6">
            <v>64772</v>
          </cell>
          <cell r="G6">
            <v>1608223</v>
          </cell>
        </row>
        <row r="7">
          <cell r="D7">
            <v>0</v>
          </cell>
          <cell r="G7">
            <v>893</v>
          </cell>
        </row>
        <row r="10">
          <cell r="D10">
            <v>28623</v>
          </cell>
          <cell r="G10">
            <v>304602</v>
          </cell>
        </row>
        <row r="16">
          <cell r="D16">
            <v>3722</v>
          </cell>
          <cell r="G16">
            <v>57666</v>
          </cell>
        </row>
        <row r="17">
          <cell r="D17">
            <v>3252</v>
          </cell>
          <cell r="G17">
            <v>42132</v>
          </cell>
        </row>
        <row r="18">
          <cell r="D18">
            <v>0</v>
          </cell>
          <cell r="G18">
            <v>8</v>
          </cell>
        </row>
        <row r="19">
          <cell r="D19">
            <v>1160</v>
          </cell>
          <cell r="G19">
            <v>5803</v>
          </cell>
        </row>
        <row r="20">
          <cell r="D20">
            <v>721</v>
          </cell>
          <cell r="G20">
            <v>4297</v>
          </cell>
        </row>
        <row r="21">
          <cell r="D21">
            <v>79</v>
          </cell>
          <cell r="G21">
            <v>324</v>
          </cell>
        </row>
        <row r="27">
          <cell r="D27">
            <v>14228.45102337505</v>
          </cell>
          <cell r="G27">
            <v>76661.482706854425</v>
          </cell>
        </row>
        <row r="28">
          <cell r="D28">
            <v>914.22585435950987</v>
          </cell>
          <cell r="G28">
            <v>6973.3803180826399</v>
          </cell>
        </row>
        <row r="32">
          <cell r="B32">
            <v>81915</v>
          </cell>
          <cell r="D32">
            <v>2515940</v>
          </cell>
        </row>
        <row r="33">
          <cell r="B33">
            <v>42417</v>
          </cell>
          <cell r="D33">
            <v>1283802</v>
          </cell>
        </row>
      </sheetData>
      <sheetData sheetId="1"/>
      <sheetData sheetId="2"/>
      <sheetData sheetId="3"/>
      <sheetData sheetId="4"/>
      <sheetData sheetId="5">
        <row r="25">
          <cell r="D25">
            <v>1452</v>
          </cell>
          <cell r="I25">
            <v>282618</v>
          </cell>
          <cell r="N25">
            <v>284070</v>
          </cell>
        </row>
      </sheetData>
      <sheetData sheetId="6"/>
      <sheetData sheetId="7">
        <row r="5">
          <cell r="F5">
            <v>8169.4485130958701</v>
          </cell>
          <cell r="I5">
            <v>42379.933451671197</v>
          </cell>
        </row>
        <row r="6">
          <cell r="F6">
            <v>343.98041301238999</v>
          </cell>
          <cell r="I6">
            <v>2728.0596417705397</v>
          </cell>
        </row>
        <row r="10">
          <cell r="F10">
            <v>6059.0025102791797</v>
          </cell>
          <cell r="I10">
            <v>34281.549255183229</v>
          </cell>
        </row>
        <row r="11">
          <cell r="F11">
            <v>570.24544134711994</v>
          </cell>
          <cell r="I11">
            <v>4245.3206763121007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14228.45102337505</v>
          </cell>
        </row>
        <row r="21">
          <cell r="F21">
            <v>914.22585435950998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4187690</v>
          </cell>
        </row>
        <row r="6">
          <cell r="G6">
            <v>1247838</v>
          </cell>
        </row>
        <row r="7">
          <cell r="G7">
            <v>852</v>
          </cell>
        </row>
        <row r="10">
          <cell r="G10">
            <v>203051</v>
          </cell>
        </row>
        <row r="16">
          <cell r="G16">
            <v>42066</v>
          </cell>
        </row>
        <row r="17">
          <cell r="G17">
            <v>35808</v>
          </cell>
        </row>
        <row r="18">
          <cell r="G18">
            <v>7</v>
          </cell>
        </row>
        <row r="19">
          <cell r="G19">
            <v>5226</v>
          </cell>
        </row>
        <row r="20">
          <cell r="G20">
            <v>3907</v>
          </cell>
        </row>
        <row r="21">
          <cell r="G21">
            <v>435</v>
          </cell>
        </row>
        <row r="27">
          <cell r="G27">
            <v>62327.436286928118</v>
          </cell>
        </row>
        <row r="28">
          <cell r="G28">
            <v>7023.1657094290995</v>
          </cell>
        </row>
        <row r="32">
          <cell r="D32">
            <v>1970922</v>
          </cell>
        </row>
        <row r="33">
          <cell r="D33">
            <v>740601</v>
          </cell>
        </row>
      </sheetData>
      <sheetData sheetId="1"/>
      <sheetData sheetId="2"/>
      <sheetData sheetId="3"/>
      <sheetData sheetId="4"/>
      <sheetData sheetId="5">
        <row r="24">
          <cell r="B24">
            <v>29141</v>
          </cell>
          <cell r="C24">
            <v>20795</v>
          </cell>
          <cell r="L24">
            <v>879453</v>
          </cell>
          <cell r="M24">
            <v>805280</v>
          </cell>
        </row>
      </sheetData>
      <sheetData sheetId="6"/>
      <sheetData sheetId="7">
        <row r="5">
          <cell r="I5">
            <v>33902.419515827169</v>
          </cell>
        </row>
        <row r="6">
          <cell r="I6">
            <v>3443.5027223088796</v>
          </cell>
        </row>
        <row r="10">
          <cell r="I10">
            <v>28425.016771100949</v>
          </cell>
        </row>
        <row r="11">
          <cell r="I11">
            <v>3579.6629871202194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62327.436286928118</v>
          </cell>
        </row>
        <row r="21">
          <cell r="I21">
            <v>7023.1657094291004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H4"/>
        </row>
        <row r="5">
          <cell r="HH5"/>
        </row>
        <row r="8">
          <cell r="HH8"/>
        </row>
        <row r="9">
          <cell r="HH9"/>
        </row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3"/>
      <sheetData sheetId="4">
        <row r="4">
          <cell r="HH4"/>
        </row>
        <row r="5">
          <cell r="HH5"/>
        </row>
        <row r="8">
          <cell r="HH8"/>
        </row>
        <row r="9">
          <cell r="HH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5"/>
      <sheetData sheetId="6">
        <row r="4">
          <cell r="HH4"/>
        </row>
        <row r="5">
          <cell r="HH5"/>
        </row>
        <row r="8">
          <cell r="HH8"/>
        </row>
        <row r="9">
          <cell r="HH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7">
        <row r="4">
          <cell r="HH4">
            <v>59</v>
          </cell>
        </row>
        <row r="5">
          <cell r="HH5">
            <v>59</v>
          </cell>
        </row>
        <row r="8">
          <cell r="HH8">
            <v>1</v>
          </cell>
        </row>
        <row r="9">
          <cell r="HH9">
            <v>1</v>
          </cell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</row>
        <row r="22">
          <cell r="HH22">
            <v>7951</v>
          </cell>
        </row>
        <row r="23">
          <cell r="HH23">
            <v>7597</v>
          </cell>
        </row>
        <row r="27">
          <cell r="HH27">
            <v>290</v>
          </cell>
        </row>
        <row r="28">
          <cell r="HH28">
            <v>294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</row>
        <row r="47">
          <cell r="HH47">
            <v>26843</v>
          </cell>
        </row>
        <row r="48">
          <cell r="HH48">
            <v>1961</v>
          </cell>
        </row>
        <row r="52">
          <cell r="HH52">
            <v>6340</v>
          </cell>
        </row>
        <row r="53">
          <cell r="HH53">
            <v>945</v>
          </cell>
        </row>
        <row r="57">
          <cell r="HH57"/>
        </row>
        <row r="58">
          <cell r="HH58"/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</row>
      </sheetData>
      <sheetData sheetId="8"/>
      <sheetData sheetId="9">
        <row r="4">
          <cell r="HH4">
            <v>423</v>
          </cell>
        </row>
        <row r="5">
          <cell r="HH5">
            <v>425</v>
          </cell>
        </row>
        <row r="8">
          <cell r="HH8"/>
        </row>
        <row r="9">
          <cell r="HH9"/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</row>
        <row r="22">
          <cell r="HH22">
            <v>49320</v>
          </cell>
        </row>
        <row r="23">
          <cell r="HH23">
            <v>47316</v>
          </cell>
        </row>
        <row r="27">
          <cell r="HH27">
            <v>1657</v>
          </cell>
        </row>
        <row r="28">
          <cell r="HH28">
            <v>1722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</row>
        <row r="47">
          <cell r="HH47">
            <v>35327</v>
          </cell>
        </row>
        <row r="48">
          <cell r="HH48">
            <v>72472</v>
          </cell>
        </row>
        <row r="52">
          <cell r="HH52">
            <v>5753</v>
          </cell>
        </row>
        <row r="53">
          <cell r="HH53">
            <v>67943</v>
          </cell>
        </row>
        <row r="57">
          <cell r="HH57"/>
        </row>
        <row r="58">
          <cell r="HH58"/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</row>
      </sheetData>
      <sheetData sheetId="10"/>
      <sheetData sheetId="11">
        <row r="4">
          <cell r="HH4">
            <v>633</v>
          </cell>
        </row>
        <row r="5">
          <cell r="HH5">
            <v>635</v>
          </cell>
        </row>
        <row r="8">
          <cell r="HH8">
            <v>83</v>
          </cell>
        </row>
        <row r="9">
          <cell r="HH9">
            <v>74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</row>
        <row r="22">
          <cell r="HH22">
            <v>89666</v>
          </cell>
        </row>
        <row r="23">
          <cell r="HH23">
            <v>84476</v>
          </cell>
        </row>
        <row r="27">
          <cell r="HH27">
            <v>1781</v>
          </cell>
        </row>
        <row r="28">
          <cell r="HH28">
            <v>1793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</row>
        <row r="47">
          <cell r="HH47">
            <v>17301</v>
          </cell>
        </row>
        <row r="48">
          <cell r="HH48">
            <v>170769</v>
          </cell>
        </row>
        <row r="52">
          <cell r="HH52">
            <v>219</v>
          </cell>
        </row>
        <row r="53">
          <cell r="HH53">
            <v>351731</v>
          </cell>
        </row>
        <row r="57">
          <cell r="HH57"/>
        </row>
        <row r="58">
          <cell r="HH58"/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</row>
        <row r="70">
          <cell r="HH70">
            <v>84476</v>
          </cell>
        </row>
        <row r="71">
          <cell r="HH71"/>
        </row>
        <row r="73">
          <cell r="HH73">
            <v>1501</v>
          </cell>
        </row>
        <row r="74">
          <cell r="HH74"/>
        </row>
      </sheetData>
      <sheetData sheetId="12">
        <row r="4">
          <cell r="HH4">
            <v>22</v>
          </cell>
        </row>
        <row r="5">
          <cell r="HH5">
            <v>22</v>
          </cell>
        </row>
        <row r="8">
          <cell r="HH8"/>
        </row>
        <row r="9">
          <cell r="HH9"/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</row>
        <row r="22">
          <cell r="HH22">
            <v>102</v>
          </cell>
        </row>
        <row r="23">
          <cell r="HH23">
            <v>81</v>
          </cell>
        </row>
        <row r="27">
          <cell r="HH27"/>
        </row>
        <row r="28">
          <cell r="HH28"/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13">
        <row r="4">
          <cell r="HH4"/>
        </row>
        <row r="5">
          <cell r="HH5"/>
        </row>
        <row r="8">
          <cell r="HH8"/>
        </row>
        <row r="9">
          <cell r="HH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14">
        <row r="4">
          <cell r="HH4">
            <v>3798</v>
          </cell>
        </row>
        <row r="5">
          <cell r="HH5">
            <v>3808</v>
          </cell>
        </row>
        <row r="8">
          <cell r="HH8">
            <v>1</v>
          </cell>
        </row>
        <row r="9">
          <cell r="HH9">
            <v>6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</row>
        <row r="22">
          <cell r="HH22">
            <v>504824</v>
          </cell>
        </row>
        <row r="23">
          <cell r="HH23">
            <v>487387</v>
          </cell>
        </row>
        <row r="27">
          <cell r="HH27">
            <v>18344</v>
          </cell>
        </row>
        <row r="28">
          <cell r="HH28">
            <v>17744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</row>
        <row r="47">
          <cell r="HH47">
            <v>1210203</v>
          </cell>
        </row>
        <row r="48">
          <cell r="HH48">
            <v>990115</v>
          </cell>
        </row>
        <row r="52">
          <cell r="HH52">
            <v>658853</v>
          </cell>
        </row>
        <row r="53">
          <cell r="HH53">
            <v>1146606</v>
          </cell>
        </row>
        <row r="57">
          <cell r="HH57"/>
        </row>
        <row r="58">
          <cell r="HH58"/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</row>
        <row r="70">
          <cell r="HH70">
            <v>298934</v>
          </cell>
        </row>
        <row r="71">
          <cell r="HH71">
            <v>188453</v>
          </cell>
        </row>
        <row r="73">
          <cell r="HH73">
            <v>7256</v>
          </cell>
        </row>
        <row r="74">
          <cell r="HH74">
            <v>4575</v>
          </cell>
        </row>
      </sheetData>
      <sheetData sheetId="15">
        <row r="4">
          <cell r="HH4">
            <v>51</v>
          </cell>
        </row>
        <row r="5">
          <cell r="HH5">
            <v>51</v>
          </cell>
        </row>
        <row r="8">
          <cell r="HH8">
            <v>1</v>
          </cell>
        </row>
        <row r="9">
          <cell r="HH9">
            <v>1</v>
          </cell>
        </row>
        <row r="15">
          <cell r="HH15"/>
        </row>
        <row r="16"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</row>
        <row r="22">
          <cell r="HH22">
            <v>290</v>
          </cell>
        </row>
        <row r="23">
          <cell r="HH23">
            <v>278</v>
          </cell>
        </row>
        <row r="27">
          <cell r="HH27">
            <v>14</v>
          </cell>
        </row>
        <row r="28">
          <cell r="HH28">
            <v>18</v>
          </cell>
        </row>
        <row r="32">
          <cell r="HH32"/>
        </row>
        <row r="33">
          <cell r="HH33"/>
        </row>
        <row r="37">
          <cell r="HH37"/>
        </row>
        <row r="38">
          <cell r="HH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16">
        <row r="4">
          <cell r="HH4">
            <v>47</v>
          </cell>
        </row>
        <row r="5">
          <cell r="HH5">
            <v>47</v>
          </cell>
        </row>
        <row r="8">
          <cell r="HH8"/>
        </row>
        <row r="9">
          <cell r="HH9"/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</row>
        <row r="22">
          <cell r="HH22">
            <v>7036</v>
          </cell>
        </row>
        <row r="23">
          <cell r="HH23">
            <v>6343</v>
          </cell>
        </row>
        <row r="27">
          <cell r="HH27">
            <v>74</v>
          </cell>
        </row>
        <row r="28">
          <cell r="HH28">
            <v>69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17"/>
      <sheetData sheetId="18">
        <row r="8">
          <cell r="HH8"/>
        </row>
        <row r="9">
          <cell r="HH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19">
        <row r="4">
          <cell r="HH4">
            <v>17</v>
          </cell>
        </row>
        <row r="5">
          <cell r="HH5">
            <v>17</v>
          </cell>
        </row>
        <row r="8">
          <cell r="HH8">
            <v>1</v>
          </cell>
        </row>
        <row r="9">
          <cell r="HH9">
            <v>1</v>
          </cell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</row>
        <row r="22">
          <cell r="HH22">
            <v>1330</v>
          </cell>
        </row>
        <row r="23">
          <cell r="HH23">
            <v>1535</v>
          </cell>
        </row>
        <row r="27">
          <cell r="HH27">
            <v>30</v>
          </cell>
        </row>
        <row r="28">
          <cell r="HH28">
            <v>41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20">
        <row r="4">
          <cell r="HH4">
            <v>188</v>
          </cell>
        </row>
        <row r="5">
          <cell r="HH5">
            <v>188</v>
          </cell>
        </row>
        <row r="8">
          <cell r="HH8"/>
        </row>
        <row r="9">
          <cell r="HH9"/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</row>
        <row r="22">
          <cell r="HH22">
            <v>23229</v>
          </cell>
        </row>
        <row r="23">
          <cell r="HH23">
            <v>21782</v>
          </cell>
        </row>
        <row r="27">
          <cell r="HH27">
            <v>10096</v>
          </cell>
        </row>
        <row r="28">
          <cell r="HH28">
            <v>1236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</row>
        <row r="47">
          <cell r="HH47">
            <v>72411</v>
          </cell>
        </row>
        <row r="48">
          <cell r="HH48">
            <v>1577</v>
          </cell>
        </row>
        <row r="52">
          <cell r="HH52">
            <v>45378</v>
          </cell>
        </row>
        <row r="53">
          <cell r="HH53">
            <v>65404</v>
          </cell>
        </row>
        <row r="57">
          <cell r="HH57"/>
        </row>
        <row r="58">
          <cell r="HH58"/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</row>
      </sheetData>
      <sheetData sheetId="21">
        <row r="4">
          <cell r="HH4"/>
        </row>
        <row r="5">
          <cell r="HH5"/>
        </row>
        <row r="8">
          <cell r="HH8"/>
        </row>
        <row r="9">
          <cell r="HH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22"/>
      <sheetData sheetId="23"/>
      <sheetData sheetId="24">
        <row r="4">
          <cell r="HH4">
            <v>384</v>
          </cell>
        </row>
        <row r="5">
          <cell r="HH5">
            <v>382</v>
          </cell>
        </row>
        <row r="8">
          <cell r="HH8"/>
        </row>
        <row r="9">
          <cell r="HH9"/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</row>
        <row r="22">
          <cell r="HH22">
            <v>48803</v>
          </cell>
        </row>
        <row r="23">
          <cell r="HH23">
            <v>46121</v>
          </cell>
        </row>
        <row r="27">
          <cell r="HH27">
            <v>913</v>
          </cell>
        </row>
        <row r="28">
          <cell r="HH28">
            <v>1104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</row>
        <row r="47">
          <cell r="HH47">
            <v>274336</v>
          </cell>
        </row>
        <row r="48">
          <cell r="HH48"/>
        </row>
        <row r="52">
          <cell r="HH52">
            <v>87064</v>
          </cell>
        </row>
        <row r="53">
          <cell r="HH53"/>
        </row>
        <row r="57">
          <cell r="HH57"/>
        </row>
        <row r="58">
          <cell r="HH58"/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</row>
        <row r="70">
          <cell r="HH70">
            <v>45660</v>
          </cell>
        </row>
        <row r="71">
          <cell r="HH71">
            <v>461</v>
          </cell>
        </row>
        <row r="73">
          <cell r="HH73"/>
        </row>
        <row r="74">
          <cell r="HH74"/>
        </row>
      </sheetData>
      <sheetData sheetId="25">
        <row r="4">
          <cell r="HH4">
            <v>177</v>
          </cell>
        </row>
        <row r="5">
          <cell r="HH5">
            <v>177</v>
          </cell>
        </row>
        <row r="8">
          <cell r="HH8"/>
        </row>
        <row r="9">
          <cell r="HH9"/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</row>
        <row r="22">
          <cell r="HH22">
            <v>23735</v>
          </cell>
        </row>
        <row r="23">
          <cell r="HH23">
            <v>21012</v>
          </cell>
        </row>
        <row r="27">
          <cell r="HH27">
            <v>100</v>
          </cell>
        </row>
        <row r="28">
          <cell r="HH28">
            <v>117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  <row r="70">
          <cell r="HH70"/>
        </row>
        <row r="71">
          <cell r="HH71"/>
        </row>
        <row r="73">
          <cell r="HH73"/>
        </row>
        <row r="74">
          <cell r="HH74"/>
        </row>
      </sheetData>
      <sheetData sheetId="26"/>
      <sheetData sheetId="27"/>
      <sheetData sheetId="28"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29">
        <row r="4">
          <cell r="HH4">
            <v>56</v>
          </cell>
        </row>
        <row r="5">
          <cell r="HH5">
            <v>55</v>
          </cell>
        </row>
        <row r="8">
          <cell r="HH8"/>
        </row>
        <row r="9">
          <cell r="HH9"/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</row>
        <row r="22">
          <cell r="HH22">
            <v>3626</v>
          </cell>
        </row>
        <row r="23">
          <cell r="HH23">
            <v>3483</v>
          </cell>
        </row>
        <row r="27">
          <cell r="HH27">
            <v>181</v>
          </cell>
        </row>
        <row r="28">
          <cell r="HH28">
            <v>199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</row>
        <row r="47">
          <cell r="HH47">
            <v>106</v>
          </cell>
        </row>
        <row r="48">
          <cell r="HH48"/>
        </row>
        <row r="52">
          <cell r="HH52">
            <v>134</v>
          </cell>
        </row>
        <row r="53">
          <cell r="HH53"/>
        </row>
        <row r="57">
          <cell r="HH57"/>
        </row>
        <row r="58">
          <cell r="HH58"/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</row>
      </sheetData>
      <sheetData sheetId="30">
        <row r="4">
          <cell r="HH4"/>
        </row>
        <row r="5">
          <cell r="HH5"/>
        </row>
        <row r="8">
          <cell r="HH8"/>
        </row>
        <row r="9">
          <cell r="HH9"/>
        </row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31">
        <row r="4">
          <cell r="HH4">
            <v>31</v>
          </cell>
        </row>
        <row r="5">
          <cell r="HH5">
            <v>31</v>
          </cell>
        </row>
        <row r="8">
          <cell r="HH8"/>
        </row>
        <row r="9">
          <cell r="HH9"/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</row>
        <row r="22">
          <cell r="HH22">
            <v>1969</v>
          </cell>
        </row>
        <row r="23">
          <cell r="HH23">
            <v>2050</v>
          </cell>
        </row>
        <row r="27">
          <cell r="HH27">
            <v>59</v>
          </cell>
        </row>
        <row r="28">
          <cell r="HH28">
            <v>53</v>
          </cell>
        </row>
        <row r="32">
          <cell r="HH32"/>
        </row>
        <row r="33">
          <cell r="HH33"/>
        </row>
        <row r="37">
          <cell r="HH37"/>
        </row>
        <row r="38">
          <cell r="HH38"/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</row>
        <row r="47">
          <cell r="HH47">
            <v>158</v>
          </cell>
        </row>
        <row r="48">
          <cell r="HH48">
            <v>780</v>
          </cell>
        </row>
        <row r="52">
          <cell r="HH52"/>
        </row>
        <row r="53">
          <cell r="HH53">
            <v>676</v>
          </cell>
        </row>
        <row r="57">
          <cell r="HH57"/>
        </row>
        <row r="58">
          <cell r="BF58"/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</row>
      </sheetData>
      <sheetData sheetId="32">
        <row r="4">
          <cell r="HH4"/>
        </row>
        <row r="5">
          <cell r="HH5"/>
        </row>
        <row r="8">
          <cell r="HH8"/>
        </row>
        <row r="9">
          <cell r="HH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  <row r="70">
          <cell r="HH70"/>
        </row>
        <row r="71">
          <cell r="HH71"/>
        </row>
        <row r="73">
          <cell r="HH73"/>
        </row>
        <row r="74">
          <cell r="HH74"/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37"/>
      <sheetData sheetId="38">
        <row r="4">
          <cell r="HH4"/>
        </row>
        <row r="5">
          <cell r="HH5"/>
        </row>
        <row r="8">
          <cell r="HH8"/>
        </row>
        <row r="9">
          <cell r="HH9"/>
        </row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39"/>
      <sheetData sheetId="40">
        <row r="4">
          <cell r="HH4"/>
        </row>
        <row r="5">
          <cell r="HH5"/>
        </row>
        <row r="8">
          <cell r="HH8"/>
        </row>
        <row r="9">
          <cell r="HH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B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  <row r="70">
          <cell r="HH70"/>
        </row>
        <row r="71">
          <cell r="HH71"/>
        </row>
        <row r="73">
          <cell r="HH73"/>
        </row>
        <row r="74">
          <cell r="HH74"/>
        </row>
      </sheetData>
      <sheetData sheetId="41">
        <row r="4">
          <cell r="HH4"/>
        </row>
        <row r="5">
          <cell r="HH5"/>
        </row>
        <row r="8">
          <cell r="HH8"/>
        </row>
        <row r="9">
          <cell r="HH9"/>
        </row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AJ57"/>
        </row>
        <row r="58">
          <cell r="A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42">
        <row r="4">
          <cell r="HH4">
            <v>24</v>
          </cell>
        </row>
        <row r="5">
          <cell r="HH5">
            <v>24</v>
          </cell>
        </row>
        <row r="8">
          <cell r="HH8"/>
        </row>
        <row r="9">
          <cell r="HH9"/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</row>
        <row r="22">
          <cell r="HH22">
            <v>1491</v>
          </cell>
        </row>
        <row r="23">
          <cell r="HH23">
            <v>1544</v>
          </cell>
        </row>
        <row r="27">
          <cell r="HH27">
            <v>94</v>
          </cell>
        </row>
        <row r="28">
          <cell r="HH28">
            <v>76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43"/>
      <sheetData sheetId="44">
        <row r="4">
          <cell r="HH4">
            <v>31</v>
          </cell>
        </row>
        <row r="5">
          <cell r="HH5">
            <v>31</v>
          </cell>
        </row>
        <row r="8">
          <cell r="HH8"/>
        </row>
        <row r="9">
          <cell r="HH9"/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</row>
        <row r="22">
          <cell r="HH22">
            <v>1915</v>
          </cell>
        </row>
        <row r="23">
          <cell r="HH23">
            <v>1864</v>
          </cell>
        </row>
        <row r="27">
          <cell r="HH27">
            <v>98</v>
          </cell>
        </row>
        <row r="28">
          <cell r="HH28">
            <v>102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45"/>
      <sheetData sheetId="46"/>
      <sheetData sheetId="47">
        <row r="4">
          <cell r="HH4">
            <v>1743</v>
          </cell>
        </row>
        <row r="5">
          <cell r="HH5">
            <v>1742</v>
          </cell>
        </row>
        <row r="8">
          <cell r="HH8"/>
        </row>
        <row r="9">
          <cell r="HH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</row>
        <row r="22">
          <cell r="HH22">
            <v>84292</v>
          </cell>
        </row>
        <row r="23">
          <cell r="HH23">
            <v>82360</v>
          </cell>
        </row>
        <row r="27">
          <cell r="HH27">
            <v>3067</v>
          </cell>
        </row>
        <row r="28">
          <cell r="HH28">
            <v>2852</v>
          </cell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  <row r="70">
          <cell r="HH70">
            <v>22452</v>
          </cell>
        </row>
        <row r="71">
          <cell r="HH71">
            <v>59908</v>
          </cell>
        </row>
        <row r="73">
          <cell r="HH73"/>
        </row>
        <row r="74">
          <cell r="HH74"/>
        </row>
      </sheetData>
      <sheetData sheetId="48">
        <row r="4">
          <cell r="HH4">
            <v>28</v>
          </cell>
        </row>
        <row r="5">
          <cell r="HH5">
            <v>28</v>
          </cell>
        </row>
        <row r="8">
          <cell r="HH8"/>
        </row>
        <row r="9">
          <cell r="HH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</row>
        <row r="22">
          <cell r="HH22">
            <v>1487</v>
          </cell>
        </row>
        <row r="23">
          <cell r="HH23">
            <v>1466</v>
          </cell>
        </row>
        <row r="27">
          <cell r="HH27">
            <v>49</v>
          </cell>
        </row>
        <row r="28">
          <cell r="HH28">
            <v>57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</row>
        <row r="47">
          <cell r="HH47">
            <v>20</v>
          </cell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</row>
      </sheetData>
      <sheetData sheetId="49">
        <row r="4">
          <cell r="HH4">
            <v>56</v>
          </cell>
        </row>
        <row r="5">
          <cell r="HH5">
            <v>56</v>
          </cell>
        </row>
        <row r="8">
          <cell r="HH8"/>
        </row>
        <row r="9">
          <cell r="HH9"/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</row>
        <row r="22">
          <cell r="HH22">
            <v>3614</v>
          </cell>
        </row>
        <row r="23">
          <cell r="HH23">
            <v>3787</v>
          </cell>
        </row>
        <row r="27">
          <cell r="HH27">
            <v>155</v>
          </cell>
        </row>
        <row r="28">
          <cell r="HH28">
            <v>168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</row>
        <row r="47">
          <cell r="HH47">
            <v>129</v>
          </cell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</row>
      </sheetData>
      <sheetData sheetId="50">
        <row r="4">
          <cell r="HH4">
            <v>56</v>
          </cell>
        </row>
        <row r="5">
          <cell r="HH5">
            <v>56</v>
          </cell>
        </row>
        <row r="8">
          <cell r="HH8"/>
        </row>
        <row r="9">
          <cell r="HH9"/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</row>
        <row r="22">
          <cell r="HH22">
            <v>3431</v>
          </cell>
        </row>
        <row r="23">
          <cell r="HH23">
            <v>3456</v>
          </cell>
        </row>
        <row r="27">
          <cell r="HH27">
            <v>120</v>
          </cell>
        </row>
        <row r="28">
          <cell r="HH28">
            <v>129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51">
        <row r="8">
          <cell r="HH8"/>
        </row>
        <row r="9">
          <cell r="HH9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52">
        <row r="4">
          <cell r="HH4">
            <v>2826</v>
          </cell>
        </row>
        <row r="5">
          <cell r="HH5">
            <v>2826</v>
          </cell>
        </row>
        <row r="8">
          <cell r="HH8">
            <v>1</v>
          </cell>
        </row>
        <row r="9">
          <cell r="HH9">
            <v>1</v>
          </cell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</row>
        <row r="16">
          <cell r="HD16">
            <v>115</v>
          </cell>
          <cell r="HE16">
            <v>58</v>
          </cell>
          <cell r="HF16"/>
          <cell r="HG16">
            <v>30</v>
          </cell>
          <cell r="HH16">
            <v>31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</row>
        <row r="22">
          <cell r="HH22">
            <v>147274</v>
          </cell>
        </row>
        <row r="23">
          <cell r="HH23">
            <v>149941</v>
          </cell>
        </row>
        <row r="27">
          <cell r="HH27">
            <v>5411</v>
          </cell>
        </row>
        <row r="28">
          <cell r="HH28">
            <v>5433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  <row r="70">
          <cell r="HH70">
            <v>55013</v>
          </cell>
        </row>
        <row r="71">
          <cell r="HH71">
            <v>94928</v>
          </cell>
        </row>
        <row r="73">
          <cell r="HH73">
            <v>504</v>
          </cell>
        </row>
        <row r="74">
          <cell r="HH74">
            <v>871</v>
          </cell>
        </row>
      </sheetData>
      <sheetData sheetId="53"/>
      <sheetData sheetId="54">
        <row r="4">
          <cell r="HH4">
            <v>8</v>
          </cell>
        </row>
        <row r="5">
          <cell r="HH5">
            <v>8</v>
          </cell>
        </row>
        <row r="8">
          <cell r="HH8"/>
        </row>
        <row r="9">
          <cell r="HH9"/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</row>
        <row r="22">
          <cell r="HH22">
            <v>428</v>
          </cell>
        </row>
        <row r="23">
          <cell r="HH23">
            <v>421</v>
          </cell>
        </row>
        <row r="27">
          <cell r="HH27">
            <v>41</v>
          </cell>
        </row>
        <row r="28">
          <cell r="HH28">
            <v>45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</row>
      </sheetData>
      <sheetData sheetId="55">
        <row r="4">
          <cell r="HH4"/>
        </row>
        <row r="5">
          <cell r="HH5"/>
        </row>
        <row r="8">
          <cell r="HH8"/>
        </row>
        <row r="9">
          <cell r="HH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56">
        <row r="4">
          <cell r="HH4"/>
        </row>
        <row r="5">
          <cell r="HH5"/>
        </row>
        <row r="8">
          <cell r="HH8"/>
        </row>
        <row r="9">
          <cell r="HH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57">
        <row r="4">
          <cell r="HH4"/>
        </row>
        <row r="5">
          <cell r="HH5"/>
        </row>
        <row r="8">
          <cell r="HH8"/>
        </row>
        <row r="9">
          <cell r="HH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22">
          <cell r="HH22"/>
        </row>
        <row r="23">
          <cell r="HH23"/>
        </row>
        <row r="27">
          <cell r="HH27"/>
        </row>
        <row r="28">
          <cell r="HH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B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  <row r="70">
          <cell r="HH70"/>
        </row>
        <row r="71">
          <cell r="HH71"/>
        </row>
        <row r="73">
          <cell r="HH73"/>
        </row>
        <row r="74">
          <cell r="HH74"/>
        </row>
      </sheetData>
      <sheetData sheetId="58"/>
      <sheetData sheetId="59"/>
      <sheetData sheetId="60"/>
      <sheetData sheetId="61">
        <row r="4">
          <cell r="HH4"/>
        </row>
        <row r="5">
          <cell r="HH5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22">
          <cell r="HH22"/>
        </row>
        <row r="23">
          <cell r="HH23"/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</sheetData>
      <sheetData sheetId="62">
        <row r="4">
          <cell r="HH4"/>
        </row>
        <row r="5">
          <cell r="HH5"/>
        </row>
        <row r="15">
          <cell r="HH15"/>
        </row>
        <row r="16">
          <cell r="HH16"/>
        </row>
        <row r="22">
          <cell r="HH22"/>
        </row>
        <row r="23">
          <cell r="HH23"/>
        </row>
        <row r="32">
          <cell r="HH32"/>
        </row>
        <row r="33">
          <cell r="HH33"/>
        </row>
      </sheetData>
      <sheetData sheetId="63">
        <row r="5">
          <cell r="HH5"/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22">
          <cell r="HH22"/>
        </row>
        <row r="23">
          <cell r="HH23"/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</sheetData>
      <sheetData sheetId="64">
        <row r="4">
          <cell r="HH4">
            <v>2</v>
          </cell>
        </row>
        <row r="5">
          <cell r="HH5">
            <v>1</v>
          </cell>
        </row>
        <row r="15">
          <cell r="HD15"/>
          <cell r="HE15"/>
          <cell r="HF15"/>
          <cell r="HG15"/>
          <cell r="HH15"/>
        </row>
        <row r="16">
          <cell r="HD16"/>
          <cell r="HE16"/>
          <cell r="HF16"/>
          <cell r="HG16"/>
          <cell r="HH16"/>
        </row>
        <row r="22">
          <cell r="HH22">
            <v>313</v>
          </cell>
        </row>
        <row r="23">
          <cell r="HH23">
            <v>155</v>
          </cell>
        </row>
        <row r="32">
          <cell r="HD32"/>
          <cell r="HE32"/>
          <cell r="HF32"/>
          <cell r="HG32"/>
          <cell r="HH32"/>
        </row>
        <row r="33">
          <cell r="HD33"/>
          <cell r="HE33"/>
          <cell r="HF33"/>
          <cell r="HG33"/>
          <cell r="HH33"/>
        </row>
        <row r="37">
          <cell r="HD37"/>
          <cell r="HE37"/>
          <cell r="HF37"/>
          <cell r="HG37"/>
          <cell r="HH37"/>
        </row>
        <row r="38">
          <cell r="HD38"/>
          <cell r="HE38"/>
          <cell r="HF38"/>
          <cell r="HG38"/>
          <cell r="HH38"/>
        </row>
      </sheetData>
      <sheetData sheetId="65">
        <row r="4">
          <cell r="HH4">
            <v>31</v>
          </cell>
        </row>
        <row r="5">
          <cell r="HH5">
            <v>31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</row>
        <row r="47">
          <cell r="HH47">
            <v>1510324</v>
          </cell>
        </row>
        <row r="48">
          <cell r="HH48"/>
        </row>
        <row r="52">
          <cell r="HH52">
            <v>792954</v>
          </cell>
        </row>
        <row r="53">
          <cell r="HH53"/>
        </row>
        <row r="57">
          <cell r="HH57"/>
        </row>
        <row r="58">
          <cell r="HH58"/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</row>
      </sheetData>
      <sheetData sheetId="66">
        <row r="4">
          <cell r="HH4">
            <v>61</v>
          </cell>
        </row>
        <row r="5">
          <cell r="HH5">
            <v>61</v>
          </cell>
        </row>
        <row r="8">
          <cell r="HH8">
            <v>2</v>
          </cell>
        </row>
        <row r="9">
          <cell r="HH9">
            <v>3</v>
          </cell>
        </row>
        <row r="15">
          <cell r="HH15"/>
        </row>
        <row r="16"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</row>
        <row r="47">
          <cell r="HH47">
            <v>1948569</v>
          </cell>
        </row>
        <row r="48">
          <cell r="HH48"/>
        </row>
        <row r="52">
          <cell r="HH52">
            <v>1029195</v>
          </cell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</row>
      </sheetData>
      <sheetData sheetId="67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68">
        <row r="4">
          <cell r="HH4"/>
        </row>
        <row r="5">
          <cell r="HH5"/>
        </row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69">
        <row r="4">
          <cell r="HH4"/>
        </row>
        <row r="5">
          <cell r="HH5"/>
        </row>
        <row r="8">
          <cell r="HH8"/>
        </row>
        <row r="9">
          <cell r="HH9"/>
        </row>
        <row r="15">
          <cell r="HH15"/>
        </row>
        <row r="16">
          <cell r="HH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</row>
        <row r="47">
          <cell r="HH47"/>
        </row>
        <row r="52">
          <cell r="HH52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</row>
      </sheetData>
      <sheetData sheetId="70"/>
      <sheetData sheetId="71">
        <row r="4">
          <cell r="HH4">
            <v>43</v>
          </cell>
        </row>
        <row r="5">
          <cell r="HH5">
            <v>43</v>
          </cell>
        </row>
        <row r="12">
          <cell r="HH12">
            <v>86</v>
          </cell>
        </row>
        <row r="15">
          <cell r="HH15"/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</row>
        <row r="47">
          <cell r="HH47">
            <v>88915</v>
          </cell>
        </row>
        <row r="48">
          <cell r="HH48"/>
        </row>
        <row r="52">
          <cell r="HH52">
            <v>56160</v>
          </cell>
        </row>
        <row r="53">
          <cell r="HH53"/>
        </row>
        <row r="57">
          <cell r="HH57"/>
        </row>
        <row r="58">
          <cell r="HH58"/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</row>
      </sheetData>
      <sheetData sheetId="72">
        <row r="4">
          <cell r="HH4"/>
        </row>
        <row r="5">
          <cell r="HH5"/>
        </row>
        <row r="15">
          <cell r="HH15"/>
        </row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</row>
      </sheetData>
      <sheetData sheetId="73">
        <row r="4">
          <cell r="HH4"/>
        </row>
        <row r="5">
          <cell r="HH5"/>
        </row>
        <row r="15">
          <cell r="HH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74">
        <row r="4">
          <cell r="HH4">
            <v>26</v>
          </cell>
        </row>
        <row r="5">
          <cell r="HH5">
            <v>26</v>
          </cell>
        </row>
        <row r="15">
          <cell r="HH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</row>
        <row r="47">
          <cell r="HH47">
            <v>812170</v>
          </cell>
        </row>
        <row r="48">
          <cell r="HH48"/>
        </row>
        <row r="52">
          <cell r="HH52">
            <v>404024</v>
          </cell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</row>
      </sheetData>
      <sheetData sheetId="75">
        <row r="4">
          <cell r="HH4"/>
        </row>
        <row r="5">
          <cell r="HH5"/>
        </row>
        <row r="15">
          <cell r="HH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76"/>
      <sheetData sheetId="77">
        <row r="4">
          <cell r="HH4">
            <v>140</v>
          </cell>
        </row>
        <row r="5">
          <cell r="HH5">
            <v>140</v>
          </cell>
        </row>
        <row r="15">
          <cell r="HH15"/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</row>
        <row r="47">
          <cell r="HH47">
            <v>8633909</v>
          </cell>
        </row>
        <row r="48">
          <cell r="HH48"/>
        </row>
        <row r="52">
          <cell r="HH52">
            <v>7636444</v>
          </cell>
        </row>
        <row r="53">
          <cell r="HH53"/>
        </row>
        <row r="57">
          <cell r="HH57"/>
        </row>
        <row r="58">
          <cell r="HH58"/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</row>
      </sheetData>
      <sheetData sheetId="78">
        <row r="4">
          <cell r="HH4">
            <v>21</v>
          </cell>
        </row>
        <row r="5">
          <cell r="HH5">
            <v>21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</row>
        <row r="47">
          <cell r="HH47"/>
        </row>
        <row r="48">
          <cell r="HH48">
            <v>52951</v>
          </cell>
        </row>
        <row r="52">
          <cell r="HH52"/>
        </row>
        <row r="53">
          <cell r="HH53">
            <v>131126</v>
          </cell>
        </row>
        <row r="57">
          <cell r="HH57"/>
        </row>
        <row r="58">
          <cell r="HH58"/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</row>
      </sheetData>
      <sheetData sheetId="79">
        <row r="4">
          <cell r="HH4">
            <v>15</v>
          </cell>
        </row>
        <row r="5">
          <cell r="HH5">
            <v>15</v>
          </cell>
        </row>
        <row r="15">
          <cell r="HH15"/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</row>
        <row r="47">
          <cell r="HH47">
            <v>45381</v>
          </cell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</row>
      </sheetData>
      <sheetData sheetId="80">
        <row r="4">
          <cell r="HH4">
            <v>136</v>
          </cell>
        </row>
        <row r="5">
          <cell r="HH5">
            <v>136</v>
          </cell>
        </row>
        <row r="15">
          <cell r="HH15">
            <v>16</v>
          </cell>
        </row>
        <row r="16">
          <cell r="HH16">
            <v>16</v>
          </cell>
        </row>
        <row r="19"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</row>
        <row r="47">
          <cell r="HH47">
            <v>6151132</v>
          </cell>
        </row>
        <row r="48">
          <cell r="HH48">
            <v>771108</v>
          </cell>
        </row>
        <row r="52">
          <cell r="HH52">
            <v>5400258</v>
          </cell>
        </row>
        <row r="53">
          <cell r="HH53">
            <v>752179</v>
          </cell>
        </row>
        <row r="57">
          <cell r="HH57"/>
        </row>
        <row r="58">
          <cell r="HH58"/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</row>
      </sheetData>
      <sheetData sheetId="81"/>
      <sheetData sheetId="82"/>
      <sheetData sheetId="83"/>
      <sheetData sheetId="84">
        <row r="4">
          <cell r="HH4">
            <v>197</v>
          </cell>
        </row>
        <row r="5">
          <cell r="HH5">
            <v>197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86">
        <row r="4">
          <cell r="HH4"/>
        </row>
        <row r="5">
          <cell r="HH5"/>
        </row>
        <row r="8">
          <cell r="HH8"/>
        </row>
        <row r="9">
          <cell r="HH9"/>
        </row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</row>
        <row r="47">
          <cell r="HH47"/>
        </row>
        <row r="48">
          <cell r="HH48"/>
        </row>
        <row r="52">
          <cell r="HH52"/>
        </row>
        <row r="53">
          <cell r="HH53"/>
        </row>
        <row r="57">
          <cell r="HH57"/>
        </row>
        <row r="58">
          <cell r="HH58"/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</row>
      </sheetData>
      <sheetData sheetId="87">
        <row r="4">
          <cell r="HH4">
            <v>65</v>
          </cell>
        </row>
        <row r="5">
          <cell r="HH5">
            <v>65</v>
          </cell>
        </row>
      </sheetData>
      <sheetData sheetId="88">
        <row r="4">
          <cell r="HH4">
            <v>567</v>
          </cell>
        </row>
        <row r="5">
          <cell r="HH5">
            <v>568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21" sqref="K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0" customWidth="1"/>
    <col min="11" max="11" width="9.85546875" customWidth="1"/>
    <col min="12" max="12" width="10.140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51">
        <v>44317</v>
      </c>
      <c r="B2" s="16"/>
      <c r="C2" s="16"/>
      <c r="D2" s="550" t="s">
        <v>229</v>
      </c>
      <c r="E2" s="550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51"/>
      <c r="E3" s="552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769377</v>
      </c>
      <c r="C5" s="268">
        <f>'Major Airline Stats'!K5</f>
        <v>737260</v>
      </c>
      <c r="D5" s="5">
        <f>'Major Airline Stats'!K6</f>
        <v>1506637</v>
      </c>
      <c r="E5" s="9">
        <f>'[1]Monthly Summary'!D5</f>
        <v>190675</v>
      </c>
      <c r="F5" s="38">
        <f>(D5-E5)/E5</f>
        <v>6.9015969581749053</v>
      </c>
      <c r="G5" s="9">
        <f>+D5+'[2]Monthly Summary'!G5</f>
        <v>5694327</v>
      </c>
      <c r="H5" s="9">
        <f>'[1]Monthly Summary'!G5</f>
        <v>6086002</v>
      </c>
      <c r="I5" s="83">
        <f>(G5-H5)/H5</f>
        <v>-6.4356699192671965E-2</v>
      </c>
      <c r="J5" s="9"/>
    </row>
    <row r="6" spans="1:14" x14ac:dyDescent="0.2">
      <c r="A6" s="65" t="s">
        <v>5</v>
      </c>
      <c r="B6" s="266">
        <f>'Regional Major'!M5</f>
        <v>250824</v>
      </c>
      <c r="C6" s="266">
        <f>'Regional Major'!M6</f>
        <v>251747</v>
      </c>
      <c r="D6" s="5">
        <f>B6+C6</f>
        <v>502571</v>
      </c>
      <c r="E6" s="9">
        <f>'[1]Monthly Summary'!D6</f>
        <v>64772</v>
      </c>
      <c r="F6" s="38">
        <f>(D6-E6)/E6</f>
        <v>6.7590779966652255</v>
      </c>
      <c r="G6" s="9">
        <f>+D6+'[2]Monthly Summary'!G6</f>
        <v>1750409</v>
      </c>
      <c r="H6" s="9">
        <f>'[1]Monthly Summary'!G6</f>
        <v>1608223</v>
      </c>
      <c r="I6" s="83">
        <f>(G6-H6)/H6</f>
        <v>8.8411868254589077E-2</v>
      </c>
      <c r="J6" s="19"/>
      <c r="K6" s="2"/>
    </row>
    <row r="7" spans="1:14" x14ac:dyDescent="0.2">
      <c r="A7" s="65" t="s">
        <v>6</v>
      </c>
      <c r="B7" s="9">
        <f>Charter!G5</f>
        <v>313</v>
      </c>
      <c r="C7" s="267">
        <f>Charter!G6</f>
        <v>155</v>
      </c>
      <c r="D7" s="5">
        <f>B7+C7</f>
        <v>468</v>
      </c>
      <c r="E7" s="9">
        <f>'[1]Monthly Summary'!D7</f>
        <v>0</v>
      </c>
      <c r="F7" s="38" t="e">
        <f>(D7-E7)/E7</f>
        <v>#DIV/0!</v>
      </c>
      <c r="G7" s="9">
        <f>+D7+'[2]Monthly Summary'!G7</f>
        <v>1320</v>
      </c>
      <c r="H7" s="9">
        <f>'[1]Monthly Summary'!G7</f>
        <v>893</v>
      </c>
      <c r="I7" s="83">
        <f>(G7-H7)/H7</f>
        <v>0.47816349384098544</v>
      </c>
      <c r="J7" s="19"/>
      <c r="K7" s="2"/>
    </row>
    <row r="8" spans="1:14" x14ac:dyDescent="0.2">
      <c r="A8" s="68" t="s">
        <v>7</v>
      </c>
      <c r="B8" s="146">
        <f>SUM(B5:B7)</f>
        <v>1020514</v>
      </c>
      <c r="C8" s="146">
        <f>SUM(C5:C7)</f>
        <v>989162</v>
      </c>
      <c r="D8" s="146">
        <f>SUM(D5:D7)</f>
        <v>2009676</v>
      </c>
      <c r="E8" s="146">
        <f>SUM(E5:E7)</f>
        <v>255447</v>
      </c>
      <c r="F8" s="90">
        <f>(D8-E8)/E8</f>
        <v>6.8672914538045076</v>
      </c>
      <c r="G8" s="146">
        <f>SUM(G5:G7)</f>
        <v>7446056</v>
      </c>
      <c r="H8" s="146">
        <f>SUM(H5:H7)</f>
        <v>7695118</v>
      </c>
      <c r="I8" s="89">
        <f>(G8-H8)/H8</f>
        <v>-3.2366235319588342E-2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43921</v>
      </c>
      <c r="C10" s="269">
        <f>'Major Airline Stats'!K10+'Regional Major'!M11</f>
        <v>34674</v>
      </c>
      <c r="D10" s="118">
        <f>SUM(B10:C10)</f>
        <v>78595</v>
      </c>
      <c r="E10" s="118">
        <f>'[1]Monthly Summary'!D10</f>
        <v>28623</v>
      </c>
      <c r="F10" s="91">
        <f>(D10-E10)/E10</f>
        <v>1.7458687069838941</v>
      </c>
      <c r="G10" s="118">
        <f>+D10+'[2]Monthly Summary'!G10</f>
        <v>281646</v>
      </c>
      <c r="H10" s="118">
        <f>'[1]Monthly Summary'!G10</f>
        <v>304602</v>
      </c>
      <c r="I10" s="94">
        <f>(G10-H10)/H10</f>
        <v>-7.5363917505466144E-2</v>
      </c>
      <c r="J10" s="237"/>
    </row>
    <row r="11" spans="1:14" ht="15.75" thickBot="1" x14ac:dyDescent="0.3">
      <c r="A11" s="67" t="s">
        <v>13</v>
      </c>
      <c r="B11" s="246">
        <f>B10+B8</f>
        <v>1064435</v>
      </c>
      <c r="C11" s="246">
        <f>C10+C8</f>
        <v>1023836</v>
      </c>
      <c r="D11" s="246">
        <f>D10+D8</f>
        <v>2088271</v>
      </c>
      <c r="E11" s="246">
        <f>E10+E8</f>
        <v>284070</v>
      </c>
      <c r="F11" s="92">
        <f>(D11-E11)/E11</f>
        <v>6.3512549723659664</v>
      </c>
      <c r="G11" s="246">
        <f>G8+G10</f>
        <v>7727702</v>
      </c>
      <c r="H11" s="246">
        <f>H8+H10</f>
        <v>7999720</v>
      </c>
      <c r="I11" s="95">
        <f>(G11-H11)/H11</f>
        <v>-3.4003440120404217E-2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50" t="s">
        <v>229</v>
      </c>
      <c r="E13" s="550" t="s">
        <v>203</v>
      </c>
      <c r="F13" s="462"/>
      <c r="G13" s="462"/>
      <c r="H13" s="462"/>
      <c r="I13" s="419"/>
    </row>
    <row r="14" spans="1:14" ht="13.5" thickBot="1" x14ac:dyDescent="0.25">
      <c r="A14" s="15"/>
      <c r="B14" s="419" t="s">
        <v>189</v>
      </c>
      <c r="C14" s="419" t="s">
        <v>190</v>
      </c>
      <c r="D14" s="551"/>
      <c r="E14" s="552"/>
      <c r="F14" s="462" t="s">
        <v>2</v>
      </c>
      <c r="G14" s="521" t="s">
        <v>228</v>
      </c>
      <c r="H14" s="521" t="s">
        <v>204</v>
      </c>
      <c r="I14" s="419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5990</v>
      </c>
      <c r="C16" s="277">
        <f>'Major Airline Stats'!K16+'Major Airline Stats'!K20</f>
        <v>5997</v>
      </c>
      <c r="D16" s="46">
        <f t="shared" ref="D16:D21" si="0">SUM(B16:C16)</f>
        <v>11987</v>
      </c>
      <c r="E16" s="9">
        <f>'[1]Monthly Summary'!D16</f>
        <v>3722</v>
      </c>
      <c r="F16" s="93">
        <f t="shared" ref="F16:F22" si="1">(D16-E16)/E16</f>
        <v>2.220580333154218</v>
      </c>
      <c r="G16" s="9">
        <f>+D16+'[2]Monthly Summary'!G16</f>
        <v>54053</v>
      </c>
      <c r="H16" s="9">
        <f>'[1]Monthly Summary'!G16</f>
        <v>57666</v>
      </c>
      <c r="I16" s="235">
        <f t="shared" ref="I16:I22" si="2">(G16-H16)/H16</f>
        <v>-6.2653903513335413E-2</v>
      </c>
      <c r="N16" s="128"/>
    </row>
    <row r="17" spans="1:12" x14ac:dyDescent="0.2">
      <c r="A17" s="66" t="s">
        <v>5</v>
      </c>
      <c r="B17" s="46">
        <f>'Regional Major'!M15+'Regional Major'!M18</f>
        <v>4891</v>
      </c>
      <c r="C17" s="46">
        <f>'Regional Major'!M16+'Regional Major'!M19</f>
        <v>4889</v>
      </c>
      <c r="D17" s="46">
        <f>SUM(B17:C17)</f>
        <v>9780</v>
      </c>
      <c r="E17" s="9">
        <f>'[1]Monthly Summary'!D17</f>
        <v>3252</v>
      </c>
      <c r="F17" s="93">
        <f t="shared" si="1"/>
        <v>2.0073800738007379</v>
      </c>
      <c r="G17" s="9">
        <f>+D17+'[2]Monthly Summary'!G17</f>
        <v>45588</v>
      </c>
      <c r="H17" s="9">
        <f>'[1]Monthly Summary'!G17</f>
        <v>42132</v>
      </c>
      <c r="I17" s="235">
        <f t="shared" si="2"/>
        <v>8.2027912275704926E-2</v>
      </c>
    </row>
    <row r="18" spans="1:12" x14ac:dyDescent="0.2">
      <c r="A18" s="66" t="s">
        <v>10</v>
      </c>
      <c r="B18" s="46">
        <f>Charter!G10</f>
        <v>2</v>
      </c>
      <c r="C18" s="46">
        <f>Charter!G11</f>
        <v>1</v>
      </c>
      <c r="D18" s="46">
        <f t="shared" si="0"/>
        <v>3</v>
      </c>
      <c r="E18" s="9">
        <f>'[1]Monthly Summary'!D18</f>
        <v>0</v>
      </c>
      <c r="F18" s="93" t="e">
        <f t="shared" si="1"/>
        <v>#DIV/0!</v>
      </c>
      <c r="G18" s="9">
        <f>+D18+'[2]Monthly Summary'!G18</f>
        <v>10</v>
      </c>
      <c r="H18" s="9">
        <f>'[1]Monthly Summary'!G18</f>
        <v>8</v>
      </c>
      <c r="I18" s="235">
        <f t="shared" si="2"/>
        <v>0.25</v>
      </c>
    </row>
    <row r="19" spans="1:12" x14ac:dyDescent="0.2">
      <c r="A19" s="66" t="s">
        <v>11</v>
      </c>
      <c r="B19" s="46">
        <f>Cargo!P4+Cargo!P8</f>
        <v>688</v>
      </c>
      <c r="C19" s="46">
        <f>Cargo!P5+Cargo!P9</f>
        <v>689</v>
      </c>
      <c r="D19" s="46">
        <f t="shared" si="0"/>
        <v>1377</v>
      </c>
      <c r="E19" s="9">
        <f>'[1]Monthly Summary'!D19</f>
        <v>1160</v>
      </c>
      <c r="F19" s="93">
        <f t="shared" si="1"/>
        <v>0.18706896551724139</v>
      </c>
      <c r="G19" s="9">
        <f>+D19+'[2]Monthly Summary'!G19</f>
        <v>6603</v>
      </c>
      <c r="H19" s="9">
        <f>'[1]Monthly Summary'!G19</f>
        <v>5803</v>
      </c>
      <c r="I19" s="235">
        <f t="shared" si="2"/>
        <v>0.13785972772703775</v>
      </c>
    </row>
    <row r="20" spans="1:12" x14ac:dyDescent="0.2">
      <c r="A20" s="66" t="s">
        <v>148</v>
      </c>
      <c r="B20" s="46">
        <f>'[3]General Avation'!$HH4</f>
        <v>567</v>
      </c>
      <c r="C20" s="46">
        <f>'[3]General Avation'!$HH5</f>
        <v>568</v>
      </c>
      <c r="D20" s="46">
        <f t="shared" si="0"/>
        <v>1135</v>
      </c>
      <c r="E20" s="9">
        <f>'[1]Monthly Summary'!D20</f>
        <v>721</v>
      </c>
      <c r="F20" s="93">
        <f t="shared" si="1"/>
        <v>0.57420249653259359</v>
      </c>
      <c r="G20" s="9">
        <f>+D20+'[2]Monthly Summary'!G20</f>
        <v>5042</v>
      </c>
      <c r="H20" s="9">
        <f>'[1]Monthly Summary'!G20</f>
        <v>4297</v>
      </c>
      <c r="I20" s="235">
        <f t="shared" si="2"/>
        <v>0.1733767744938329</v>
      </c>
    </row>
    <row r="21" spans="1:12" ht="12.75" customHeight="1" x14ac:dyDescent="0.2">
      <c r="A21" s="66" t="s">
        <v>12</v>
      </c>
      <c r="B21" s="17">
        <f>'[3]Military '!$HH4</f>
        <v>65</v>
      </c>
      <c r="C21" s="17">
        <f>'[3]Military '!$HH5</f>
        <v>65</v>
      </c>
      <c r="D21" s="17">
        <f t="shared" si="0"/>
        <v>130</v>
      </c>
      <c r="E21" s="118">
        <f>'[1]Monthly Summary'!D21</f>
        <v>79</v>
      </c>
      <c r="F21" s="233">
        <f t="shared" si="1"/>
        <v>0.64556962025316456</v>
      </c>
      <c r="G21" s="118">
        <f>+D21+'[2]Monthly Summary'!G21</f>
        <v>565</v>
      </c>
      <c r="H21" s="118">
        <f>'[1]Monthly Summary'!G21</f>
        <v>324</v>
      </c>
      <c r="I21" s="236">
        <f t="shared" si="2"/>
        <v>0.74382716049382713</v>
      </c>
    </row>
    <row r="22" spans="1:12" ht="15.75" thickBot="1" x14ac:dyDescent="0.3">
      <c r="A22" s="67" t="s">
        <v>28</v>
      </c>
      <c r="B22" s="247">
        <f>SUM(B16:B21)</f>
        <v>12203</v>
      </c>
      <c r="C22" s="247">
        <f>SUM(C16:C21)</f>
        <v>12209</v>
      </c>
      <c r="D22" s="247">
        <f>SUM(D16:D21)</f>
        <v>24412</v>
      </c>
      <c r="E22" s="247">
        <f>SUM(E16:E21)</f>
        <v>8934</v>
      </c>
      <c r="F22" s="243">
        <f t="shared" si="1"/>
        <v>1.7324826505484665</v>
      </c>
      <c r="G22" s="247">
        <f>SUM(G16:G21)</f>
        <v>111861</v>
      </c>
      <c r="H22" s="247">
        <f>SUM(H16:H21)</f>
        <v>110230</v>
      </c>
      <c r="I22" s="244">
        <f t="shared" si="2"/>
        <v>1.4796334936042819E-2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50" t="s">
        <v>229</v>
      </c>
      <c r="E24" s="550" t="s">
        <v>203</v>
      </c>
      <c r="F24" s="462"/>
      <c r="G24" s="462"/>
      <c r="H24" s="462"/>
      <c r="I24" s="419"/>
    </row>
    <row r="25" spans="1:12" ht="13.5" thickBot="1" x14ac:dyDescent="0.25">
      <c r="B25" s="419" t="s">
        <v>0</v>
      </c>
      <c r="C25" s="419" t="s">
        <v>1</v>
      </c>
      <c r="D25" s="551"/>
      <c r="E25" s="552"/>
      <c r="F25" s="462" t="s">
        <v>2</v>
      </c>
      <c r="G25" s="521" t="s">
        <v>228</v>
      </c>
      <c r="H25" s="521" t="s">
        <v>204</v>
      </c>
      <c r="I25" s="419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(Cargo!P16+'Major Airline Stats'!K28+'Regional Major'!M25)*0.00045359237</f>
        <v>9447.0744306045799</v>
      </c>
      <c r="C27" s="21">
        <f>(Cargo!P21+'Major Airline Stats'!K33+'Regional Major'!M30)*0.00045359237</f>
        <v>7313.1681768191202</v>
      </c>
      <c r="D27" s="21">
        <f>(SUM(B27:C27)+('Cargo Summary'!E17*0.00045359237))</f>
        <v>16760.242607423701</v>
      </c>
      <c r="E27" s="9">
        <f>'[1]Monthly Summary'!D27</f>
        <v>14228.45102337505</v>
      </c>
      <c r="F27" s="96">
        <f>(D27-E27)/E27</f>
        <v>0.17793866527630633</v>
      </c>
      <c r="G27" s="9">
        <f>+D27+'[2]Monthly Summary'!G27</f>
        <v>79087.678894351819</v>
      </c>
      <c r="H27" s="9">
        <f>'[1]Monthly Summary'!G27</f>
        <v>76661.482706854425</v>
      </c>
      <c r="I27" s="98">
        <f>(G27-H27)/H27</f>
        <v>3.1648177178817634E-2</v>
      </c>
    </row>
    <row r="28" spans="1:12" x14ac:dyDescent="0.2">
      <c r="A28" s="60" t="s">
        <v>16</v>
      </c>
      <c r="B28" s="21">
        <f>(Cargo!P17+'Major Airline Stats'!K29+'Regional Major'!M26)*0.00045359237</f>
        <v>935.18635777720999</v>
      </c>
      <c r="C28" s="21">
        <f>(Cargo!P22+'Major Airline Stats'!K34+'Regional Major'!M31)*0.00045359237</f>
        <v>1141.5150942656999</v>
      </c>
      <c r="D28" s="21">
        <f>SUM(B28:C28)</f>
        <v>2076.7014520429098</v>
      </c>
      <c r="E28" s="9">
        <f>'[1]Monthly Summary'!D28</f>
        <v>914.22585435950987</v>
      </c>
      <c r="F28" s="96">
        <f>(D28-E28)/E28</f>
        <v>1.2715409350327433</v>
      </c>
      <c r="G28" s="9">
        <f>+D28+'[2]Monthly Summary'!G28</f>
        <v>9099.8671614720097</v>
      </c>
      <c r="H28" s="9">
        <f>'[1]Monthly Summary'!G28</f>
        <v>6973.3803180826399</v>
      </c>
      <c r="I28" s="98">
        <f>(G28-H28)/H28</f>
        <v>0.30494347739434013</v>
      </c>
    </row>
    <row r="29" spans="1:12" ht="15.75" thickBot="1" x14ac:dyDescent="0.3">
      <c r="A29" s="61" t="s">
        <v>62</v>
      </c>
      <c r="B29" s="53">
        <f>SUM(B27:B28)</f>
        <v>10382.260788381789</v>
      </c>
      <c r="C29" s="53">
        <f>SUM(C27:C28)</f>
        <v>8454.6832710848194</v>
      </c>
      <c r="D29" s="53">
        <f>SUM(D27:D28)</f>
        <v>18836.944059466612</v>
      </c>
      <c r="E29" s="53">
        <f>SUM(E27:E28)</f>
        <v>15142.676877734561</v>
      </c>
      <c r="F29" s="97">
        <f>(D29-E29)/E29</f>
        <v>0.24396394452317846</v>
      </c>
      <c r="G29" s="53">
        <f>SUM(G27:G28)</f>
        <v>88187.546055823826</v>
      </c>
      <c r="H29" s="53">
        <f>SUM(H27:H28)</f>
        <v>83634.863024937062</v>
      </c>
      <c r="I29" s="99">
        <f>(G29-H29)/H29</f>
        <v>5.4435230312140405E-2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49" t="s">
        <v>144</v>
      </c>
      <c r="C31" s="548"/>
      <c r="D31" s="549" t="s">
        <v>151</v>
      </c>
      <c r="E31" s="548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639966</v>
      </c>
      <c r="C32" s="365">
        <f>B32/C8</f>
        <v>0.64697794698947186</v>
      </c>
      <c r="D32" s="366">
        <f>+'[2]Monthly Summary'!D32+B32</f>
        <v>2610888</v>
      </c>
      <c r="E32" s="367">
        <f>+D32/D34</f>
        <v>0.70551478982945048</v>
      </c>
      <c r="G32" s="389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349196</v>
      </c>
      <c r="C33" s="370">
        <f>+B33/C8</f>
        <v>0.35302205301052808</v>
      </c>
      <c r="D33" s="371">
        <f>+'[2]Monthly Summary'!D33+B33</f>
        <v>1089797</v>
      </c>
      <c r="E33" s="372">
        <f>+D33/D34</f>
        <v>0.29448521017054952</v>
      </c>
      <c r="G33" s="381"/>
      <c r="H33" s="381"/>
      <c r="I33" s="380"/>
    </row>
    <row r="34" spans="1:14" ht="13.5" thickBot="1" x14ac:dyDescent="0.25">
      <c r="B34" s="281"/>
      <c r="D34" s="373">
        <f>SUM(D32:D33)</f>
        <v>3700685</v>
      </c>
    </row>
    <row r="35" spans="1:14" ht="13.5" thickBot="1" x14ac:dyDescent="0.25">
      <c r="B35" s="547" t="s">
        <v>242</v>
      </c>
      <c r="C35" s="548"/>
      <c r="D35" s="549" t="s">
        <v>227</v>
      </c>
      <c r="E35" s="548"/>
    </row>
    <row r="36" spans="1:14" x14ac:dyDescent="0.2">
      <c r="A36" s="363" t="s">
        <v>145</v>
      </c>
      <c r="B36" s="364">
        <f>'[1]Monthly Summary'!$B$32</f>
        <v>81915</v>
      </c>
      <c r="C36" s="365">
        <f>+B36/B38</f>
        <v>0.65884084547823574</v>
      </c>
      <c r="D36" s="366">
        <f>'[1]Monthly Summary'!$D$32</f>
        <v>2515940</v>
      </c>
      <c r="E36" s="367">
        <f>+D36/D38</f>
        <v>0.66213442912703024</v>
      </c>
    </row>
    <row r="37" spans="1:14" ht="13.5" thickBot="1" x14ac:dyDescent="0.25">
      <c r="A37" s="368" t="s">
        <v>146</v>
      </c>
      <c r="B37" s="369">
        <f>'[1]Monthly Summary'!$B$33</f>
        <v>42417</v>
      </c>
      <c r="C37" s="372">
        <f>+B37/B38</f>
        <v>0.34115915452176432</v>
      </c>
      <c r="D37" s="371">
        <f>'[1]Monthly Summary'!$D$33</f>
        <v>1283802</v>
      </c>
      <c r="E37" s="372">
        <f>+D37/D38</f>
        <v>0.33786557087296981</v>
      </c>
      <c r="M37" s="12"/>
    </row>
    <row r="38" spans="1:14" x14ac:dyDescent="0.2">
      <c r="B38" s="388">
        <f>+SUM(B36:B37)</f>
        <v>124332</v>
      </c>
      <c r="D38" s="373">
        <f>SUM(D36:D37)</f>
        <v>3799742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May 2021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R23" sqref="R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44317</v>
      </c>
      <c r="B1" s="409" t="s">
        <v>18</v>
      </c>
      <c r="C1" s="466" t="s">
        <v>195</v>
      </c>
      <c r="D1" s="480" t="s">
        <v>157</v>
      </c>
      <c r="E1" s="410" t="s">
        <v>163</v>
      </c>
      <c r="F1" s="410" t="s">
        <v>162</v>
      </c>
      <c r="G1" s="410" t="s">
        <v>49</v>
      </c>
      <c r="H1" s="410" t="s">
        <v>113</v>
      </c>
      <c r="I1" s="410" t="s">
        <v>194</v>
      </c>
      <c r="J1" s="410" t="s">
        <v>191</v>
      </c>
      <c r="K1" s="410" t="s">
        <v>196</v>
      </c>
      <c r="L1" s="410" t="s">
        <v>161</v>
      </c>
      <c r="M1" s="410" t="s">
        <v>211</v>
      </c>
      <c r="N1" s="410" t="s">
        <v>156</v>
      </c>
      <c r="O1" s="410" t="s">
        <v>139</v>
      </c>
      <c r="P1" s="410" t="s">
        <v>21</v>
      </c>
    </row>
    <row r="2" spans="1:16" ht="15" x14ac:dyDescent="0.25">
      <c r="A2" s="583" t="s">
        <v>140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5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[3]Delta!$HH$32</f>
        <v>11567</v>
      </c>
      <c r="C4" s="20">
        <f>'[3]Atlantic Southeast'!$HH$32</f>
        <v>0</v>
      </c>
      <c r="D4" s="20">
        <f>[3]Pinnacle!$HH$32</f>
        <v>0</v>
      </c>
      <c r="E4" s="20">
        <f>'[3]Sky West'!$HH$32</f>
        <v>1297</v>
      </c>
      <c r="F4" s="20">
        <f>'[3]Go Jet'!$HH$32</f>
        <v>0</v>
      </c>
      <c r="G4" s="20">
        <f>'[3]Sun Country'!$HH$32</f>
        <v>1524</v>
      </c>
      <c r="H4" s="20">
        <f>[3]Icelandair!$HH$32</f>
        <v>0</v>
      </c>
      <c r="I4" s="20">
        <f>[3]KLM!$HH$32</f>
        <v>0</v>
      </c>
      <c r="J4" s="20">
        <f>'[3]Air Georgian'!$HH$32</f>
        <v>0</v>
      </c>
      <c r="K4" s="20">
        <f>'[3]Sky Regional'!$HH$32</f>
        <v>0</v>
      </c>
      <c r="L4" s="20">
        <f>[3]Condor!$HH$32</f>
        <v>0</v>
      </c>
      <c r="M4" s="20">
        <f>'[3]Aer Lingus'!$HH$32</f>
        <v>0</v>
      </c>
      <c r="N4" s="20">
        <f>'[3]Air France'!$HH$32</f>
        <v>0</v>
      </c>
      <c r="O4" s="20">
        <f>'[3]Charter Misc'!$HH$32+[3]Ryan!$HH$32+[3]Omni!$HH$32</f>
        <v>0</v>
      </c>
      <c r="P4" s="254">
        <f>SUM(B4:O4)</f>
        <v>14388</v>
      </c>
    </row>
    <row r="5" spans="1:16" x14ac:dyDescent="0.2">
      <c r="A5" s="60" t="s">
        <v>31</v>
      </c>
      <c r="B5" s="13">
        <f>[3]Delta!$HH$33</f>
        <v>11831</v>
      </c>
      <c r="C5" s="13">
        <f>'[3]Atlantic Southeast'!$HH$33</f>
        <v>0</v>
      </c>
      <c r="D5" s="13">
        <f>[3]Pinnacle!$HH$33</f>
        <v>0</v>
      </c>
      <c r="E5" s="13">
        <f>'[3]Sky West'!$HH$33</f>
        <v>1375</v>
      </c>
      <c r="F5" s="13">
        <f>'[3]Go Jet'!$HH$33</f>
        <v>0</v>
      </c>
      <c r="G5" s="13">
        <f>'[3]Sun Country'!$HH$33</f>
        <v>1501</v>
      </c>
      <c r="H5" s="13">
        <f>[3]Icelandair!$HH$33</f>
        <v>0</v>
      </c>
      <c r="I5" s="13">
        <f>[3]KLM!$HH$33</f>
        <v>0</v>
      </c>
      <c r="J5" s="13">
        <f>'[3]Air Georgian'!$HH$33</f>
        <v>0</v>
      </c>
      <c r="K5" s="13">
        <f>'[3]Sky Regional'!$HH$33</f>
        <v>0</v>
      </c>
      <c r="L5" s="13">
        <f>[3]Condor!$HH$33</f>
        <v>0</v>
      </c>
      <c r="M5" s="13">
        <f>'[3]Aer Lingus'!$HH$33</f>
        <v>0</v>
      </c>
      <c r="N5" s="13">
        <f>'[3]Air France'!$HH$33</f>
        <v>0</v>
      </c>
      <c r="O5" s="13">
        <f>'[3]Charter Misc'!$HH$33++[3]Ryan!$HH$33+[3]Omni!$HH$33</f>
        <v>0</v>
      </c>
      <c r="P5" s="255">
        <f>SUM(B5:O5)</f>
        <v>14707</v>
      </c>
    </row>
    <row r="6" spans="1:16" ht="15" x14ac:dyDescent="0.25">
      <c r="A6" s="58" t="s">
        <v>7</v>
      </c>
      <c r="B6" s="33">
        <f t="shared" ref="B6:O6" si="0">SUM(B4:B5)</f>
        <v>23398</v>
      </c>
      <c r="C6" s="33">
        <f t="shared" si="0"/>
        <v>0</v>
      </c>
      <c r="D6" s="33">
        <f t="shared" si="0"/>
        <v>0</v>
      </c>
      <c r="E6" s="33">
        <f t="shared" si="0"/>
        <v>2672</v>
      </c>
      <c r="F6" s="33">
        <f t="shared" ref="F6" si="1">SUM(F4:F5)</f>
        <v>0</v>
      </c>
      <c r="G6" s="33">
        <f t="shared" si="0"/>
        <v>3025</v>
      </c>
      <c r="H6" s="33">
        <f t="shared" si="0"/>
        <v>0</v>
      </c>
      <c r="I6" s="33">
        <f t="shared" ref="I6" si="2">SUM(I4:I5)</f>
        <v>0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0</v>
      </c>
      <c r="O6" s="33">
        <f t="shared" si="0"/>
        <v>0</v>
      </c>
      <c r="P6" s="256">
        <f>SUM(B6:O6)</f>
        <v>29095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[3]Delta!$HH$37</f>
        <v>1297</v>
      </c>
      <c r="C9" s="20">
        <f>'[3]Atlantic Southeast'!$HH$37</f>
        <v>0</v>
      </c>
      <c r="D9" s="20">
        <f>[3]Pinnacle!$HH$37</f>
        <v>0</v>
      </c>
      <c r="E9" s="20">
        <f>'[3]Sky West'!$HH$37</f>
        <v>11</v>
      </c>
      <c r="F9" s="20">
        <f>'[3]Go Jet'!$HH$37</f>
        <v>0</v>
      </c>
      <c r="G9" s="20">
        <f>'[3]Sun Country'!$HH$37</f>
        <v>39</v>
      </c>
      <c r="H9" s="20">
        <f>[3]Icelandair!$HH$37</f>
        <v>0</v>
      </c>
      <c r="I9" s="20">
        <f>[3]KLM!$HH$37</f>
        <v>0</v>
      </c>
      <c r="J9" s="20">
        <f>'[3]Air Georgian'!$HH$37</f>
        <v>0</v>
      </c>
      <c r="K9" s="20">
        <f>'[3]Sky Regional'!$HH$37</f>
        <v>0</v>
      </c>
      <c r="L9" s="20">
        <f>[3]Condor!$HH$37</f>
        <v>0</v>
      </c>
      <c r="M9" s="20">
        <f>'[3]Aer Lingus'!$HH$37</f>
        <v>0</v>
      </c>
      <c r="N9" s="20">
        <f>'[3]Air France'!$HH$37</f>
        <v>0</v>
      </c>
      <c r="O9" s="20">
        <f>'[3]Charter Misc'!$HH$37+[3]Ryan!$HH$37+[3]Omni!$HH$37</f>
        <v>0</v>
      </c>
      <c r="P9" s="254">
        <f>SUM(B9:O9)</f>
        <v>1347</v>
      </c>
    </row>
    <row r="10" spans="1:16" x14ac:dyDescent="0.2">
      <c r="A10" s="60" t="s">
        <v>33</v>
      </c>
      <c r="B10" s="13">
        <f>[3]Delta!$HH$38</f>
        <v>1375</v>
      </c>
      <c r="C10" s="13">
        <f>'[3]Atlantic Southeast'!$HH$38</f>
        <v>0</v>
      </c>
      <c r="D10" s="13">
        <f>[3]Pinnacle!$HH$38</f>
        <v>0</v>
      </c>
      <c r="E10" s="13">
        <f>'[3]Sky West'!$HH$38</f>
        <v>6</v>
      </c>
      <c r="F10" s="13">
        <f>'[3]Go Jet'!$HH$38</f>
        <v>0</v>
      </c>
      <c r="G10" s="13">
        <f>'[3]Sun Country'!$HH$38</f>
        <v>41</v>
      </c>
      <c r="H10" s="13">
        <f>[3]Icelandair!$HH$38</f>
        <v>0</v>
      </c>
      <c r="I10" s="13">
        <f>[3]KLM!$HH$38</f>
        <v>0</v>
      </c>
      <c r="J10" s="13">
        <f>'[3]Air Georgian'!$HH$38</f>
        <v>0</v>
      </c>
      <c r="K10" s="13">
        <f>'[3]Sky Regional'!$HH$38</f>
        <v>0</v>
      </c>
      <c r="L10" s="13">
        <f>[3]Condor!$HH$38</f>
        <v>0</v>
      </c>
      <c r="M10" s="13">
        <f>'[3]Aer Lingus'!$HH$38</f>
        <v>0</v>
      </c>
      <c r="N10" s="13">
        <f>'[3]Air France'!$HH$38</f>
        <v>0</v>
      </c>
      <c r="O10" s="13">
        <f>'[3]Charter Misc'!$HH$38+[3]Ryan!$HH$38+[3]Omni!$HH$38</f>
        <v>0</v>
      </c>
      <c r="P10" s="255">
        <f>SUM(B10:O10)</f>
        <v>1422</v>
      </c>
    </row>
    <row r="11" spans="1:16" ht="15.75" thickBot="1" x14ac:dyDescent="0.3">
      <c r="A11" s="61" t="s">
        <v>34</v>
      </c>
      <c r="B11" s="257">
        <f t="shared" ref="B11:G11" si="5">SUM(B9:B10)</f>
        <v>2672</v>
      </c>
      <c r="C11" s="257">
        <f t="shared" si="5"/>
        <v>0</v>
      </c>
      <c r="D11" s="257">
        <f t="shared" si="5"/>
        <v>0</v>
      </c>
      <c r="E11" s="257">
        <f t="shared" si="5"/>
        <v>17</v>
      </c>
      <c r="F11" s="257">
        <f t="shared" ref="F11" si="6">SUM(F9:F10)</f>
        <v>0</v>
      </c>
      <c r="G11" s="257">
        <f t="shared" si="5"/>
        <v>80</v>
      </c>
      <c r="H11" s="257">
        <f t="shared" ref="H11:O11" si="7">SUM(H9:H10)</f>
        <v>0</v>
      </c>
      <c r="I11" s="257">
        <f t="shared" ref="I11" si="8">SUM(I9:I10)</f>
        <v>0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0</v>
      </c>
      <c r="O11" s="257">
        <f t="shared" si="7"/>
        <v>0</v>
      </c>
      <c r="P11" s="258">
        <f>SUM(B11:O11)</f>
        <v>2769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9" t="s">
        <v>18</v>
      </c>
      <c r="C13" s="466" t="s">
        <v>195</v>
      </c>
      <c r="D13" s="480" t="s">
        <v>157</v>
      </c>
      <c r="E13" s="410" t="s">
        <v>163</v>
      </c>
      <c r="F13" s="410" t="s">
        <v>162</v>
      </c>
      <c r="G13" s="410" t="s">
        <v>49</v>
      </c>
      <c r="H13" s="410" t="s">
        <v>113</v>
      </c>
      <c r="I13" s="410" t="s">
        <v>194</v>
      </c>
      <c r="J13" s="410" t="s">
        <v>191</v>
      </c>
      <c r="K13" s="410" t="s">
        <v>196</v>
      </c>
      <c r="L13" s="410" t="s">
        <v>161</v>
      </c>
      <c r="M13" s="410" t="s">
        <v>211</v>
      </c>
      <c r="N13" s="410" t="s">
        <v>156</v>
      </c>
      <c r="O13" s="410" t="s">
        <v>139</v>
      </c>
      <c r="P13" s="410" t="s">
        <v>21</v>
      </c>
    </row>
    <row r="14" spans="1:16" ht="15" x14ac:dyDescent="0.25">
      <c r="A14" s="586" t="s">
        <v>141</v>
      </c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8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SUM([3]Delta!$HD$32:$HH$32)</f>
        <v>78957</v>
      </c>
      <c r="C16" s="20">
        <f>SUM('[3]Atlantic Southeast'!$HD$32:$HH$32)</f>
        <v>0</v>
      </c>
      <c r="D16" s="20">
        <f>SUM([3]Pinnacle!$HD$32:$HH$32)</f>
        <v>0</v>
      </c>
      <c r="E16" s="20">
        <f>SUM('[3]Sky West'!$HD$32:$HH$32)</f>
        <v>5854</v>
      </c>
      <c r="F16" s="20">
        <f>SUM('[3]Go Jet'!$HD$32:$HH$32)</f>
        <v>0</v>
      </c>
      <c r="G16" s="20">
        <f>SUM('[3]Sun Country'!$HD$32:$HH$32)</f>
        <v>46077</v>
      </c>
      <c r="H16" s="20">
        <f>SUM([3]Icelandair!$HD$32:$HH$32)</f>
        <v>0</v>
      </c>
      <c r="I16" s="20">
        <f>SUM([3]KLM!$HD$32:$HH$32)</f>
        <v>0</v>
      </c>
      <c r="J16" s="20">
        <f>SUM('[3]Air Georgian'!$HD$32:$HH$32)</f>
        <v>0</v>
      </c>
      <c r="K16" s="20">
        <f>SUM('[3]Sky Regional'!$HD$32:$HH$32)</f>
        <v>0</v>
      </c>
      <c r="L16" s="20">
        <f>SUM([3]Condor!$HD$32:$HH$32)</f>
        <v>0</v>
      </c>
      <c r="M16" s="20">
        <f>SUM('[3]Aer Lingus'!$HD$32:$HH$32)</f>
        <v>0</v>
      </c>
      <c r="N16" s="20">
        <f>SUM('[3]Air France'!$HD$32:$HH$32)</f>
        <v>0</v>
      </c>
      <c r="O16" s="20">
        <f>SUM('[3]Charter Misc'!$HD$32:$HH$32)+SUM([3]Ryan!$HD$32:$HH$32)+SUM([3]Omni!$HD$32:$HH$32)</f>
        <v>0</v>
      </c>
      <c r="P16" s="254">
        <f>SUM(B16:O16)</f>
        <v>130888</v>
      </c>
    </row>
    <row r="17" spans="1:19" x14ac:dyDescent="0.2">
      <c r="A17" s="60" t="s">
        <v>31</v>
      </c>
      <c r="B17" s="13">
        <f>SUM([3]Delta!$HD$33:$HH$33)</f>
        <v>75545</v>
      </c>
      <c r="C17" s="13">
        <f>SUM('[3]Atlantic Southeast'!$HD$33:$HH$33)</f>
        <v>0</v>
      </c>
      <c r="D17" s="13">
        <f>SUM([3]Pinnacle!$HD$33:$HH$33)</f>
        <v>0</v>
      </c>
      <c r="E17" s="13">
        <f>SUM('[3]Sky West'!$HD$33:$HH$33)</f>
        <v>5814</v>
      </c>
      <c r="F17" s="13">
        <f>SUM('[3]Go Jet'!$HD$33:$HH$33)</f>
        <v>0</v>
      </c>
      <c r="G17" s="13">
        <f>SUM('[3]Sun Country'!$HD$33:$HH$33)</f>
        <v>41835</v>
      </c>
      <c r="H17" s="13">
        <f>SUM([3]Icelandair!$HD$33:$HH$33)</f>
        <v>0</v>
      </c>
      <c r="I17" s="13">
        <f>SUM([3]KLM!$HD$33:$HH$33)</f>
        <v>0</v>
      </c>
      <c r="J17" s="13">
        <f>SUM('[3]Air Georgian'!$HD$33:$HH$33)</f>
        <v>0</v>
      </c>
      <c r="K17" s="13">
        <f>SUM('[3]Sky Regional'!$HD$33:$HH$33)</f>
        <v>0</v>
      </c>
      <c r="L17" s="13">
        <f>SUM([3]Condor!$HD$33:$HH$33)</f>
        <v>0</v>
      </c>
      <c r="M17" s="13">
        <f>SUM('[3]Aer Lingus'!$HD$33:$HH$33)</f>
        <v>0</v>
      </c>
      <c r="N17" s="13">
        <f>SUM('[3]Air France'!$HD$33:$HH$33)</f>
        <v>0</v>
      </c>
      <c r="O17" s="13">
        <f>SUM('[3]Charter Misc'!$HD$33:$HH$33)++SUM([3]Ryan!$HD$33:$HH$33)+SUM([3]Omni!$HD$33:$HH$33)</f>
        <v>0</v>
      </c>
      <c r="P17" s="255">
        <f>SUM(B17:O17)</f>
        <v>123194</v>
      </c>
    </row>
    <row r="18" spans="1:19" ht="15" x14ac:dyDescent="0.25">
      <c r="A18" s="58" t="s">
        <v>7</v>
      </c>
      <c r="B18" s="33">
        <f t="shared" ref="B18:O18" si="11">SUM(B16:B17)</f>
        <v>154502</v>
      </c>
      <c r="C18" s="33">
        <f t="shared" si="11"/>
        <v>0</v>
      </c>
      <c r="D18" s="33">
        <f t="shared" si="11"/>
        <v>0</v>
      </c>
      <c r="E18" s="33">
        <f t="shared" si="11"/>
        <v>11668</v>
      </c>
      <c r="F18" s="33">
        <f t="shared" ref="F18" si="12">SUM(F16:F17)</f>
        <v>0</v>
      </c>
      <c r="G18" s="33">
        <f t="shared" si="11"/>
        <v>87912</v>
      </c>
      <c r="H18" s="33">
        <f t="shared" si="11"/>
        <v>0</v>
      </c>
      <c r="I18" s="33">
        <f t="shared" ref="I18" si="13">SUM(I16:I17)</f>
        <v>0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0</v>
      </c>
      <c r="O18" s="33">
        <f t="shared" si="11"/>
        <v>0</v>
      </c>
      <c r="P18" s="256">
        <f>SUM(B18:O18)</f>
        <v>254082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SUM([3]Delta!$HD$37:$HH$37)</f>
        <v>3330</v>
      </c>
      <c r="C21" s="20">
        <f>SUM('[3]Atlantic Southeast'!$HD$37:$HH$37)</f>
        <v>0</v>
      </c>
      <c r="D21" s="20">
        <f>SUM([3]Pinnacle!$HD$37:$HH$37)</f>
        <v>0</v>
      </c>
      <c r="E21" s="20">
        <f>SUM('[3]Sky West'!$HD$37:$HH$37)</f>
        <v>43</v>
      </c>
      <c r="F21" s="20">
        <f>SUM('[3]Go Jet'!$HD$37:$HH$37)</f>
        <v>0</v>
      </c>
      <c r="G21" s="20">
        <f>SUM('[3]Sun Country'!$HD$37:$HH$37)</f>
        <v>973</v>
      </c>
      <c r="H21" s="20">
        <f>SUM([3]Icelandair!$HD$37:$HH$37)</f>
        <v>0</v>
      </c>
      <c r="I21" s="20">
        <f>SUM([3]KLM!$HD$37:$HH$37)</f>
        <v>0</v>
      </c>
      <c r="J21" s="20">
        <f>SUM('[3]Air Georgian'!$HD$37:$HH$37)</f>
        <v>0</v>
      </c>
      <c r="K21" s="20">
        <f>SUM('[3]Sky Regional'!$HD$37:$HH$37)</f>
        <v>0</v>
      </c>
      <c r="L21" s="20">
        <f>SUM([3]Condor!$HD$37:$HH$37)</f>
        <v>0</v>
      </c>
      <c r="M21" s="20">
        <f>SUM('[3]Aer Lingus'!$HD$37:$HH$37)</f>
        <v>0</v>
      </c>
      <c r="N21" s="20">
        <f>SUM('[3]Air France'!$HD$37:$HH$37)</f>
        <v>0</v>
      </c>
      <c r="O21" s="20">
        <f>SUM('[3]Charter Misc'!$HD$37:$HH$37)++SUM([3]Ryan!$HD$37:$HH$37)+SUM([3]Omni!$HD$37:$HH$37)</f>
        <v>0</v>
      </c>
      <c r="P21" s="254">
        <f>SUM(B21:O21)</f>
        <v>4346</v>
      </c>
    </row>
    <row r="22" spans="1:19" x14ac:dyDescent="0.2">
      <c r="A22" s="60" t="s">
        <v>33</v>
      </c>
      <c r="B22" s="13">
        <f>SUM([3]Delta!$HD$38:$HH$38)</f>
        <v>3271</v>
      </c>
      <c r="C22" s="13">
        <f>SUM('[3]Atlantic Southeast'!$HD$38:$HH$38)</f>
        <v>0</v>
      </c>
      <c r="D22" s="13">
        <f>SUM([3]Pinnacle!$HD$38:$HH$38)</f>
        <v>0</v>
      </c>
      <c r="E22" s="13">
        <f>SUM('[3]Sky West'!$HD$38:$HH$38)</f>
        <v>27</v>
      </c>
      <c r="F22" s="13">
        <f>SUM('[3]Go Jet'!$HD$38:$HH$38)</f>
        <v>0</v>
      </c>
      <c r="G22" s="13">
        <f>SUM('[3]Sun Country'!$HD$38:$HH$38)</f>
        <v>947</v>
      </c>
      <c r="H22" s="13">
        <f>SUM([3]Icelandair!$HD$38:$HH$38)</f>
        <v>0</v>
      </c>
      <c r="I22" s="13">
        <f>SUM([3]KLM!$HD$38:$HH$38)</f>
        <v>0</v>
      </c>
      <c r="J22" s="13">
        <f>SUM('[3]Air Georgian'!$HD$38:$HH$38)</f>
        <v>0</v>
      </c>
      <c r="K22" s="13">
        <f>SUM('[3]Sky Regional'!$HD$38:$HH$38)</f>
        <v>0</v>
      </c>
      <c r="L22" s="13">
        <f>SUM([3]Condor!$HD$38:$HH$38)</f>
        <v>0</v>
      </c>
      <c r="M22" s="13">
        <f>SUM('[3]Aer Lingus'!$HD$38:$HH$38)</f>
        <v>0</v>
      </c>
      <c r="N22" s="13">
        <f>SUM('[3]Air France'!$HD$38:$HH$38)</f>
        <v>0</v>
      </c>
      <c r="O22" s="13">
        <f>SUM('[3]Charter Misc'!$HD$38:$HH$38)++SUM([3]Ryan!$HD$38:$HH$38)+SUM([3]Omni!$HD$38:$HH$38)</f>
        <v>0</v>
      </c>
      <c r="P22" s="255">
        <f>SUM(B22:O22)</f>
        <v>4245</v>
      </c>
    </row>
    <row r="23" spans="1:19" ht="15.75" thickBot="1" x14ac:dyDescent="0.3">
      <c r="A23" s="61" t="s">
        <v>34</v>
      </c>
      <c r="B23" s="257">
        <f t="shared" ref="B23:O23" si="16">SUM(B21:B22)</f>
        <v>6601</v>
      </c>
      <c r="C23" s="257">
        <f t="shared" si="16"/>
        <v>0</v>
      </c>
      <c r="D23" s="257">
        <f t="shared" si="16"/>
        <v>0</v>
      </c>
      <c r="E23" s="257">
        <f t="shared" si="16"/>
        <v>70</v>
      </c>
      <c r="F23" s="257">
        <f t="shared" ref="F23" si="17">SUM(F21:F22)</f>
        <v>0</v>
      </c>
      <c r="G23" s="257">
        <f t="shared" si="16"/>
        <v>1920</v>
      </c>
      <c r="H23" s="257">
        <f t="shared" si="16"/>
        <v>0</v>
      </c>
      <c r="I23" s="257">
        <f t="shared" ref="I23" si="18">SUM(I21:I22)</f>
        <v>0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0</v>
      </c>
      <c r="O23" s="257">
        <f t="shared" si="16"/>
        <v>0</v>
      </c>
      <c r="P23" s="258">
        <f>SUM(B23:O23)</f>
        <v>8591</v>
      </c>
    </row>
    <row r="25" spans="1:19" ht="39" thickBot="1" x14ac:dyDescent="0.25">
      <c r="B25" s="409" t="s">
        <v>18</v>
      </c>
      <c r="C25" s="466" t="s">
        <v>195</v>
      </c>
      <c r="D25" s="480" t="s">
        <v>157</v>
      </c>
      <c r="E25" s="410" t="s">
        <v>163</v>
      </c>
      <c r="F25" s="410" t="s">
        <v>162</v>
      </c>
      <c r="G25" s="410" t="s">
        <v>49</v>
      </c>
      <c r="H25" s="410" t="s">
        <v>113</v>
      </c>
      <c r="I25" s="410" t="s">
        <v>194</v>
      </c>
      <c r="J25" s="410" t="s">
        <v>191</v>
      </c>
      <c r="K25" s="410" t="s">
        <v>196</v>
      </c>
      <c r="L25" s="410" t="s">
        <v>161</v>
      </c>
      <c r="M25" s="410" t="s">
        <v>211</v>
      </c>
      <c r="N25" s="410" t="s">
        <v>156</v>
      </c>
      <c r="O25" s="410" t="s">
        <v>139</v>
      </c>
      <c r="P25" s="410" t="s">
        <v>21</v>
      </c>
    </row>
    <row r="26" spans="1:19" ht="15" x14ac:dyDescent="0.25">
      <c r="A26" s="589" t="s">
        <v>142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1"/>
    </row>
    <row r="27" spans="1:19" x14ac:dyDescent="0.2">
      <c r="A27" s="60" t="s">
        <v>22</v>
      </c>
      <c r="B27" s="20">
        <f>[3]Delta!$HH$15</f>
        <v>91</v>
      </c>
      <c r="C27" s="20">
        <f>'[3]Atlantic Southeast'!$HH$15</f>
        <v>0</v>
      </c>
      <c r="D27" s="20">
        <f>[3]Pinnacle!$HH$15</f>
        <v>0</v>
      </c>
      <c r="E27" s="20">
        <f>'[3]Sky West'!$HH$15</f>
        <v>31</v>
      </c>
      <c r="F27" s="20">
        <f>'[3]Go Jet'!$HH$15</f>
        <v>0</v>
      </c>
      <c r="G27" s="20">
        <f>'[3]Sun Country'!$HH$15</f>
        <v>13</v>
      </c>
      <c r="H27" s="20">
        <f>[3]Icelandair!$HH$15</f>
        <v>0</v>
      </c>
      <c r="I27" s="20">
        <f>[3]KLM!$HH$15</f>
        <v>0</v>
      </c>
      <c r="J27" s="20">
        <f>'[3]Air Georgian'!$HH$15</f>
        <v>0</v>
      </c>
      <c r="K27" s="20">
        <f>'[3]Sky Regional'!$HH$15</f>
        <v>0</v>
      </c>
      <c r="L27" s="20">
        <f>[3]Condor!$HH$15</f>
        <v>0</v>
      </c>
      <c r="M27" s="20">
        <f>'[3]Aer Lingus'!$HH$15</f>
        <v>0</v>
      </c>
      <c r="N27" s="20">
        <f>'[3]Air France'!$HH$15</f>
        <v>0</v>
      </c>
      <c r="O27" s="20">
        <f>'[3]Charter Misc'!$HH$15+[3]Ryan!$HH$15+[3]Omni!$HH$15</f>
        <v>0</v>
      </c>
      <c r="P27" s="254">
        <f>SUM(B27:O27)</f>
        <v>135</v>
      </c>
    </row>
    <row r="28" spans="1:19" x14ac:dyDescent="0.2">
      <c r="A28" s="60" t="s">
        <v>23</v>
      </c>
      <c r="B28" s="20">
        <f>[3]Delta!$HH$16</f>
        <v>91</v>
      </c>
      <c r="C28" s="20">
        <f>'[3]Atlantic Southeast'!$HH$16</f>
        <v>0</v>
      </c>
      <c r="D28" s="20">
        <f>[3]Pinnacle!$HH$16</f>
        <v>0</v>
      </c>
      <c r="E28" s="20">
        <f>'[3]Sky West'!$HH$16</f>
        <v>31</v>
      </c>
      <c r="F28" s="20">
        <f>'[3]Go Jet'!$HH$16</f>
        <v>0</v>
      </c>
      <c r="G28" s="20">
        <f>'[3]Sun Country'!$HH$16</f>
        <v>12</v>
      </c>
      <c r="H28" s="20">
        <f>[3]Icelandair!$HH$16</f>
        <v>0</v>
      </c>
      <c r="I28" s="20">
        <f>[3]KLM!$HH$16</f>
        <v>0</v>
      </c>
      <c r="J28" s="20">
        <f>'[3]Air Georgian'!$HH$16</f>
        <v>0</v>
      </c>
      <c r="K28" s="20">
        <f>'[3]Sky Regional'!$HH$16</f>
        <v>0</v>
      </c>
      <c r="L28" s="20">
        <f>[3]Condor!$HH$16</f>
        <v>0</v>
      </c>
      <c r="M28" s="20">
        <f>'[3]Aer Lingus'!$HH$16</f>
        <v>0</v>
      </c>
      <c r="N28" s="20">
        <f>'[3]Air France'!$HH$16</f>
        <v>0</v>
      </c>
      <c r="O28" s="20">
        <f>'[3]Charter Misc'!$HH$16+[3]Ryan!$HH$16+[3]Omni!$HH$16</f>
        <v>0</v>
      </c>
      <c r="P28" s="254">
        <f>SUM(B28:O28)</f>
        <v>134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182</v>
      </c>
      <c r="C30" s="354">
        <f t="shared" si="21"/>
        <v>0</v>
      </c>
      <c r="D30" s="354">
        <f t="shared" si="21"/>
        <v>0</v>
      </c>
      <c r="E30" s="354">
        <f>SUM(E27:E28)</f>
        <v>62</v>
      </c>
      <c r="F30" s="354">
        <f>SUM(F27:F28)</f>
        <v>0</v>
      </c>
      <c r="G30" s="354">
        <f t="shared" si="21"/>
        <v>25</v>
      </c>
      <c r="H30" s="354">
        <f t="shared" si="21"/>
        <v>0</v>
      </c>
      <c r="I30" s="354">
        <f t="shared" ref="I30" si="22">SUM(I27:I28)</f>
        <v>0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0</v>
      </c>
      <c r="O30" s="354">
        <f>SUM(O27:O28)</f>
        <v>0</v>
      </c>
      <c r="P30" s="355">
        <f>SUM(B30:O30)</f>
        <v>269</v>
      </c>
    </row>
    <row r="31" spans="1:19" ht="15" x14ac:dyDescent="0.25">
      <c r="A31" s="356"/>
    </row>
    <row r="32" spans="1:19" ht="39" thickBot="1" x14ac:dyDescent="0.25">
      <c r="B32" s="409" t="s">
        <v>18</v>
      </c>
      <c r="C32" s="466" t="s">
        <v>195</v>
      </c>
      <c r="D32" s="480" t="s">
        <v>157</v>
      </c>
      <c r="E32" s="410" t="s">
        <v>163</v>
      </c>
      <c r="F32" s="410" t="s">
        <v>162</v>
      </c>
      <c r="G32" s="410" t="s">
        <v>49</v>
      </c>
      <c r="H32" s="410" t="s">
        <v>113</v>
      </c>
      <c r="I32" s="410" t="s">
        <v>194</v>
      </c>
      <c r="J32" s="410" t="s">
        <v>191</v>
      </c>
      <c r="K32" s="410" t="s">
        <v>196</v>
      </c>
      <c r="L32" s="410" t="s">
        <v>161</v>
      </c>
      <c r="M32" s="410" t="s">
        <v>211</v>
      </c>
      <c r="N32" s="410" t="s">
        <v>156</v>
      </c>
      <c r="O32" s="410" t="s">
        <v>139</v>
      </c>
      <c r="P32" s="410" t="s">
        <v>21</v>
      </c>
    </row>
    <row r="33" spans="1:16" ht="15" x14ac:dyDescent="0.25">
      <c r="A33" s="592" t="s">
        <v>143</v>
      </c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4"/>
    </row>
    <row r="34" spans="1:16" x14ac:dyDescent="0.2">
      <c r="A34" s="60" t="s">
        <v>22</v>
      </c>
      <c r="B34" s="20">
        <f>SUM([3]Delta!$HD$15:$HH$15)</f>
        <v>965</v>
      </c>
      <c r="C34" s="20">
        <f>SUM('[3]Atlantic Southeast'!$HD$15:$HH$15)</f>
        <v>0</v>
      </c>
      <c r="D34" s="20">
        <f>SUM([3]Pinnacle!$HD$15:$HH$15)</f>
        <v>0</v>
      </c>
      <c r="E34" s="20">
        <f>SUM('[3]Sky West'!$HD$15:$HH$15)</f>
        <v>266</v>
      </c>
      <c r="F34" s="20">
        <f>SUM('[3]Go Jet'!$HD$15:$HH$15)</f>
        <v>0</v>
      </c>
      <c r="G34" s="20">
        <f>SUM('[3]Sun Country'!$HD$15:$HH$15)</f>
        <v>524</v>
      </c>
      <c r="H34" s="20">
        <f>SUM([3]Icelandair!$HD$15:$HH$15)</f>
        <v>0</v>
      </c>
      <c r="I34" s="20">
        <f>SUM([3]KLM!$HD$15:$HH$15)</f>
        <v>0</v>
      </c>
      <c r="J34" s="20">
        <f>SUM('[3]Air Georgian'!$HD$15:$HH$15)</f>
        <v>0</v>
      </c>
      <c r="K34" s="20">
        <f>SUM('[3]Sky Regional'!$HD$15:$HH$15)</f>
        <v>0</v>
      </c>
      <c r="L34" s="20">
        <f>SUM([3]Condor!$HD$15:$HH$15)</f>
        <v>0</v>
      </c>
      <c r="M34" s="20">
        <f>SUM('[3]Aer Lingus'!$HD$15:$HH$15)</f>
        <v>0</v>
      </c>
      <c r="N34" s="20">
        <f>SUM('[3]Air France'!$HD$15:$HH$15)</f>
        <v>0</v>
      </c>
      <c r="O34" s="20">
        <f>SUM('[3]Charter Misc'!$HD$15:$HH$15)+SUM([3]Ryan!$HD$15:$HH$15)+SUM([3]Omni!$HD$15:$HH$15)</f>
        <v>0</v>
      </c>
      <c r="P34" s="254">
        <f>SUM(B34:O34)</f>
        <v>1755</v>
      </c>
    </row>
    <row r="35" spans="1:16" x14ac:dyDescent="0.2">
      <c r="A35" s="60" t="s">
        <v>23</v>
      </c>
      <c r="B35" s="20">
        <f>SUM([3]Delta!$HD$16:$HH$16)</f>
        <v>962</v>
      </c>
      <c r="C35" s="20">
        <f>SUM('[3]Atlantic Southeast'!$HD$16:$HH$16)</f>
        <v>0</v>
      </c>
      <c r="D35" s="20">
        <f>SUM([3]Pinnacle!$HD$16:$HH$16)</f>
        <v>0</v>
      </c>
      <c r="E35" s="20">
        <f>SUM('[3]Sky West'!$HD$16:$HH$16)</f>
        <v>234</v>
      </c>
      <c r="F35" s="20">
        <f>SUM('[3]Go Jet'!$HD$16:$HH$16)</f>
        <v>0</v>
      </c>
      <c r="G35" s="20">
        <f>SUM('[3]Sun Country'!$HD$16:$HH$16)</f>
        <v>519</v>
      </c>
      <c r="H35" s="20">
        <f>SUM([3]Icelandair!$HD$16:$HH$16)</f>
        <v>0</v>
      </c>
      <c r="I35" s="20">
        <f>SUM([3]KLM!$HD$16:$HH$16)</f>
        <v>0</v>
      </c>
      <c r="J35" s="20">
        <f>SUM('[3]Air Georgian'!$HD$16:$HH$16)</f>
        <v>0</v>
      </c>
      <c r="K35" s="20">
        <f>SUM('[3]Sky Regional'!$HD$16:$HH$16)</f>
        <v>0</v>
      </c>
      <c r="L35" s="20">
        <f>SUM([3]Condor!$HD$16:$HH$16)</f>
        <v>0</v>
      </c>
      <c r="M35" s="20">
        <f>SUM('[3]Aer Lingus'!$HD$16:$HH$16)</f>
        <v>0</v>
      </c>
      <c r="N35" s="20">
        <f>SUM('[3]Air France'!$HD$16:$HH$16)</f>
        <v>0</v>
      </c>
      <c r="O35" s="20">
        <f>SUM('[3]Charter Misc'!$HD$16:$HH$16)+SUM([3]Ryan!$HD$16:$HH$16)+SUM([3]Omni!$HD$16:$HH$16)</f>
        <v>0</v>
      </c>
      <c r="P35" s="254">
        <f>SUM(B35:O35)</f>
        <v>1715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1927</v>
      </c>
      <c r="C37" s="354">
        <f t="shared" si="24"/>
        <v>0</v>
      </c>
      <c r="D37" s="354">
        <f t="shared" si="24"/>
        <v>0</v>
      </c>
      <c r="E37" s="354">
        <f>+SUM(E34:E35)</f>
        <v>500</v>
      </c>
      <c r="F37" s="354">
        <f>+SUM(F34:F35)</f>
        <v>0</v>
      </c>
      <c r="G37" s="354">
        <f t="shared" si="24"/>
        <v>1043</v>
      </c>
      <c r="H37" s="354">
        <f t="shared" si="24"/>
        <v>0</v>
      </c>
      <c r="I37" s="354">
        <f t="shared" ref="I37" si="25">+SUM(I34:I35)</f>
        <v>0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0</v>
      </c>
      <c r="O37" s="354">
        <f>+SUM(O34:O35)</f>
        <v>0</v>
      </c>
      <c r="P37" s="355">
        <f>SUM(B37:O37)</f>
        <v>3470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&amp;"Arial,Bold"May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Normal="100" zoomScaleSheetLayoutView="85" workbookViewId="0">
      <pane ySplit="2" topLeftCell="A43" activePane="bottomLeft" state="frozen"/>
      <selection pane="bottomLeft" activeCell="A3" sqref="A3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199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0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10.28515625" bestFit="1" customWidth="1"/>
    <col min="18" max="18" width="8.285156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3" t="s">
        <v>132</v>
      </c>
      <c r="B1" s="604"/>
      <c r="C1" s="422" t="s">
        <v>232</v>
      </c>
      <c r="D1" s="423" t="s">
        <v>207</v>
      </c>
      <c r="E1" s="240" t="s">
        <v>95</v>
      </c>
      <c r="F1" s="239" t="s">
        <v>233</v>
      </c>
      <c r="G1" s="423" t="s">
        <v>233</v>
      </c>
      <c r="H1" s="238" t="s">
        <v>96</v>
      </c>
      <c r="I1" s="240" t="s">
        <v>234</v>
      </c>
      <c r="J1" s="609" t="s">
        <v>136</v>
      </c>
      <c r="K1" s="610"/>
      <c r="L1" s="420" t="s">
        <v>235</v>
      </c>
      <c r="M1" s="421" t="s">
        <v>209</v>
      </c>
      <c r="N1" s="314" t="s">
        <v>96</v>
      </c>
      <c r="O1" s="449" t="s">
        <v>236</v>
      </c>
      <c r="P1" s="241" t="s">
        <v>210</v>
      </c>
      <c r="Q1" s="445" t="s">
        <v>96</v>
      </c>
      <c r="R1" s="450" t="s">
        <v>234</v>
      </c>
      <c r="S1" s="595" t="s">
        <v>237</v>
      </c>
      <c r="T1" s="596"/>
      <c r="U1" s="522" t="s">
        <v>235</v>
      </c>
      <c r="V1" s="523" t="s">
        <v>209</v>
      </c>
      <c r="W1" s="524" t="s">
        <v>96</v>
      </c>
      <c r="X1" s="525" t="s">
        <v>236</v>
      </c>
      <c r="Y1" s="526" t="s">
        <v>210</v>
      </c>
      <c r="Z1" s="527" t="s">
        <v>96</v>
      </c>
      <c r="AA1" s="528" t="s">
        <v>234</v>
      </c>
    </row>
    <row r="2" spans="1:27" s="198" customFormat="1" ht="13.5" customHeight="1" thickBot="1" x14ac:dyDescent="0.25">
      <c r="A2" s="605">
        <v>44317</v>
      </c>
      <c r="B2" s="606"/>
      <c r="C2" s="607" t="s">
        <v>9</v>
      </c>
      <c r="D2" s="608"/>
      <c r="E2" s="608"/>
      <c r="F2" s="608"/>
      <c r="G2" s="608"/>
      <c r="H2" s="608"/>
      <c r="I2" s="424"/>
      <c r="J2" s="605">
        <f>+A2</f>
        <v>44317</v>
      </c>
      <c r="K2" s="606"/>
      <c r="L2" s="600" t="s">
        <v>138</v>
      </c>
      <c r="M2" s="601"/>
      <c r="N2" s="601"/>
      <c r="O2" s="601"/>
      <c r="P2" s="601"/>
      <c r="Q2" s="601"/>
      <c r="R2" s="602"/>
      <c r="S2" s="578">
        <f>+J2</f>
        <v>44317</v>
      </c>
      <c r="T2" s="579"/>
      <c r="U2" s="597" t="s">
        <v>238</v>
      </c>
      <c r="V2" s="598"/>
      <c r="W2" s="598"/>
      <c r="X2" s="598"/>
      <c r="Y2" s="598"/>
      <c r="Z2" s="598"/>
      <c r="AA2" s="599"/>
    </row>
    <row r="3" spans="1:27" x14ac:dyDescent="0.2">
      <c r="A3" s="315"/>
      <c r="B3" s="316"/>
      <c r="C3" s="317"/>
      <c r="D3" s="318"/>
      <c r="E3" s="319"/>
      <c r="F3" s="384"/>
      <c r="G3" s="385"/>
      <c r="H3" s="442"/>
      <c r="I3" s="319"/>
      <c r="J3" s="320"/>
      <c r="K3" s="316"/>
      <c r="L3" s="451"/>
      <c r="M3" s="5"/>
      <c r="N3" s="83"/>
      <c r="O3" s="315"/>
      <c r="P3" s="321"/>
      <c r="Q3" s="321"/>
      <c r="R3" s="316"/>
      <c r="S3" s="320"/>
      <c r="T3" s="316"/>
      <c r="U3" s="451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7">
        <f>'[3]Aer Lingus'!$HH$19</f>
        <v>0</v>
      </c>
      <c r="D4" s="469">
        <f>'[3]Aer Lingus'!$GT$19</f>
        <v>0</v>
      </c>
      <c r="E4" s="478" t="e">
        <f>(C4-D4)/D4</f>
        <v>#DIV/0!</v>
      </c>
      <c r="F4" s="469">
        <f>SUM('[3]Aer Lingus'!$HD$19:$HH$19)</f>
        <v>0</v>
      </c>
      <c r="G4" s="469">
        <f>SUM('[3]Aer Lingus'!$GP$19:$GT$19)</f>
        <v>88</v>
      </c>
      <c r="H4" s="479">
        <f>(F4-G4)/G4</f>
        <v>-1</v>
      </c>
      <c r="I4" s="478">
        <f>F4/$F$70</f>
        <v>0</v>
      </c>
      <c r="J4" s="322" t="s">
        <v>211</v>
      </c>
      <c r="K4" s="54"/>
      <c r="L4" s="477">
        <f>'[3]Aer Lingus'!$HH$41</f>
        <v>0</v>
      </c>
      <c r="M4" s="469">
        <f>'[3]Aer Lingus'!$GT$41</f>
        <v>0</v>
      </c>
      <c r="N4" s="478" t="e">
        <f>(L4-M4)/M4</f>
        <v>#DIV/0!</v>
      </c>
      <c r="O4" s="477">
        <f>SUM('[3]Aer Lingus'!$HD$41:$HH$41)</f>
        <v>0</v>
      </c>
      <c r="P4" s="469">
        <f>SUM('[3]Aer Lingus'!$GP$41:$GT$41)</f>
        <v>9622</v>
      </c>
      <c r="Q4" s="479">
        <f>(O4-P4)/P4</f>
        <v>-1</v>
      </c>
      <c r="R4" s="478">
        <f>O4/$O$70</f>
        <v>0</v>
      </c>
      <c r="S4" s="322" t="s">
        <v>211</v>
      </c>
      <c r="T4" s="54"/>
      <c r="U4" s="477">
        <f>'[3]Aer Lingus'!$HH$64</f>
        <v>0</v>
      </c>
      <c r="V4" s="469">
        <f>'[3]Aer Lingus'!$GT$64</f>
        <v>0</v>
      </c>
      <c r="W4" s="478" t="e">
        <f>(U4-V4)/V4</f>
        <v>#DIV/0!</v>
      </c>
      <c r="X4" s="477">
        <f>SUM('[3]Aer Lingus'!$HD$64:$HH$64)</f>
        <v>0</v>
      </c>
      <c r="Y4" s="469">
        <f>SUM('[3]Aer Lingus'!$GP$64:$GT$64)</f>
        <v>10341</v>
      </c>
      <c r="Z4" s="479">
        <f>(X4-Y4)/Y4</f>
        <v>-1</v>
      </c>
      <c r="AA4" s="478">
        <f>X4/$X$70</f>
        <v>0</v>
      </c>
    </row>
    <row r="5" spans="1:27" x14ac:dyDescent="0.2">
      <c r="A5" s="52"/>
      <c r="B5" s="54"/>
      <c r="C5" s="451"/>
      <c r="D5" s="5"/>
      <c r="E5" s="83"/>
      <c r="F5" s="475"/>
      <c r="G5" s="9"/>
      <c r="H5" s="36"/>
      <c r="I5" s="83"/>
      <c r="J5" s="476"/>
      <c r="K5" s="54"/>
      <c r="L5" s="451"/>
      <c r="M5" s="5"/>
      <c r="N5" s="83"/>
      <c r="O5" s="52"/>
      <c r="P5" s="11"/>
      <c r="Q5" s="11"/>
      <c r="R5" s="54"/>
      <c r="S5" s="476"/>
      <c r="T5" s="54"/>
      <c r="U5" s="451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SUM(C7:C9)</f>
        <v>0</v>
      </c>
      <c r="D6" s="325">
        <f>SUM(D7:D9)</f>
        <v>0</v>
      </c>
      <c r="E6" s="326" t="e">
        <f>(C6-D6)/D6</f>
        <v>#DIV/0!</v>
      </c>
      <c r="F6" s="323">
        <f>SUM(F7:F9)</f>
        <v>0</v>
      </c>
      <c r="G6" s="325">
        <f>SUM(G7:G9)</f>
        <v>390</v>
      </c>
      <c r="H6" s="324">
        <f>(F6-G6)/G6</f>
        <v>-1</v>
      </c>
      <c r="I6" s="326">
        <f>F6/$F$70</f>
        <v>0</v>
      </c>
      <c r="J6" s="322" t="s">
        <v>98</v>
      </c>
      <c r="K6" s="54"/>
      <c r="L6" s="323">
        <f>SUM(L7:L9)</f>
        <v>0</v>
      </c>
      <c r="M6" s="325">
        <f>SUM(M7:M9)</f>
        <v>0</v>
      </c>
      <c r="N6" s="326" t="e">
        <f>(L6-M6)/M6</f>
        <v>#DIV/0!</v>
      </c>
      <c r="O6" s="323">
        <f>SUM(O7:O9)</f>
        <v>0</v>
      </c>
      <c r="P6" s="325">
        <f>SUM(P7:P9)</f>
        <v>16941</v>
      </c>
      <c r="Q6" s="324">
        <f>(O6-P6)/P6</f>
        <v>-1</v>
      </c>
      <c r="R6" s="326">
        <f>O6/$O$70</f>
        <v>0</v>
      </c>
      <c r="S6" s="322" t="s">
        <v>98</v>
      </c>
      <c r="T6" s="54"/>
      <c r="U6" s="477">
        <f>SUM(U7:U9)</f>
        <v>0</v>
      </c>
      <c r="V6" s="469">
        <f>SUM(V7:V9)</f>
        <v>0</v>
      </c>
      <c r="W6" s="478" t="e">
        <f>(U6-V6)/V6</f>
        <v>#DIV/0!</v>
      </c>
      <c r="X6" s="477">
        <f>SUM(X7:X9)</f>
        <v>0</v>
      </c>
      <c r="Y6" s="469">
        <f>SUM(Y7:Y9)</f>
        <v>4266</v>
      </c>
      <c r="Z6" s="479">
        <f>(X6-Y6)/Y6</f>
        <v>-1</v>
      </c>
      <c r="AA6" s="478">
        <f>X6/$X$70</f>
        <v>0</v>
      </c>
    </row>
    <row r="7" spans="1:27" ht="14.1" customHeight="1" x14ac:dyDescent="0.2">
      <c r="A7" s="322"/>
      <c r="B7" s="397" t="s">
        <v>98</v>
      </c>
      <c r="C7" s="327">
        <f>+[3]AirCanada!$HH$19</f>
        <v>0</v>
      </c>
      <c r="D7" s="9">
        <f>+[3]AirCanada!$GT$19</f>
        <v>0</v>
      </c>
      <c r="E7" s="84" t="e">
        <f>(C7-D7)/D7</f>
        <v>#DIV/0!</v>
      </c>
      <c r="F7" s="267">
        <f>SUM([3]AirCanada!$HD$19:$HH$19)</f>
        <v>0</v>
      </c>
      <c r="G7" s="267">
        <f>SUM([3]AirCanada!$GP$19:$GT$19)</f>
        <v>0</v>
      </c>
      <c r="H7" s="404" t="e">
        <f>(F7-G7)/G7</f>
        <v>#DIV/0!</v>
      </c>
      <c r="I7" s="84">
        <f>F7/$F$70</f>
        <v>0</v>
      </c>
      <c r="J7" s="322"/>
      <c r="K7" s="397" t="s">
        <v>98</v>
      </c>
      <c r="L7" s="403">
        <f>+[3]AirCanada!$HH$41</f>
        <v>0</v>
      </c>
      <c r="M7" s="267">
        <f>+[3]AirCanada!$GT$41</f>
        <v>0</v>
      </c>
      <c r="N7" s="405" t="e">
        <f>(L7-M7)/M7</f>
        <v>#DIV/0!</v>
      </c>
      <c r="O7" s="403">
        <f>SUM([3]AirCanada!$HD$41:$HH$41)</f>
        <v>0</v>
      </c>
      <c r="P7" s="267">
        <f>SUM([3]AirCanada!$GP$41:$GT$41)</f>
        <v>0</v>
      </c>
      <c r="Q7" s="404" t="e">
        <f>(O7-P7)/P7</f>
        <v>#DIV/0!</v>
      </c>
      <c r="R7" s="405">
        <f>O7/$O$70</f>
        <v>0</v>
      </c>
      <c r="S7" s="322"/>
      <c r="T7" s="397" t="s">
        <v>98</v>
      </c>
      <c r="U7" s="509">
        <f>+[3]AirCanada!$HH$64</f>
        <v>0</v>
      </c>
      <c r="V7" s="283">
        <f>+[3]AirCanada!$GT$64</f>
        <v>0</v>
      </c>
      <c r="W7" s="510" t="e">
        <f>(U7-V7)/V7</f>
        <v>#DIV/0!</v>
      </c>
      <c r="X7" s="509">
        <f>SUM([3]AirCanada!$HD$64:$HH$64)</f>
        <v>0</v>
      </c>
      <c r="Y7" s="283">
        <f>SUM([3]AirCanada!$GP$64:$GT$64)</f>
        <v>0</v>
      </c>
      <c r="Z7" s="491" t="e">
        <f>(X7-Y7)/Y7</f>
        <v>#DIV/0!</v>
      </c>
      <c r="AA7" s="510">
        <f>X7/$X$70</f>
        <v>0</v>
      </c>
    </row>
    <row r="8" spans="1:27" ht="14.1" customHeight="1" x14ac:dyDescent="0.2">
      <c r="A8" s="322"/>
      <c r="B8" s="397" t="s">
        <v>164</v>
      </c>
      <c r="C8" s="327">
        <f>'[3]Air Georgian'!$HH$19</f>
        <v>0</v>
      </c>
      <c r="D8" s="9">
        <f>'[3]Air Georgian'!$GT$19</f>
        <v>0</v>
      </c>
      <c r="E8" s="84" t="e">
        <f>(C8-D8)/D8</f>
        <v>#DIV/0!</v>
      </c>
      <c r="F8" s="267">
        <f>SUM('[3]Air Georgian'!$HD$19:$HH$19)</f>
        <v>0</v>
      </c>
      <c r="G8" s="267">
        <f>SUM('[3]Air Georgian'!$GP$19:$GT$19)</f>
        <v>0</v>
      </c>
      <c r="H8" s="404" t="e">
        <f>(F8-G8)/G8</f>
        <v>#DIV/0!</v>
      </c>
      <c r="I8" s="84">
        <f>F8/$F$70</f>
        <v>0</v>
      </c>
      <c r="J8" s="322"/>
      <c r="K8" s="397" t="s">
        <v>164</v>
      </c>
      <c r="L8" s="327">
        <f>'[3]Air Georgian'!$HH$41</f>
        <v>0</v>
      </c>
      <c r="M8" s="9">
        <f>'[3]Air Georgian'!$GT$41</f>
        <v>0</v>
      </c>
      <c r="N8" s="84" t="e">
        <f>(L8-M8)/M8</f>
        <v>#DIV/0!</v>
      </c>
      <c r="O8" s="327">
        <f>SUM('[3]Air Georgian'!$HD$41:$HH$41)</f>
        <v>0</v>
      </c>
      <c r="P8" s="9">
        <f>SUM('[3]Air Georgian'!$GP$41:$GT$41)</f>
        <v>0</v>
      </c>
      <c r="Q8" s="38" t="e">
        <f>(O8-P8)/P8</f>
        <v>#DIV/0!</v>
      </c>
      <c r="R8" s="84">
        <f>O8/$O$70</f>
        <v>0</v>
      </c>
      <c r="S8" s="322"/>
      <c r="T8" s="397" t="s">
        <v>164</v>
      </c>
      <c r="U8" s="451">
        <f>'[3]Air Georgian'!$HH$64</f>
        <v>0</v>
      </c>
      <c r="V8" s="2">
        <f>'[3]Air Georgian'!$GT$64</f>
        <v>0</v>
      </c>
      <c r="W8" s="83" t="e">
        <f>(U8-V8)/V8</f>
        <v>#DIV/0!</v>
      </c>
      <c r="X8" s="451">
        <f>SUM('[3]Air Georgian'!$HD$64:$HH$64)</f>
        <v>0</v>
      </c>
      <c r="Y8" s="2">
        <f>SUM('[3]Air Georgian'!$GP$64:$GT$64)</f>
        <v>0</v>
      </c>
      <c r="Z8" s="3" t="e">
        <f>(X8-Y8)/Y8</f>
        <v>#DIV/0!</v>
      </c>
      <c r="AA8" s="83">
        <f>X8/$X$70</f>
        <v>0</v>
      </c>
    </row>
    <row r="9" spans="1:27" ht="14.1" customHeight="1" x14ac:dyDescent="0.2">
      <c r="A9" s="322"/>
      <c r="B9" s="397" t="s">
        <v>192</v>
      </c>
      <c r="C9" s="327">
        <f>'[3]Sky Regional'!$HH$19</f>
        <v>0</v>
      </c>
      <c r="D9" s="9">
        <f>'[3]Sky Regional'!$GT$19</f>
        <v>0</v>
      </c>
      <c r="E9" s="84" t="e">
        <f>(C9-D9)/D9</f>
        <v>#DIV/0!</v>
      </c>
      <c r="F9" s="267">
        <f>SUM('[3]Sky Regional'!$HD$19:$HH$19)</f>
        <v>0</v>
      </c>
      <c r="G9" s="267">
        <f>SUM('[3]Sky Regional'!$GP$19:$GT$19)</f>
        <v>390</v>
      </c>
      <c r="H9" s="404">
        <f>(F9-G9)/G9</f>
        <v>-1</v>
      </c>
      <c r="I9" s="84">
        <f>F9/$F$70</f>
        <v>0</v>
      </c>
      <c r="J9" s="322"/>
      <c r="K9" s="397" t="s">
        <v>192</v>
      </c>
      <c r="L9" s="327">
        <f>'[3]Sky Regional'!$HH$41</f>
        <v>0</v>
      </c>
      <c r="M9" s="9">
        <f>'[3]Sky Regional'!$GT$41</f>
        <v>0</v>
      </c>
      <c r="N9" s="84" t="e">
        <f>(L9-M9)/M9</f>
        <v>#DIV/0!</v>
      </c>
      <c r="O9" s="327">
        <f>SUM('[3]Sky Regional'!$HD$41:$HH$41)</f>
        <v>0</v>
      </c>
      <c r="P9" s="9">
        <f>SUM('[3]Sky Regional'!$GP$41:$GT$41)</f>
        <v>16941</v>
      </c>
      <c r="Q9" s="38">
        <f>(O9-P9)/P9</f>
        <v>-1</v>
      </c>
      <c r="R9" s="84">
        <f>O9/$O$70</f>
        <v>0</v>
      </c>
      <c r="S9" s="322"/>
      <c r="T9" s="397" t="s">
        <v>192</v>
      </c>
      <c r="U9" s="451">
        <f>'[3]Sky Regional'!$HH$64</f>
        <v>0</v>
      </c>
      <c r="V9" s="2">
        <f>'[3]Sky Regional'!$GT$64</f>
        <v>0</v>
      </c>
      <c r="W9" s="83" t="e">
        <f>(U9-V9)/V9</f>
        <v>#DIV/0!</v>
      </c>
      <c r="X9" s="451">
        <f>SUM('[3]Sky Regional'!$HD$64:$HH$64)</f>
        <v>0</v>
      </c>
      <c r="Y9" s="2">
        <f>SUM('[3]Sky Regional'!$GP$64:$GT$64)</f>
        <v>4266</v>
      </c>
      <c r="Z9" s="3">
        <f>(X9-Y9)/Y9</f>
        <v>-1</v>
      </c>
      <c r="AA9" s="83">
        <f>X9/$X$70</f>
        <v>0</v>
      </c>
    </row>
    <row r="10" spans="1:27" ht="14.1" customHeight="1" x14ac:dyDescent="0.2">
      <c r="A10" s="322"/>
      <c r="B10" s="54"/>
      <c r="C10" s="323"/>
      <c r="D10" s="325"/>
      <c r="E10" s="326"/>
      <c r="F10" s="325"/>
      <c r="G10" s="325"/>
      <c r="H10" s="324"/>
      <c r="I10" s="326"/>
      <c r="J10" s="322"/>
      <c r="K10" s="54"/>
      <c r="L10" s="327"/>
      <c r="M10" s="9"/>
      <c r="N10" s="84"/>
      <c r="O10" s="327"/>
      <c r="P10" s="9"/>
      <c r="Q10" s="38"/>
      <c r="R10" s="84"/>
      <c r="S10" s="322"/>
      <c r="T10" s="54"/>
      <c r="U10" s="451"/>
      <c r="V10" s="2"/>
      <c r="W10" s="83"/>
      <c r="X10" s="451"/>
      <c r="Y10" s="2"/>
      <c r="Z10" s="3"/>
      <c r="AA10" s="83"/>
    </row>
    <row r="11" spans="1:27" ht="14.1" customHeight="1" x14ac:dyDescent="0.2">
      <c r="A11" s="322" t="s">
        <v>178</v>
      </c>
      <c r="B11" s="54"/>
      <c r="C11" s="323">
        <f>'[3]Air Choice One'!$HH$19</f>
        <v>0</v>
      </c>
      <c r="D11" s="325">
        <f>'[3]Air Choice One'!$GT$19</f>
        <v>188</v>
      </c>
      <c r="E11" s="326">
        <f>(C11-D11)/D11</f>
        <v>-1</v>
      </c>
      <c r="F11" s="325">
        <f>SUM('[3]Air Choice One'!$HD$19:$HH$19)</f>
        <v>264</v>
      </c>
      <c r="G11" s="325">
        <f>SUM('[3]Air Choice One'!$GP$19:$GT$19)</f>
        <v>930</v>
      </c>
      <c r="H11" s="324">
        <f>(F11-G11)/G11</f>
        <v>-0.71612903225806457</v>
      </c>
      <c r="I11" s="326">
        <f>F11/$F$70</f>
        <v>2.6495117471723485E-3</v>
      </c>
      <c r="J11" s="322" t="s">
        <v>178</v>
      </c>
      <c r="K11" s="54"/>
      <c r="L11" s="323">
        <f>'[3]Air Choice One'!$HH$41</f>
        <v>0</v>
      </c>
      <c r="M11" s="325">
        <f>'[3]Air Choice One'!$GT$41</f>
        <v>180</v>
      </c>
      <c r="N11" s="326">
        <f>(L11-M11)/M11</f>
        <v>-1</v>
      </c>
      <c r="O11" s="323">
        <f>SUM('[3]Air Choice One'!$HD$41:$HH$41)</f>
        <v>471</v>
      </c>
      <c r="P11" s="325">
        <f>SUM('[3]Air Choice One'!$GP$41:$GT$41)</f>
        <v>2177</v>
      </c>
      <c r="Q11" s="324">
        <f>(O11-P11)/P11</f>
        <v>-0.78364722094625627</v>
      </c>
      <c r="R11" s="326">
        <f>O11/$O$70</f>
        <v>6.3266178948454322E-5</v>
      </c>
      <c r="S11" s="322" t="s">
        <v>178</v>
      </c>
      <c r="T11" s="54"/>
      <c r="U11" s="477">
        <f>'[3]Air Choice One'!$HH$64</f>
        <v>0</v>
      </c>
      <c r="V11" s="469">
        <f>'[3]Air Choice One'!$GT$64</f>
        <v>0</v>
      </c>
      <c r="W11" s="478" t="e">
        <f>(U11-V11)/V11</f>
        <v>#DIV/0!</v>
      </c>
      <c r="X11" s="477">
        <f>SUM('[3]Air Choice One'!$HD$64:$HH$64)</f>
        <v>0</v>
      </c>
      <c r="Y11" s="469">
        <f>SUM('[3]Air Choice One'!$GP$64:$GT$64)</f>
        <v>0</v>
      </c>
      <c r="Z11" s="479" t="e">
        <f>(X11-Y11)/Y11</f>
        <v>#DIV/0!</v>
      </c>
      <c r="AA11" s="478">
        <f>X11/$X$70</f>
        <v>0</v>
      </c>
    </row>
    <row r="12" spans="1:27" ht="14.1" customHeight="1" x14ac:dyDescent="0.2">
      <c r="A12" s="322"/>
      <c r="B12" s="54"/>
      <c r="C12" s="323"/>
      <c r="D12" s="325"/>
      <c r="E12" s="326"/>
      <c r="F12" s="325"/>
      <c r="G12" s="325"/>
      <c r="H12" s="324"/>
      <c r="I12" s="326"/>
      <c r="J12" s="322"/>
      <c r="K12" s="54"/>
      <c r="L12" s="327"/>
      <c r="M12" s="9"/>
      <c r="N12" s="84"/>
      <c r="O12" s="327"/>
      <c r="P12" s="9"/>
      <c r="Q12" s="38"/>
      <c r="R12" s="84"/>
      <c r="S12" s="322"/>
      <c r="T12" s="54"/>
      <c r="U12" s="451"/>
      <c r="V12" s="2"/>
      <c r="W12" s="83"/>
      <c r="X12" s="451"/>
      <c r="Y12" s="2"/>
      <c r="Z12" s="3"/>
      <c r="AA12" s="83"/>
    </row>
    <row r="13" spans="1:27" ht="14.1" customHeight="1" x14ac:dyDescent="0.2">
      <c r="A13" s="322" t="s">
        <v>156</v>
      </c>
      <c r="B13" s="54"/>
      <c r="C13" s="323">
        <f>'[3]Air France'!$HH$19</f>
        <v>0</v>
      </c>
      <c r="D13" s="325">
        <f>'[3]Air France'!$GT$19</f>
        <v>0</v>
      </c>
      <c r="E13" s="326" t="e">
        <f>(C13-D13)/D13</f>
        <v>#DIV/0!</v>
      </c>
      <c r="F13" s="325">
        <f>SUM('[3]Air France'!$HD$19:$HH$19)</f>
        <v>0</v>
      </c>
      <c r="G13" s="325">
        <f>SUM('[3]Air France'!$GP$19:$GT$19)</f>
        <v>0</v>
      </c>
      <c r="H13" s="324" t="e">
        <f>(F13-G13)/G13</f>
        <v>#DIV/0!</v>
      </c>
      <c r="I13" s="326">
        <f>F13/$F$70</f>
        <v>0</v>
      </c>
      <c r="J13" s="322" t="s">
        <v>156</v>
      </c>
      <c r="K13" s="54"/>
      <c r="L13" s="323">
        <f>'[3]Air France'!$HH$41</f>
        <v>0</v>
      </c>
      <c r="M13" s="325">
        <f>'[3]Air France'!$GT$41</f>
        <v>0</v>
      </c>
      <c r="N13" s="326" t="e">
        <f>(L13-M13)/M13</f>
        <v>#DIV/0!</v>
      </c>
      <c r="O13" s="323">
        <f>SUM('[3]Air France'!$HD$41:$HH$41)</f>
        <v>0</v>
      </c>
      <c r="P13" s="325">
        <f>SUM('[3]Air France'!$GP$41:$GT$41)</f>
        <v>0</v>
      </c>
      <c r="Q13" s="324" t="e">
        <f>(O13-P13)/P13</f>
        <v>#DIV/0!</v>
      </c>
      <c r="R13" s="326">
        <f>O13/$O$70</f>
        <v>0</v>
      </c>
      <c r="S13" s="322" t="s">
        <v>156</v>
      </c>
      <c r="T13" s="54"/>
      <c r="U13" s="477">
        <f>'[3]Air France'!$HH$64</f>
        <v>0</v>
      </c>
      <c r="V13" s="469">
        <f>'[3]Air France'!$GT$64</f>
        <v>0</v>
      </c>
      <c r="W13" s="478" t="e">
        <f>(U13-V13)/V13</f>
        <v>#DIV/0!</v>
      </c>
      <c r="X13" s="477">
        <f>SUM('[3]Air France'!$HD$64:$HH$64)</f>
        <v>0</v>
      </c>
      <c r="Y13" s="469">
        <f>SUM('[3]Air France'!$GP$64:$GT$64)</f>
        <v>0</v>
      </c>
      <c r="Z13" s="479" t="e">
        <f>(X13-Y13)/Y13</f>
        <v>#DIV/0!</v>
      </c>
      <c r="AA13" s="478">
        <f>X13/$X$70</f>
        <v>0</v>
      </c>
    </row>
    <row r="14" spans="1:27" ht="14.1" customHeight="1" x14ac:dyDescent="0.2">
      <c r="A14" s="322"/>
      <c r="B14" s="54"/>
      <c r="C14" s="323"/>
      <c r="D14" s="325"/>
      <c r="E14" s="326"/>
      <c r="F14" s="325"/>
      <c r="G14" s="325"/>
      <c r="H14" s="324"/>
      <c r="I14" s="326"/>
      <c r="J14" s="322"/>
      <c r="K14" s="54"/>
      <c r="L14" s="327"/>
      <c r="M14" s="9"/>
      <c r="N14" s="84"/>
      <c r="O14" s="327"/>
      <c r="P14" s="9"/>
      <c r="Q14" s="38"/>
      <c r="R14" s="84"/>
      <c r="S14" s="322"/>
      <c r="T14" s="54"/>
      <c r="U14" s="451"/>
      <c r="V14" s="2"/>
      <c r="W14" s="83"/>
      <c r="X14" s="451"/>
      <c r="Y14" s="2"/>
      <c r="Z14" s="3"/>
      <c r="AA14" s="83"/>
    </row>
    <row r="15" spans="1:27" ht="14.1" customHeight="1" x14ac:dyDescent="0.2">
      <c r="A15" s="322" t="s">
        <v>128</v>
      </c>
      <c r="B15" s="54"/>
      <c r="C15" s="323">
        <f>SUM(C16:C18)</f>
        <v>182</v>
      </c>
      <c r="D15" s="325">
        <f>SUM(D16:D18)</f>
        <v>135</v>
      </c>
      <c r="E15" s="326">
        <f>(C15-D15)/D15</f>
        <v>0.34814814814814815</v>
      </c>
      <c r="F15" s="325">
        <f>SUM(F16:F18)</f>
        <v>615</v>
      </c>
      <c r="G15" s="325">
        <f>SUM(G16:G18)</f>
        <v>714</v>
      </c>
      <c r="H15" s="324">
        <f>(F15-G15)/G15</f>
        <v>-0.13865546218487396</v>
      </c>
      <c r="I15" s="326">
        <f>F15/$F$70</f>
        <v>6.1721580473901305E-3</v>
      </c>
      <c r="J15" s="322" t="s">
        <v>128</v>
      </c>
      <c r="K15" s="54"/>
      <c r="L15" s="323">
        <f>SUM(L16:L18)</f>
        <v>19567</v>
      </c>
      <c r="M15" s="325">
        <f>SUM(M16:M18)</f>
        <v>4005</v>
      </c>
      <c r="N15" s="326">
        <f>(L15-M15)/M15</f>
        <v>3.8856429463171036</v>
      </c>
      <c r="O15" s="323">
        <f>SUM(O16:O18)</f>
        <v>61775</v>
      </c>
      <c r="P15" s="325">
        <f>SUM(P16:P18)</f>
        <v>49169</v>
      </c>
      <c r="Q15" s="324">
        <f>(O15-P15)/P15</f>
        <v>0.25638105310256465</v>
      </c>
      <c r="R15" s="326">
        <f>O15/$O$70</f>
        <v>8.2978093514665934E-3</v>
      </c>
      <c r="S15" s="322" t="s">
        <v>128</v>
      </c>
      <c r="T15" s="54"/>
      <c r="U15" s="477">
        <f>SUM(U16:U18)</f>
        <v>37703</v>
      </c>
      <c r="V15" s="469">
        <f>SUM(V16:V18)</f>
        <v>39208</v>
      </c>
      <c r="W15" s="478">
        <f>(U15-V15)/V15</f>
        <v>-3.8385023464599065E-2</v>
      </c>
      <c r="X15" s="477">
        <f>SUM(X16:X18)</f>
        <v>156824</v>
      </c>
      <c r="Y15" s="469">
        <f>SUM(Y16:Y18)</f>
        <v>127134</v>
      </c>
      <c r="Z15" s="479">
        <f>(X15-Y15)/Y15</f>
        <v>0.23353312253213146</v>
      </c>
      <c r="AA15" s="478">
        <f>X15/$X$70</f>
        <v>7.6255057080914946E-3</v>
      </c>
    </row>
    <row r="16" spans="1:27" ht="14.1" customHeight="1" x14ac:dyDescent="0.2">
      <c r="A16" s="322"/>
      <c r="B16" s="397" t="s">
        <v>128</v>
      </c>
      <c r="C16" s="403">
        <f>[3]Alaska!$HH$19</f>
        <v>120</v>
      </c>
      <c r="D16" s="267">
        <f>[3]Alaska!$GT$19</f>
        <v>122</v>
      </c>
      <c r="E16" s="405">
        <f>(C16-D16)/D16</f>
        <v>-1.6393442622950821E-2</v>
      </c>
      <c r="F16" s="267">
        <f>SUM([3]Alaska!$HD$19:$HH$19)</f>
        <v>501</v>
      </c>
      <c r="G16" s="267">
        <f>SUM([3]Alaska!$GP$19:$GT$19)</f>
        <v>535</v>
      </c>
      <c r="H16" s="404">
        <f>(F16-G16)/G16</f>
        <v>-6.3551401869158877E-2</v>
      </c>
      <c r="I16" s="405">
        <f>F16/$F$70</f>
        <v>5.0280507020202527E-3</v>
      </c>
      <c r="J16" s="322"/>
      <c r="K16" s="397" t="s">
        <v>128</v>
      </c>
      <c r="L16" s="403">
        <f>[3]Alaska!$HH$41</f>
        <v>15548</v>
      </c>
      <c r="M16" s="267">
        <f>[3]Alaska!$GT$41</f>
        <v>3640</v>
      </c>
      <c r="N16" s="405">
        <f>(L16-M16)/M16</f>
        <v>3.2714285714285714</v>
      </c>
      <c r="O16" s="403">
        <f>SUM([3]Alaska!$HD$41:$HH$41)</f>
        <v>54250</v>
      </c>
      <c r="P16" s="267">
        <f>SUM([3]Alaska!$GP$41:$GT$41)</f>
        <v>38593</v>
      </c>
      <c r="Q16" s="404">
        <f>(O16-P16)/P16</f>
        <v>0.40569533335060765</v>
      </c>
      <c r="R16" s="405">
        <f>O16/$O$70</f>
        <v>7.2870280423644306E-3</v>
      </c>
      <c r="S16" s="322"/>
      <c r="T16" s="397" t="s">
        <v>128</v>
      </c>
      <c r="U16" s="509">
        <f>[3]Alaska!$HH$64</f>
        <v>36089</v>
      </c>
      <c r="V16" s="283">
        <f>[3]Alaska!$GT$64</f>
        <v>39138</v>
      </c>
      <c r="W16" s="510">
        <f>(U16-V16)/V16</f>
        <v>-7.7903827482242324E-2</v>
      </c>
      <c r="X16" s="509">
        <f>SUM([3]Alaska!$HD$64:$HH$64)</f>
        <v>149844</v>
      </c>
      <c r="Y16" s="283">
        <f>SUM([3]Alaska!$GP$64:$GT$64)</f>
        <v>118668</v>
      </c>
      <c r="Z16" s="491">
        <f>(X16-Y16)/Y16</f>
        <v>0.26271614925674991</v>
      </c>
      <c r="AA16" s="510">
        <f>X16/$X$70</f>
        <v>7.2861059361020121E-3</v>
      </c>
    </row>
    <row r="17" spans="1:27" ht="14.1" customHeight="1" x14ac:dyDescent="0.2">
      <c r="A17" s="322"/>
      <c r="B17" s="397" t="s">
        <v>97</v>
      </c>
      <c r="C17" s="327">
        <f>'[3]Sky West_AS'!$HH$19</f>
        <v>0</v>
      </c>
      <c r="D17" s="9">
        <f>'[3]Sky West_AS'!$GT$19</f>
        <v>13</v>
      </c>
      <c r="E17" s="84">
        <f>(C17-D17)/D17</f>
        <v>-1</v>
      </c>
      <c r="F17" s="9">
        <f>SUM('[3]Sky West_AS'!$HD$19:$HH$19)</f>
        <v>0</v>
      </c>
      <c r="G17" s="9">
        <f>SUM('[3]Sky West_AS'!$GP$19:$GT$19)</f>
        <v>13</v>
      </c>
      <c r="H17" s="38">
        <f>(F17-G17)/G17</f>
        <v>-1</v>
      </c>
      <c r="I17" s="84">
        <f>F17/$F$70</f>
        <v>0</v>
      </c>
      <c r="J17" s="322"/>
      <c r="K17" s="397" t="s">
        <v>97</v>
      </c>
      <c r="L17" s="327">
        <f>'[3]Sky West_AS'!$HH$41</f>
        <v>0</v>
      </c>
      <c r="M17" s="9">
        <f>'[3]Sky West_AS'!$GT$41</f>
        <v>365</v>
      </c>
      <c r="N17" s="84">
        <f>(L17-M17)/M17</f>
        <v>-1</v>
      </c>
      <c r="O17" s="327">
        <f>SUM('[3]Sky West_AS'!$HD$41:$HH$41)</f>
        <v>0</v>
      </c>
      <c r="P17" s="9">
        <f>SUM('[3]Sky West_AS'!$GP$41:$GT$41)</f>
        <v>365</v>
      </c>
      <c r="Q17" s="38">
        <f>(O17-P17)/P17</f>
        <v>-1</v>
      </c>
      <c r="R17" s="405">
        <f>O17/$O$70</f>
        <v>0</v>
      </c>
      <c r="S17" s="322"/>
      <c r="T17" s="397" t="s">
        <v>97</v>
      </c>
      <c r="U17" s="451">
        <f>'[3]Sky West_AS'!$HH$64</f>
        <v>0</v>
      </c>
      <c r="V17" s="2">
        <f>'[3]Sky West_AS'!$GT$64</f>
        <v>70</v>
      </c>
      <c r="W17" s="83">
        <f>(U17-V17)/V17</f>
        <v>-1</v>
      </c>
      <c r="X17" s="451">
        <f>SUM('[3]Sky West_AS'!$HD$64:$HH$64)</f>
        <v>0</v>
      </c>
      <c r="Y17" s="2">
        <f>SUM('[3]Sky West_AS'!$GP$64:$GT$64)</f>
        <v>70</v>
      </c>
      <c r="Z17" s="3">
        <f>(X17-Y17)/Y17</f>
        <v>-1</v>
      </c>
      <c r="AA17" s="510">
        <f>X17/$X$70</f>
        <v>0</v>
      </c>
    </row>
    <row r="18" spans="1:27" ht="14.1" customHeight="1" x14ac:dyDescent="0.2">
      <c r="A18" s="322"/>
      <c r="B18" s="397" t="s">
        <v>193</v>
      </c>
      <c r="C18" s="327">
        <f>[3]Horizon_AS!$HH$19</f>
        <v>62</v>
      </c>
      <c r="D18" s="9">
        <f>[3]Horizon_AS!$GT$19</f>
        <v>0</v>
      </c>
      <c r="E18" s="84" t="e">
        <f>(C18-D18)/D18</f>
        <v>#DIV/0!</v>
      </c>
      <c r="F18" s="9">
        <f>SUM([3]Horizon_AS!$HD$19:$HH$19)</f>
        <v>114</v>
      </c>
      <c r="G18" s="9">
        <f>SUM([3]Horizon_AS!$GP$19:$GT$19)</f>
        <v>166</v>
      </c>
      <c r="H18" s="38">
        <f>(F18-G18)/G18</f>
        <v>-0.31325301204819278</v>
      </c>
      <c r="I18" s="84">
        <f>F18/$F$70</f>
        <v>1.1441073453698778E-3</v>
      </c>
      <c r="J18" s="322"/>
      <c r="K18" s="397" t="s">
        <v>193</v>
      </c>
      <c r="L18" s="327">
        <f>[3]Horizon_AS!$HH$41</f>
        <v>4019</v>
      </c>
      <c r="M18" s="9">
        <f>[3]Horizon_AS!$GT$41</f>
        <v>0</v>
      </c>
      <c r="N18" s="84" t="e">
        <f>(L18-M18)/M18</f>
        <v>#DIV/0!</v>
      </c>
      <c r="O18" s="327">
        <f>SUM([3]Horizon_AS!$HD$41:$HH$41)</f>
        <v>7525</v>
      </c>
      <c r="P18" s="9">
        <f>SUM([3]Horizon_AS!$GP$41:$GT$41)</f>
        <v>10211</v>
      </c>
      <c r="Q18" s="38">
        <f>(O18-P18)/P18</f>
        <v>-0.26304965233571637</v>
      </c>
      <c r="R18" s="405">
        <f>O18/$O$70</f>
        <v>1.010781309102163E-3</v>
      </c>
      <c r="S18" s="322"/>
      <c r="T18" s="397" t="s">
        <v>193</v>
      </c>
      <c r="U18" s="451">
        <f>[3]Horizon_AS!$HH$64</f>
        <v>1614</v>
      </c>
      <c r="V18" s="2">
        <f>[3]Horizon_AS!$GT$64</f>
        <v>0</v>
      </c>
      <c r="W18" s="83" t="e">
        <f>(U18-V18)/V18</f>
        <v>#DIV/0!</v>
      </c>
      <c r="X18" s="451">
        <f>SUM([3]Horizon_AS!$HD$64:$HH$64)</f>
        <v>6980</v>
      </c>
      <c r="Y18" s="2">
        <f>SUM([3]Horizon_AS!$GP$64:$GT$64)</f>
        <v>8396</v>
      </c>
      <c r="Z18" s="3">
        <f>(X18-Y18)/Y18</f>
        <v>-0.1686517389232968</v>
      </c>
      <c r="AA18" s="510">
        <f>X18/$X$70</f>
        <v>3.393997719894827E-4</v>
      </c>
    </row>
    <row r="19" spans="1:27" ht="14.1" customHeight="1" x14ac:dyDescent="0.2">
      <c r="A19" s="322"/>
      <c r="B19" s="54"/>
      <c r="C19" s="323"/>
      <c r="D19" s="328"/>
      <c r="E19" s="326"/>
      <c r="F19" s="328"/>
      <c r="G19" s="328"/>
      <c r="H19" s="324"/>
      <c r="I19" s="326"/>
      <c r="J19" s="322"/>
      <c r="K19" s="54"/>
      <c r="L19" s="329"/>
      <c r="M19" s="144"/>
      <c r="N19" s="84"/>
      <c r="O19" s="329"/>
      <c r="P19" s="144"/>
      <c r="Q19" s="38"/>
      <c r="R19" s="84"/>
      <c r="S19" s="322"/>
      <c r="T19" s="54"/>
      <c r="U19" s="167"/>
      <c r="V19" s="128"/>
      <c r="W19" s="83"/>
      <c r="X19" s="167"/>
      <c r="Y19" s="128"/>
      <c r="Z19" s="3"/>
      <c r="AA19" s="83"/>
    </row>
    <row r="20" spans="1:27" ht="14.1" customHeight="1" x14ac:dyDescent="0.2">
      <c r="A20" s="322" t="s">
        <v>17</v>
      </c>
      <c r="B20" s="335"/>
      <c r="C20" s="323">
        <f>SUM(C21:C27)</f>
        <v>1143</v>
      </c>
      <c r="D20" s="325">
        <f>SUM(D21:D27)</f>
        <v>420</v>
      </c>
      <c r="E20" s="326">
        <f t="shared" ref="E20:E27" si="0">(C20-D20)/D20</f>
        <v>1.7214285714285715</v>
      </c>
      <c r="F20" s="323">
        <f>SUM(F21:F27)</f>
        <v>4277</v>
      </c>
      <c r="G20" s="325">
        <f>SUM(G21:G27)</f>
        <v>5253</v>
      </c>
      <c r="H20" s="324">
        <f t="shared" ref="H20:H27" si="1">(F20-G20)/G20</f>
        <v>-0.18579859128117265</v>
      </c>
      <c r="I20" s="326">
        <f t="shared" ref="I20:I27" si="2">F20/$F$70</f>
        <v>4.292409751006112E-2</v>
      </c>
      <c r="J20" s="322" t="s">
        <v>17</v>
      </c>
      <c r="K20" s="330"/>
      <c r="L20" s="323">
        <f>SUM(L21:L27)</f>
        <v>114948</v>
      </c>
      <c r="M20" s="325">
        <f>SUM(M21:M27)</f>
        <v>29303</v>
      </c>
      <c r="N20" s="326">
        <f t="shared" ref="N20:N27" si="3">(L20-M20)/M20</f>
        <v>2.9227382861823021</v>
      </c>
      <c r="O20" s="323">
        <f>SUM(O21:O27)</f>
        <v>415434</v>
      </c>
      <c r="P20" s="325">
        <f>SUM(P21:P27)</f>
        <v>410086</v>
      </c>
      <c r="Q20" s="324">
        <f t="shared" ref="Q20:Q27" si="4">(O20-P20)/P20</f>
        <v>1.304116697473213E-2</v>
      </c>
      <c r="R20" s="326">
        <f t="shared" ref="R20:R27" si="5">O20/$O$70</f>
        <v>5.5802381709707367E-2</v>
      </c>
      <c r="S20" s="322" t="s">
        <v>17</v>
      </c>
      <c r="T20" s="330"/>
      <c r="U20" s="477">
        <f>SUM(U21:U27)</f>
        <v>181884</v>
      </c>
      <c r="V20" s="469">
        <f>SUM(V21:V27)</f>
        <v>264003</v>
      </c>
      <c r="W20" s="478">
        <f t="shared" ref="W20:W24" si="6">(U20-V20)/V20</f>
        <v>-0.31105328348541494</v>
      </c>
      <c r="X20" s="477">
        <f>SUM(X21:X27)</f>
        <v>827588</v>
      </c>
      <c r="Y20" s="469">
        <f>SUM(Y21:Y27)</f>
        <v>953174</v>
      </c>
      <c r="Z20" s="479">
        <f t="shared" ref="Z20:Z24" si="7">(X20-Y20)/Y20</f>
        <v>-0.13175558712260302</v>
      </c>
      <c r="AA20" s="478">
        <f t="shared" ref="AA20:AA27" si="8">X20/$X$70</f>
        <v>4.0241143051752436E-2</v>
      </c>
    </row>
    <row r="21" spans="1:27" ht="14.1" customHeight="1" x14ac:dyDescent="0.2">
      <c r="A21" s="52"/>
      <c r="B21" s="332" t="s">
        <v>17</v>
      </c>
      <c r="C21" s="327">
        <f>[3]American!$HH$19</f>
        <v>848</v>
      </c>
      <c r="D21" s="9">
        <f>[3]American!$GT$19</f>
        <v>303</v>
      </c>
      <c r="E21" s="84">
        <f t="shared" si="0"/>
        <v>1.7986798679867986</v>
      </c>
      <c r="F21" s="9">
        <f>SUM([3]American!$HD$19:$HH$19)</f>
        <v>2831</v>
      </c>
      <c r="G21" s="9">
        <f>SUM([3]American!$GP$19:$GT$19)</f>
        <v>3204</v>
      </c>
      <c r="H21" s="38">
        <f t="shared" si="1"/>
        <v>-0.11641697877652935</v>
      </c>
      <c r="I21" s="84">
        <f t="shared" si="2"/>
        <v>2.8411999076685301E-2</v>
      </c>
      <c r="J21" s="52"/>
      <c r="K21" s="331" t="s">
        <v>17</v>
      </c>
      <c r="L21" s="327">
        <f>[3]American!$HH$41</f>
        <v>96636</v>
      </c>
      <c r="M21" s="9">
        <f>[3]American!$GT$41</f>
        <v>24357</v>
      </c>
      <c r="N21" s="84">
        <f t="shared" si="3"/>
        <v>2.9674836802561892</v>
      </c>
      <c r="O21" s="327">
        <f>SUM([3]American!$HD$41:$HH$41)</f>
        <v>329753</v>
      </c>
      <c r="P21" s="9">
        <f>SUM([3]American!$GP$41:$GT$41)</f>
        <v>318507</v>
      </c>
      <c r="Q21" s="38">
        <f t="shared" si="4"/>
        <v>3.5308486155720284E-2</v>
      </c>
      <c r="R21" s="84">
        <f t="shared" si="5"/>
        <v>4.4293444388088445E-2</v>
      </c>
      <c r="S21" s="52"/>
      <c r="T21" s="54" t="s">
        <v>17</v>
      </c>
      <c r="U21" s="451">
        <f>[3]American!$HH$64</f>
        <v>181495</v>
      </c>
      <c r="V21" s="2">
        <f>[3]American!$GT$64</f>
        <v>260013</v>
      </c>
      <c r="W21" s="83">
        <f t="shared" si="6"/>
        <v>-0.30197720883186607</v>
      </c>
      <c r="X21" s="451">
        <f>SUM([3]American!$HD$64:$HH$64)</f>
        <v>821718</v>
      </c>
      <c r="Y21" s="2">
        <f>SUM([3]American!$GP$64:$GT$64)</f>
        <v>945797</v>
      </c>
      <c r="Z21" s="3">
        <f t="shared" si="7"/>
        <v>-0.13118988535594847</v>
      </c>
      <c r="AA21" s="83">
        <f t="shared" si="8"/>
        <v>3.9955716595938932E-2</v>
      </c>
    </row>
    <row r="22" spans="1:27" ht="14.1" customHeight="1" x14ac:dyDescent="0.2">
      <c r="A22" s="52"/>
      <c r="B22" s="398" t="s">
        <v>165</v>
      </c>
      <c r="C22" s="327">
        <f>'[3]American Eagle'!$HH$19</f>
        <v>111</v>
      </c>
      <c r="D22" s="9">
        <f>'[3]American Eagle'!$GT$19</f>
        <v>75</v>
      </c>
      <c r="E22" s="84">
        <f t="shared" si="0"/>
        <v>0.48</v>
      </c>
      <c r="F22" s="9">
        <f>SUM('[3]American Eagle'!$HD$19:$HH$19)</f>
        <v>843</v>
      </c>
      <c r="G22" s="9">
        <f>SUM('[3]American Eagle'!$GP$19:$GT$19)</f>
        <v>563</v>
      </c>
      <c r="H22" s="38">
        <f t="shared" si="1"/>
        <v>0.49733570159857904</v>
      </c>
      <c r="I22" s="84">
        <f t="shared" si="2"/>
        <v>8.4603727381298861E-3</v>
      </c>
      <c r="J22" s="52"/>
      <c r="K22" s="396" t="s">
        <v>165</v>
      </c>
      <c r="L22" s="327">
        <f>'[3]American Eagle'!$HH$41</f>
        <v>7109</v>
      </c>
      <c r="M22" s="9">
        <f>'[3]American Eagle'!$GT$41</f>
        <v>3319</v>
      </c>
      <c r="N22" s="84">
        <f t="shared" si="3"/>
        <v>1.1419102139198554</v>
      </c>
      <c r="O22" s="327">
        <f>SUM('[3]American Eagle'!$HD$41:$HH$41)</f>
        <v>53053</v>
      </c>
      <c r="P22" s="9">
        <f>SUM('[3]American Eagle'!$GP$41:$GT$41)</f>
        <v>30685</v>
      </c>
      <c r="Q22" s="38">
        <f t="shared" si="4"/>
        <v>0.72895551572429529</v>
      </c>
      <c r="R22" s="84">
        <f t="shared" si="5"/>
        <v>7.1262432945909697E-3</v>
      </c>
      <c r="S22" s="52"/>
      <c r="T22" s="397" t="s">
        <v>165</v>
      </c>
      <c r="U22" s="451">
        <f>'[3]American Eagle'!$HH$64</f>
        <v>240</v>
      </c>
      <c r="V22" s="2">
        <f>'[3]American Eagle'!$GT$64</f>
        <v>3519</v>
      </c>
      <c r="W22" s="83">
        <f t="shared" si="6"/>
        <v>-0.9317988064791134</v>
      </c>
      <c r="X22" s="451">
        <f>SUM('[3]American Eagle'!$HD$64:$HH$64)</f>
        <v>4453</v>
      </c>
      <c r="Y22" s="2">
        <f>SUM('[3]American Eagle'!$GP$64:$GT$64)</f>
        <v>4436</v>
      </c>
      <c r="Z22" s="3">
        <f t="shared" si="7"/>
        <v>3.8322813345356178E-3</v>
      </c>
      <c r="AA22" s="83">
        <f t="shared" si="8"/>
        <v>2.1652538462308974E-4</v>
      </c>
    </row>
    <row r="23" spans="1:27" ht="14.1" customHeight="1" x14ac:dyDescent="0.2">
      <c r="A23" s="52"/>
      <c r="B23" s="398" t="s">
        <v>52</v>
      </c>
      <c r="C23" s="327">
        <f>[3]Republic!$HH$19</f>
        <v>112</v>
      </c>
      <c r="D23" s="9">
        <f>[3]Republic!$GT$19</f>
        <v>42</v>
      </c>
      <c r="E23" s="84">
        <f t="shared" si="0"/>
        <v>1.6666666666666667</v>
      </c>
      <c r="F23" s="9">
        <f>SUM([3]Republic!$HD$19:$HH$19)</f>
        <v>321</v>
      </c>
      <c r="G23" s="9">
        <f>SUM([3]Republic!$GP$19:$GT$19)</f>
        <v>1300</v>
      </c>
      <c r="H23" s="38">
        <f t="shared" si="1"/>
        <v>-0.75307692307692309</v>
      </c>
      <c r="I23" s="84">
        <f t="shared" si="2"/>
        <v>3.2215654198572878E-3</v>
      </c>
      <c r="J23" s="337"/>
      <c r="K23" s="333" t="s">
        <v>52</v>
      </c>
      <c r="L23" s="327">
        <f>[3]Republic!$HH$41</f>
        <v>7401</v>
      </c>
      <c r="M23" s="9">
        <f>[3]Republic!$GT$41</f>
        <v>1627</v>
      </c>
      <c r="N23" s="84">
        <f t="shared" si="3"/>
        <v>3.5488629379225567</v>
      </c>
      <c r="O23" s="327">
        <f>SUM([3]Republic!$HD$41:$HH$41)</f>
        <v>17275</v>
      </c>
      <c r="P23" s="9">
        <f>SUM([3]Republic!$GP$41:$GT$41)</f>
        <v>51329</v>
      </c>
      <c r="Q23" s="38">
        <f t="shared" si="4"/>
        <v>-0.66344561553897408</v>
      </c>
      <c r="R23" s="84">
        <f t="shared" si="5"/>
        <v>2.320431510264434E-3</v>
      </c>
      <c r="S23" s="52"/>
      <c r="T23" s="399" t="s">
        <v>52</v>
      </c>
      <c r="U23" s="451">
        <f>[3]Republic!$HH$64</f>
        <v>129</v>
      </c>
      <c r="V23" s="2">
        <f>[3]Republic!$GT$64</f>
        <v>471</v>
      </c>
      <c r="W23" s="83">
        <f t="shared" si="6"/>
        <v>-0.72611464968152861</v>
      </c>
      <c r="X23" s="451">
        <f>SUM([3]Republic!$HD$64:$HH$64)</f>
        <v>556</v>
      </c>
      <c r="Y23" s="2">
        <f>SUM([3]Republic!$GP$64:$GT$64)</f>
        <v>2381</v>
      </c>
      <c r="Z23" s="3">
        <f t="shared" si="7"/>
        <v>-0.76648467030659384</v>
      </c>
      <c r="AA23" s="83">
        <f t="shared" si="8"/>
        <v>2.7035282697156501E-5</v>
      </c>
    </row>
    <row r="24" spans="1:27" ht="14.1" customHeight="1" x14ac:dyDescent="0.2">
      <c r="A24" s="52"/>
      <c r="B24" s="398" t="s">
        <v>182</v>
      </c>
      <c r="C24" s="327">
        <f>[3]PSA!$HH$19</f>
        <v>56</v>
      </c>
      <c r="D24" s="9">
        <f>[3]PSA!$GT$19</f>
        <v>0</v>
      </c>
      <c r="E24" s="84" t="e">
        <f t="shared" si="0"/>
        <v>#DIV/0!</v>
      </c>
      <c r="F24" s="9">
        <f>SUM([3]PSA!$HD$19:$HH$19)</f>
        <v>108</v>
      </c>
      <c r="G24" s="9">
        <f>SUM([3]PSA!$GP$19:$GT$19)</f>
        <v>0</v>
      </c>
      <c r="H24" s="38" t="e">
        <f t="shared" si="1"/>
        <v>#DIV/0!</v>
      </c>
      <c r="I24" s="84">
        <f t="shared" si="2"/>
        <v>1.0838911692977789E-3</v>
      </c>
      <c r="J24" s="337"/>
      <c r="K24" s="398" t="s">
        <v>182</v>
      </c>
      <c r="L24" s="327">
        <f>[3]PSA!$HH$41</f>
        <v>2953</v>
      </c>
      <c r="M24" s="9">
        <f>[3]PSA!$GT$41</f>
        <v>0</v>
      </c>
      <c r="N24" s="84" t="e">
        <f t="shared" si="3"/>
        <v>#DIV/0!</v>
      </c>
      <c r="O24" s="327">
        <f>SUM([3]PSA!$HD$41:$HH$41)</f>
        <v>5415</v>
      </c>
      <c r="P24" s="9">
        <f>SUM([3]PSA!$GP$41:$GT$41)</f>
        <v>0</v>
      </c>
      <c r="Q24" s="38" t="e">
        <f t="shared" si="4"/>
        <v>#DIV/0!</v>
      </c>
      <c r="R24" s="84">
        <f t="shared" si="5"/>
        <v>7.27359573260892E-4</v>
      </c>
      <c r="S24" s="52"/>
      <c r="T24" s="397" t="s">
        <v>182</v>
      </c>
      <c r="U24" s="451">
        <f>[3]PSA!$HH$64</f>
        <v>20</v>
      </c>
      <c r="V24" s="2">
        <f>[3]PSA!$GT$64</f>
        <v>0</v>
      </c>
      <c r="W24" s="83" t="e">
        <f t="shared" si="6"/>
        <v>#DIV/0!</v>
      </c>
      <c r="X24" s="451">
        <f>SUM([3]PSA!$HD$64:$HH$64)</f>
        <v>20</v>
      </c>
      <c r="Y24" s="2">
        <f>SUM([3]PSA!$GP$64:$GT$64)</f>
        <v>0</v>
      </c>
      <c r="Z24" s="3" t="e">
        <f t="shared" si="7"/>
        <v>#DIV/0!</v>
      </c>
      <c r="AA24" s="83">
        <f t="shared" si="8"/>
        <v>9.724921833509532E-7</v>
      </c>
    </row>
    <row r="25" spans="1:27" ht="14.1" customHeight="1" x14ac:dyDescent="0.2">
      <c r="A25" s="52"/>
      <c r="B25" s="397" t="s">
        <v>97</v>
      </c>
      <c r="C25" s="327">
        <f>'[3]Sky West_AA'!$HH$19</f>
        <v>16</v>
      </c>
      <c r="D25" s="9">
        <f>'[3]Sky West_AA'!$GT$19</f>
        <v>0</v>
      </c>
      <c r="E25" s="84" t="e">
        <f>(C25-D25)/D25</f>
        <v>#DIV/0!</v>
      </c>
      <c r="F25" s="9">
        <f>SUM('[3]Sky West_AA'!$HD$19:$HH$19)</f>
        <v>174</v>
      </c>
      <c r="G25" s="9">
        <f>SUM('[3]Sky West_AA'!$GP$19:$GT$19)</f>
        <v>182</v>
      </c>
      <c r="H25" s="38">
        <f>(F25-G25)/G25</f>
        <v>-4.3956043956043959E-2</v>
      </c>
      <c r="I25" s="84">
        <f t="shared" si="2"/>
        <v>1.7462691060908663E-3</v>
      </c>
      <c r="J25" s="337"/>
      <c r="K25" s="397" t="s">
        <v>97</v>
      </c>
      <c r="L25" s="327">
        <f>'[3]Sky West_AA'!$HH$41</f>
        <v>849</v>
      </c>
      <c r="M25" s="9">
        <f>'[3]Sky West_AA'!$GT$41</f>
        <v>0</v>
      </c>
      <c r="N25" s="84" t="e">
        <f>(L25-M25)/M25</f>
        <v>#DIV/0!</v>
      </c>
      <c r="O25" s="327">
        <f>SUM('[3]Sky West_AA'!$HD$41:$HH$41)</f>
        <v>9938</v>
      </c>
      <c r="P25" s="9">
        <f>SUM('[3]Sky West_AA'!$GP$41:$GT$41)</f>
        <v>9404</v>
      </c>
      <c r="Q25" s="38">
        <f>(O25-P25)/P25</f>
        <v>5.6784347086346235E-2</v>
      </c>
      <c r="R25" s="405">
        <f t="shared" si="5"/>
        <v>1.3349029435026306E-3</v>
      </c>
      <c r="S25" s="52"/>
      <c r="T25" s="397" t="s">
        <v>97</v>
      </c>
      <c r="U25" s="451">
        <f>'[3]Sky West_AA'!$HH$64</f>
        <v>0</v>
      </c>
      <c r="V25" s="2">
        <f>'[3]Sky West_AA'!$GT$64</f>
        <v>0</v>
      </c>
      <c r="W25" s="83" t="e">
        <f>(U25-V25)/V25</f>
        <v>#DIV/0!</v>
      </c>
      <c r="X25" s="451">
        <f>SUM('[3]Sky West_AA'!$HD$64:$HH$64)</f>
        <v>841</v>
      </c>
      <c r="Y25" s="2">
        <f>SUM('[3]Sky West_AA'!$GP$64:$GT$64)</f>
        <v>560</v>
      </c>
      <c r="Z25" s="3">
        <f>(X25-Y25)/Y25</f>
        <v>0.50178571428571428</v>
      </c>
      <c r="AA25" s="510">
        <f t="shared" si="8"/>
        <v>4.0893296309907583E-5</v>
      </c>
    </row>
    <row r="26" spans="1:27" ht="14.1" customHeight="1" x14ac:dyDescent="0.2">
      <c r="A26" s="52"/>
      <c r="B26" s="398" t="s">
        <v>51</v>
      </c>
      <c r="C26" s="327">
        <f>[3]MESA!$HH$19</f>
        <v>0</v>
      </c>
      <c r="D26" s="9">
        <f>[3]MESA!$GT$19</f>
        <v>0</v>
      </c>
      <c r="E26" s="84" t="e">
        <f t="shared" si="0"/>
        <v>#DIV/0!</v>
      </c>
      <c r="F26" s="9">
        <f>SUM([3]MESA!$HD$19:$HH$19)</f>
        <v>0</v>
      </c>
      <c r="G26" s="9">
        <f>SUM([3]MESA!$GP$19:$GT$19)</f>
        <v>0</v>
      </c>
      <c r="H26" s="38" t="e">
        <f t="shared" si="1"/>
        <v>#DIV/0!</v>
      </c>
      <c r="I26" s="84">
        <f t="shared" si="2"/>
        <v>0</v>
      </c>
      <c r="J26" s="337"/>
      <c r="K26" s="396" t="s">
        <v>51</v>
      </c>
      <c r="L26" s="327">
        <f>[3]MESA!$HH$41</f>
        <v>0</v>
      </c>
      <c r="M26" s="9">
        <f>[3]MESA!$GT$41</f>
        <v>0</v>
      </c>
      <c r="N26" s="84" t="e">
        <f t="shared" si="3"/>
        <v>#DIV/0!</v>
      </c>
      <c r="O26" s="327">
        <f>SUM([3]MESA!$HD$41:$HH$41)</f>
        <v>0</v>
      </c>
      <c r="P26" s="9">
        <f>SUM([3]MESA!$GP$41:$GT$41)</f>
        <v>0</v>
      </c>
      <c r="Q26" s="38" t="e">
        <f t="shared" si="4"/>
        <v>#DIV/0!</v>
      </c>
      <c r="R26" s="84">
        <f t="shared" si="5"/>
        <v>0</v>
      </c>
      <c r="S26" s="52"/>
      <c r="T26" s="397" t="s">
        <v>51</v>
      </c>
      <c r="U26" s="451">
        <f>[3]MESA!$HH$64</f>
        <v>0</v>
      </c>
      <c r="V26" s="2">
        <f>[3]MESA!$GT$64</f>
        <v>0</v>
      </c>
      <c r="W26" s="83" t="e">
        <f t="shared" ref="W26:W27" si="9">(U26-V26)/V26</f>
        <v>#DIV/0!</v>
      </c>
      <c r="X26" s="451">
        <f>SUM([3]MESA!$HD$64:$HH$64)</f>
        <v>0</v>
      </c>
      <c r="Y26" s="2">
        <f>SUM([3]MESA!$GP$64:$GT$64)</f>
        <v>0</v>
      </c>
      <c r="Z26" s="3" t="e">
        <f t="shared" ref="Z26:Z27" si="10">(X26-Y26)/Y26</f>
        <v>#DIV/0!</v>
      </c>
      <c r="AA26" s="83">
        <f t="shared" si="8"/>
        <v>0</v>
      </c>
    </row>
    <row r="27" spans="1:27" ht="14.1" customHeight="1" x14ac:dyDescent="0.2">
      <c r="A27" s="52"/>
      <c r="B27" s="398" t="s">
        <v>50</v>
      </c>
      <c r="C27" s="327">
        <f>'[3]Air Wisconsin'!$HH$19</f>
        <v>0</v>
      </c>
      <c r="D27" s="9">
        <f>'[3]Air Wisconsin'!$GT$19</f>
        <v>0</v>
      </c>
      <c r="E27" s="84" t="e">
        <f t="shared" si="0"/>
        <v>#DIV/0!</v>
      </c>
      <c r="F27" s="9">
        <f>SUM('[3]Air Wisconsin'!$HD$19:$HH$19)</f>
        <v>0</v>
      </c>
      <c r="G27" s="9">
        <f>SUM('[3]Air Wisconsin'!$GP$19:$GT$19)</f>
        <v>4</v>
      </c>
      <c r="H27" s="443">
        <f t="shared" si="1"/>
        <v>-1</v>
      </c>
      <c r="I27" s="84">
        <f t="shared" si="2"/>
        <v>0</v>
      </c>
      <c r="J27" s="52"/>
      <c r="K27" s="399" t="s">
        <v>50</v>
      </c>
      <c r="L27" s="327">
        <f>'[3]Air Wisconsin'!$HH$41</f>
        <v>0</v>
      </c>
      <c r="M27" s="9">
        <f>'[3]Air Wisconsin'!$GT$41</f>
        <v>0</v>
      </c>
      <c r="N27" s="84" t="e">
        <f t="shared" si="3"/>
        <v>#DIV/0!</v>
      </c>
      <c r="O27" s="327">
        <f>SUM('[3]Air Wisconsin'!$HD$41:$HH$41)</f>
        <v>0</v>
      </c>
      <c r="P27" s="9">
        <f>SUM('[3]Air Wisconsin'!$GP$41:$GT$41)</f>
        <v>161</v>
      </c>
      <c r="Q27" s="38">
        <f t="shared" si="4"/>
        <v>-1</v>
      </c>
      <c r="R27" s="84">
        <f t="shared" si="5"/>
        <v>0</v>
      </c>
      <c r="S27" s="52"/>
      <c r="T27" s="399" t="s">
        <v>50</v>
      </c>
      <c r="U27" s="451">
        <f>'[3]Air Wisconsin'!$HH$64</f>
        <v>0</v>
      </c>
      <c r="V27" s="2">
        <f>'[3]Air Wisconsin'!$GT$64</f>
        <v>0</v>
      </c>
      <c r="W27" s="83" t="e">
        <f t="shared" si="9"/>
        <v>#DIV/0!</v>
      </c>
      <c r="X27" s="451">
        <f>SUM('[3]Air Wisconsin'!$HD$64:$HH$64)</f>
        <v>0</v>
      </c>
      <c r="Y27" s="2">
        <f>SUM('[3]Air Wisconsin'!$GP$64:$GT$64)</f>
        <v>0</v>
      </c>
      <c r="Z27" s="3" t="e">
        <f t="shared" si="10"/>
        <v>#DIV/0!</v>
      </c>
      <c r="AA27" s="83">
        <f t="shared" si="8"/>
        <v>0</v>
      </c>
    </row>
    <row r="28" spans="1:27" ht="14.1" customHeight="1" x14ac:dyDescent="0.2">
      <c r="A28" s="52"/>
      <c r="B28" s="332"/>
      <c r="C28" s="327"/>
      <c r="D28" s="9"/>
      <c r="E28" s="84"/>
      <c r="F28" s="9"/>
      <c r="G28" s="9"/>
      <c r="H28" s="38"/>
      <c r="I28" s="84"/>
      <c r="J28" s="52"/>
      <c r="K28" s="332"/>
      <c r="L28" s="327"/>
      <c r="M28" s="9"/>
      <c r="N28" s="84"/>
      <c r="O28" s="327"/>
      <c r="P28" s="9"/>
      <c r="Q28" s="38"/>
      <c r="R28" s="84"/>
      <c r="S28" s="52"/>
      <c r="T28" s="54"/>
      <c r="U28" s="451"/>
      <c r="V28" s="2"/>
      <c r="W28" s="83"/>
      <c r="X28" s="451"/>
      <c r="Y28" s="2"/>
      <c r="Z28" s="3"/>
      <c r="AA28" s="83"/>
    </row>
    <row r="29" spans="1:27" ht="14.1" customHeight="1" x14ac:dyDescent="0.2">
      <c r="A29" s="322" t="s">
        <v>179</v>
      </c>
      <c r="B29" s="332"/>
      <c r="C29" s="323">
        <f>'[3]Boutique Air'!$HH$19</f>
        <v>44</v>
      </c>
      <c r="D29" s="325">
        <f>'[3]Boutique Air'!$GT$19</f>
        <v>152</v>
      </c>
      <c r="E29" s="326">
        <f>(C29-D29)/D29</f>
        <v>-0.71052631578947367</v>
      </c>
      <c r="F29" s="325">
        <f>SUM('[3]Boutique Air'!$HD$19:$HH$19)</f>
        <v>226</v>
      </c>
      <c r="G29" s="325">
        <f>SUM('[3]Boutique Air'!$GP$19:$GT$19)</f>
        <v>803</v>
      </c>
      <c r="H29" s="324">
        <f>(F29-G29)/G29</f>
        <v>-0.71855541718555416</v>
      </c>
      <c r="I29" s="326">
        <f>F29/$F$70</f>
        <v>2.2681426320490562E-3</v>
      </c>
      <c r="J29" s="322" t="s">
        <v>179</v>
      </c>
      <c r="K29" s="332"/>
      <c r="L29" s="323">
        <f>'[3]Boutique Air'!$HH$41</f>
        <v>183</v>
      </c>
      <c r="M29" s="325">
        <f>'[3]Boutique Air'!$GT$41</f>
        <v>77</v>
      </c>
      <c r="N29" s="326">
        <f>(L29-M29)/M29</f>
        <v>1.3766233766233766</v>
      </c>
      <c r="O29" s="323">
        <f>SUM('[3]Boutique Air'!$HD$41:$HH$41)</f>
        <v>998</v>
      </c>
      <c r="P29" s="325">
        <f>SUM('[3]Boutique Air'!$GP$41:$GT$41)</f>
        <v>2456</v>
      </c>
      <c r="Q29" s="324">
        <f>(O29-P29)/P29</f>
        <v>-0.59364820846905542</v>
      </c>
      <c r="R29" s="326">
        <f>O29/$O$70</f>
        <v>1.3405445135999451E-4</v>
      </c>
      <c r="S29" s="322" t="s">
        <v>179</v>
      </c>
      <c r="T29" s="54"/>
      <c r="U29" s="477">
        <f>'[3]Boutique Air'!$HH$64</f>
        <v>0</v>
      </c>
      <c r="V29" s="469">
        <f>'[3]Boutique Air'!$GT$64</f>
        <v>0</v>
      </c>
      <c r="W29" s="478" t="e">
        <f>(U29-V29)/V29</f>
        <v>#DIV/0!</v>
      </c>
      <c r="X29" s="477">
        <f>SUM('[3]Boutique Air'!$HD$64:$HH$64)</f>
        <v>0</v>
      </c>
      <c r="Y29" s="469">
        <f>SUM('[3]Boutique Air'!$GP$64:$GT$64)</f>
        <v>0</v>
      </c>
      <c r="Z29" s="479" t="e">
        <f>(X29-Y29)/Y29</f>
        <v>#DIV/0!</v>
      </c>
      <c r="AA29" s="478">
        <f>X29/$X$70</f>
        <v>0</v>
      </c>
    </row>
    <row r="30" spans="1:27" ht="14.1" customHeight="1" x14ac:dyDescent="0.2">
      <c r="A30" s="52"/>
      <c r="B30" s="332"/>
      <c r="C30" s="327"/>
      <c r="D30" s="9"/>
      <c r="E30" s="84"/>
      <c r="F30" s="9"/>
      <c r="G30" s="9"/>
      <c r="H30" s="38"/>
      <c r="I30" s="84"/>
      <c r="J30" s="52"/>
      <c r="K30" s="332"/>
      <c r="L30" s="327"/>
      <c r="M30" s="9"/>
      <c r="N30" s="84"/>
      <c r="O30" s="327"/>
      <c r="P30" s="9"/>
      <c r="Q30" s="38"/>
      <c r="R30" s="84"/>
      <c r="S30" s="52"/>
      <c r="T30" s="54"/>
      <c r="U30" s="451"/>
      <c r="V30" s="2"/>
      <c r="W30" s="83"/>
      <c r="X30" s="451"/>
      <c r="Y30" s="2"/>
      <c r="Z30" s="3"/>
      <c r="AA30" s="83"/>
    </row>
    <row r="31" spans="1:27" ht="14.1" customHeight="1" x14ac:dyDescent="0.2">
      <c r="A31" s="322" t="s">
        <v>161</v>
      </c>
      <c r="B31" s="332"/>
      <c r="C31" s="323">
        <f>[3]Condor!$HH$19</f>
        <v>0</v>
      </c>
      <c r="D31" s="325">
        <f>[3]Condor!$GT$19</f>
        <v>0</v>
      </c>
      <c r="E31" s="326" t="e">
        <f>(C31-D31)/D31</f>
        <v>#DIV/0!</v>
      </c>
      <c r="F31" s="325">
        <f>SUM([3]Condor!$HD$19:$HH$19)</f>
        <v>0</v>
      </c>
      <c r="G31" s="325">
        <f>SUM([3]Condor!$GP$19:$GT$19)</f>
        <v>0</v>
      </c>
      <c r="H31" s="324" t="e">
        <f>(F31-G31)/G31</f>
        <v>#DIV/0!</v>
      </c>
      <c r="I31" s="326">
        <f>F31/$F$70</f>
        <v>0</v>
      </c>
      <c r="J31" s="322" t="s">
        <v>161</v>
      </c>
      <c r="K31" s="332"/>
      <c r="L31" s="323">
        <f>[3]Condor!$HH$41</f>
        <v>0</v>
      </c>
      <c r="M31" s="325">
        <f>[3]Condor!$GT$41</f>
        <v>0</v>
      </c>
      <c r="N31" s="326" t="e">
        <f>(L31-M31)/M31</f>
        <v>#DIV/0!</v>
      </c>
      <c r="O31" s="323">
        <f>SUM([3]Condor!$HD$41:$HH$41)</f>
        <v>0</v>
      </c>
      <c r="P31" s="325">
        <f>SUM([3]Condor!$GP$41:$GT$41)</f>
        <v>0</v>
      </c>
      <c r="Q31" s="324" t="e">
        <f>(O31-P31)/P31</f>
        <v>#DIV/0!</v>
      </c>
      <c r="R31" s="326">
        <f>O31/$O$70</f>
        <v>0</v>
      </c>
      <c r="S31" s="322" t="s">
        <v>161</v>
      </c>
      <c r="T31" s="54"/>
      <c r="U31" s="477">
        <f>[3]Condor!$HH$64</f>
        <v>0</v>
      </c>
      <c r="V31" s="469">
        <f>[3]Condor!$GT$64</f>
        <v>0</v>
      </c>
      <c r="W31" s="478" t="e">
        <f>(U31-V31)/V31</f>
        <v>#DIV/0!</v>
      </c>
      <c r="X31" s="477">
        <f>SUM([3]Condor!$HD$64:$HH$64)</f>
        <v>0</v>
      </c>
      <c r="Y31" s="469">
        <f>SUM([3]Condor!$GP$64:$GT$64)</f>
        <v>0</v>
      </c>
      <c r="Z31" s="479" t="e">
        <f>(X31-Y31)/Y31</f>
        <v>#DIV/0!</v>
      </c>
      <c r="AA31" s="478">
        <f>X31/$X$70</f>
        <v>0</v>
      </c>
    </row>
    <row r="32" spans="1:27" ht="14.1" customHeight="1" x14ac:dyDescent="0.2">
      <c r="A32" s="52"/>
      <c r="B32" s="332"/>
      <c r="C32" s="327"/>
      <c r="D32" s="9"/>
      <c r="E32" s="84"/>
      <c r="F32" s="9"/>
      <c r="G32" s="9"/>
      <c r="H32" s="38"/>
      <c r="I32" s="84"/>
      <c r="J32" s="52"/>
      <c r="K32" s="332"/>
      <c r="L32" s="327"/>
      <c r="M32" s="9"/>
      <c r="N32" s="84"/>
      <c r="O32" s="327"/>
      <c r="P32" s="9"/>
      <c r="Q32" s="38"/>
      <c r="R32" s="84"/>
      <c r="S32" s="52"/>
      <c r="T32" s="54"/>
      <c r="U32" s="451"/>
      <c r="V32" s="2"/>
      <c r="W32" s="83"/>
      <c r="X32" s="451"/>
      <c r="Y32" s="2"/>
      <c r="Z32" s="3"/>
      <c r="AA32" s="83"/>
    </row>
    <row r="33" spans="1:27" ht="14.1" customHeight="1" x14ac:dyDescent="0.2">
      <c r="A33" s="322" t="s">
        <v>239</v>
      </c>
      <c r="B33" s="54"/>
      <c r="C33" s="477">
        <f>'[3]Denver Air'!$HH$19</f>
        <v>104</v>
      </c>
      <c r="D33" s="469">
        <f>'[3]Denver Air'!$GT$19</f>
        <v>0</v>
      </c>
      <c r="E33" s="478" t="e">
        <f>(C33-D33)/D33</f>
        <v>#DIV/0!</v>
      </c>
      <c r="F33" s="469">
        <f>SUM('[3]Denver Air'!$HD$19:$HH$19)</f>
        <v>550</v>
      </c>
      <c r="G33" s="469">
        <f>SUM('[3]Denver Air'!$GP$19:$GT$19)</f>
        <v>0</v>
      </c>
      <c r="H33" s="479" t="e">
        <f>(F33-G33)/G33</f>
        <v>#DIV/0!</v>
      </c>
      <c r="I33" s="478">
        <f>F33/$F$70</f>
        <v>5.519816139942393E-3</v>
      </c>
      <c r="J33" s="322" t="s">
        <v>239</v>
      </c>
      <c r="K33" s="54"/>
      <c r="L33" s="477">
        <f>'[3]Denver Air'!$HH$41</f>
        <v>568</v>
      </c>
      <c r="M33" s="469">
        <f>'[3]Denver Air'!$GT$41</f>
        <v>0</v>
      </c>
      <c r="N33" s="478" t="e">
        <f>(L33-M33)/M33</f>
        <v>#DIV/0!</v>
      </c>
      <c r="O33" s="477">
        <f>SUM('[3]Denver Air'!$HD$41:$HH$41)</f>
        <v>2434</v>
      </c>
      <c r="P33" s="469">
        <f>SUM('[3]Denver Air'!$GP$41:$GT$41)</f>
        <v>0</v>
      </c>
      <c r="Q33" s="479" t="e">
        <f>(O33-P33)/P33</f>
        <v>#DIV/0!</v>
      </c>
      <c r="R33" s="478">
        <f>O33/$O$70</f>
        <v>3.2694241944912484E-4</v>
      </c>
      <c r="S33" s="322" t="s">
        <v>239</v>
      </c>
      <c r="T33" s="54"/>
      <c r="U33" s="477">
        <f>'[3]Denver Air'!$HH$64</f>
        <v>0</v>
      </c>
      <c r="V33" s="469">
        <f>'[3]Denver Air'!$GT$64</f>
        <v>0</v>
      </c>
      <c r="W33" s="478" t="e">
        <f>(U33-V33)/V33</f>
        <v>#DIV/0!</v>
      </c>
      <c r="X33" s="477">
        <f>SUM('[3]Denver Air'!$HD$64:$HH$64)</f>
        <v>0</v>
      </c>
      <c r="Y33" s="469">
        <f>SUM('[3]Denver Air'!$GP$64:$GT$64)</f>
        <v>0</v>
      </c>
      <c r="Z33" s="479" t="e">
        <f>(X33-Y33)/Y33</f>
        <v>#DIV/0!</v>
      </c>
      <c r="AA33" s="478">
        <f>X33/$X$68</f>
        <v>0</v>
      </c>
    </row>
    <row r="34" spans="1:27" ht="14.1" customHeight="1" x14ac:dyDescent="0.2">
      <c r="A34" s="52"/>
      <c r="B34" s="332"/>
      <c r="C34" s="327"/>
      <c r="D34" s="9"/>
      <c r="E34" s="84"/>
      <c r="F34" s="9"/>
      <c r="G34" s="9"/>
      <c r="H34" s="38"/>
      <c r="I34" s="84"/>
      <c r="J34" s="52"/>
      <c r="K34" s="332"/>
      <c r="L34" s="327"/>
      <c r="M34" s="9"/>
      <c r="N34" s="84"/>
      <c r="O34" s="327"/>
      <c r="P34" s="9"/>
      <c r="Q34" s="38"/>
      <c r="R34" s="84"/>
      <c r="S34" s="52"/>
      <c r="T34" s="54"/>
      <c r="U34" s="451"/>
      <c r="V34" s="2"/>
      <c r="W34" s="83"/>
      <c r="X34" s="451"/>
      <c r="Y34" s="2"/>
      <c r="Z34" s="3"/>
      <c r="AA34" s="83"/>
    </row>
    <row r="35" spans="1:27" ht="14.1" customHeight="1" x14ac:dyDescent="0.2">
      <c r="A35" s="322" t="s">
        <v>18</v>
      </c>
      <c r="B35" s="335"/>
      <c r="C35" s="323">
        <f>SUM(C36:C42)</f>
        <v>16996</v>
      </c>
      <c r="D35" s="325">
        <f>SUM(D36:D42)</f>
        <v>5069</v>
      </c>
      <c r="E35" s="326">
        <f t="shared" ref="E35:E42" si="11">(C35-D35)/D35</f>
        <v>2.3529295719076742</v>
      </c>
      <c r="F35" s="328">
        <f>SUM(F36:F42)</f>
        <v>77954</v>
      </c>
      <c r="G35" s="328">
        <f>SUM(G36:G42)</f>
        <v>73314</v>
      </c>
      <c r="H35" s="324">
        <f>(F35-G35)/G35</f>
        <v>6.3289412663338512E-2</v>
      </c>
      <c r="I35" s="326">
        <f t="shared" ref="I35:I42" si="12">F35/$F$70</f>
        <v>0.78234863158739876</v>
      </c>
      <c r="J35" s="322" t="s">
        <v>18</v>
      </c>
      <c r="K35" s="335"/>
      <c r="L35" s="323">
        <f>SUM(L36:L42)</f>
        <v>1482148</v>
      </c>
      <c r="M35" s="325">
        <f>SUM(M36:M42)</f>
        <v>163028</v>
      </c>
      <c r="N35" s="326">
        <f t="shared" ref="N35:N42" si="13">(L35-M35)/M35</f>
        <v>8.091370807468655</v>
      </c>
      <c r="O35" s="323">
        <f>SUM(O36:O42)</f>
        <v>5133241</v>
      </c>
      <c r="P35" s="325">
        <f>SUM(P36:P42)</f>
        <v>5402129</v>
      </c>
      <c r="Q35" s="324">
        <f t="shared" ref="Q35:Q42" si="14">(O35-P35)/P35</f>
        <v>-4.977445003627274E-2</v>
      </c>
      <c r="R35" s="326">
        <f t="shared" ref="R35:R42" si="15">O35/$O$70</f>
        <v>0.68951283161686328</v>
      </c>
      <c r="S35" s="322" t="s">
        <v>18</v>
      </c>
      <c r="T35" s="330"/>
      <c r="U35" s="477">
        <f>SUM(U36:U42)</f>
        <v>4005777</v>
      </c>
      <c r="V35" s="469">
        <f>SUM(V36:V42)</f>
        <v>1668911</v>
      </c>
      <c r="W35" s="478">
        <f t="shared" ref="W35:W42" si="16">(U35-V35)/V35</f>
        <v>1.4002340448352248</v>
      </c>
      <c r="X35" s="477">
        <f>SUM(X36:X42)</f>
        <v>15599165</v>
      </c>
      <c r="Y35" s="469">
        <f>SUM(Y36:Y42)</f>
        <v>22676637</v>
      </c>
      <c r="Z35" s="479">
        <f t="shared" ref="Z35:Z38" si="17">(X35-Y35)/Y35</f>
        <v>-0.31210412725661218</v>
      </c>
      <c r="AA35" s="478">
        <f t="shared" ref="AA35:AA42" si="18">X35/$X$70</f>
        <v>0.7585033014650886</v>
      </c>
    </row>
    <row r="36" spans="1:27" ht="14.1" customHeight="1" x14ac:dyDescent="0.2">
      <c r="A36" s="52"/>
      <c r="B36" s="331" t="s">
        <v>18</v>
      </c>
      <c r="C36" s="327">
        <f>[3]Delta!$HH$19</f>
        <v>7795</v>
      </c>
      <c r="D36" s="9">
        <f>[3]Delta!$GT$19</f>
        <v>2021</v>
      </c>
      <c r="E36" s="84">
        <f t="shared" si="11"/>
        <v>2.8570014844136566</v>
      </c>
      <c r="F36" s="9">
        <f>SUM([3]Delta!$HD$19:$HH$19)</f>
        <v>35229</v>
      </c>
      <c r="G36" s="9">
        <f>SUM([3]Delta!$GP$19:$GT$19)</f>
        <v>36728</v>
      </c>
      <c r="H36" s="38">
        <f t="shared" ref="H36:H42" si="19">(F36-G36)/G36</f>
        <v>-4.0813548246569374E-2</v>
      </c>
      <c r="I36" s="84">
        <f t="shared" si="12"/>
        <v>0.35355927780732832</v>
      </c>
      <c r="J36" s="52"/>
      <c r="K36" s="331" t="s">
        <v>18</v>
      </c>
      <c r="L36" s="327">
        <f>[3]Delta!$HH$41</f>
        <v>1015609</v>
      </c>
      <c r="M36" s="9">
        <f>[3]Delta!$GT$41</f>
        <v>105822</v>
      </c>
      <c r="N36" s="84">
        <f t="shared" si="13"/>
        <v>8.5973332577346859</v>
      </c>
      <c r="O36" s="327">
        <f>SUM([3]Delta!$HD$41:$HH$41)</f>
        <v>3546812</v>
      </c>
      <c r="P36" s="9">
        <f>SUM([3]Delta!$GP$41:$GT$41)</f>
        <v>4058452</v>
      </c>
      <c r="Q36" s="38">
        <f t="shared" si="14"/>
        <v>-0.12606777165283709</v>
      </c>
      <c r="R36" s="84">
        <f t="shared" si="15"/>
        <v>0.47641877428561602</v>
      </c>
      <c r="S36" s="52"/>
      <c r="T36" s="54" t="s">
        <v>18</v>
      </c>
      <c r="U36" s="451">
        <f>[3]Delta!$HH$64</f>
        <v>4005777</v>
      </c>
      <c r="V36" s="2">
        <f>[3]Delta!$GT$64</f>
        <v>1668911</v>
      </c>
      <c r="W36" s="83">
        <f t="shared" si="16"/>
        <v>1.4002340448352248</v>
      </c>
      <c r="X36" s="451">
        <f>SUM([3]Delta!$HD$64:$HH$64)</f>
        <v>15599165</v>
      </c>
      <c r="Y36" s="2">
        <f>SUM([3]Delta!$GP$64:$GT$64)</f>
        <v>22676637</v>
      </c>
      <c r="Z36" s="3">
        <f t="shared" si="17"/>
        <v>-0.31210412725661218</v>
      </c>
      <c r="AA36" s="83">
        <f t="shared" si="18"/>
        <v>0.7585033014650886</v>
      </c>
    </row>
    <row r="37" spans="1:27" ht="14.1" customHeight="1" x14ac:dyDescent="0.2">
      <c r="A37" s="52"/>
      <c r="B37" s="333" t="s">
        <v>117</v>
      </c>
      <c r="C37" s="327">
        <f>[3]Compass!$HH$19</f>
        <v>0</v>
      </c>
      <c r="D37" s="9">
        <f>[3]Compass!$GT$19</f>
        <v>0</v>
      </c>
      <c r="E37" s="84" t="e">
        <f t="shared" si="11"/>
        <v>#DIV/0!</v>
      </c>
      <c r="F37" s="9">
        <f>SUM([3]Compass!$HD$19:$HH$19)</f>
        <v>0</v>
      </c>
      <c r="G37" s="9">
        <f>SUM([3]Compass!$GP$19:$GT$19)</f>
        <v>0</v>
      </c>
      <c r="H37" s="38" t="e">
        <f t="shared" si="19"/>
        <v>#DIV/0!</v>
      </c>
      <c r="I37" s="84">
        <f t="shared" si="12"/>
        <v>0</v>
      </c>
      <c r="J37" s="52"/>
      <c r="K37" s="333" t="s">
        <v>117</v>
      </c>
      <c r="L37" s="327">
        <f>[3]Compass!$HH$41</f>
        <v>0</v>
      </c>
      <c r="M37" s="9">
        <f>[3]Compass!$GT$41</f>
        <v>0</v>
      </c>
      <c r="N37" s="84" t="e">
        <f t="shared" si="13"/>
        <v>#DIV/0!</v>
      </c>
      <c r="O37" s="327">
        <f>SUM([3]Compass!$HD$41:$HH$41)</f>
        <v>0</v>
      </c>
      <c r="P37" s="9">
        <f>SUM([3]Compass!$GP$41:$GT$41)</f>
        <v>0</v>
      </c>
      <c r="Q37" s="38" t="e">
        <f t="shared" si="14"/>
        <v>#DIV/0!</v>
      </c>
      <c r="R37" s="84">
        <f t="shared" si="15"/>
        <v>0</v>
      </c>
      <c r="S37" s="52"/>
      <c r="T37" s="399" t="s">
        <v>117</v>
      </c>
      <c r="U37" s="451">
        <f>[3]Compass!$HH$64</f>
        <v>0</v>
      </c>
      <c r="V37" s="2">
        <f>[3]Compass!$GT$64</f>
        <v>0</v>
      </c>
      <c r="W37" s="83" t="e">
        <f t="shared" si="16"/>
        <v>#DIV/0!</v>
      </c>
      <c r="X37" s="451">
        <f>SUM([3]Compass!$HD$64:$HH$64)</f>
        <v>0</v>
      </c>
      <c r="Y37" s="2">
        <f>SUM([3]Compass!$GP$64:$GT$64)</f>
        <v>0</v>
      </c>
      <c r="Z37" s="3" t="e">
        <f t="shared" si="17"/>
        <v>#DIV/0!</v>
      </c>
      <c r="AA37" s="83">
        <f t="shared" si="18"/>
        <v>0</v>
      </c>
    </row>
    <row r="38" spans="1:27" ht="14.1" customHeight="1" x14ac:dyDescent="0.2">
      <c r="A38" s="52"/>
      <c r="B38" s="332" t="s">
        <v>158</v>
      </c>
      <c r="C38" s="327">
        <f>[3]Pinnacle!$HH$19</f>
        <v>3485</v>
      </c>
      <c r="D38" s="9">
        <f>[3]Pinnacle!$GT$19</f>
        <v>1498</v>
      </c>
      <c r="E38" s="84">
        <f t="shared" si="11"/>
        <v>1.3264352469959946</v>
      </c>
      <c r="F38" s="9">
        <f>SUM([3]Pinnacle!$HD$19:$HH$19)</f>
        <v>15743</v>
      </c>
      <c r="G38" s="9">
        <f>SUM([3]Pinnacle!$GP$19:$GT$19)</f>
        <v>9578</v>
      </c>
      <c r="H38" s="38">
        <f t="shared" si="19"/>
        <v>0.64366256003340994</v>
      </c>
      <c r="I38" s="84">
        <f t="shared" si="12"/>
        <v>0.15799720998384198</v>
      </c>
      <c r="J38" s="52"/>
      <c r="K38" s="332" t="s">
        <v>158</v>
      </c>
      <c r="L38" s="327">
        <f>[3]Pinnacle!$HH$41</f>
        <v>166652</v>
      </c>
      <c r="M38" s="9">
        <f>[3]Pinnacle!$GT$41</f>
        <v>31194</v>
      </c>
      <c r="N38" s="84">
        <f t="shared" si="13"/>
        <v>4.3424376482656921</v>
      </c>
      <c r="O38" s="327">
        <f>SUM([3]Pinnacle!$HD$41:$HH$41)</f>
        <v>569029</v>
      </c>
      <c r="P38" s="9">
        <f>SUM([3]Pinnacle!$GP$41:$GT$41)</f>
        <v>374051</v>
      </c>
      <c r="Q38" s="38">
        <f t="shared" si="14"/>
        <v>0.52126046982898055</v>
      </c>
      <c r="R38" s="84">
        <f t="shared" si="15"/>
        <v>7.6433737878683683E-2</v>
      </c>
      <c r="S38" s="52"/>
      <c r="T38" s="54" t="s">
        <v>158</v>
      </c>
      <c r="U38" s="451">
        <f>[3]Pinnacle!$HH$64</f>
        <v>0</v>
      </c>
      <c r="V38" s="2">
        <f>[3]Pinnacle!$GT$64</f>
        <v>0</v>
      </c>
      <c r="W38" s="83" t="e">
        <f t="shared" si="16"/>
        <v>#DIV/0!</v>
      </c>
      <c r="X38" s="451">
        <f>SUM([3]Pinnacle!$HD$64:$HH$64)</f>
        <v>0</v>
      </c>
      <c r="Y38" s="2">
        <f>SUM([3]Pinnacle!$GP$64:$GT$64)</f>
        <v>0</v>
      </c>
      <c r="Z38" s="3" t="e">
        <f t="shared" si="17"/>
        <v>#DIV/0!</v>
      </c>
      <c r="AA38" s="83">
        <f t="shared" si="18"/>
        <v>0</v>
      </c>
    </row>
    <row r="39" spans="1:27" ht="14.1" customHeight="1" x14ac:dyDescent="0.2">
      <c r="A39" s="52"/>
      <c r="B39" s="332" t="s">
        <v>154</v>
      </c>
      <c r="C39" s="327">
        <f>'[3]Go Jet'!$HH$19</f>
        <v>0</v>
      </c>
      <c r="D39" s="9">
        <f>'[3]Go Jet'!$GT$19</f>
        <v>0</v>
      </c>
      <c r="E39" s="84" t="e">
        <f t="shared" si="11"/>
        <v>#DIV/0!</v>
      </c>
      <c r="F39" s="9">
        <f>SUM('[3]Go Jet'!$HD$19:$HH$19)</f>
        <v>0</v>
      </c>
      <c r="G39" s="9">
        <f>SUM('[3]Go Jet'!$GP$19:$GT$19)</f>
        <v>44</v>
      </c>
      <c r="H39" s="38">
        <f>(F39-G39)/G39</f>
        <v>-1</v>
      </c>
      <c r="I39" s="84">
        <f t="shared" si="12"/>
        <v>0</v>
      </c>
      <c r="J39" s="52"/>
      <c r="K39" s="331" t="s">
        <v>154</v>
      </c>
      <c r="L39" s="327">
        <f>'[3]Go Jet'!$HH$41</f>
        <v>0</v>
      </c>
      <c r="M39" s="9">
        <f>'[3]Go Jet'!$GT$41</f>
        <v>0</v>
      </c>
      <c r="N39" s="84" t="e">
        <f t="shared" si="13"/>
        <v>#DIV/0!</v>
      </c>
      <c r="O39" s="327">
        <f>SUM('[3]Go Jet'!$HD$41:$HH$41)</f>
        <v>0</v>
      </c>
      <c r="P39" s="9">
        <f>SUM('[3]Go Jet'!$GP$41:$GT$41)</f>
        <v>2644</v>
      </c>
      <c r="Q39" s="38">
        <f>(O39-P39)/P39</f>
        <v>-1</v>
      </c>
      <c r="R39" s="84">
        <f t="shared" si="15"/>
        <v>0</v>
      </c>
      <c r="S39" s="52"/>
      <c r="T39" s="54" t="s">
        <v>154</v>
      </c>
      <c r="U39" s="451">
        <f>'[3]Go Jet'!$HH$64</f>
        <v>0</v>
      </c>
      <c r="V39" s="2">
        <f>'[3]Go Jet'!$GT$64</f>
        <v>0</v>
      </c>
      <c r="W39" s="83" t="e">
        <f t="shared" si="16"/>
        <v>#DIV/0!</v>
      </c>
      <c r="X39" s="451">
        <f>SUM('[3]Go Jet'!$HD$64:$HH$64)</f>
        <v>0</v>
      </c>
      <c r="Y39" s="2">
        <f>SUM('[3]Go Jet'!$GP$64:$GT$64)</f>
        <v>0</v>
      </c>
      <c r="Z39" s="3" t="e">
        <f>(X39-Y39)/Y39</f>
        <v>#DIV/0!</v>
      </c>
      <c r="AA39" s="83">
        <f t="shared" si="18"/>
        <v>0</v>
      </c>
    </row>
    <row r="40" spans="1:27" ht="14.1" customHeight="1" x14ac:dyDescent="0.2">
      <c r="A40" s="52"/>
      <c r="B40" s="332" t="s">
        <v>97</v>
      </c>
      <c r="C40" s="327">
        <f>'[3]Sky West'!$HH$19</f>
        <v>5716</v>
      </c>
      <c r="D40" s="9">
        <f>'[3]Sky West'!$GT$19</f>
        <v>1550</v>
      </c>
      <c r="E40" s="84">
        <f t="shared" si="11"/>
        <v>2.6877419354838707</v>
      </c>
      <c r="F40" s="9">
        <f>SUM('[3]Sky West'!$HD$19:$HH$19)</f>
        <v>26982</v>
      </c>
      <c r="G40" s="9">
        <f>SUM('[3]Sky West'!$GP$19:$GT$19)</f>
        <v>26964</v>
      </c>
      <c r="H40" s="38">
        <f t="shared" si="19"/>
        <v>6.6755674232309744E-4</v>
      </c>
      <c r="I40" s="84">
        <f t="shared" si="12"/>
        <v>0.27079214379622846</v>
      </c>
      <c r="J40" s="52"/>
      <c r="K40" s="332" t="s">
        <v>97</v>
      </c>
      <c r="L40" s="327">
        <f>'[3]Sky West'!$HH$41</f>
        <v>299887</v>
      </c>
      <c r="M40" s="9">
        <f>'[3]Sky West'!$GT$41</f>
        <v>26012</v>
      </c>
      <c r="N40" s="84">
        <f t="shared" si="13"/>
        <v>10.528794402583424</v>
      </c>
      <c r="O40" s="327">
        <f>SUM('[3]Sky West'!$HD$41:$HH$41)</f>
        <v>1017400</v>
      </c>
      <c r="P40" s="9">
        <f>SUM('[3]Sky West'!$GP$41:$GT$41)</f>
        <v>966982</v>
      </c>
      <c r="Q40" s="38">
        <f t="shared" si="14"/>
        <v>5.213954344548296E-2</v>
      </c>
      <c r="R40" s="84">
        <f t="shared" si="15"/>
        <v>0.13666031945256352</v>
      </c>
      <c r="S40" s="52"/>
      <c r="T40" s="54" t="s">
        <v>97</v>
      </c>
      <c r="U40" s="451">
        <f>'[3]Sky West'!$HH$64</f>
        <v>0</v>
      </c>
      <c r="V40" s="2">
        <f>'[3]Sky West'!$GT$64</f>
        <v>0</v>
      </c>
      <c r="W40" s="83" t="e">
        <f t="shared" si="16"/>
        <v>#DIV/0!</v>
      </c>
      <c r="X40" s="451">
        <f>SUM('[3]Sky West'!$HD$64:$HH$64)</f>
        <v>0</v>
      </c>
      <c r="Y40" s="2">
        <f>SUM('[3]Sky West'!$GP$64:$GT$64)</f>
        <v>0</v>
      </c>
      <c r="Z40" s="3" t="e">
        <f t="shared" ref="Z40:Z42" si="20">(X40-Y40)/Y40</f>
        <v>#DIV/0!</v>
      </c>
      <c r="AA40" s="83">
        <f t="shared" si="18"/>
        <v>0</v>
      </c>
    </row>
    <row r="41" spans="1:27" ht="14.1" customHeight="1" x14ac:dyDescent="0.2">
      <c r="A41" s="52"/>
      <c r="B41" s="332" t="s">
        <v>131</v>
      </c>
      <c r="C41" s="327">
        <f>'[3]Shuttle America_Delta'!$HH$19</f>
        <v>0</v>
      </c>
      <c r="D41" s="9">
        <f>'[3]Shuttle America_Delta'!$GT$19</f>
        <v>0</v>
      </c>
      <c r="E41" s="84" t="e">
        <f t="shared" si="11"/>
        <v>#DIV/0!</v>
      </c>
      <c r="F41" s="9">
        <f>SUM('[3]Shuttle America_Delta'!$HD$19:$HH$19)</f>
        <v>0</v>
      </c>
      <c r="G41" s="9">
        <f>SUM('[3]Shuttle America_Delta'!$GP$19:$GT$19)</f>
        <v>0</v>
      </c>
      <c r="H41" s="38" t="e">
        <f t="shared" si="19"/>
        <v>#DIV/0!</v>
      </c>
      <c r="I41" s="84">
        <f t="shared" si="12"/>
        <v>0</v>
      </c>
      <c r="J41" s="52"/>
      <c r="K41" s="332" t="s">
        <v>131</v>
      </c>
      <c r="L41" s="327">
        <f>'[3]Shuttle America_Delta'!$HH$41</f>
        <v>0</v>
      </c>
      <c r="M41" s="9">
        <f>'[3]Shuttle America_Delta'!$GT$41</f>
        <v>0</v>
      </c>
      <c r="N41" s="84" t="e">
        <f t="shared" si="13"/>
        <v>#DIV/0!</v>
      </c>
      <c r="O41" s="327">
        <f>SUM('[3]Shuttle America_Delta'!$HD$41:$HH$41)</f>
        <v>0</v>
      </c>
      <c r="P41" s="9">
        <f>SUM('[3]Shuttle America_Delta'!$GP$41:$GT$41)</f>
        <v>0</v>
      </c>
      <c r="Q41" s="38" t="e">
        <f t="shared" si="14"/>
        <v>#DIV/0!</v>
      </c>
      <c r="R41" s="84">
        <f t="shared" si="15"/>
        <v>0</v>
      </c>
      <c r="S41" s="52"/>
      <c r="T41" s="54" t="s">
        <v>131</v>
      </c>
      <c r="U41" s="451">
        <f>'[3]Shuttle America_Delta'!$HH$64</f>
        <v>0</v>
      </c>
      <c r="V41" s="2">
        <f>'[3]Shuttle America_Delta'!$GT$64</f>
        <v>0</v>
      </c>
      <c r="W41" s="83" t="e">
        <f t="shared" si="16"/>
        <v>#DIV/0!</v>
      </c>
      <c r="X41" s="451">
        <f>SUM('[3]Shuttle America_Delta'!$HD$64:$HH$64)</f>
        <v>0</v>
      </c>
      <c r="Y41" s="2">
        <f>SUM('[3]Shuttle America_Delta'!$GP$64:$GT$64)</f>
        <v>0</v>
      </c>
      <c r="Z41" s="3" t="e">
        <f t="shared" si="20"/>
        <v>#DIV/0!</v>
      </c>
      <c r="AA41" s="83">
        <f t="shared" si="18"/>
        <v>0</v>
      </c>
    </row>
    <row r="42" spans="1:27" ht="14.1" customHeight="1" x14ac:dyDescent="0.2">
      <c r="A42" s="52"/>
      <c r="B42" s="398" t="s">
        <v>166</v>
      </c>
      <c r="C42" s="327">
        <f>'[3]Atlantic Southeast'!$HH$19</f>
        <v>0</v>
      </c>
      <c r="D42" s="9">
        <f>'[3]Atlantic Southeast'!$GT$19</f>
        <v>0</v>
      </c>
      <c r="E42" s="84" t="e">
        <f t="shared" si="11"/>
        <v>#DIV/0!</v>
      </c>
      <c r="F42" s="9">
        <f>SUM('[3]Atlantic Southeast'!$HD$19:$HH$19)</f>
        <v>0</v>
      </c>
      <c r="G42" s="9">
        <f>SUM('[3]Atlantic Southeast'!$GP$19:$GT$19)</f>
        <v>0</v>
      </c>
      <c r="H42" s="38" t="e">
        <f t="shared" si="19"/>
        <v>#DIV/0!</v>
      </c>
      <c r="I42" s="84">
        <f t="shared" si="12"/>
        <v>0</v>
      </c>
      <c r="J42" s="52"/>
      <c r="K42" s="398" t="s">
        <v>166</v>
      </c>
      <c r="L42" s="327">
        <f>'[3]Atlantic Southeast'!$HH$41</f>
        <v>0</v>
      </c>
      <c r="M42" s="9">
        <f>'[3]Atlantic Southeast'!$GT$41</f>
        <v>0</v>
      </c>
      <c r="N42" s="84" t="e">
        <f t="shared" si="13"/>
        <v>#DIV/0!</v>
      </c>
      <c r="O42" s="327">
        <f>SUM('[3]Atlantic Southeast'!$HD$41:$HH$41)</f>
        <v>0</v>
      </c>
      <c r="P42" s="9">
        <f>SUM('[3]Atlantic Southeast'!$GP$41:$GT$41)</f>
        <v>0</v>
      </c>
      <c r="Q42" s="38" t="e">
        <f t="shared" si="14"/>
        <v>#DIV/0!</v>
      </c>
      <c r="R42" s="84">
        <f t="shared" si="15"/>
        <v>0</v>
      </c>
      <c r="S42" s="52"/>
      <c r="T42" s="397" t="s">
        <v>166</v>
      </c>
      <c r="U42" s="451">
        <f>'[3]Atlantic Southeast'!$HH$64</f>
        <v>0</v>
      </c>
      <c r="V42" s="2">
        <f>'[3]Atlantic Southeast'!$GT$64</f>
        <v>0</v>
      </c>
      <c r="W42" s="83" t="e">
        <f t="shared" si="16"/>
        <v>#DIV/0!</v>
      </c>
      <c r="X42" s="451">
        <f>SUM('[3]Atlantic Southeast'!$HD$64:$HH$64)</f>
        <v>0</v>
      </c>
      <c r="Y42" s="2">
        <f>SUM('[3]Atlantic Southeast'!$GP$64:$GT$64)</f>
        <v>0</v>
      </c>
      <c r="Z42" s="3" t="e">
        <f t="shared" si="20"/>
        <v>#DIV/0!</v>
      </c>
      <c r="AA42" s="83">
        <f t="shared" si="18"/>
        <v>0</v>
      </c>
    </row>
    <row r="43" spans="1:27" ht="14.1" customHeight="1" x14ac:dyDescent="0.2">
      <c r="A43" s="52"/>
      <c r="B43" s="398"/>
      <c r="C43" s="327"/>
      <c r="D43" s="9"/>
      <c r="E43" s="84"/>
      <c r="F43" s="9"/>
      <c r="G43" s="9"/>
      <c r="H43" s="38"/>
      <c r="I43" s="84"/>
      <c r="J43" s="52"/>
      <c r="K43" s="398"/>
      <c r="L43" s="327"/>
      <c r="M43" s="9"/>
      <c r="N43" s="84"/>
      <c r="O43" s="327"/>
      <c r="P43" s="9"/>
      <c r="Q43" s="38"/>
      <c r="R43" s="84"/>
      <c r="S43" s="52"/>
      <c r="T43" s="397"/>
      <c r="U43" s="451"/>
      <c r="V43" s="2"/>
      <c r="W43" s="83"/>
      <c r="X43" s="451"/>
      <c r="Y43" s="2"/>
      <c r="Z43" s="3"/>
      <c r="AA43" s="83"/>
    </row>
    <row r="44" spans="1:27" s="7" customFormat="1" ht="14.1" customHeight="1" x14ac:dyDescent="0.2">
      <c r="A44" s="322" t="s">
        <v>47</v>
      </c>
      <c r="B44" s="336"/>
      <c r="C44" s="323">
        <f>[3]Frontier!$HH$19</f>
        <v>94</v>
      </c>
      <c r="D44" s="325">
        <f>[3]Frontier!$GT$19</f>
        <v>34</v>
      </c>
      <c r="E44" s="326">
        <f>(C44-D44)/D44</f>
        <v>1.7647058823529411</v>
      </c>
      <c r="F44" s="325">
        <f>SUM([3]Frontier!$HD$19:$HH$19)</f>
        <v>466</v>
      </c>
      <c r="G44" s="325">
        <f>SUM([3]Frontier!$GP$19:$GT$19)</f>
        <v>673</v>
      </c>
      <c r="H44" s="324">
        <f>(F44-G44)/G44</f>
        <v>-0.30757800891530462</v>
      </c>
      <c r="I44" s="326">
        <f>F44/$F$70</f>
        <v>4.6767896749330094E-3</v>
      </c>
      <c r="J44" s="322" t="s">
        <v>47</v>
      </c>
      <c r="K44" s="336"/>
      <c r="L44" s="323">
        <f>[3]Frontier!$HH$41</f>
        <v>13379</v>
      </c>
      <c r="M44" s="325">
        <f>[3]Frontier!$GT$41</f>
        <v>3430</v>
      </c>
      <c r="N44" s="326">
        <f>(L44-M44)/M44</f>
        <v>2.9005830903790089</v>
      </c>
      <c r="O44" s="323">
        <f>SUM([3]Frontier!$HD$41:$HH$41)</f>
        <v>69020</v>
      </c>
      <c r="P44" s="325">
        <f>SUM([3]Frontier!$GP$41:$GT$41)</f>
        <v>94088</v>
      </c>
      <c r="Q44" s="324">
        <f>(O44-P44)/P44</f>
        <v>-0.26643142589915825</v>
      </c>
      <c r="R44" s="326">
        <f>O44/$O$70</f>
        <v>9.2709801932533264E-3</v>
      </c>
      <c r="S44" s="322" t="s">
        <v>47</v>
      </c>
      <c r="T44" s="54"/>
      <c r="U44" s="477">
        <f>[3]Frontier!$HH$64</f>
        <v>0</v>
      </c>
      <c r="V44" s="469">
        <f>[3]Frontier!$GT$64</f>
        <v>0</v>
      </c>
      <c r="W44" s="478" t="e">
        <f>(U44-V44)/V44</f>
        <v>#DIV/0!</v>
      </c>
      <c r="X44" s="477">
        <f>SUM([3]Frontier!$HD$64:$HH$64)</f>
        <v>0</v>
      </c>
      <c r="Y44" s="469">
        <f>SUM([3]Frontier!$GP$64:$GT$64)</f>
        <v>0</v>
      </c>
      <c r="Z44" s="479" t="e">
        <f>(X44-Y44)/Y44</f>
        <v>#DIV/0!</v>
      </c>
      <c r="AA44" s="478">
        <f>X44/$X$70</f>
        <v>0</v>
      </c>
    </row>
    <row r="45" spans="1:27" s="7" customFormat="1" ht="14.1" customHeight="1" x14ac:dyDescent="0.2">
      <c r="A45" s="322"/>
      <c r="B45" s="336"/>
      <c r="C45" s="323"/>
      <c r="D45" s="325"/>
      <c r="E45" s="326"/>
      <c r="F45" s="325"/>
      <c r="G45" s="325"/>
      <c r="H45" s="324"/>
      <c r="I45" s="326"/>
      <c r="J45" s="322"/>
      <c r="K45" s="336"/>
      <c r="L45" s="327"/>
      <c r="M45" s="9"/>
      <c r="N45" s="84"/>
      <c r="O45" s="327"/>
      <c r="P45" s="9"/>
      <c r="Q45" s="38"/>
      <c r="R45" s="84"/>
      <c r="S45" s="322"/>
      <c r="T45" s="54"/>
      <c r="U45" s="451"/>
      <c r="V45" s="2"/>
      <c r="W45" s="83"/>
      <c r="X45" s="451"/>
      <c r="Y45" s="2"/>
      <c r="Z45" s="3"/>
      <c r="AA45" s="83"/>
    </row>
    <row r="46" spans="1:27" s="7" customFormat="1" ht="14.1" customHeight="1" x14ac:dyDescent="0.2">
      <c r="A46" s="322" t="s">
        <v>48</v>
      </c>
      <c r="B46" s="336"/>
      <c r="C46" s="323">
        <f>[3]Icelandair!$HH$19</f>
        <v>0</v>
      </c>
      <c r="D46" s="325">
        <f>[3]Icelandair!$GT$19</f>
        <v>0</v>
      </c>
      <c r="E46" s="326" t="e">
        <f>(C46-D46)/D46</f>
        <v>#DIV/0!</v>
      </c>
      <c r="F46" s="325">
        <f>SUM([3]Icelandair!$HD$19:$HH$19)</f>
        <v>0</v>
      </c>
      <c r="G46" s="325">
        <f>SUM([3]Icelandair!$GP$19:$GT$19)</f>
        <v>18</v>
      </c>
      <c r="H46" s="324">
        <f>(F46-G46)/G46</f>
        <v>-1</v>
      </c>
      <c r="I46" s="326">
        <f>F46/$F$70</f>
        <v>0</v>
      </c>
      <c r="J46" s="322" t="s">
        <v>48</v>
      </c>
      <c r="K46" s="336"/>
      <c r="L46" s="323">
        <f>[3]Icelandair!$HH$41</f>
        <v>0</v>
      </c>
      <c r="M46" s="325">
        <f>[3]Icelandair!$GT$41</f>
        <v>0</v>
      </c>
      <c r="N46" s="326" t="e">
        <f>(L46-M46)/M46</f>
        <v>#DIV/0!</v>
      </c>
      <c r="O46" s="323">
        <f>SUM([3]Icelandair!$HD$41:$HH$41)</f>
        <v>0</v>
      </c>
      <c r="P46" s="325">
        <f>SUM([3]Icelandair!$GP$41:$GT$41)</f>
        <v>2058</v>
      </c>
      <c r="Q46" s="324">
        <f>(O46-P46)/P46</f>
        <v>-1</v>
      </c>
      <c r="R46" s="326">
        <f>O46/$O$70</f>
        <v>0</v>
      </c>
      <c r="S46" s="322" t="s">
        <v>48</v>
      </c>
      <c r="T46" s="54"/>
      <c r="U46" s="477">
        <f>[3]Icelandair!$HH$64</f>
        <v>0</v>
      </c>
      <c r="V46" s="469">
        <f>[3]Icelandair!$GT$64</f>
        <v>0</v>
      </c>
      <c r="W46" s="478" t="e">
        <f>(U46-V46)/V46</f>
        <v>#DIV/0!</v>
      </c>
      <c r="X46" s="477">
        <f>SUM([3]Icelandair!$HD$64:$HH$64)</f>
        <v>0</v>
      </c>
      <c r="Y46" s="469">
        <f>SUM([3]Icelandair!$GP$64:$GT$64)</f>
        <v>2574</v>
      </c>
      <c r="Z46" s="479">
        <f>(X46-Y46)/Y46</f>
        <v>-1</v>
      </c>
      <c r="AA46" s="478">
        <f>X46/$X$70</f>
        <v>0</v>
      </c>
    </row>
    <row r="47" spans="1:27" s="7" customFormat="1" ht="14.1" customHeight="1" x14ac:dyDescent="0.2">
      <c r="A47" s="322"/>
      <c r="B47" s="336"/>
      <c r="C47" s="323"/>
      <c r="D47" s="325"/>
      <c r="E47" s="326"/>
      <c r="F47" s="325"/>
      <c r="G47" s="325"/>
      <c r="H47" s="324"/>
      <c r="I47" s="326"/>
      <c r="J47" s="322"/>
      <c r="K47" s="336"/>
      <c r="L47" s="327"/>
      <c r="M47" s="9"/>
      <c r="N47" s="84"/>
      <c r="O47" s="327"/>
      <c r="P47" s="9"/>
      <c r="Q47" s="38"/>
      <c r="R47" s="84"/>
      <c r="S47" s="322"/>
      <c r="T47" s="54"/>
      <c r="U47" s="451"/>
      <c r="V47" s="2"/>
      <c r="W47" s="83"/>
      <c r="X47" s="451"/>
      <c r="Y47" s="2"/>
      <c r="Z47" s="3"/>
      <c r="AA47" s="83"/>
    </row>
    <row r="48" spans="1:27" s="7" customFormat="1" ht="14.1" customHeight="1" x14ac:dyDescent="0.2">
      <c r="A48" s="322" t="s">
        <v>199</v>
      </c>
      <c r="B48" s="336"/>
      <c r="C48" s="323">
        <f>'[3]Jet Blue'!$HH$19</f>
        <v>36</v>
      </c>
      <c r="D48" s="325">
        <f>'[3]Jet Blue'!$GT$19</f>
        <v>10</v>
      </c>
      <c r="E48" s="326">
        <f>(C48-D48)/D48</f>
        <v>2.6</v>
      </c>
      <c r="F48" s="325">
        <f>SUM('[3]Jet Blue'!$HD$19:$HH$19)</f>
        <v>84</v>
      </c>
      <c r="G48" s="325">
        <f>SUM('[3]Jet Blue'!$GP$19:$GT$19)</f>
        <v>497</v>
      </c>
      <c r="H48" s="324">
        <f>(F48-G48)/G48</f>
        <v>-0.83098591549295775</v>
      </c>
      <c r="I48" s="326">
        <f>F48/$F$70</f>
        <v>8.4302646500938373E-4</v>
      </c>
      <c r="J48" s="322" t="s">
        <v>199</v>
      </c>
      <c r="K48" s="336"/>
      <c r="L48" s="323">
        <f>'[3]Jet Blue'!$HH$41</f>
        <v>2865</v>
      </c>
      <c r="M48" s="325">
        <f>'[3]Jet Blue'!$GT$41</f>
        <v>58</v>
      </c>
      <c r="N48" s="326">
        <f>(L48-M48)/M48</f>
        <v>48.396551724137929</v>
      </c>
      <c r="O48" s="323">
        <f>SUM('[3]Jet Blue'!$HD$41:$HH$41)</f>
        <v>5291</v>
      </c>
      <c r="P48" s="325">
        <f>SUM('[3]Jet Blue'!$GP$41:$GT$41)</f>
        <v>28752</v>
      </c>
      <c r="Q48" s="324">
        <f>(O48-P48)/P48</f>
        <v>-0.81597801892042288</v>
      </c>
      <c r="R48" s="326">
        <f>O48/$O$70</f>
        <v>7.1070350916405903E-4</v>
      </c>
      <c r="S48" s="322" t="s">
        <v>199</v>
      </c>
      <c r="T48" s="54"/>
      <c r="U48" s="477">
        <f>'[3]Jet Blue'!$HH$64</f>
        <v>0</v>
      </c>
      <c r="V48" s="469">
        <f>'[3]Jet Blue'!$GT$64</f>
        <v>0</v>
      </c>
      <c r="W48" s="478" t="e">
        <f>(U48-V48)/V48</f>
        <v>#DIV/0!</v>
      </c>
      <c r="X48" s="477">
        <f>SUM('[3]Jet Blue'!$HD$64:$HH$64)</f>
        <v>0</v>
      </c>
      <c r="Y48" s="469">
        <f>SUM('[3]Jet Blue'!$GP$64:$GT$64)</f>
        <v>0</v>
      </c>
      <c r="Z48" s="479" t="e">
        <f>(X48-Y48)/Y48</f>
        <v>#DIV/0!</v>
      </c>
      <c r="AA48" s="478">
        <f>X48/$X$70</f>
        <v>0</v>
      </c>
    </row>
    <row r="49" spans="1:27" s="7" customFormat="1" ht="14.1" customHeight="1" x14ac:dyDescent="0.2">
      <c r="A49" s="322"/>
      <c r="B49" s="336"/>
      <c r="C49" s="323"/>
      <c r="D49" s="325"/>
      <c r="E49" s="326"/>
      <c r="F49" s="325"/>
      <c r="G49" s="325"/>
      <c r="H49" s="324"/>
      <c r="I49" s="326"/>
      <c r="J49" s="322"/>
      <c r="K49" s="336"/>
      <c r="L49" s="327"/>
      <c r="M49" s="9"/>
      <c r="N49" s="84"/>
      <c r="O49" s="327"/>
      <c r="P49" s="9"/>
      <c r="Q49" s="38"/>
      <c r="R49" s="84"/>
      <c r="S49" s="322"/>
      <c r="T49" s="54"/>
      <c r="U49" s="451"/>
      <c r="V49" s="2"/>
      <c r="W49" s="83"/>
      <c r="X49" s="451"/>
      <c r="Y49" s="2"/>
      <c r="Z49" s="3"/>
      <c r="AA49" s="83"/>
    </row>
    <row r="50" spans="1:27" s="7" customFormat="1" ht="14.1" customHeight="1" x14ac:dyDescent="0.2">
      <c r="A50" s="322" t="s">
        <v>194</v>
      </c>
      <c r="B50" s="336"/>
      <c r="C50" s="323">
        <f>[3]KLM!$HH$19</f>
        <v>0</v>
      </c>
      <c r="D50" s="325">
        <f>[3]KLM!$GT$19</f>
        <v>0</v>
      </c>
      <c r="E50" s="326" t="e">
        <f>(C50-D50)/D50</f>
        <v>#DIV/0!</v>
      </c>
      <c r="F50" s="325">
        <f>SUM([3]KLM!$HD$19:$HH$19)</f>
        <v>0</v>
      </c>
      <c r="G50" s="325">
        <f>SUM([3]KLM!$GP$19:$GT$19)</f>
        <v>80</v>
      </c>
      <c r="H50" s="324">
        <f>(F50-G50)/G50</f>
        <v>-1</v>
      </c>
      <c r="I50" s="326">
        <f>F50/$F$70</f>
        <v>0</v>
      </c>
      <c r="J50" s="322" t="s">
        <v>194</v>
      </c>
      <c r="K50" s="336"/>
      <c r="L50" s="323">
        <f>[3]KLM!$HH$41</f>
        <v>0</v>
      </c>
      <c r="M50" s="325">
        <f>[3]KLM!$GT$41</f>
        <v>0</v>
      </c>
      <c r="N50" s="326" t="e">
        <f>(L50-M50)/M50</f>
        <v>#DIV/0!</v>
      </c>
      <c r="O50" s="323">
        <f>SUM([3]KLM!$HD$41:$HH$41)</f>
        <v>0</v>
      </c>
      <c r="P50" s="325">
        <f>SUM([3]KLM!$GP$41:$GT$41)</f>
        <v>15968</v>
      </c>
      <c r="Q50" s="324">
        <f>(O50-P50)/P50</f>
        <v>-1</v>
      </c>
      <c r="R50" s="326">
        <f>O50/$O$70</f>
        <v>0</v>
      </c>
      <c r="S50" s="322" t="s">
        <v>194</v>
      </c>
      <c r="T50" s="54"/>
      <c r="U50" s="477">
        <f>[3]KLM!$HH$64</f>
        <v>0</v>
      </c>
      <c r="V50" s="469">
        <f>[3]KLM!$GT$64</f>
        <v>0</v>
      </c>
      <c r="W50" s="478" t="e">
        <f>(U50-V50)/V50</f>
        <v>#DIV/0!</v>
      </c>
      <c r="X50" s="477">
        <f>SUM([3]KLM!$HD$64:$HH$64)</f>
        <v>0</v>
      </c>
      <c r="Y50" s="469">
        <f>SUM([3]KLM!$GP$64:$GT$64)</f>
        <v>818409</v>
      </c>
      <c r="Z50" s="479">
        <f>(X50-Y50)/Y50</f>
        <v>-1</v>
      </c>
      <c r="AA50" s="478">
        <f>X50/$X$70</f>
        <v>0</v>
      </c>
    </row>
    <row r="51" spans="1:27" s="7" customFormat="1" ht="14.1" customHeight="1" x14ac:dyDescent="0.2">
      <c r="A51" s="322"/>
      <c r="B51" s="336"/>
      <c r="C51" s="323"/>
      <c r="D51" s="325"/>
      <c r="E51" s="326"/>
      <c r="F51" s="325"/>
      <c r="G51" s="325"/>
      <c r="H51" s="324"/>
      <c r="I51" s="326"/>
      <c r="J51" s="322"/>
      <c r="K51" s="336"/>
      <c r="L51" s="327"/>
      <c r="M51" s="9"/>
      <c r="N51" s="84"/>
      <c r="O51" s="327"/>
      <c r="P51" s="9"/>
      <c r="Q51" s="38"/>
      <c r="R51" s="84"/>
      <c r="S51" s="322"/>
      <c r="T51" s="54"/>
      <c r="U51" s="451"/>
      <c r="V51" s="2"/>
      <c r="W51" s="83"/>
      <c r="X51" s="451"/>
      <c r="Y51" s="2"/>
      <c r="Z51" s="3"/>
      <c r="AA51" s="83"/>
    </row>
    <row r="52" spans="1:27" ht="14.1" customHeight="1" x14ac:dyDescent="0.2">
      <c r="A52" s="334" t="s">
        <v>129</v>
      </c>
      <c r="B52" s="54"/>
      <c r="C52" s="323">
        <f>[3]Southwest!$HH$19</f>
        <v>766</v>
      </c>
      <c r="D52" s="325">
        <f>[3]Southwest!$GT$19</f>
        <v>370</v>
      </c>
      <c r="E52" s="326">
        <f>(C52-D52)/D52</f>
        <v>1.0702702702702702</v>
      </c>
      <c r="F52" s="325">
        <f>SUM([3]Southwest!$HD$19:$HH$19)</f>
        <v>3221</v>
      </c>
      <c r="G52" s="325">
        <f>SUM([3]Southwest!$GP$19:$GT$19)</f>
        <v>4226</v>
      </c>
      <c r="H52" s="324">
        <f>(F52-G52)/G52</f>
        <v>-0.23781353525792712</v>
      </c>
      <c r="I52" s="326">
        <f>F52/$F$70</f>
        <v>3.2326050521371726E-2</v>
      </c>
      <c r="J52" s="334" t="s">
        <v>129</v>
      </c>
      <c r="K52" s="54"/>
      <c r="L52" s="323">
        <f>[3]Southwest!$HH$41</f>
        <v>94924</v>
      </c>
      <c r="M52" s="325">
        <f>[3]Southwest!$GT$41</f>
        <v>16532</v>
      </c>
      <c r="N52" s="326">
        <f>(L52-M52)/M52</f>
        <v>4.7418340188724901</v>
      </c>
      <c r="O52" s="323">
        <f>SUM([3]Southwest!$HD$41:$HH$41)</f>
        <v>374937</v>
      </c>
      <c r="P52" s="325">
        <f>SUM([3]Southwest!$GP$41:$GT$41)</f>
        <v>331633</v>
      </c>
      <c r="Q52" s="324">
        <f>(O52-P52)/P52</f>
        <v>0.13057807877985605</v>
      </c>
      <c r="R52" s="326">
        <f>O52/$O$70</f>
        <v>5.0362699228018296E-2</v>
      </c>
      <c r="S52" s="322" t="s">
        <v>129</v>
      </c>
      <c r="T52" s="54"/>
      <c r="U52" s="477">
        <f>[3]Southwest!$HH$64</f>
        <v>361400</v>
      </c>
      <c r="V52" s="469">
        <f>[3]Southwest!$GT$64</f>
        <v>8047</v>
      </c>
      <c r="W52" s="478">
        <f>(U52-V52)/V52</f>
        <v>43.911147011308564</v>
      </c>
      <c r="X52" s="477">
        <f>SUM([3]Southwest!$HD$64:$HH$64)</f>
        <v>1407598</v>
      </c>
      <c r="Y52" s="469">
        <f>SUM([3]Southwest!$GP$64:$GT$64)</f>
        <v>1232822</v>
      </c>
      <c r="Z52" s="479">
        <f>(X52-Y52)/Y52</f>
        <v>0.14176904695081691</v>
      </c>
      <c r="AA52" s="478">
        <f>X52/$X$70</f>
        <v>6.8443902615021757E-2</v>
      </c>
    </row>
    <row r="53" spans="1:27" ht="14.1" customHeight="1" x14ac:dyDescent="0.2">
      <c r="A53" s="322"/>
      <c r="B53" s="54"/>
      <c r="C53" s="323"/>
      <c r="D53" s="325"/>
      <c r="E53" s="326"/>
      <c r="F53" s="325"/>
      <c r="G53" s="325"/>
      <c r="H53" s="324"/>
      <c r="I53" s="326"/>
      <c r="J53" s="322"/>
      <c r="K53" s="54"/>
      <c r="L53" s="327"/>
      <c r="M53" s="9"/>
      <c r="N53" s="84"/>
      <c r="O53" s="327"/>
      <c r="P53" s="9"/>
      <c r="Q53" s="38"/>
      <c r="R53" s="84"/>
      <c r="S53" s="322"/>
      <c r="T53" s="54"/>
      <c r="U53" s="451"/>
      <c r="V53" s="2"/>
      <c r="W53" s="83"/>
      <c r="X53" s="451"/>
      <c r="Y53" s="2"/>
      <c r="Z53" s="3"/>
      <c r="AA53" s="83"/>
    </row>
    <row r="54" spans="1:27" ht="14.1" customHeight="1" x14ac:dyDescent="0.2">
      <c r="A54" s="322" t="s">
        <v>155</v>
      </c>
      <c r="B54" s="54"/>
      <c r="C54" s="323">
        <f>[3]Spirit!$HH$19</f>
        <v>354</v>
      </c>
      <c r="D54" s="325">
        <f>[3]Spirit!$GT$19</f>
        <v>6</v>
      </c>
      <c r="E54" s="326">
        <f>(C54-D54)/D54</f>
        <v>58</v>
      </c>
      <c r="F54" s="325">
        <f>SUM([3]Spirit!$HD$19:$HH$19)</f>
        <v>1558</v>
      </c>
      <c r="G54" s="325">
        <f>SUM([3]Spirit!$GP$19:$GT$19)</f>
        <v>2007</v>
      </c>
      <c r="H54" s="324">
        <f>(F54-G54)/G54</f>
        <v>-0.22371699053313404</v>
      </c>
      <c r="I54" s="326">
        <f>F54/$F$70</f>
        <v>1.5636133720054998E-2</v>
      </c>
      <c r="J54" s="322" t="s">
        <v>155</v>
      </c>
      <c r="K54" s="54"/>
      <c r="L54" s="323">
        <f>[3]Spirit!$HH$41</f>
        <v>44747</v>
      </c>
      <c r="M54" s="325">
        <f>[3]Spirit!$GT$41</f>
        <v>155</v>
      </c>
      <c r="N54" s="326">
        <f>(L54-M54)/M54</f>
        <v>287.69032258064516</v>
      </c>
      <c r="O54" s="323">
        <f>SUM([3]Spirit!$HD$41:$HH$41)</f>
        <v>222940</v>
      </c>
      <c r="P54" s="325">
        <f>SUM([3]Spirit!$GP$41:$GT$41)</f>
        <v>255719</v>
      </c>
      <c r="Q54" s="324">
        <f>(O54-P54)/P54</f>
        <v>-0.12818367035691522</v>
      </c>
      <c r="R54" s="326">
        <f>O54/$O$70</f>
        <v>2.9945991368935044E-2</v>
      </c>
      <c r="S54" s="322" t="s">
        <v>155</v>
      </c>
      <c r="T54" s="54"/>
      <c r="U54" s="477">
        <f>[3]Spirit!$HH$64</f>
        <v>0</v>
      </c>
      <c r="V54" s="469">
        <f>[3]Spirit!$GT$64</f>
        <v>0</v>
      </c>
      <c r="W54" s="478" t="e">
        <f>(U54-V54)/V54</f>
        <v>#DIV/0!</v>
      </c>
      <c r="X54" s="477">
        <f>SUM([3]Spirit!$HD$64:$HH$64)</f>
        <v>0</v>
      </c>
      <c r="Y54" s="469">
        <f>SUM([3]Spirit!$GP$64:$GT$64)</f>
        <v>0</v>
      </c>
      <c r="Z54" s="479" t="e">
        <f>(X54-Y54)/Y54</f>
        <v>#DIV/0!</v>
      </c>
      <c r="AA54" s="478">
        <f>X54/$X$70</f>
        <v>0</v>
      </c>
    </row>
    <row r="55" spans="1:27" ht="14.1" customHeight="1" x14ac:dyDescent="0.2">
      <c r="A55" s="322"/>
      <c r="B55" s="54"/>
      <c r="C55" s="323"/>
      <c r="D55" s="325"/>
      <c r="E55" s="326"/>
      <c r="F55" s="325"/>
      <c r="G55" s="325"/>
      <c r="H55" s="324"/>
      <c r="I55" s="326"/>
      <c r="J55" s="322"/>
      <c r="K55" s="54"/>
      <c r="L55" s="327"/>
      <c r="M55" s="9"/>
      <c r="N55" s="84"/>
      <c r="O55" s="327"/>
      <c r="P55" s="9"/>
      <c r="Q55" s="38"/>
      <c r="R55" s="84">
        <f>O55/$O$70</f>
        <v>0</v>
      </c>
      <c r="S55" s="322"/>
      <c r="T55" s="54"/>
      <c r="U55" s="451"/>
      <c r="V55" s="2"/>
      <c r="W55" s="83"/>
      <c r="X55" s="451"/>
      <c r="Y55" s="2"/>
      <c r="Z55" s="3"/>
      <c r="AA55" s="83">
        <f>X55/$X$70</f>
        <v>0</v>
      </c>
    </row>
    <row r="56" spans="1:27" s="7" customFormat="1" ht="14.1" customHeight="1" x14ac:dyDescent="0.2">
      <c r="A56" s="322" t="s">
        <v>49</v>
      </c>
      <c r="B56" s="336"/>
      <c r="C56" s="323">
        <f>'[3]Sun Country'!$HH$19</f>
        <v>1450</v>
      </c>
      <c r="D56" s="325">
        <f>'[3]Sun Country'!$GT$19</f>
        <v>454</v>
      </c>
      <c r="E56" s="326">
        <f>(C56-D56)/D56</f>
        <v>2.1938325991189429</v>
      </c>
      <c r="F56" s="325">
        <f>SUM('[3]Sun Country'!$HD$19:$HH$19)</f>
        <v>7567</v>
      </c>
      <c r="G56" s="325">
        <f>SUM('[3]Sun Country'!$GP$19:$GT$19)</f>
        <v>6253</v>
      </c>
      <c r="H56" s="324">
        <f>(F56-G56)/G56</f>
        <v>0.21013913321605629</v>
      </c>
      <c r="I56" s="326">
        <f>F56/$F$70</f>
        <v>7.5942634056261976E-2</v>
      </c>
      <c r="J56" s="322" t="s">
        <v>49</v>
      </c>
      <c r="K56" s="336"/>
      <c r="L56" s="323">
        <f>'[3]Sun Country'!$HH$41</f>
        <v>177167</v>
      </c>
      <c r="M56" s="325">
        <f>'[3]Sun Country'!$GT$41</f>
        <v>33197</v>
      </c>
      <c r="N56" s="326">
        <f>(L56-M56)/M56</f>
        <v>4.3368376660541612</v>
      </c>
      <c r="O56" s="323">
        <f>SUM('[3]Sun Country'!$HD$41:$HH$41)</f>
        <v>905803</v>
      </c>
      <c r="P56" s="325">
        <f>SUM('[3]Sun Country'!$GP$41:$GT$41)</f>
        <v>761209</v>
      </c>
      <c r="Q56" s="324">
        <f>(O56-P56)/P56</f>
        <v>0.189953087785352</v>
      </c>
      <c r="R56" s="326">
        <f>O56/$O$70</f>
        <v>0.1216702647347065</v>
      </c>
      <c r="S56" s="322" t="s">
        <v>49</v>
      </c>
      <c r="T56" s="54"/>
      <c r="U56" s="477">
        <f>'[3]Sun Country'!$HH$64</f>
        <v>540020</v>
      </c>
      <c r="V56" s="469">
        <f>'[3]Sun Country'!$GT$64</f>
        <v>75346</v>
      </c>
      <c r="W56" s="478">
        <f>(U56-V56)/V56</f>
        <v>6.1672019748891778</v>
      </c>
      <c r="X56" s="477">
        <f>SUM('[3]Sun Country'!$HD$64:$HH$64)</f>
        <v>2069217</v>
      </c>
      <c r="Y56" s="469">
        <f>SUM('[3]Sun Country'!$GP$64:$GT$64)</f>
        <v>1555303</v>
      </c>
      <c r="Z56" s="479">
        <f>(X56-Y56)/Y56</f>
        <v>0.33042693288703229</v>
      </c>
      <c r="AA56" s="478">
        <f>X56/$X$70</f>
        <v>0.10061486790784548</v>
      </c>
    </row>
    <row r="57" spans="1:27" s="7" customFormat="1" ht="14.1" customHeight="1" x14ac:dyDescent="0.2">
      <c r="A57" s="322"/>
      <c r="B57" s="336"/>
      <c r="C57" s="323"/>
      <c r="D57" s="325"/>
      <c r="E57" s="326"/>
      <c r="F57" s="325"/>
      <c r="G57" s="325"/>
      <c r="H57" s="324"/>
      <c r="I57" s="326"/>
      <c r="J57" s="322"/>
      <c r="K57" s="336"/>
      <c r="L57" s="327"/>
      <c r="M57" s="9"/>
      <c r="N57" s="84"/>
      <c r="O57" s="327"/>
      <c r="P57" s="9"/>
      <c r="Q57" s="38"/>
      <c r="R57" s="84"/>
      <c r="S57" s="322"/>
      <c r="T57" s="54"/>
      <c r="U57" s="451"/>
      <c r="V57" s="2"/>
      <c r="W57" s="83"/>
      <c r="X57" s="451"/>
      <c r="Y57" s="2"/>
      <c r="Z57" s="3"/>
      <c r="AA57" s="83"/>
    </row>
    <row r="58" spans="1:27" s="7" customFormat="1" ht="14.1" customHeight="1" x14ac:dyDescent="0.2">
      <c r="A58" s="322" t="s">
        <v>19</v>
      </c>
      <c r="B58" s="330"/>
      <c r="C58" s="323">
        <f>SUM(C59:C65)</f>
        <v>598</v>
      </c>
      <c r="D58" s="325">
        <f>SUM(D59:D65)</f>
        <v>136</v>
      </c>
      <c r="E58" s="326">
        <f t="shared" ref="E58:E65" si="21">(C58-D58)/D58</f>
        <v>3.3970588235294117</v>
      </c>
      <c r="F58" s="325">
        <f>SUM(F59:F65)</f>
        <v>2859</v>
      </c>
      <c r="G58" s="325">
        <f>SUM(G59:G65)</f>
        <v>4552</v>
      </c>
      <c r="H58" s="324">
        <f t="shared" ref="H58:H65" si="22">(F58-G58)/G58</f>
        <v>-0.3719244288224956</v>
      </c>
      <c r="I58" s="326">
        <f t="shared" ref="I58:I65" si="23">F58/$F$70</f>
        <v>2.8693007898355095E-2</v>
      </c>
      <c r="J58" s="322" t="s">
        <v>19</v>
      </c>
      <c r="K58" s="330"/>
      <c r="L58" s="323">
        <f>SUM(L59:L65)</f>
        <v>58712</v>
      </c>
      <c r="M58" s="325">
        <f>SUM(M59:M65)</f>
        <v>5482</v>
      </c>
      <c r="N58" s="326">
        <f t="shared" ref="N58:N65" si="24">(L58-M58)/M58</f>
        <v>9.7099598686610733</v>
      </c>
      <c r="O58" s="323">
        <f>SUM(O59:O65)</f>
        <v>252392</v>
      </c>
      <c r="P58" s="325">
        <f>SUM(P59:P65)</f>
        <v>312218</v>
      </c>
      <c r="Q58" s="324">
        <f t="shared" ref="Q58:Q65" si="25">(O58-P58)/P58</f>
        <v>-0.19161611438161796</v>
      </c>
      <c r="R58" s="326">
        <f t="shared" ref="R58:R65" si="26">O58/$O$70</f>
        <v>3.3902075238127986E-2</v>
      </c>
      <c r="S58" s="322" t="s">
        <v>19</v>
      </c>
      <c r="T58" s="330"/>
      <c r="U58" s="477">
        <f>SUM(U59:U65)</f>
        <v>184770</v>
      </c>
      <c r="V58" s="469">
        <f>SUM(V59:V65)</f>
        <v>2750</v>
      </c>
      <c r="W58" s="478">
        <f t="shared" ref="W58:W65" si="27">(U58-V58)/V58</f>
        <v>66.189090909090908</v>
      </c>
      <c r="X58" s="477">
        <f>SUM(X59:X65)</f>
        <v>505326</v>
      </c>
      <c r="Y58" s="469">
        <f>SUM(Y59:Y65)</f>
        <v>384353</v>
      </c>
      <c r="Z58" s="479">
        <f t="shared" ref="Z58:Z65" si="28">(X58-Y58)/Y58</f>
        <v>0.31474451871066439</v>
      </c>
      <c r="AA58" s="478">
        <f t="shared" ref="AA58:AA65" si="29">X58/$X$70</f>
        <v>2.4571279252200189E-2</v>
      </c>
    </row>
    <row r="59" spans="1:27" s="7" customFormat="1" ht="14.1" customHeight="1" x14ac:dyDescent="0.2">
      <c r="A59" s="337"/>
      <c r="B59" s="396" t="s">
        <v>19</v>
      </c>
      <c r="C59" s="327">
        <f>[3]United!$HH$19</f>
        <v>376</v>
      </c>
      <c r="D59" s="9">
        <f>[3]United!$GT$19+[3]Continental!$GT$19</f>
        <v>62</v>
      </c>
      <c r="E59" s="84">
        <f t="shared" si="21"/>
        <v>5.064516129032258</v>
      </c>
      <c r="F59" s="9">
        <f>SUM([3]United!$HD$19:$HH$19)</f>
        <v>1556</v>
      </c>
      <c r="G59" s="9">
        <f>SUM([3]United!$GP$19:$GT$19)+SUM([3]Continental!$GP$19:$GT$19)</f>
        <v>1624</v>
      </c>
      <c r="H59" s="38">
        <f t="shared" si="22"/>
        <v>-4.1871921182266007E-2</v>
      </c>
      <c r="I59" s="84">
        <f t="shared" si="23"/>
        <v>1.5616061661364297E-2</v>
      </c>
      <c r="J59" s="337"/>
      <c r="K59" s="396" t="s">
        <v>19</v>
      </c>
      <c r="L59" s="327">
        <f>[3]United!$HH$41</f>
        <v>45011</v>
      </c>
      <c r="M59" s="9">
        <f>[3]United!$GT$41+[3]Continental!$GT$41</f>
        <v>3227</v>
      </c>
      <c r="N59" s="84">
        <f t="shared" si="24"/>
        <v>12.948249147815309</v>
      </c>
      <c r="O59" s="327">
        <f>SUM([3]United!$HD$41:$HH$41)</f>
        <v>181618</v>
      </c>
      <c r="P59" s="9">
        <f>SUM([3]United!$GP$41:$GT$41)+SUM([3]Continental!$GP$41:$GT$41)</f>
        <v>166768</v>
      </c>
      <c r="Q59" s="38">
        <f t="shared" si="25"/>
        <v>8.9045860117048833E-2</v>
      </c>
      <c r="R59" s="84">
        <f t="shared" si="26"/>
        <v>2.4395492331763007E-2</v>
      </c>
      <c r="S59" s="52"/>
      <c r="T59" s="397" t="s">
        <v>19</v>
      </c>
      <c r="U59" s="451">
        <f>[3]United!$HH$64</f>
        <v>184770</v>
      </c>
      <c r="V59" s="2">
        <f>[3]United!$GT$64+[3]Continental!$GT$64</f>
        <v>2750</v>
      </c>
      <c r="W59" s="83">
        <f t="shared" si="27"/>
        <v>66.189090909090908</v>
      </c>
      <c r="X59" s="451">
        <f>SUM([3]United!$HD$64:$HH$64)</f>
        <v>505326</v>
      </c>
      <c r="Y59" s="2">
        <f>SUM([3]United!$GP$64:$GT$64)+SUM([3]Continental!$GP$64:$GT$64)</f>
        <v>384353</v>
      </c>
      <c r="Z59" s="3">
        <f t="shared" si="28"/>
        <v>0.31474451871066439</v>
      </c>
      <c r="AA59" s="83">
        <f t="shared" si="29"/>
        <v>2.4571279252200189E-2</v>
      </c>
    </row>
    <row r="60" spans="1:27" s="7" customFormat="1" ht="14.1" customHeight="1" x14ac:dyDescent="0.2">
      <c r="A60" s="337"/>
      <c r="B60" s="398" t="s">
        <v>166</v>
      </c>
      <c r="C60" s="327">
        <f>'[3]Continental Express'!$HH$19</f>
        <v>0</v>
      </c>
      <c r="D60" s="9">
        <f>'[3]Continental Express'!$GT$19</f>
        <v>0</v>
      </c>
      <c r="E60" s="84" t="e">
        <f t="shared" si="21"/>
        <v>#DIV/0!</v>
      </c>
      <c r="F60" s="9">
        <f>SUM('[3]Continental Express'!$HD$19:$HH$19)</f>
        <v>0</v>
      </c>
      <c r="G60" s="9">
        <f>SUM('[3]Continental Express'!$GP$19:$GT$19)</f>
        <v>236</v>
      </c>
      <c r="H60" s="38">
        <f t="shared" si="22"/>
        <v>-1</v>
      </c>
      <c r="I60" s="84">
        <f t="shared" si="23"/>
        <v>0</v>
      </c>
      <c r="J60" s="52"/>
      <c r="K60" s="396" t="s">
        <v>166</v>
      </c>
      <c r="L60" s="327">
        <f>'[3]Continental Express'!$HH$41</f>
        <v>0</v>
      </c>
      <c r="M60" s="9">
        <f>'[3]Continental Express'!$GT$41</f>
        <v>0</v>
      </c>
      <c r="N60" s="84" t="e">
        <f t="shared" si="24"/>
        <v>#DIV/0!</v>
      </c>
      <c r="O60" s="327">
        <f>SUM('[3]Continental Express'!$HD$41:$HH$41)</f>
        <v>0</v>
      </c>
      <c r="P60" s="9">
        <f>SUM('[3]Continental Express'!$GP$41:$GT$41)</f>
        <v>10983</v>
      </c>
      <c r="Q60" s="38">
        <f t="shared" si="25"/>
        <v>-1</v>
      </c>
      <c r="R60" s="84">
        <f t="shared" si="26"/>
        <v>0</v>
      </c>
      <c r="S60" s="52"/>
      <c r="T60" s="397" t="s">
        <v>166</v>
      </c>
      <c r="U60" s="451">
        <f>'[3]Continental Express'!$HH$64</f>
        <v>0</v>
      </c>
      <c r="V60" s="2">
        <f>'[3]Continental Express'!$GT$64</f>
        <v>0</v>
      </c>
      <c r="W60" s="83" t="e">
        <f t="shared" si="27"/>
        <v>#DIV/0!</v>
      </c>
      <c r="X60" s="451">
        <f>SUM('[3]Continental Express'!$HD$64:$HH$64)</f>
        <v>0</v>
      </c>
      <c r="Y60" s="2">
        <f>SUM('[3]Continental Express'!$GP$64:$GT$64)</f>
        <v>0</v>
      </c>
      <c r="Z60" s="3" t="e">
        <f t="shared" si="28"/>
        <v>#DIV/0!</v>
      </c>
      <c r="AA60" s="83">
        <f t="shared" si="29"/>
        <v>0</v>
      </c>
    </row>
    <row r="61" spans="1:27" s="7" customFormat="1" ht="14.1" customHeight="1" x14ac:dyDescent="0.2">
      <c r="A61" s="337"/>
      <c r="B61" s="332" t="s">
        <v>154</v>
      </c>
      <c r="C61" s="327">
        <f>'[3]Go Jet_UA'!$HH$19</f>
        <v>0</v>
      </c>
      <c r="D61" s="9">
        <f>'[3]Go Jet_UA'!$GT$19</f>
        <v>0</v>
      </c>
      <c r="E61" s="84" t="e">
        <f t="shared" si="21"/>
        <v>#DIV/0!</v>
      </c>
      <c r="F61" s="9">
        <f>SUM('[3]Go Jet_UA'!$HD$19:$HH$19)</f>
        <v>0</v>
      </c>
      <c r="G61" s="9">
        <f>SUM('[3]Go Jet_UA'!$GP$19:$GT$19)</f>
        <v>2</v>
      </c>
      <c r="H61" s="38">
        <f t="shared" si="22"/>
        <v>-1</v>
      </c>
      <c r="I61" s="84">
        <f t="shared" si="23"/>
        <v>0</v>
      </c>
      <c r="J61" s="337"/>
      <c r="K61" s="331" t="s">
        <v>154</v>
      </c>
      <c r="L61" s="327">
        <f>'[3]Go Jet_UA'!$HH$41</f>
        <v>0</v>
      </c>
      <c r="M61" s="9">
        <f>'[3]Go Jet_UA'!$GT$41</f>
        <v>0</v>
      </c>
      <c r="N61" s="84" t="e">
        <f t="shared" si="24"/>
        <v>#DIV/0!</v>
      </c>
      <c r="O61" s="327">
        <f>SUM('[3]Go Jet_UA'!$HD$41:$HH$41)</f>
        <v>0</v>
      </c>
      <c r="P61" s="9">
        <f>SUM('[3]Go Jet_UA'!$GP$41:$GT$41)</f>
        <v>83</v>
      </c>
      <c r="Q61" s="38">
        <f t="shared" si="25"/>
        <v>-1</v>
      </c>
      <c r="R61" s="84">
        <f t="shared" si="26"/>
        <v>0</v>
      </c>
      <c r="S61" s="52"/>
      <c r="T61" s="54" t="s">
        <v>154</v>
      </c>
      <c r="U61" s="451">
        <f>'[3]Go Jet_UA'!$HH$64</f>
        <v>0</v>
      </c>
      <c r="V61" s="2">
        <f>'[3]Go Jet_UA'!$GT$64</f>
        <v>0</v>
      </c>
      <c r="W61" s="83" t="e">
        <f t="shared" si="27"/>
        <v>#DIV/0!</v>
      </c>
      <c r="X61" s="451">
        <f>SUM('[3]Go Jet_UA'!$HD$64:$HH$64)</f>
        <v>0</v>
      </c>
      <c r="Y61" s="2">
        <f>SUM('[3]Go Jet_UA'!$GP$64:$GT$64)</f>
        <v>0</v>
      </c>
      <c r="Z61" s="3" t="e">
        <f t="shared" si="28"/>
        <v>#DIV/0!</v>
      </c>
      <c r="AA61" s="83">
        <f t="shared" si="29"/>
        <v>0</v>
      </c>
    </row>
    <row r="62" spans="1:27" s="7" customFormat="1" ht="14.1" customHeight="1" x14ac:dyDescent="0.2">
      <c r="A62" s="337"/>
      <c r="B62" s="332" t="s">
        <v>51</v>
      </c>
      <c r="C62" s="327">
        <f>[3]MESA_UA!$HH$19</f>
        <v>62</v>
      </c>
      <c r="D62" s="9">
        <f>[3]MESA_UA!$GT$19</f>
        <v>6</v>
      </c>
      <c r="E62" s="84">
        <f t="shared" si="21"/>
        <v>9.3333333333333339</v>
      </c>
      <c r="F62" s="9">
        <f>SUM([3]MESA_UA!$HD$19:$HH$19)</f>
        <v>385</v>
      </c>
      <c r="G62" s="9">
        <f>SUM([3]MESA_UA!$GP$19:$GT$19)</f>
        <v>810</v>
      </c>
      <c r="H62" s="38">
        <f>(F62-G62)/G62</f>
        <v>-0.52469135802469136</v>
      </c>
      <c r="I62" s="84">
        <f t="shared" si="23"/>
        <v>3.8638712979596752E-3</v>
      </c>
      <c r="J62" s="337"/>
      <c r="K62" s="331" t="s">
        <v>51</v>
      </c>
      <c r="L62" s="327">
        <f>[3]MESA_UA!$HH$41</f>
        <v>3779</v>
      </c>
      <c r="M62" s="9">
        <f>[3]MESA_UA!$GT$41</f>
        <v>129</v>
      </c>
      <c r="N62" s="84">
        <f t="shared" si="24"/>
        <v>28.294573643410853</v>
      </c>
      <c r="O62" s="327">
        <f>SUM([3]MESA_UA!$HD$41:$HH$41)</f>
        <v>20657</v>
      </c>
      <c r="P62" s="9">
        <f>SUM([3]MESA_UA!$GP$41:$GT$41)</f>
        <v>40832</v>
      </c>
      <c r="Q62" s="38">
        <f t="shared" si="25"/>
        <v>-0.49409776645768028</v>
      </c>
      <c r="R62" s="84">
        <f t="shared" si="26"/>
        <v>2.7747122261957981E-3</v>
      </c>
      <c r="S62" s="52"/>
      <c r="T62" s="54" t="s">
        <v>51</v>
      </c>
      <c r="U62" s="451">
        <f>[3]MESA_UA!$HH$64</f>
        <v>0</v>
      </c>
      <c r="V62" s="2">
        <f>[3]MESA_UA!$GT$64</f>
        <v>0</v>
      </c>
      <c r="W62" s="83" t="e">
        <f t="shared" si="27"/>
        <v>#DIV/0!</v>
      </c>
      <c r="X62" s="451">
        <f>SUM([3]MESA_UA!$HD$64:$HH$64)</f>
        <v>0</v>
      </c>
      <c r="Y62" s="2">
        <f>SUM([3]MESA_UA!$GP$64:$GT$64)</f>
        <v>0</v>
      </c>
      <c r="Z62" s="3" t="e">
        <f t="shared" si="28"/>
        <v>#DIV/0!</v>
      </c>
      <c r="AA62" s="83">
        <f t="shared" si="29"/>
        <v>0</v>
      </c>
    </row>
    <row r="63" spans="1:27" s="7" customFormat="1" ht="14.1" customHeight="1" x14ac:dyDescent="0.2">
      <c r="A63" s="337"/>
      <c r="B63" s="398" t="s">
        <v>52</v>
      </c>
      <c r="C63" s="327">
        <f>[3]Republic_UA!$HH$19</f>
        <v>112</v>
      </c>
      <c r="D63" s="9">
        <f>[3]Republic_UA!$GT$19</f>
        <v>8</v>
      </c>
      <c r="E63" s="84">
        <f t="shared" si="21"/>
        <v>13</v>
      </c>
      <c r="F63" s="9">
        <f>SUM([3]Republic_UA!$HD$19:$HH$19)</f>
        <v>653</v>
      </c>
      <c r="G63" s="9">
        <f>SUM([3]Republic_UA!$GP$19:$GT$19)</f>
        <v>1354</v>
      </c>
      <c r="H63" s="38">
        <f t="shared" ref="H63" si="30">(F63-G63)/G63</f>
        <v>-0.51772525849335305</v>
      </c>
      <c r="I63" s="84">
        <f t="shared" si="23"/>
        <v>6.5535271625134228E-3</v>
      </c>
      <c r="J63" s="337"/>
      <c r="K63" s="398" t="s">
        <v>52</v>
      </c>
      <c r="L63" s="327">
        <f>[3]Republic_UA!$HH$41</f>
        <v>6887</v>
      </c>
      <c r="M63" s="9">
        <f>[3]Republic_UA!$GT$41</f>
        <v>141</v>
      </c>
      <c r="N63" s="84">
        <f t="shared" si="24"/>
        <v>47.843971631205676</v>
      </c>
      <c r="O63" s="327">
        <f>SUM([3]Republic_UA!$HD$41:$HH$41)</f>
        <v>35056</v>
      </c>
      <c r="P63" s="9">
        <f>SUM([3]Republic_UA!$GP$41:$GT$41)</f>
        <v>65235</v>
      </c>
      <c r="Q63" s="38">
        <f t="shared" si="25"/>
        <v>-0.46261975933164712</v>
      </c>
      <c r="R63" s="84">
        <f t="shared" si="26"/>
        <v>4.708830507891751E-3</v>
      </c>
      <c r="S63" s="52"/>
      <c r="T63" s="397" t="s">
        <v>52</v>
      </c>
      <c r="U63" s="451">
        <f>[3]Republic_UA!$HH$64</f>
        <v>0</v>
      </c>
      <c r="V63" s="2">
        <f>[3]Republic_UA!$GT$64</f>
        <v>0</v>
      </c>
      <c r="W63" s="83" t="e">
        <f t="shared" si="27"/>
        <v>#DIV/0!</v>
      </c>
      <c r="X63" s="451">
        <f>SUM([3]Republic_UA!$HD$64:$HH$64)</f>
        <v>0</v>
      </c>
      <c r="Y63" s="2">
        <f>SUM([3]Republic_UA!$GP$64:$GT$64)</f>
        <v>0</v>
      </c>
      <c r="Z63" s="3" t="e">
        <f t="shared" si="28"/>
        <v>#DIV/0!</v>
      </c>
      <c r="AA63" s="83">
        <f t="shared" si="29"/>
        <v>0</v>
      </c>
    </row>
    <row r="64" spans="1:27" s="7" customFormat="1" ht="14.1" customHeight="1" x14ac:dyDescent="0.2">
      <c r="A64" s="337"/>
      <c r="B64" s="332" t="s">
        <v>97</v>
      </c>
      <c r="C64" s="327">
        <f>'[3]Sky West_UA'!$HH$19</f>
        <v>48</v>
      </c>
      <c r="D64" s="9">
        <f>'[3]Sky West_UA'!$GT$19+'[3]Sky West_CO'!$GT$19</f>
        <v>60</v>
      </c>
      <c r="E64" s="84">
        <f t="shared" si="21"/>
        <v>-0.2</v>
      </c>
      <c r="F64" s="9">
        <f>SUM('[3]Sky West_UA'!$HD$19:$HH$19)</f>
        <v>265</v>
      </c>
      <c r="G64" s="9">
        <f>SUM('[3]Sky West_UA'!$GP$19:$GT$19)+SUM('[3]Sky West_CO'!$GP$19:$GT$19)</f>
        <v>526</v>
      </c>
      <c r="H64" s="38">
        <f t="shared" si="22"/>
        <v>-0.49619771863117873</v>
      </c>
      <c r="I64" s="84">
        <f t="shared" si="23"/>
        <v>2.6595477765176986E-3</v>
      </c>
      <c r="J64" s="337"/>
      <c r="K64" s="331" t="s">
        <v>97</v>
      </c>
      <c r="L64" s="327">
        <f>'[3]Sky West_UA'!$HH$41</f>
        <v>3035</v>
      </c>
      <c r="M64" s="9">
        <f>'[3]Sky West_UA'!$GT$41+'[3]Sky West_CO'!$GT$41</f>
        <v>1985</v>
      </c>
      <c r="N64" s="84">
        <f t="shared" si="24"/>
        <v>0.52896725440806047</v>
      </c>
      <c r="O64" s="327">
        <f>SUM('[3]Sky West_UA'!$HD$41:$HH$41)</f>
        <v>15061</v>
      </c>
      <c r="P64" s="9">
        <f>SUM('[3]Sky West_UA'!$GP$41:$GT$41)+SUM('[3]Sky West_CO'!$GP$41:$GT$41)</f>
        <v>28317</v>
      </c>
      <c r="Q64" s="38">
        <f t="shared" si="25"/>
        <v>-0.46812868594837026</v>
      </c>
      <c r="R64" s="84">
        <f t="shared" si="26"/>
        <v>2.0230401722774322E-3</v>
      </c>
      <c r="S64" s="52"/>
      <c r="T64" s="54" t="s">
        <v>97</v>
      </c>
      <c r="U64" s="451">
        <f>'[3]Sky West_UA'!$HH$64</f>
        <v>0</v>
      </c>
      <c r="V64" s="2">
        <f>'[3]Sky West_UA'!$GT$64+'[3]Sky West_CO'!$GT$64</f>
        <v>0</v>
      </c>
      <c r="W64" s="83" t="e">
        <f t="shared" si="27"/>
        <v>#DIV/0!</v>
      </c>
      <c r="X64" s="451">
        <f>SUM('[3]Sky West_UA'!$HD$64:$HH$64)</f>
        <v>0</v>
      </c>
      <c r="Y64" s="2">
        <f>SUM('[3]Sky West_UA'!$GP$64:$GT$64)+SUM('[3]Sky West_CO'!$GP$64:$GT$64)</f>
        <v>0</v>
      </c>
      <c r="Z64" s="3" t="e">
        <f t="shared" si="28"/>
        <v>#DIV/0!</v>
      </c>
      <c r="AA64" s="83">
        <f t="shared" si="29"/>
        <v>0</v>
      </c>
    </row>
    <row r="65" spans="1:27" s="7" customFormat="1" ht="14.1" customHeight="1" x14ac:dyDescent="0.2">
      <c r="A65" s="337"/>
      <c r="B65" s="333" t="s">
        <v>131</v>
      </c>
      <c r="C65" s="327">
        <f>'[3]Shuttle America'!$HH$19</f>
        <v>0</v>
      </c>
      <c r="D65" s="9">
        <f>'[3]Shuttle America'!$GT$19</f>
        <v>0</v>
      </c>
      <c r="E65" s="84" t="e">
        <f t="shared" si="21"/>
        <v>#DIV/0!</v>
      </c>
      <c r="F65" s="9">
        <f>SUM('[3]Shuttle America'!$HD$19:$HH$19)</f>
        <v>0</v>
      </c>
      <c r="G65" s="9">
        <f>SUM('[3]Shuttle America'!$GP$19:$GT$19)</f>
        <v>0</v>
      </c>
      <c r="H65" s="38" t="e">
        <f t="shared" si="22"/>
        <v>#DIV/0!</v>
      </c>
      <c r="I65" s="84">
        <f t="shared" si="23"/>
        <v>0</v>
      </c>
      <c r="J65" s="337"/>
      <c r="K65" s="333" t="s">
        <v>131</v>
      </c>
      <c r="L65" s="327">
        <f>'[3]Shuttle America'!$HH$41</f>
        <v>0</v>
      </c>
      <c r="M65" s="9">
        <f>'[3]Shuttle America'!$GT$41</f>
        <v>0</v>
      </c>
      <c r="N65" s="84" t="e">
        <f t="shared" si="24"/>
        <v>#DIV/0!</v>
      </c>
      <c r="O65" s="327">
        <f>SUM('[3]Shuttle America'!$HD$41:$HH$41)</f>
        <v>0</v>
      </c>
      <c r="P65" s="9">
        <f>SUM('[3]Shuttle America'!$GP$41:$GT$41)</f>
        <v>0</v>
      </c>
      <c r="Q65" s="38" t="e">
        <f t="shared" si="25"/>
        <v>#DIV/0!</v>
      </c>
      <c r="R65" s="84">
        <f t="shared" si="26"/>
        <v>0</v>
      </c>
      <c r="S65" s="52"/>
      <c r="T65" s="399" t="s">
        <v>131</v>
      </c>
      <c r="U65" s="451">
        <f>'[3]Shuttle America'!$HH$64</f>
        <v>0</v>
      </c>
      <c r="V65" s="2">
        <f>'[3]Shuttle America'!$GT$64</f>
        <v>0</v>
      </c>
      <c r="W65" s="83" t="e">
        <f t="shared" si="27"/>
        <v>#DIV/0!</v>
      </c>
      <c r="X65" s="451">
        <f>SUM('[3]Shuttle America'!$HD$64:$HH$64)</f>
        <v>0</v>
      </c>
      <c r="Y65" s="2">
        <f>SUM('[3]Shuttle America'!$GP$64:$GT$64)</f>
        <v>0</v>
      </c>
      <c r="Z65" s="3" t="e">
        <f t="shared" si="28"/>
        <v>#DIV/0!</v>
      </c>
      <c r="AA65" s="83">
        <f t="shared" si="29"/>
        <v>0</v>
      </c>
    </row>
    <row r="66" spans="1:27" s="7" customFormat="1" ht="14.1" customHeight="1" thickBot="1" x14ac:dyDescent="0.25">
      <c r="A66" s="401"/>
      <c r="B66" s="402"/>
      <c r="C66" s="338"/>
      <c r="D66" s="340"/>
      <c r="E66" s="341"/>
      <c r="F66" s="342"/>
      <c r="G66" s="342"/>
      <c r="H66" s="339"/>
      <c r="I66" s="341"/>
      <c r="J66" s="401"/>
      <c r="K66" s="402"/>
      <c r="L66" s="338"/>
      <c r="M66" s="342"/>
      <c r="N66" s="341"/>
      <c r="O66" s="338"/>
      <c r="P66" s="342"/>
      <c r="Q66" s="339"/>
      <c r="R66" s="435"/>
      <c r="S66" s="529"/>
      <c r="T66" s="530"/>
      <c r="U66" s="518"/>
      <c r="V66" s="340"/>
      <c r="W66" s="519"/>
      <c r="X66" s="518"/>
      <c r="Y66" s="340"/>
      <c r="Z66" s="520"/>
      <c r="AA66" s="513"/>
    </row>
    <row r="67" spans="1:27" s="202" customFormat="1" ht="14.1" customHeight="1" thickBot="1" x14ac:dyDescent="0.25">
      <c r="B67" s="237"/>
      <c r="C67" s="325"/>
      <c r="D67" s="325"/>
      <c r="E67" s="324"/>
      <c r="F67" s="400"/>
      <c r="G67" s="325"/>
      <c r="H67" s="324"/>
      <c r="I67" s="324"/>
      <c r="J67" s="343"/>
      <c r="K67" s="237"/>
      <c r="L67" s="344"/>
      <c r="M67" s="345"/>
      <c r="N67" s="343"/>
      <c r="O67" s="203"/>
      <c r="P67" s="203"/>
      <c r="Q67" s="203"/>
      <c r="R67" s="448"/>
      <c r="S67" s="531"/>
      <c r="T67" s="200"/>
      <c r="U67" s="532"/>
      <c r="V67" s="533"/>
      <c r="W67" s="531"/>
    </row>
    <row r="68" spans="1:27" ht="14.1" customHeight="1" x14ac:dyDescent="0.2">
      <c r="B68" s="346" t="s">
        <v>133</v>
      </c>
      <c r="C68" s="411">
        <f>+C70-C69</f>
        <v>11987</v>
      </c>
      <c r="D68" s="411">
        <f>+D70-D69</f>
        <v>3722</v>
      </c>
      <c r="E68" s="412">
        <f>(C68-D68)/D68</f>
        <v>2.220580333154218</v>
      </c>
      <c r="F68" s="411">
        <f>+F70-F69</f>
        <v>54053</v>
      </c>
      <c r="G68" s="411">
        <f>+G70-G69</f>
        <v>57666</v>
      </c>
      <c r="H68" s="416">
        <f>(F68-G68)/G68</f>
        <v>-6.2653903513335413E-2</v>
      </c>
      <c r="I68" s="457">
        <f>F68/$F$70</f>
        <v>0.542477494204193</v>
      </c>
      <c r="K68" s="346" t="s">
        <v>133</v>
      </c>
      <c r="L68" s="411">
        <f>+L70-L69</f>
        <v>1506637</v>
      </c>
      <c r="M68" s="411">
        <f>+M70-M69</f>
        <v>190675</v>
      </c>
      <c r="N68" s="412">
        <f>(L68-M68)/M68</f>
        <v>6.9015969581749053</v>
      </c>
      <c r="O68" s="411">
        <f>+O70-O69</f>
        <v>5694327</v>
      </c>
      <c r="P68" s="411">
        <f>+P70-P69</f>
        <v>6086002</v>
      </c>
      <c r="Q68" s="446">
        <f>(O68-P68)/P68</f>
        <v>-6.4356699192671965E-2</v>
      </c>
      <c r="R68" s="452">
        <f>+O68/O70</f>
        <v>0.76487964113166673</v>
      </c>
      <c r="S68" s="3"/>
      <c r="T68" s="534" t="s">
        <v>133</v>
      </c>
      <c r="U68" s="411">
        <f>+U70-U69</f>
        <v>5309551</v>
      </c>
      <c r="V68" s="411">
        <f>+V70-V69</f>
        <v>2054205</v>
      </c>
      <c r="W68" s="412">
        <f>(U68-V68)/V68</f>
        <v>1.5847230437079065</v>
      </c>
      <c r="X68" s="411">
        <f>+X70-X69</f>
        <v>20552868</v>
      </c>
      <c r="Y68" s="411">
        <f>+Y70-Y69</f>
        <v>27744904</v>
      </c>
      <c r="Z68" s="535">
        <f>(X68-Y68)/Y68</f>
        <v>-0.25922007154899507</v>
      </c>
      <c r="AA68" s="452">
        <f>+X68/X70</f>
        <v>0.99937517377219698</v>
      </c>
    </row>
    <row r="69" spans="1:27" ht="14.1" customHeight="1" x14ac:dyDescent="0.2">
      <c r="B69" s="300" t="s">
        <v>134</v>
      </c>
      <c r="C69" s="413">
        <f>C65+C42+C40+C38+C37+C41+C22+C64+C61+C39+C60+C62+C27+C26+C23+C17+C8+C63+C24+C25+C9+C18</f>
        <v>9780</v>
      </c>
      <c r="D69" s="413">
        <f>D65+D42+D40+D38+D37+D41+D22+D64+D61+D39+D60+D62+D27+D26+D23+D17+D8+D63+D24+D25+D9+D18</f>
        <v>3252</v>
      </c>
      <c r="E69" s="347">
        <f>(C69-D69)/D69</f>
        <v>2.0073800738007379</v>
      </c>
      <c r="F69" s="413">
        <f>F65+F42+F40+F38+F37+F41+F22+F64+F61+F39+F60+F62+F27+F26+F23+F17+F8+F63+F24+F25+F9+F18</f>
        <v>45588</v>
      </c>
      <c r="G69" s="413">
        <f>G65+G42+G40+G38+G37+G41+G22+G64+G61+G39+G60+G62+G27+G26+G23+G17+G8+G63+G24+G25+G9+G18</f>
        <v>42132</v>
      </c>
      <c r="H69" s="417">
        <f>(F69-G69)/G69</f>
        <v>8.2027912275704926E-2</v>
      </c>
      <c r="I69" s="458">
        <f>F69/$F$70</f>
        <v>0.45752250579580694</v>
      </c>
      <c r="K69" s="300" t="s">
        <v>134</v>
      </c>
      <c r="L69" s="413">
        <f>L65+L42+L40+L38+L37+L41+L22+L64+L61+L39+L60+L62+L27+L26+L23+L17+L8+L63+L24+L25+L9+L18</f>
        <v>502571</v>
      </c>
      <c r="M69" s="413">
        <f>M65+M42+M40+M38+M37+M41+M22+M64+M61+M39+M60+M62+M27+M26+M23+M17+M8+M63+M24+M25+M9+M18</f>
        <v>64772</v>
      </c>
      <c r="N69" s="347">
        <f>(L69-M69)/M69</f>
        <v>6.7590779966652255</v>
      </c>
      <c r="O69" s="413">
        <f>O65+O42+O40+O38+O37+O41+O22+O64+O61+O39+O60+O62+O27+O26+O23+O17+O8+O63+O24+O25+O9+O18</f>
        <v>1750409</v>
      </c>
      <c r="P69" s="413">
        <f>P65+P42+P40+P38+P37+P41+P22+P64+P61+P39+P60+P62+P27+P26+P23+P17+P8+P63+P24+P25+P9+P18</f>
        <v>1608223</v>
      </c>
      <c r="Q69" s="444">
        <f>(O69-P69)/P69</f>
        <v>8.8411868254589077E-2</v>
      </c>
      <c r="R69" s="453">
        <f>+O69/O70</f>
        <v>0.23512035886833327</v>
      </c>
      <c r="S69" s="3"/>
      <c r="T69" s="200" t="s">
        <v>134</v>
      </c>
      <c r="U69" s="413">
        <f>U65+U42+U40+U38+U37+U41+U22+U64+U61+U39+U60+U62+U27+U26+U23+U17+U8+U63+U24+U25+U9+U18</f>
        <v>2003</v>
      </c>
      <c r="V69" s="413">
        <f>V65+V42+V40+V38+V37+V41+V22+V64+V61+V39+V60+V62+V27+V26+V23+V17+V8+V63+V24+V25+V9+V18</f>
        <v>4060</v>
      </c>
      <c r="W69" s="347">
        <f>(U69-V69)/V69</f>
        <v>-0.50665024630541877</v>
      </c>
      <c r="X69" s="413">
        <f>X65+X42+X40+X38+X37+X41+X22+X64+X61+X39+X60+X62+X27+X26+X23+X17+X8+X63+X24+X25+X9+X18</f>
        <v>12850</v>
      </c>
      <c r="Y69" s="413">
        <f>Y65+Y42+Y40+Y38+Y37+Y41+Y22+Y64+Y61+Y39+Y60+Y62+Y27+Y26+Y23+Y17+Y8+Y63+Y24+Y25+Y9+Y18</f>
        <v>20109</v>
      </c>
      <c r="Z69" s="536">
        <f>(X69-Y69)/Y69</f>
        <v>-0.36098264458700086</v>
      </c>
      <c r="AA69" s="453">
        <f>+X69/X70</f>
        <v>6.248262278029875E-4</v>
      </c>
    </row>
    <row r="70" spans="1:27" ht="14.1" customHeight="1" thickBot="1" x14ac:dyDescent="0.25">
      <c r="B70" s="300" t="s">
        <v>135</v>
      </c>
      <c r="C70" s="414">
        <f>C58+C56+C52+C46+C44+C35+C20+C15+C6+C54+C31+C29+C11+C50+C13+C48+C4+C33</f>
        <v>21767</v>
      </c>
      <c r="D70" s="414">
        <f>D58+D56+D52+D46+D44+D35+D20+D15+D6+D54+D31+D29+D11+D50+D13+D48+D4+D33</f>
        <v>6974</v>
      </c>
      <c r="E70" s="415">
        <f>(C70-D70)/D70</f>
        <v>2.1211643246343561</v>
      </c>
      <c r="F70" s="414">
        <f>F58+F56+F52+F46+F44+F35+F20+F15+F6+F54+F31+F29+F11+F50+F13+F48+F4+F33</f>
        <v>99641</v>
      </c>
      <c r="G70" s="414">
        <f>G58+G56+G52+G46+G44+G35+G20+G15+G6+G54+G31+G29+G11+G50+G13+G48+G4+G33</f>
        <v>99798</v>
      </c>
      <c r="H70" s="418">
        <f>(F70-G70)/G70</f>
        <v>-1.5731778191947735E-3</v>
      </c>
      <c r="I70" s="459">
        <f>+H70/H70</f>
        <v>1</v>
      </c>
      <c r="K70" s="300" t="s">
        <v>135</v>
      </c>
      <c r="L70" s="414">
        <f>L58+L56+L52+L46+L44+L35+L20+L15+L6+L54+L31+L29+L11+L50+L13+L48+L4+L33</f>
        <v>2009208</v>
      </c>
      <c r="M70" s="414">
        <f>M58+M56+M52+M46+M44+M35+M20+M15+M6+M54+M31+M29+M11+M50+M13+M48+M4+M33</f>
        <v>255447</v>
      </c>
      <c r="N70" s="415">
        <f>(L70-M70)/M70</f>
        <v>6.8654593712198615</v>
      </c>
      <c r="O70" s="414">
        <f>O58+O56+O52+O46+O44+O35+O20+O15+O6+O54+O31+O29+O11+O50+O13+O48+O4+O33</f>
        <v>7444736</v>
      </c>
      <c r="P70" s="414">
        <f>P58+P56+P52+P46+P44+P35+P20+P15+P6+P54+P31+P29+P11+P50+P13+P48+P4+P33</f>
        <v>7694225</v>
      </c>
      <c r="Q70" s="447">
        <f>(O70-P70)/P70</f>
        <v>-3.2425487947129177E-2</v>
      </c>
      <c r="R70" s="454">
        <f>+O70/O70</f>
        <v>1</v>
      </c>
      <c r="S70" s="3"/>
      <c r="T70" s="200" t="s">
        <v>135</v>
      </c>
      <c r="U70" s="414">
        <f>U58+U56+U52+U46+U44+U35+U20+U15+U6+U54+U31+U29+U11+U50+U13+U48+U4+U33</f>
        <v>5311554</v>
      </c>
      <c r="V70" s="414">
        <f>V58+V56+V52+V46+V44+V35+V20+V15+V6+V54+V31+V29+V11+V50+V13+V48+V4+V33</f>
        <v>2058265</v>
      </c>
      <c r="W70" s="415">
        <f>(U70-V70)/V70</f>
        <v>1.5805977364430721</v>
      </c>
      <c r="X70" s="414">
        <f>X58+X56+X52+X46+X44+X35+X20+X15+X6+X54+X31+X29+X11+X50+X13+X48+X4+X33</f>
        <v>20565718</v>
      </c>
      <c r="Y70" s="414">
        <f>Y58+Y56+Y52+Y46+Y44+Y35+Y20+Y15+Y6+Y54+Y31+Y29+Y11+Y50+Y13+Y48+Y4+Y33</f>
        <v>27765013</v>
      </c>
      <c r="Z70" s="537">
        <f>(X70-Y70)/Y70</f>
        <v>-0.25929377378645563</v>
      </c>
      <c r="AA70" s="454">
        <f>+X70/X70</f>
        <v>1</v>
      </c>
    </row>
    <row r="71" spans="1:27" x14ac:dyDescent="0.2">
      <c r="D71" s="201"/>
      <c r="E71" s="201"/>
      <c r="F71" s="4"/>
      <c r="G71" s="7"/>
      <c r="H71"/>
      <c r="I71"/>
      <c r="J71"/>
      <c r="K71"/>
      <c r="M71"/>
      <c r="N71"/>
    </row>
    <row r="72" spans="1:27" x14ac:dyDescent="0.2">
      <c r="E72"/>
      <c r="F72" s="2"/>
      <c r="H72"/>
      <c r="I72"/>
      <c r="J72"/>
      <c r="K72"/>
      <c r="N72"/>
      <c r="O72" s="2"/>
      <c r="P72" s="2"/>
      <c r="U72" s="128"/>
    </row>
    <row r="73" spans="1:27" x14ac:dyDescent="0.2">
      <c r="E73"/>
      <c r="F73" s="2"/>
      <c r="H73"/>
      <c r="I73"/>
      <c r="J73"/>
      <c r="K73"/>
      <c r="N73"/>
      <c r="O73" s="2"/>
      <c r="P73" s="2"/>
      <c r="U73" s="128"/>
    </row>
    <row r="74" spans="1:27" x14ac:dyDescent="0.2">
      <c r="D74"/>
      <c r="E74"/>
      <c r="F74"/>
      <c r="G74"/>
      <c r="H74"/>
      <c r="I74"/>
      <c r="J74"/>
      <c r="K74"/>
      <c r="L74"/>
      <c r="M74"/>
      <c r="N74"/>
      <c r="U74" s="128"/>
    </row>
    <row r="75" spans="1:27" x14ac:dyDescent="0.2">
      <c r="C75"/>
      <c r="D75"/>
      <c r="E75"/>
      <c r="F75"/>
      <c r="G75"/>
      <c r="H75"/>
      <c r="I75"/>
      <c r="J75"/>
      <c r="K75"/>
      <c r="L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E142" s="36"/>
      <c r="F142" s="204"/>
      <c r="G142" s="5"/>
      <c r="H142" s="36"/>
      <c r="I142" s="36"/>
      <c r="K142" s="11"/>
    </row>
    <row r="143" spans="4:14" x14ac:dyDescent="0.2">
      <c r="E143" s="36"/>
      <c r="F143" s="204"/>
      <c r="G143" s="5"/>
      <c r="H143" s="36"/>
      <c r="I143" s="36"/>
      <c r="K143" s="11"/>
    </row>
    <row r="144" spans="4:14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F1195" s="204"/>
      <c r="G1195" s="5"/>
      <c r="H1195" s="36"/>
      <c r="I1195" s="36"/>
      <c r="K1195" s="11"/>
    </row>
    <row r="1196" spans="5:11" x14ac:dyDescent="0.2">
      <c r="F1196" s="204"/>
      <c r="G1196" s="5"/>
      <c r="H1196" s="36"/>
      <c r="I1196" s="36"/>
      <c r="K1196" s="11"/>
    </row>
    <row r="1197" spans="5:11" x14ac:dyDescent="0.2"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May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D30" sqref="D3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44317</v>
      </c>
      <c r="B1" s="409" t="s">
        <v>17</v>
      </c>
      <c r="C1" s="409" t="s">
        <v>18</v>
      </c>
      <c r="D1" s="409" t="s">
        <v>19</v>
      </c>
      <c r="E1" s="409" t="s">
        <v>155</v>
      </c>
      <c r="F1" s="409" t="s">
        <v>161</v>
      </c>
      <c r="G1" s="409" t="s">
        <v>156</v>
      </c>
      <c r="H1" s="461" t="s">
        <v>199</v>
      </c>
      <c r="I1" s="461" t="s">
        <v>194</v>
      </c>
      <c r="J1" s="409" t="s">
        <v>20</v>
      </c>
      <c r="K1" s="410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60"/>
      <c r="I2" s="460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[3]American!$HH$22</f>
        <v>49320</v>
      </c>
      <c r="C4" s="20">
        <f>[3]Delta!$HH$22+[3]Delta!$HH$32</f>
        <v>516391</v>
      </c>
      <c r="D4" s="20">
        <f>[3]United!$HH$22</f>
        <v>23229</v>
      </c>
      <c r="E4" s="20">
        <f>[3]Spirit!$HH$22</f>
        <v>23735</v>
      </c>
      <c r="F4" s="20">
        <f>[3]Condor!$HH$22</f>
        <v>0</v>
      </c>
      <c r="G4" s="20">
        <f>'[3]Air France'!$HH$22</f>
        <v>0</v>
      </c>
      <c r="H4" s="20">
        <f>'[3]Jet Blue'!$HH$22</f>
        <v>1330</v>
      </c>
      <c r="I4" s="20">
        <f>[3]KLM!$HH$22+[3]KLM!$HH$32</f>
        <v>0</v>
      </c>
      <c r="J4" s="20">
        <f>'Other Major Airline Stats'!K5</f>
        <v>155372</v>
      </c>
      <c r="K4" s="254">
        <f>SUM(B4:J4)</f>
        <v>769377</v>
      </c>
    </row>
    <row r="5" spans="1:20" x14ac:dyDescent="0.2">
      <c r="A5" s="60" t="s">
        <v>31</v>
      </c>
      <c r="B5" s="13">
        <f>[3]American!$HH$23</f>
        <v>47316</v>
      </c>
      <c r="C5" s="13">
        <f>[3]Delta!$HH$23+[3]Delta!$HH$33</f>
        <v>499218</v>
      </c>
      <c r="D5" s="13">
        <f>[3]United!$HH$23</f>
        <v>21782</v>
      </c>
      <c r="E5" s="13">
        <f>[3]Spirit!$HH$23</f>
        <v>21012</v>
      </c>
      <c r="F5" s="13">
        <f>[3]Condor!$HH$23</f>
        <v>0</v>
      </c>
      <c r="G5" s="13">
        <f>'[3]Air France'!$HH$23</f>
        <v>0</v>
      </c>
      <c r="H5" s="13">
        <f>'[3]Jet Blue'!$HH$23</f>
        <v>1535</v>
      </c>
      <c r="I5" s="13">
        <f>[3]KLM!$HH$23+[3]KLM!$HH$33</f>
        <v>0</v>
      </c>
      <c r="J5" s="13">
        <f>'Other Major Airline Stats'!K6</f>
        <v>146397</v>
      </c>
      <c r="K5" s="255">
        <f>SUM(B5:J5)</f>
        <v>737260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96636</v>
      </c>
      <c r="C6" s="33">
        <f t="shared" si="0"/>
        <v>1015609</v>
      </c>
      <c r="D6" s="33">
        <f t="shared" si="0"/>
        <v>45011</v>
      </c>
      <c r="E6" s="33">
        <f t="shared" si="0"/>
        <v>44747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2865</v>
      </c>
      <c r="I6" s="33">
        <f t="shared" si="1"/>
        <v>0</v>
      </c>
      <c r="J6" s="33">
        <f>SUM(J4:J5)</f>
        <v>301769</v>
      </c>
      <c r="K6" s="256">
        <f>SUM(B6:J6)</f>
        <v>1506637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[3]American!$HH$27</f>
        <v>1657</v>
      </c>
      <c r="C9" s="20">
        <f>[3]Delta!$HH$27+[3]Delta!$HH$37</f>
        <v>19641</v>
      </c>
      <c r="D9" s="20">
        <f>[3]United!$HH$27</f>
        <v>10096</v>
      </c>
      <c r="E9" s="20">
        <f>[3]Spirit!$HH$27</f>
        <v>100</v>
      </c>
      <c r="F9" s="20">
        <f>[3]Condor!$HH$27</f>
        <v>0</v>
      </c>
      <c r="G9" s="20">
        <f>'[3]Air France'!$HH$27</f>
        <v>0</v>
      </c>
      <c r="H9" s="20">
        <f>'[3]Jet Blue'!$HH$27</f>
        <v>30</v>
      </c>
      <c r="I9" s="20">
        <f>[3]KLM!$HH$27+[3]KLM!$HH$37</f>
        <v>0</v>
      </c>
      <c r="J9" s="20">
        <f>'Other Major Airline Stats'!K10</f>
        <v>3111</v>
      </c>
      <c r="K9" s="254">
        <f>SUM(B9:J9)</f>
        <v>34635</v>
      </c>
    </row>
    <row r="10" spans="1:20" x14ac:dyDescent="0.2">
      <c r="A10" s="60" t="s">
        <v>33</v>
      </c>
      <c r="B10" s="13">
        <f>[3]American!$HH$28</f>
        <v>1722</v>
      </c>
      <c r="C10" s="13">
        <f>[3]Delta!$HH$28+[3]Delta!$HH$38</f>
        <v>19119</v>
      </c>
      <c r="D10" s="13">
        <f>[3]United!$HH$28</f>
        <v>1236</v>
      </c>
      <c r="E10" s="13">
        <f>[3]Spirit!$HH$28</f>
        <v>117</v>
      </c>
      <c r="F10" s="13">
        <f>[3]Condor!$HH$28</f>
        <v>0</v>
      </c>
      <c r="G10" s="13">
        <f>'[3]Air France'!$HH$28</f>
        <v>0</v>
      </c>
      <c r="H10" s="13">
        <f>'[3]Jet Blue'!$HH$28</f>
        <v>41</v>
      </c>
      <c r="I10" s="13">
        <f>[3]KLM!$HH$28+[3]KLM!$HH$38</f>
        <v>0</v>
      </c>
      <c r="J10" s="13">
        <f>'Other Major Airline Stats'!K11</f>
        <v>3319</v>
      </c>
      <c r="K10" s="255">
        <f>SUM(B10:J10)</f>
        <v>25554</v>
      </c>
    </row>
    <row r="11" spans="1:20" ht="15.75" thickBot="1" x14ac:dyDescent="0.3">
      <c r="A11" s="61" t="s">
        <v>34</v>
      </c>
      <c r="B11" s="257">
        <f t="shared" ref="B11:J11" si="3">SUM(B9:B10)</f>
        <v>3379</v>
      </c>
      <c r="C11" s="257">
        <f t="shared" si="3"/>
        <v>38760</v>
      </c>
      <c r="D11" s="257">
        <f t="shared" si="3"/>
        <v>11332</v>
      </c>
      <c r="E11" s="257">
        <f t="shared" si="3"/>
        <v>217</v>
      </c>
      <c r="F11" s="257">
        <f t="shared" ref="F11:I11" si="4">SUM(F9:F10)</f>
        <v>0</v>
      </c>
      <c r="G11" s="257">
        <f t="shared" si="4"/>
        <v>0</v>
      </c>
      <c r="H11" s="257">
        <f t="shared" ref="H11" si="5">SUM(H9:H10)</f>
        <v>71</v>
      </c>
      <c r="I11" s="257">
        <f t="shared" si="4"/>
        <v>0</v>
      </c>
      <c r="J11" s="257">
        <f t="shared" si="3"/>
        <v>6430</v>
      </c>
      <c r="K11" s="258">
        <f>SUM(B11:J11)</f>
        <v>60189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[3]American!$HH$4</f>
        <v>423</v>
      </c>
      <c r="C15" s="20">
        <f>[3]Delta!$HH$4+[3]Delta!$HH$15</f>
        <v>3889</v>
      </c>
      <c r="D15" s="20">
        <f>[3]United!$HH$4</f>
        <v>188</v>
      </c>
      <c r="E15" s="20">
        <f>[3]Spirit!$HH$4</f>
        <v>177</v>
      </c>
      <c r="F15" s="20">
        <f>[3]Condor!$HH$4</f>
        <v>0</v>
      </c>
      <c r="G15" s="20">
        <f>'[3]Air France'!$HH$4</f>
        <v>0</v>
      </c>
      <c r="H15" s="20">
        <f>'[3]Jet Blue'!$HH$4</f>
        <v>17</v>
      </c>
      <c r="I15" s="20">
        <f>[3]KLM!$HH$4+[3]KLM!$HH$15</f>
        <v>0</v>
      </c>
      <c r="J15" s="20">
        <f>'Other Major Airline Stats'!K16</f>
        <v>1209</v>
      </c>
      <c r="K15" s="26">
        <f>SUM(B15:J15)</f>
        <v>5903</v>
      </c>
    </row>
    <row r="16" spans="1:20" x14ac:dyDescent="0.2">
      <c r="A16" s="60" t="s">
        <v>23</v>
      </c>
      <c r="B16" s="13">
        <f>[3]American!$HH$5</f>
        <v>425</v>
      </c>
      <c r="C16" s="13">
        <f>[3]Delta!$HH$5+[3]Delta!$HH$16</f>
        <v>3899</v>
      </c>
      <c r="D16" s="13">
        <f>[3]United!$HH$5</f>
        <v>188</v>
      </c>
      <c r="E16" s="13">
        <f>[3]Spirit!$HH$5</f>
        <v>177</v>
      </c>
      <c r="F16" s="13">
        <f>[3]Condor!$HH$5</f>
        <v>0</v>
      </c>
      <c r="G16" s="13">
        <f>'[3]Air France'!$HH$5</f>
        <v>0</v>
      </c>
      <c r="H16" s="13">
        <f>'[3]Jet Blue'!$HH$5</f>
        <v>17</v>
      </c>
      <c r="I16" s="13">
        <f>[3]KLM!$HH$5+[3]KLM!$HH$16</f>
        <v>0</v>
      </c>
      <c r="J16" s="13">
        <f>'Other Major Airline Stats'!K17</f>
        <v>1208</v>
      </c>
      <c r="K16" s="32">
        <f>SUM(B16:J16)</f>
        <v>5914</v>
      </c>
    </row>
    <row r="17" spans="1:11" x14ac:dyDescent="0.2">
      <c r="A17" s="60" t="s">
        <v>24</v>
      </c>
      <c r="B17" s="261">
        <f t="shared" ref="B17:J17" si="6">SUM(B15:B16)</f>
        <v>848</v>
      </c>
      <c r="C17" s="259">
        <f t="shared" si="6"/>
        <v>7788</v>
      </c>
      <c r="D17" s="259">
        <f t="shared" si="6"/>
        <v>376</v>
      </c>
      <c r="E17" s="259">
        <f t="shared" si="6"/>
        <v>354</v>
      </c>
      <c r="F17" s="259">
        <f t="shared" ref="F17:I17" si="7">SUM(F15:F16)</f>
        <v>0</v>
      </c>
      <c r="G17" s="259">
        <f t="shared" si="7"/>
        <v>0</v>
      </c>
      <c r="H17" s="259">
        <f t="shared" ref="H17" si="8">SUM(H15:H16)</f>
        <v>34</v>
      </c>
      <c r="I17" s="259">
        <f t="shared" si="7"/>
        <v>0</v>
      </c>
      <c r="J17" s="259">
        <f t="shared" si="6"/>
        <v>2417</v>
      </c>
      <c r="K17" s="260">
        <f>SUM(B17:J17)</f>
        <v>11817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[3]American!$HH$8</f>
        <v>0</v>
      </c>
      <c r="C19" s="20">
        <f>[3]Delta!$HH$8</f>
        <v>1</v>
      </c>
      <c r="D19" s="20">
        <f>[3]United!$HH$8</f>
        <v>0</v>
      </c>
      <c r="E19" s="20">
        <f>[3]Spirit!$HH$8</f>
        <v>0</v>
      </c>
      <c r="F19" s="20">
        <f>[3]Condor!$HH$8</f>
        <v>0</v>
      </c>
      <c r="G19" s="20">
        <f>'[3]Air France'!$HH$8</f>
        <v>0</v>
      </c>
      <c r="H19" s="20">
        <f>'[3]Jet Blue'!$HH$8</f>
        <v>1</v>
      </c>
      <c r="I19" s="20">
        <f>[3]KLM!$HH$8</f>
        <v>0</v>
      </c>
      <c r="J19" s="20">
        <f>'Other Major Airline Stats'!K20</f>
        <v>85</v>
      </c>
      <c r="K19" s="26">
        <f>SUM(B19:J19)</f>
        <v>87</v>
      </c>
    </row>
    <row r="20" spans="1:11" x14ac:dyDescent="0.2">
      <c r="A20" s="60" t="s">
        <v>26</v>
      </c>
      <c r="B20" s="13">
        <f>[3]American!$HH$9</f>
        <v>0</v>
      </c>
      <c r="C20" s="13">
        <f>[3]Delta!$HH$9</f>
        <v>6</v>
      </c>
      <c r="D20" s="13">
        <f>[3]United!$HH$9</f>
        <v>0</v>
      </c>
      <c r="E20" s="13">
        <f>[3]Spirit!$HH$9</f>
        <v>0</v>
      </c>
      <c r="F20" s="13">
        <f>[3]Condor!$HH$9</f>
        <v>0</v>
      </c>
      <c r="G20" s="13">
        <f>'[3]Air France'!$HH$9</f>
        <v>0</v>
      </c>
      <c r="H20" s="13">
        <f>'[3]Jet Blue'!$HH$9</f>
        <v>1</v>
      </c>
      <c r="I20" s="13">
        <f>[3]KLM!$HH$9</f>
        <v>0</v>
      </c>
      <c r="J20" s="13">
        <f>'Other Major Airline Stats'!K21</f>
        <v>76</v>
      </c>
      <c r="K20" s="32">
        <f>SUM(B20:J20)</f>
        <v>83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7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2</v>
      </c>
      <c r="I21" s="259">
        <f t="shared" si="10"/>
        <v>0</v>
      </c>
      <c r="J21" s="259">
        <f t="shared" si="9"/>
        <v>161</v>
      </c>
      <c r="K21" s="173">
        <f>SUM(B21:J21)</f>
        <v>170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848</v>
      </c>
      <c r="C23" s="27">
        <f t="shared" si="12"/>
        <v>7795</v>
      </c>
      <c r="D23" s="27">
        <f t="shared" si="12"/>
        <v>376</v>
      </c>
      <c r="E23" s="27">
        <f>E17+E21</f>
        <v>354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36</v>
      </c>
      <c r="I23" s="27">
        <f t="shared" si="13"/>
        <v>0</v>
      </c>
      <c r="J23" s="27">
        <f t="shared" si="12"/>
        <v>2578</v>
      </c>
      <c r="K23" s="28">
        <f>SUM(B23:J23)</f>
        <v>11987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[3]American!$HH$47</f>
        <v>35327</v>
      </c>
      <c r="C28" s="20">
        <f>[3]Delta!$HH$47</f>
        <v>1210203</v>
      </c>
      <c r="D28" s="20">
        <f>[3]United!$HH$47</f>
        <v>72411</v>
      </c>
      <c r="E28" s="20">
        <f>[3]Spirit!$HH$47</f>
        <v>0</v>
      </c>
      <c r="F28" s="20">
        <f>[3]Condor!$HH$47</f>
        <v>0</v>
      </c>
      <c r="G28" s="20">
        <f>'[3]Air France'!$HH$47</f>
        <v>0</v>
      </c>
      <c r="H28" s="20">
        <f>'[3]Jet Blue'!$HH$47</f>
        <v>0</v>
      </c>
      <c r="I28" s="20">
        <f>[3]KLM!$HH$47</f>
        <v>0</v>
      </c>
      <c r="J28" s="20">
        <f>'Other Major Airline Stats'!K28</f>
        <v>318480</v>
      </c>
      <c r="K28" s="26">
        <f>SUM(B28:J28)</f>
        <v>1636421</v>
      </c>
    </row>
    <row r="29" spans="1:11" x14ac:dyDescent="0.2">
      <c r="A29" s="60" t="s">
        <v>38</v>
      </c>
      <c r="B29" s="13">
        <f>[3]American!$HH$48</f>
        <v>72472</v>
      </c>
      <c r="C29" s="13">
        <f>[3]Delta!$HH$48</f>
        <v>990115</v>
      </c>
      <c r="D29" s="13">
        <f>[3]United!$HH$48</f>
        <v>1577</v>
      </c>
      <c r="E29" s="13">
        <f>[3]Spirit!$HH$48</f>
        <v>0</v>
      </c>
      <c r="F29" s="13">
        <f>[3]Condor!$HH$48</f>
        <v>0</v>
      </c>
      <c r="G29" s="13">
        <f>'[3]Air France'!$HH$48</f>
        <v>0</v>
      </c>
      <c r="H29" s="13">
        <f>'[3]Jet Blue'!$HH$48</f>
        <v>0</v>
      </c>
      <c r="I29" s="13">
        <f>[3]KLM!$HH$48</f>
        <v>0</v>
      </c>
      <c r="J29" s="13">
        <f>'Other Major Airline Stats'!K29</f>
        <v>172730</v>
      </c>
      <c r="K29" s="32">
        <f>SUM(B29:J29)</f>
        <v>1236894</v>
      </c>
    </row>
    <row r="30" spans="1:11" x14ac:dyDescent="0.2">
      <c r="A30" s="64" t="s">
        <v>39</v>
      </c>
      <c r="B30" s="261">
        <f t="shared" ref="B30:J30" si="15">SUM(B28:B29)</f>
        <v>107799</v>
      </c>
      <c r="C30" s="261">
        <f t="shared" si="15"/>
        <v>2200318</v>
      </c>
      <c r="D30" s="261">
        <f t="shared" si="15"/>
        <v>73988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0</v>
      </c>
      <c r="H30" s="261">
        <f t="shared" ref="H30" si="17">SUM(H28:H29)</f>
        <v>0</v>
      </c>
      <c r="I30" s="261">
        <f t="shared" si="16"/>
        <v>0</v>
      </c>
      <c r="J30" s="261">
        <f t="shared" si="15"/>
        <v>491210</v>
      </c>
      <c r="K30" s="26">
        <f>SUM(B30:J30)</f>
        <v>2873315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[3]American!$HH$52</f>
        <v>5753</v>
      </c>
      <c r="C33" s="20">
        <f>[3]Delta!$HH$52</f>
        <v>658853</v>
      </c>
      <c r="D33" s="20">
        <f>[3]United!$HH$52</f>
        <v>45378</v>
      </c>
      <c r="E33" s="20">
        <f>[3]Spirit!$HH$52</f>
        <v>0</v>
      </c>
      <c r="F33" s="20">
        <f>[3]Condor!$HH$52</f>
        <v>0</v>
      </c>
      <c r="G33" s="20">
        <f>'[3]Air France'!$HH$52</f>
        <v>0</v>
      </c>
      <c r="H33" s="20">
        <f>'[3]Jet Blue'!$HH$52</f>
        <v>0</v>
      </c>
      <c r="I33" s="20">
        <f>[3]KLM!$HH$52</f>
        <v>0</v>
      </c>
      <c r="J33" s="20">
        <f>'Other Major Airline Stats'!K33</f>
        <v>93623</v>
      </c>
      <c r="K33" s="26">
        <f t="shared" si="18"/>
        <v>803607</v>
      </c>
    </row>
    <row r="34" spans="1:11" x14ac:dyDescent="0.2">
      <c r="A34" s="60" t="s">
        <v>38</v>
      </c>
      <c r="B34" s="13">
        <f>[3]American!$HH$53</f>
        <v>67943</v>
      </c>
      <c r="C34" s="13">
        <f>[3]Delta!$HH$53</f>
        <v>1146606</v>
      </c>
      <c r="D34" s="13">
        <f>[3]United!$HH$53</f>
        <v>65404</v>
      </c>
      <c r="E34" s="13">
        <f>[3]Spirit!$HH$53</f>
        <v>0</v>
      </c>
      <c r="F34" s="13">
        <f>[3]Condor!$HH$53</f>
        <v>0</v>
      </c>
      <c r="G34" s="13">
        <f>'[3]Air France'!$HH$53</f>
        <v>0</v>
      </c>
      <c r="H34" s="13">
        <f>'[3]Jet Blue'!$HH$53</f>
        <v>0</v>
      </c>
      <c r="I34" s="13">
        <f>[3]KLM!$HH$53</f>
        <v>0</v>
      </c>
      <c r="J34" s="13">
        <f>'Other Major Airline Stats'!K34</f>
        <v>352676</v>
      </c>
      <c r="K34" s="32">
        <f t="shared" si="18"/>
        <v>1632629</v>
      </c>
    </row>
    <row r="35" spans="1:11" x14ac:dyDescent="0.2">
      <c r="A35" s="64" t="s">
        <v>41</v>
      </c>
      <c r="B35" s="261">
        <f t="shared" ref="B35:J35" si="19">SUM(B33:B34)</f>
        <v>73696</v>
      </c>
      <c r="C35" s="261">
        <f t="shared" si="19"/>
        <v>1805459</v>
      </c>
      <c r="D35" s="261">
        <f t="shared" si="19"/>
        <v>110782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0</v>
      </c>
      <c r="H35" s="261">
        <f t="shared" ref="H35" si="21">SUM(H33:H34)</f>
        <v>0</v>
      </c>
      <c r="I35" s="261">
        <f t="shared" si="20"/>
        <v>0</v>
      </c>
      <c r="J35" s="261">
        <f t="shared" si="19"/>
        <v>446299</v>
      </c>
      <c r="K35" s="26">
        <f t="shared" si="18"/>
        <v>2436236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[3]American!$HH$57</f>
        <v>0</v>
      </c>
      <c r="C38" s="20">
        <f>[3]Delta!$HH$57</f>
        <v>0</v>
      </c>
      <c r="D38" s="20">
        <f>[3]United!$HH$57</f>
        <v>0</v>
      </c>
      <c r="E38" s="20">
        <f>[3]Spirit!$HH$57</f>
        <v>0</v>
      </c>
      <c r="F38" s="20">
        <f>[3]Condor!$HH$57</f>
        <v>0</v>
      </c>
      <c r="G38" s="20">
        <f>'[3]Air France'!$HH$57</f>
        <v>0</v>
      </c>
      <c r="H38" s="20">
        <f>'[3]Jet Blue'!$HH$57</f>
        <v>0</v>
      </c>
      <c r="I38" s="20">
        <f>[3]KLM!$HH$57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[3]American!$HH$58</f>
        <v>0</v>
      </c>
      <c r="C39" s="13">
        <f>[3]Delta!$HH$58</f>
        <v>0</v>
      </c>
      <c r="D39" s="13">
        <f>[3]United!$HH$58</f>
        <v>0</v>
      </c>
      <c r="E39" s="13">
        <f>[3]Spirit!$HH$58</f>
        <v>0</v>
      </c>
      <c r="F39" s="13">
        <f>[3]Condor!$HH$58</f>
        <v>0</v>
      </c>
      <c r="G39" s="13">
        <f>'[3]Air France'!$HH$58</f>
        <v>0</v>
      </c>
      <c r="H39" s="13">
        <f>'[3]Jet Blue'!$HH$58</f>
        <v>0</v>
      </c>
      <c r="I39" s="13">
        <f>[3]KLM!$HH$58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41080</v>
      </c>
      <c r="C43" s="20">
        <f t="shared" si="25"/>
        <v>1869056</v>
      </c>
      <c r="D43" s="20">
        <f t="shared" si="25"/>
        <v>117789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0</v>
      </c>
      <c r="J43" s="20">
        <f t="shared" si="25"/>
        <v>412103</v>
      </c>
      <c r="K43" s="26">
        <f>SUM(B43:J43)</f>
        <v>2440028</v>
      </c>
    </row>
    <row r="44" spans="1:11" x14ac:dyDescent="0.2">
      <c r="A44" s="60" t="s">
        <v>38</v>
      </c>
      <c r="B44" s="13">
        <f t="shared" si="25"/>
        <v>140415</v>
      </c>
      <c r="C44" s="13">
        <f t="shared" si="25"/>
        <v>2136721</v>
      </c>
      <c r="D44" s="13">
        <f t="shared" si="25"/>
        <v>66981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525406</v>
      </c>
      <c r="K44" s="26">
        <f>SUM(B44:J44)</f>
        <v>2869523</v>
      </c>
    </row>
    <row r="45" spans="1:11" ht="15.75" thickBot="1" x14ac:dyDescent="0.3">
      <c r="A45" s="61" t="s">
        <v>46</v>
      </c>
      <c r="B45" s="262">
        <f t="shared" ref="B45:J45" si="30">SUM(B43:B44)</f>
        <v>181495</v>
      </c>
      <c r="C45" s="262">
        <f t="shared" si="30"/>
        <v>4005777</v>
      </c>
      <c r="D45" s="262">
        <f t="shared" si="30"/>
        <v>184770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0</v>
      </c>
      <c r="H45" s="262">
        <f t="shared" ref="H45" si="32">SUM(H43:H44)</f>
        <v>0</v>
      </c>
      <c r="I45" s="262">
        <f t="shared" si="31"/>
        <v>0</v>
      </c>
      <c r="J45" s="262">
        <f t="shared" si="30"/>
        <v>937509</v>
      </c>
      <c r="K45" s="263">
        <f>SUM(B45:J45)</f>
        <v>5309551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[3]Delta!$HH$70+[3]Delta!$HH$73</f>
        <v>306190</v>
      </c>
      <c r="D47" s="278"/>
      <c r="E47" s="278"/>
      <c r="F47" s="278"/>
      <c r="G47" s="278"/>
      <c r="H47" s="278"/>
      <c r="I47" s="278"/>
      <c r="J47" s="278"/>
      <c r="K47" s="279">
        <f>SUM(B47:J47)</f>
        <v>306190</v>
      </c>
    </row>
    <row r="48" spans="1:11" hidden="1" x14ac:dyDescent="0.2">
      <c r="A48" s="349" t="s">
        <v>122</v>
      </c>
      <c r="C48" s="291">
        <f>[3]Delta!$HH$71+[3]Delta!$HH$74</f>
        <v>193028</v>
      </c>
      <c r="D48" s="278"/>
      <c r="E48" s="278"/>
      <c r="F48" s="278"/>
      <c r="G48" s="278"/>
      <c r="H48" s="278"/>
      <c r="I48" s="278"/>
      <c r="J48" s="278"/>
      <c r="K48" s="279">
        <f>SUM(B48:J48)</f>
        <v>193028</v>
      </c>
    </row>
    <row r="49" spans="1:11" hidden="1" x14ac:dyDescent="0.2">
      <c r="A49" s="350" t="s">
        <v>123</v>
      </c>
      <c r="C49" s="292">
        <f>SUM(C47:C48)</f>
        <v>499218</v>
      </c>
      <c r="K49" s="279">
        <f>SUM(B49:J49)</f>
        <v>499218</v>
      </c>
    </row>
    <row r="50" spans="1:11" x14ac:dyDescent="0.2">
      <c r="A50" s="348" t="s">
        <v>121</v>
      </c>
      <c r="B50" s="360"/>
      <c r="C50" s="294">
        <f>[3]Delta!$HH$70+[3]Delta!$HH$73</f>
        <v>306190</v>
      </c>
      <c r="D50" s="360"/>
      <c r="E50" s="294">
        <f>[3]Spirit!$HH$70+[3]Spirit!$HH$73</f>
        <v>0</v>
      </c>
      <c r="F50" s="360"/>
      <c r="G50" s="360"/>
      <c r="H50" s="360"/>
      <c r="I50" s="360"/>
      <c r="J50" s="293">
        <f>'Other Major Airline Stats'!K48</f>
        <v>131637</v>
      </c>
      <c r="K50" s="282">
        <f>SUM(B50:J50)</f>
        <v>437827</v>
      </c>
    </row>
    <row r="51" spans="1:11" x14ac:dyDescent="0.2">
      <c r="A51" s="362" t="s">
        <v>122</v>
      </c>
      <c r="B51" s="360"/>
      <c r="C51" s="294">
        <f>[3]Delta!$HH$71+[3]Delta!$HH$74</f>
        <v>193028</v>
      </c>
      <c r="D51" s="360"/>
      <c r="E51" s="294">
        <f>[3]Spirit!$HH$71+[3]Spirit!$HH$74</f>
        <v>0</v>
      </c>
      <c r="F51" s="360"/>
      <c r="G51" s="360"/>
      <c r="H51" s="360"/>
      <c r="I51" s="360"/>
      <c r="J51" s="293">
        <f>+'Other Major Airline Stats'!K49</f>
        <v>461</v>
      </c>
      <c r="K51" s="282">
        <f>SUM(B51:J51)</f>
        <v>193489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May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C18" sqref="C1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44317</v>
      </c>
      <c r="B2" s="408" t="s">
        <v>47</v>
      </c>
      <c r="C2" s="407" t="s">
        <v>178</v>
      </c>
      <c r="D2" s="410" t="s">
        <v>211</v>
      </c>
      <c r="E2" s="410" t="s">
        <v>239</v>
      </c>
      <c r="F2" s="407" t="s">
        <v>179</v>
      </c>
      <c r="G2" s="408" t="s">
        <v>48</v>
      </c>
      <c r="H2" s="407" t="s">
        <v>129</v>
      </c>
      <c r="I2" s="407" t="s">
        <v>49</v>
      </c>
      <c r="J2" s="407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[3]Frontier!$HH$22</f>
        <v>7036</v>
      </c>
      <c r="C5" s="116">
        <f>'[3]Air Choice One'!$HH$22</f>
        <v>0</v>
      </c>
      <c r="D5" s="128">
        <f>'[3]Aer Lingus'!$HH$22+'[3]Aer Lingus'!$HH$32</f>
        <v>0</v>
      </c>
      <c r="E5" s="116">
        <f>'[3]Denver Air'!$HH$22+'[3]Denver Air'!$HH$32</f>
        <v>290</v>
      </c>
      <c r="F5" s="116">
        <f>'[3]Boutique Air'!$HH$22</f>
        <v>102</v>
      </c>
      <c r="G5" s="144">
        <f>[3]Icelandair!$HH$32</f>
        <v>0</v>
      </c>
      <c r="H5" s="116">
        <f>[3]Southwest!$HH$22</f>
        <v>48803</v>
      </c>
      <c r="I5" s="116">
        <f>'[3]Sun Country'!$HH$22+'[3]Sun Country'!$HH$32</f>
        <v>91190</v>
      </c>
      <c r="J5" s="116">
        <f>[3]Alaska!$HH$22</f>
        <v>7951</v>
      </c>
      <c r="K5" s="145">
        <f>SUM(B5:J5)</f>
        <v>155372</v>
      </c>
      <c r="N5" s="128"/>
    </row>
    <row r="6" spans="1:14" x14ac:dyDescent="0.2">
      <c r="A6" s="60" t="s">
        <v>31</v>
      </c>
      <c r="B6" s="144">
        <f>[3]Frontier!$HH$23</f>
        <v>6343</v>
      </c>
      <c r="C6" s="116">
        <f>'[3]Air Choice One'!$HH$23</f>
        <v>0</v>
      </c>
      <c r="D6" s="128">
        <f>'[3]Aer Lingus'!$HH$23+'[3]Aer Lingus'!$HH$33</f>
        <v>0</v>
      </c>
      <c r="E6" s="116">
        <f>'[3]Denver Air'!$HH$23+'[3]Denver Air'!$HH$33</f>
        <v>278</v>
      </c>
      <c r="F6" s="116">
        <f>'[3]Boutique Air'!$HH$23</f>
        <v>81</v>
      </c>
      <c r="G6" s="144">
        <f>[3]Icelandair!$HH$33</f>
        <v>0</v>
      </c>
      <c r="H6" s="116">
        <f>[3]Southwest!$HH$23</f>
        <v>46121</v>
      </c>
      <c r="I6" s="116">
        <f>'[3]Sun Country'!$HH$23+'[3]Sun Country'!$HH$33</f>
        <v>85977</v>
      </c>
      <c r="J6" s="116">
        <f>[3]Alaska!$HH$23</f>
        <v>7597</v>
      </c>
      <c r="K6" s="145">
        <f>SUM(B6:J6)</f>
        <v>146397</v>
      </c>
    </row>
    <row r="7" spans="1:14" ht="15" x14ac:dyDescent="0.25">
      <c r="A7" s="58" t="s">
        <v>7</v>
      </c>
      <c r="B7" s="153">
        <f t="shared" ref="B7:J7" si="0">SUM(B5:B6)</f>
        <v>13379</v>
      </c>
      <c r="C7" s="153">
        <f t="shared" ref="C7:F7" si="1">SUM(C5:C6)</f>
        <v>0</v>
      </c>
      <c r="D7" s="153">
        <f>SUM(D5:D6)</f>
        <v>0</v>
      </c>
      <c r="E7" s="153">
        <f>SUM(E5:E6)</f>
        <v>568</v>
      </c>
      <c r="F7" s="153">
        <f t="shared" si="1"/>
        <v>183</v>
      </c>
      <c r="G7" s="153">
        <f t="shared" si="0"/>
        <v>0</v>
      </c>
      <c r="H7" s="153">
        <f t="shared" si="0"/>
        <v>94924</v>
      </c>
      <c r="I7" s="153">
        <f>SUM(I5:I6)</f>
        <v>177167</v>
      </c>
      <c r="J7" s="153">
        <f t="shared" si="0"/>
        <v>15548</v>
      </c>
      <c r="K7" s="154">
        <f>SUM(B7:J7)</f>
        <v>301769</v>
      </c>
    </row>
    <row r="8" spans="1:14" x14ac:dyDescent="0.2">
      <c r="A8" s="60"/>
      <c r="B8" s="152"/>
      <c r="C8" s="152"/>
      <c r="D8" s="470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70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[3]Frontier!$HH$27</f>
        <v>74</v>
      </c>
      <c r="C10" s="152">
        <f>'[3]Air Choice One'!$HH$27</f>
        <v>0</v>
      </c>
      <c r="D10" s="470">
        <f>'[3]Aer Lingus'!$HH$27+'[3]Aer Lingus'!$HH$37</f>
        <v>0</v>
      </c>
      <c r="E10" s="152">
        <f>'[3]Denver Air'!$HH$27+'[3]Denver Air'!$HH$37</f>
        <v>14</v>
      </c>
      <c r="F10" s="152">
        <f>'[3]Boutique Air'!$HH$27</f>
        <v>0</v>
      </c>
      <c r="G10" s="152">
        <f>[3]Icelandair!$HH$37</f>
        <v>0</v>
      </c>
      <c r="H10" s="152">
        <f>[3]Southwest!$HH$27</f>
        <v>913</v>
      </c>
      <c r="I10" s="152">
        <f>'[3]Sun Country'!$HH$27+'[3]Sun Country'!$HH$37</f>
        <v>1820</v>
      </c>
      <c r="J10" s="152">
        <f>[3]Alaska!$HH$27</f>
        <v>290</v>
      </c>
      <c r="K10" s="145">
        <f>SUM(B10:J10)</f>
        <v>3111</v>
      </c>
    </row>
    <row r="11" spans="1:14" x14ac:dyDescent="0.2">
      <c r="A11" s="60" t="s">
        <v>33</v>
      </c>
      <c r="B11" s="155">
        <f>[3]Frontier!$HH$28</f>
        <v>69</v>
      </c>
      <c r="C11" s="155">
        <f>'[3]Air Choice One'!$HH$28</f>
        <v>0</v>
      </c>
      <c r="D11" s="155">
        <f>'[3]Aer Lingus'!$HH$28+'[3]Aer Lingus'!$HH$38</f>
        <v>0</v>
      </c>
      <c r="E11" s="155">
        <f>'[3]Denver Air'!$HH$28+'[3]Denver Air'!$HH$38</f>
        <v>18</v>
      </c>
      <c r="F11" s="155">
        <f>'[3]Boutique Air'!$HH$28</f>
        <v>0</v>
      </c>
      <c r="G11" s="155">
        <f>[3]Icelandair!$HH$38</f>
        <v>0</v>
      </c>
      <c r="H11" s="155">
        <f>[3]Southwest!$HH$28</f>
        <v>1104</v>
      </c>
      <c r="I11" s="155">
        <f>'[3]Sun Country'!$HH$28+'[3]Sun Country'!$HH$38</f>
        <v>1834</v>
      </c>
      <c r="J11" s="155">
        <f>[3]Alaska!$HH$28</f>
        <v>294</v>
      </c>
      <c r="K11" s="145">
        <f>SUM(B11:J11)</f>
        <v>3319</v>
      </c>
    </row>
    <row r="12" spans="1:14" ht="15.75" thickBot="1" x14ac:dyDescent="0.3">
      <c r="A12" s="61" t="s">
        <v>34</v>
      </c>
      <c r="B12" s="148">
        <f t="shared" ref="B12:J12" si="2">SUM(B10:B11)</f>
        <v>143</v>
      </c>
      <c r="C12" s="148">
        <f t="shared" ref="C12:F12" si="3">SUM(C10:C11)</f>
        <v>0</v>
      </c>
      <c r="D12" s="148">
        <f>SUM(D10:D11)</f>
        <v>0</v>
      </c>
      <c r="E12" s="148">
        <f>SUM(E10:E11)</f>
        <v>32</v>
      </c>
      <c r="F12" s="148">
        <f t="shared" si="3"/>
        <v>0</v>
      </c>
      <c r="G12" s="148">
        <f t="shared" si="2"/>
        <v>0</v>
      </c>
      <c r="H12" s="148">
        <f t="shared" si="2"/>
        <v>2017</v>
      </c>
      <c r="I12" s="148">
        <f>SUM(I10:I11)</f>
        <v>3654</v>
      </c>
      <c r="J12" s="148">
        <f t="shared" si="2"/>
        <v>584</v>
      </c>
      <c r="K12" s="156">
        <f>SUM(B12:J12)</f>
        <v>6430</v>
      </c>
      <c r="N12" s="128"/>
    </row>
    <row r="13" spans="1:14" ht="15" x14ac:dyDescent="0.25">
      <c r="A13" s="57"/>
      <c r="B13" s="264"/>
      <c r="C13" s="264"/>
      <c r="D13" s="471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[3]Frontier!$HH$4</f>
        <v>47</v>
      </c>
      <c r="C16" s="104">
        <f>'[3]Air Choice One'!$HH$4</f>
        <v>0</v>
      </c>
      <c r="D16" s="128">
        <f>'[3]Aer Lingus'!$HH$4+'[3]Aer Lingus'!$HH$15</f>
        <v>0</v>
      </c>
      <c r="E16" s="116">
        <f>'[3]Denver Air'!$HH$4+'[3]Denver Air'!$HH$15</f>
        <v>51</v>
      </c>
      <c r="F16" s="104">
        <f>'[3]Boutique Air'!$HH$4</f>
        <v>22</v>
      </c>
      <c r="G16" s="144">
        <f>[3]Icelandair!$HH$15</f>
        <v>0</v>
      </c>
      <c r="H16" s="104">
        <f>[3]Southwest!$HH$4</f>
        <v>384</v>
      </c>
      <c r="I16" s="116">
        <f>'[3]Sun Country'!$HH$4+'[3]Sun Country'!$HH$15</f>
        <v>646</v>
      </c>
      <c r="J16" s="116">
        <f>[3]Alaska!$HH$4</f>
        <v>59</v>
      </c>
      <c r="K16" s="145">
        <f>SUM(B16:J16)</f>
        <v>1209</v>
      </c>
    </row>
    <row r="17" spans="1:258" x14ac:dyDescent="0.2">
      <c r="A17" s="60" t="s">
        <v>23</v>
      </c>
      <c r="B17" s="144">
        <f>[3]Frontier!$HH$5</f>
        <v>47</v>
      </c>
      <c r="C17" s="104">
        <f>'[3]Air Choice One'!$HH$5</f>
        <v>0</v>
      </c>
      <c r="D17" s="128">
        <f>'[3]Aer Lingus'!$HH$5+'[3]Aer Lingus'!$HH$16</f>
        <v>0</v>
      </c>
      <c r="E17" s="116">
        <f>'[3]Denver Air'!$HH$5+'[3]Denver Air'!$HH$16</f>
        <v>51</v>
      </c>
      <c r="F17" s="104">
        <f>'[3]Boutique Air'!$HH$5</f>
        <v>22</v>
      </c>
      <c r="G17" s="144">
        <f>[3]Icelandair!$HH$16</f>
        <v>0</v>
      </c>
      <c r="H17" s="104">
        <f>[3]Southwest!$HH$5</f>
        <v>382</v>
      </c>
      <c r="I17" s="116">
        <f>'[3]Sun Country'!$HH$5+'[3]Sun Country'!$HH$16</f>
        <v>647</v>
      </c>
      <c r="J17" s="116">
        <f>[3]Alaska!$HH$5</f>
        <v>59</v>
      </c>
      <c r="K17" s="145">
        <f>SUM(B17:J17)</f>
        <v>1208</v>
      </c>
    </row>
    <row r="18" spans="1:258" x14ac:dyDescent="0.2">
      <c r="A18" s="64" t="s">
        <v>24</v>
      </c>
      <c r="B18" s="146">
        <f t="shared" ref="B18:J18" si="4">SUM(B16:B17)</f>
        <v>94</v>
      </c>
      <c r="C18" s="146">
        <f t="shared" ref="C18:F18" si="5">SUM(C16:C17)</f>
        <v>0</v>
      </c>
      <c r="D18" s="162">
        <f t="shared" si="5"/>
        <v>0</v>
      </c>
      <c r="E18" s="146">
        <f t="shared" si="5"/>
        <v>102</v>
      </c>
      <c r="F18" s="146">
        <f t="shared" si="5"/>
        <v>44</v>
      </c>
      <c r="G18" s="146">
        <f t="shared" si="4"/>
        <v>0</v>
      </c>
      <c r="H18" s="146">
        <f t="shared" si="4"/>
        <v>766</v>
      </c>
      <c r="I18" s="146">
        <f t="shared" si="4"/>
        <v>1293</v>
      </c>
      <c r="J18" s="146">
        <f t="shared" si="4"/>
        <v>118</v>
      </c>
      <c r="K18" s="147">
        <f>SUM(B18:J18)</f>
        <v>2417</v>
      </c>
    </row>
    <row r="19" spans="1:258" x14ac:dyDescent="0.2">
      <c r="A19" s="64"/>
      <c r="B19" s="114"/>
      <c r="C19" s="114"/>
      <c r="D19" s="468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[3]Frontier!$HH$8</f>
        <v>0</v>
      </c>
      <c r="C20" s="116">
        <f>'[3]Air Choice One'!$HH$8</f>
        <v>0</v>
      </c>
      <c r="D20" s="128">
        <f>'[3]Aer Lingus'!$HH$8</f>
        <v>0</v>
      </c>
      <c r="E20" s="116">
        <f>'[3]Denver Air'!$HH$8</f>
        <v>1</v>
      </c>
      <c r="F20" s="116">
        <f>'[3]Boutique Air'!$HH$8</f>
        <v>0</v>
      </c>
      <c r="G20" s="144">
        <f>[3]Icelandair!$HH$8</f>
        <v>0</v>
      </c>
      <c r="H20" s="116">
        <f>[3]Southwest!$HH$8</f>
        <v>0</v>
      </c>
      <c r="I20" s="116">
        <f>'[3]Sun Country'!$HH$8</f>
        <v>83</v>
      </c>
      <c r="J20" s="116">
        <f>[3]Alaska!$HH$8</f>
        <v>1</v>
      </c>
      <c r="K20" s="145">
        <f>SUM(B20:J20)</f>
        <v>85</v>
      </c>
    </row>
    <row r="21" spans="1:258" x14ac:dyDescent="0.2">
      <c r="A21" s="60" t="s">
        <v>26</v>
      </c>
      <c r="B21" s="144">
        <f>[3]Frontier!$HH$9</f>
        <v>0</v>
      </c>
      <c r="C21" s="116">
        <f>'[3]Air Choice One'!$HH$9</f>
        <v>0</v>
      </c>
      <c r="D21" s="128">
        <f>'[3]Aer Lingus'!$HH$9</f>
        <v>0</v>
      </c>
      <c r="E21" s="116">
        <f>'[3]Denver Air'!$HH$9</f>
        <v>1</v>
      </c>
      <c r="F21" s="116">
        <f>'[3]Boutique Air'!$HH$9</f>
        <v>0</v>
      </c>
      <c r="G21" s="144">
        <f>[3]Icelandair!$HH$9</f>
        <v>0</v>
      </c>
      <c r="H21" s="116">
        <f>[3]Southwest!$HH$9</f>
        <v>0</v>
      </c>
      <c r="I21" s="116">
        <f>'[3]Sun Country'!$HH$9</f>
        <v>74</v>
      </c>
      <c r="J21" s="116">
        <f>[3]Alaska!$HH$9</f>
        <v>1</v>
      </c>
      <c r="K21" s="145">
        <f>SUM(B21:J21)</f>
        <v>76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2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157</v>
      </c>
      <c r="J22" s="146">
        <f t="shared" si="6"/>
        <v>2</v>
      </c>
      <c r="K22" s="147">
        <f>SUM(B22:J22)</f>
        <v>161</v>
      </c>
    </row>
    <row r="23" spans="1:258" ht="15.75" thickBot="1" x14ac:dyDescent="0.3">
      <c r="A23" s="61" t="s">
        <v>28</v>
      </c>
      <c r="B23" s="148">
        <f t="shared" ref="B23:J23" si="8">B22+B18</f>
        <v>94</v>
      </c>
      <c r="C23" s="148">
        <f t="shared" ref="C23:F23" si="9">C22+C18</f>
        <v>0</v>
      </c>
      <c r="D23" s="148">
        <f t="shared" si="9"/>
        <v>0</v>
      </c>
      <c r="E23" s="148">
        <f t="shared" si="9"/>
        <v>104</v>
      </c>
      <c r="F23" s="148">
        <f t="shared" si="9"/>
        <v>44</v>
      </c>
      <c r="G23" s="148">
        <f t="shared" si="8"/>
        <v>0</v>
      </c>
      <c r="H23" s="148">
        <f t="shared" si="8"/>
        <v>766</v>
      </c>
      <c r="I23" s="148">
        <f t="shared" si="8"/>
        <v>1450</v>
      </c>
      <c r="J23" s="148">
        <f t="shared" si="8"/>
        <v>120</v>
      </c>
      <c r="K23" s="149">
        <f>SUM(B23:J23)</f>
        <v>2578</v>
      </c>
    </row>
    <row r="24" spans="1:258" x14ac:dyDescent="0.2">
      <c r="A24" s="20"/>
      <c r="B24" s="20"/>
      <c r="C24" s="20"/>
      <c r="D24" s="47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73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[3]Frontier!$HH$47</f>
        <v>0</v>
      </c>
      <c r="C28" s="116">
        <f>'[3]Air Choice One'!$HH$47</f>
        <v>0</v>
      </c>
      <c r="D28" s="128">
        <f>'[3]Aer Lingus'!$HH$47</f>
        <v>0</v>
      </c>
      <c r="E28" s="116">
        <f>'[3]Denver Air'!$HH$47</f>
        <v>0</v>
      </c>
      <c r="F28" s="116">
        <f>'[3]Boutique Air'!$HH$47</f>
        <v>0</v>
      </c>
      <c r="G28" s="144">
        <f>[3]Icelandair!$HH$47</f>
        <v>0</v>
      </c>
      <c r="H28" s="116">
        <f>[3]Southwest!$HH$47</f>
        <v>274336</v>
      </c>
      <c r="I28" s="116">
        <f>'[3]Sun Country'!$HH$47</f>
        <v>17301</v>
      </c>
      <c r="J28" s="116">
        <f>[3]Alaska!$HH$47</f>
        <v>26843</v>
      </c>
      <c r="K28" s="145">
        <f>SUM(B28:J28)</f>
        <v>318480</v>
      </c>
    </row>
    <row r="29" spans="1:258" x14ac:dyDescent="0.2">
      <c r="A29" s="60" t="s">
        <v>38</v>
      </c>
      <c r="B29" s="144">
        <f>[3]Frontier!$HH$48</f>
        <v>0</v>
      </c>
      <c r="C29" s="116">
        <f>'[3]Air Choice One'!$HH$48</f>
        <v>0</v>
      </c>
      <c r="D29" s="128">
        <f>'[3]Aer Lingus'!$HH$48</f>
        <v>0</v>
      </c>
      <c r="E29" s="116">
        <f>'[3]Denver Air'!$HH$48</f>
        <v>0</v>
      </c>
      <c r="F29" s="116">
        <f>'[3]Boutique Air'!$HH$48</f>
        <v>0</v>
      </c>
      <c r="G29" s="144">
        <f>[3]Icelandair!$HH$48</f>
        <v>0</v>
      </c>
      <c r="H29" s="116">
        <f>[3]Southwest!$HH$48</f>
        <v>0</v>
      </c>
      <c r="I29" s="116">
        <f>'[3]Sun Country'!$HH$48</f>
        <v>170769</v>
      </c>
      <c r="J29" s="116">
        <f>[3]Alaska!$HH$48</f>
        <v>1961</v>
      </c>
      <c r="K29" s="145">
        <f>SUM(B29:J29)</f>
        <v>172730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0</v>
      </c>
      <c r="H30" s="160">
        <f t="shared" si="10"/>
        <v>274336</v>
      </c>
      <c r="I30" s="160">
        <f t="shared" si="10"/>
        <v>188070</v>
      </c>
      <c r="J30" s="160">
        <f t="shared" si="10"/>
        <v>28804</v>
      </c>
      <c r="K30" s="163">
        <f>SUM(B30:J30)</f>
        <v>491210</v>
      </c>
    </row>
    <row r="31" spans="1:258" x14ac:dyDescent="0.2">
      <c r="A31" s="60"/>
      <c r="B31" s="152"/>
      <c r="C31" s="152"/>
      <c r="D31" s="470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[3]Frontier!$HH$52</f>
        <v>0</v>
      </c>
      <c r="C33" s="116">
        <f>'[3]Air Choice One'!$HH$52</f>
        <v>0</v>
      </c>
      <c r="D33" s="128">
        <f>'[3]Aer Lingus'!$HH$52</f>
        <v>0</v>
      </c>
      <c r="E33" s="116">
        <f>'[3]Denver Air'!$HH$52</f>
        <v>0</v>
      </c>
      <c r="F33" s="116">
        <f>'[3]Boutique Air'!$HH$52</f>
        <v>0</v>
      </c>
      <c r="G33" s="144">
        <f>[3]Icelandair!$HH$52</f>
        <v>0</v>
      </c>
      <c r="H33" s="116">
        <f>[3]Southwest!$HH$52</f>
        <v>87064</v>
      </c>
      <c r="I33" s="116">
        <f>'[3]Sun Country'!$HH$52</f>
        <v>219</v>
      </c>
      <c r="J33" s="116">
        <f>[3]Alaska!$HH$52</f>
        <v>6340</v>
      </c>
      <c r="K33" s="145">
        <f>SUM(B33:J33)</f>
        <v>93623</v>
      </c>
    </row>
    <row r="34" spans="1:11" x14ac:dyDescent="0.2">
      <c r="A34" s="60" t="s">
        <v>38</v>
      </c>
      <c r="B34" s="144">
        <f>[3]Frontier!$HH$53</f>
        <v>0</v>
      </c>
      <c r="C34" s="116">
        <f>'[3]Air Choice One'!$HH$53</f>
        <v>0</v>
      </c>
      <c r="D34" s="128">
        <f>'[3]Aer Lingus'!$HH$53</f>
        <v>0</v>
      </c>
      <c r="E34" s="116">
        <f>'[3]Denver Air'!$HH$53</f>
        <v>0</v>
      </c>
      <c r="F34" s="116">
        <f>'[3]Boutique Air'!$HH$53</f>
        <v>0</v>
      </c>
      <c r="G34" s="144">
        <f>[3]Icelandair!$HH$53</f>
        <v>0</v>
      </c>
      <c r="H34" s="116">
        <f>[3]Southwest!$HH$53</f>
        <v>0</v>
      </c>
      <c r="I34" s="116">
        <f>'[3]Sun Country'!$HH$53</f>
        <v>351731</v>
      </c>
      <c r="J34" s="116">
        <f>[3]Alaska!$HH$53</f>
        <v>945</v>
      </c>
      <c r="K34" s="161">
        <f>SUM(B34:J34)</f>
        <v>352676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0</v>
      </c>
      <c r="H35" s="162">
        <f t="shared" si="12"/>
        <v>87064</v>
      </c>
      <c r="I35" s="162">
        <f t="shared" si="12"/>
        <v>351950</v>
      </c>
      <c r="J35" s="162">
        <f t="shared" si="12"/>
        <v>7285</v>
      </c>
      <c r="K35" s="163">
        <f>SUM(B35:J35)</f>
        <v>446299</v>
      </c>
    </row>
    <row r="36" spans="1:11" hidden="1" x14ac:dyDescent="0.2">
      <c r="A36" s="60"/>
      <c r="B36" s="152"/>
      <c r="C36" s="152"/>
      <c r="D36" s="470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70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[3]Frontier!$HH$57</f>
        <v>0</v>
      </c>
      <c r="C38" s="152">
        <f>'[3]Air Choice One'!$HH$57</f>
        <v>0</v>
      </c>
      <c r="D38" s="470">
        <f>'[3]Aer Lingus'!$HH$57</f>
        <v>0</v>
      </c>
      <c r="E38" s="152">
        <f>'[3]Denver Air'!$HH$57</f>
        <v>0</v>
      </c>
      <c r="F38" s="152">
        <f>'[3]Boutique Air'!$HH$57</f>
        <v>0</v>
      </c>
      <c r="G38" s="152">
        <f>[3]Icelandair!$HH$57</f>
        <v>0</v>
      </c>
      <c r="H38" s="152">
        <f>[3]Southwest!$HH$57</f>
        <v>0</v>
      </c>
      <c r="I38" s="152">
        <f>'[3]Sun Country'!$HH$57</f>
        <v>0</v>
      </c>
      <c r="J38" s="152">
        <f>[3]Alaska!$HH$57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[3]Frontier!$HH$58</f>
        <v>0</v>
      </c>
      <c r="C39" s="155">
        <f>'[3]Air Choice One'!$HH$58</f>
        <v>0</v>
      </c>
      <c r="D39" s="155">
        <f>'[3]Aer Lingus'!$HH$58</f>
        <v>0</v>
      </c>
      <c r="E39" s="155">
        <f>'[3]Denver Air'!$HH$58</f>
        <v>0</v>
      </c>
      <c r="F39" s="155">
        <f>'[3]Boutique Air'!$HH$58</f>
        <v>0</v>
      </c>
      <c r="G39" s="155">
        <f>[3]Icelandair!$HH$58</f>
        <v>0</v>
      </c>
      <c r="H39" s="155">
        <f>[3]Southwest!$HH$58</f>
        <v>0</v>
      </c>
      <c r="I39" s="155">
        <f>'[3]Sun Country'!$HH$58</f>
        <v>0</v>
      </c>
      <c r="J39" s="155">
        <f>[3]Alaska!$HH$58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4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70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70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70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0</v>
      </c>
      <c r="H43" s="152">
        <f t="shared" si="16"/>
        <v>361400</v>
      </c>
      <c r="I43" s="152">
        <f t="shared" si="16"/>
        <v>17520</v>
      </c>
      <c r="J43" s="152">
        <f t="shared" si="16"/>
        <v>33183</v>
      </c>
      <c r="K43" s="145">
        <f>SUM(B43:J43)</f>
        <v>412103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522500</v>
      </c>
      <c r="J44" s="155">
        <f t="shared" si="18"/>
        <v>2906</v>
      </c>
      <c r="K44" s="145">
        <f>SUM(B44:J44)</f>
        <v>525406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0</v>
      </c>
      <c r="H45" s="165">
        <f t="shared" si="20"/>
        <v>361400</v>
      </c>
      <c r="I45" s="165">
        <f t="shared" si="20"/>
        <v>540020</v>
      </c>
      <c r="J45" s="165">
        <f t="shared" si="20"/>
        <v>36089</v>
      </c>
      <c r="K45" s="166">
        <f>SUM(B45:J45)</f>
        <v>937509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[3]Southwest!$HH$70+[3]Southwest!$HH$73</f>
        <v>45660</v>
      </c>
      <c r="I48" s="294">
        <f>'[3]Sun Country'!$HH$70+'[3]Sun Country'!$HH$73</f>
        <v>85977</v>
      </c>
      <c r="J48" s="360"/>
      <c r="K48" s="282">
        <f>SUM(B48:J48)</f>
        <v>131637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[3]Southwest!$HH$71+[3]Southwest!$HH$74</f>
        <v>461</v>
      </c>
      <c r="I49" s="294">
        <f>'[3]Sun Country'!$HH$71+'[3]Sun Country'!$HH$74</f>
        <v>0</v>
      </c>
      <c r="J49" s="360"/>
      <c r="K49" s="282">
        <f>SUM(B49:J49)</f>
        <v>461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May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Normal="100" zoomScaleSheetLayoutView="115" workbookViewId="0">
      <selection activeCell="E17" sqref="E1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5" s="7" customFormat="1" x14ac:dyDescent="0.2">
      <c r="A1" s="358"/>
    </row>
    <row r="2" spans="1:15" s="7" customFormat="1" ht="51.75" thickBot="1" x14ac:dyDescent="0.25">
      <c r="A2" s="351">
        <v>44317</v>
      </c>
      <c r="B2" s="406" t="s">
        <v>157</v>
      </c>
      <c r="C2" s="406" t="s">
        <v>160</v>
      </c>
      <c r="D2" s="406" t="s">
        <v>168</v>
      </c>
      <c r="E2" s="406" t="s">
        <v>167</v>
      </c>
      <c r="F2" s="406" t="s">
        <v>169</v>
      </c>
      <c r="G2" s="406" t="s">
        <v>198</v>
      </c>
      <c r="H2" s="406" t="s">
        <v>173</v>
      </c>
      <c r="I2" s="406" t="s">
        <v>180</v>
      </c>
      <c r="J2" s="406" t="s">
        <v>196</v>
      </c>
      <c r="K2" s="406" t="s">
        <v>172</v>
      </c>
      <c r="L2" s="18" t="s">
        <v>115</v>
      </c>
      <c r="M2" s="18" t="s">
        <v>21</v>
      </c>
    </row>
    <row r="3" spans="1:15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5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5" x14ac:dyDescent="0.2">
      <c r="A5" s="60" t="s">
        <v>30</v>
      </c>
      <c r="B5" s="129">
        <f>[3]Pinnacle!$HH$22+[3]Pinnacle!$HH$32</f>
        <v>84292</v>
      </c>
      <c r="C5" s="130">
        <f>[3]MESA_UA!$HH$22</f>
        <v>1915</v>
      </c>
      <c r="D5" s="128">
        <f>'[3]Sky West'!$HH$22+'[3]Sky West'!$HH$32</f>
        <v>148571</v>
      </c>
      <c r="E5" s="128">
        <f>'[3]Sky West_UA'!$HH$22</f>
        <v>1491</v>
      </c>
      <c r="F5" s="128">
        <f>'[3]Sky West_AS'!$HH$22</f>
        <v>0</v>
      </c>
      <c r="G5" s="128">
        <f>'[3]Sky West_AA'!$HH$22</f>
        <v>428</v>
      </c>
      <c r="H5" s="128">
        <f>[3]Republic!$HH$22</f>
        <v>3614</v>
      </c>
      <c r="I5" s="128">
        <f>[3]Republic_UA!$HH$22</f>
        <v>3431</v>
      </c>
      <c r="J5" s="128">
        <f>'[3]Sky Regional'!$HH$32</f>
        <v>0</v>
      </c>
      <c r="K5" s="128">
        <f>'[3]American Eagle'!$HH$22</f>
        <v>3626</v>
      </c>
      <c r="L5" s="128">
        <f>'Other Regional'!K5</f>
        <v>3456</v>
      </c>
      <c r="M5" s="108">
        <f>SUM(B5:L5)</f>
        <v>250824</v>
      </c>
    </row>
    <row r="6" spans="1:15" s="10" customFormat="1" x14ac:dyDescent="0.2">
      <c r="A6" s="60" t="s">
        <v>31</v>
      </c>
      <c r="B6" s="129">
        <f>[3]Pinnacle!$HH$23+[3]Pinnacle!$HH$33</f>
        <v>82360</v>
      </c>
      <c r="C6" s="130">
        <f>[3]MESA_UA!$HH$23</f>
        <v>1864</v>
      </c>
      <c r="D6" s="128">
        <f>'[3]Sky West'!$HH$23+'[3]Sky West'!$HH$33</f>
        <v>151316</v>
      </c>
      <c r="E6" s="128">
        <f>'[3]Sky West_UA'!$HH$23</f>
        <v>1544</v>
      </c>
      <c r="F6" s="128">
        <f>'[3]Sky West_AS'!$HH$23</f>
        <v>0</v>
      </c>
      <c r="G6" s="128">
        <f>'[3]Sky West_AA'!$HH$23</f>
        <v>421</v>
      </c>
      <c r="H6" s="128">
        <f>[3]Republic!$HH$23</f>
        <v>3787</v>
      </c>
      <c r="I6" s="128">
        <f>[3]Republic_UA!$HH$23</f>
        <v>3456</v>
      </c>
      <c r="J6" s="128">
        <f>'[3]Sky Regional'!$HH$33</f>
        <v>0</v>
      </c>
      <c r="K6" s="128">
        <f>'[3]American Eagle'!$HH$23</f>
        <v>3483</v>
      </c>
      <c r="L6" s="128">
        <f>'Other Regional'!K6</f>
        <v>3516</v>
      </c>
      <c r="M6" s="113">
        <f>SUM(B6:L6)</f>
        <v>251747</v>
      </c>
    </row>
    <row r="7" spans="1:15" ht="15" thickBot="1" x14ac:dyDescent="0.25">
      <c r="A7" s="71" t="s">
        <v>7</v>
      </c>
      <c r="B7" s="131">
        <f>SUM(B5:B6)</f>
        <v>166652</v>
      </c>
      <c r="C7" s="131">
        <f t="shared" ref="C7:L7" si="0">SUM(C5:C6)</f>
        <v>3779</v>
      </c>
      <c r="D7" s="131">
        <f t="shared" si="0"/>
        <v>299887</v>
      </c>
      <c r="E7" s="131">
        <f t="shared" si="0"/>
        <v>3035</v>
      </c>
      <c r="F7" s="131">
        <f t="shared" ref="F7:G7" si="1">SUM(F5:F6)</f>
        <v>0</v>
      </c>
      <c r="G7" s="131">
        <f t="shared" si="1"/>
        <v>849</v>
      </c>
      <c r="H7" s="131">
        <f t="shared" si="0"/>
        <v>7401</v>
      </c>
      <c r="I7" s="131">
        <f t="shared" si="0"/>
        <v>6887</v>
      </c>
      <c r="J7" s="131">
        <f t="shared" si="0"/>
        <v>0</v>
      </c>
      <c r="K7" s="131">
        <f t="shared" si="0"/>
        <v>7109</v>
      </c>
      <c r="L7" s="131">
        <f t="shared" si="0"/>
        <v>6972</v>
      </c>
      <c r="M7" s="132">
        <f>SUM(B7:L7)</f>
        <v>502571</v>
      </c>
    </row>
    <row r="8" spans="1:15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5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5" x14ac:dyDescent="0.2">
      <c r="A10" s="60" t="s">
        <v>30</v>
      </c>
      <c r="B10" s="129">
        <f>[3]Pinnacle!$HH$27+[3]Pinnacle!$HH$37</f>
        <v>3067</v>
      </c>
      <c r="C10" s="130">
        <f>[3]MESA_UA!$HH$27</f>
        <v>98</v>
      </c>
      <c r="D10" s="128">
        <f>'[3]Sky West'!$HH$27+'[3]Sky West'!$HH$37</f>
        <v>5422</v>
      </c>
      <c r="E10" s="128">
        <f>'[3]Sky West_UA'!$HH$27</f>
        <v>94</v>
      </c>
      <c r="F10" s="128">
        <f>'[3]Sky West_AS'!$HH$27</f>
        <v>0</v>
      </c>
      <c r="G10" s="128">
        <f>'[3]Sky West_AA'!$HH$27</f>
        <v>41</v>
      </c>
      <c r="H10" s="128">
        <f>[3]Republic!$HH$27</f>
        <v>155</v>
      </c>
      <c r="I10" s="128">
        <f>[3]Republic_UA!$HH$27</f>
        <v>120</v>
      </c>
      <c r="J10" s="128">
        <f>'[3]Sky Regional'!$HH$37</f>
        <v>0</v>
      </c>
      <c r="K10" s="128">
        <f>'[3]American Eagle'!$HH$27</f>
        <v>181</v>
      </c>
      <c r="L10" s="128">
        <f>'Other Regional'!K10</f>
        <v>108</v>
      </c>
      <c r="M10" s="108">
        <f>SUM(B10:L10)</f>
        <v>9286</v>
      </c>
    </row>
    <row r="11" spans="1:15" x14ac:dyDescent="0.2">
      <c r="A11" s="60" t="s">
        <v>33</v>
      </c>
      <c r="B11" s="129">
        <f>[3]Pinnacle!$HH$28+[3]Pinnacle!$HH$38</f>
        <v>2852</v>
      </c>
      <c r="C11" s="130">
        <f>[3]MESA_UA!$HH$28</f>
        <v>102</v>
      </c>
      <c r="D11" s="128">
        <f>'[3]Sky West'!$HH$28+'[3]Sky West'!$HH$38</f>
        <v>5439</v>
      </c>
      <c r="E11" s="128">
        <f>'[3]Sky West_UA'!$HH$28</f>
        <v>76</v>
      </c>
      <c r="F11" s="128">
        <f>'[3]Sky West_AS'!$HH$28</f>
        <v>0</v>
      </c>
      <c r="G11" s="128">
        <f>'[3]Sky West_AA'!$HH$28</f>
        <v>45</v>
      </c>
      <c r="H11" s="128">
        <f>[3]Republic!$HH$28</f>
        <v>168</v>
      </c>
      <c r="I11" s="128">
        <f>[3]Republic_UA!$HH$28</f>
        <v>129</v>
      </c>
      <c r="J11" s="128">
        <f>'[3]Sky Regional'!$HH$38</f>
        <v>0</v>
      </c>
      <c r="K11" s="128">
        <f>'[3]American Eagle'!$HH$28</f>
        <v>199</v>
      </c>
      <c r="L11" s="128">
        <f>'Other Regional'!K11</f>
        <v>110</v>
      </c>
      <c r="M11" s="113">
        <f>SUM(B11:L11)</f>
        <v>9120</v>
      </c>
    </row>
    <row r="12" spans="1:15" ht="15" thickBot="1" x14ac:dyDescent="0.25">
      <c r="A12" s="72" t="s">
        <v>34</v>
      </c>
      <c r="B12" s="134">
        <f t="shared" ref="B12:L12" si="2">SUM(B10:B11)</f>
        <v>5919</v>
      </c>
      <c r="C12" s="134">
        <f t="shared" si="2"/>
        <v>200</v>
      </c>
      <c r="D12" s="134">
        <f t="shared" si="2"/>
        <v>10861</v>
      </c>
      <c r="E12" s="134">
        <f t="shared" si="2"/>
        <v>170</v>
      </c>
      <c r="F12" s="134">
        <f t="shared" ref="F12:G12" si="3">SUM(F10:F11)</f>
        <v>0</v>
      </c>
      <c r="G12" s="134">
        <f t="shared" si="3"/>
        <v>86</v>
      </c>
      <c r="H12" s="134">
        <f t="shared" si="2"/>
        <v>323</v>
      </c>
      <c r="I12" s="134">
        <f t="shared" si="2"/>
        <v>249</v>
      </c>
      <c r="J12" s="134">
        <f t="shared" si="2"/>
        <v>0</v>
      </c>
      <c r="K12" s="134">
        <f t="shared" si="2"/>
        <v>380</v>
      </c>
      <c r="L12" s="134">
        <f t="shared" si="2"/>
        <v>218</v>
      </c>
      <c r="M12" s="135">
        <f>SUM(B12:L12)</f>
        <v>18406</v>
      </c>
    </row>
    <row r="13" spans="1:15" ht="13.5" thickBot="1" x14ac:dyDescent="0.25"/>
    <row r="14" spans="1:15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5" x14ac:dyDescent="0.2">
      <c r="A15" s="60" t="s">
        <v>53</v>
      </c>
      <c r="B15" s="20">
        <f>[3]Pinnacle!$HH$4+[3]Pinnacle!$HH$15</f>
        <v>1743</v>
      </c>
      <c r="C15" s="106">
        <f>[3]MESA_UA!$HH$4</f>
        <v>31</v>
      </c>
      <c r="D15" s="104">
        <f>'[3]Sky West'!$HH$4+'[3]Sky West'!$HH$15</f>
        <v>2857</v>
      </c>
      <c r="E15" s="104">
        <f>'[3]Sky West_UA'!$HH$4</f>
        <v>24</v>
      </c>
      <c r="F15" s="104">
        <f>'[3]Sky West_AS'!$HH$4</f>
        <v>0</v>
      </c>
      <c r="G15" s="104">
        <f>'[3]Sky West_AA'!$HH$4</f>
        <v>8</v>
      </c>
      <c r="H15" s="107">
        <f>[3]Republic!$HH$4</f>
        <v>56</v>
      </c>
      <c r="I15" s="425">
        <f>[3]Republic_UA!$HH$4</f>
        <v>56</v>
      </c>
      <c r="J15" s="425">
        <f>'[3]Sky Regional'!$HH$15</f>
        <v>0</v>
      </c>
      <c r="K15" s="107">
        <f>'[3]American Eagle'!$HH$4</f>
        <v>56</v>
      </c>
      <c r="L15" s="105">
        <f>'Other Regional'!K15</f>
        <v>59</v>
      </c>
      <c r="M15" s="108">
        <f t="shared" ref="M15:M21" si="5">SUM(B15:L15)</f>
        <v>4890</v>
      </c>
    </row>
    <row r="16" spans="1:15" x14ac:dyDescent="0.2">
      <c r="A16" s="60" t="s">
        <v>54</v>
      </c>
      <c r="B16" s="13">
        <f>[3]Pinnacle!$HH$5+[3]Pinnacle!$HH$16</f>
        <v>1742</v>
      </c>
      <c r="C16" s="111">
        <f>[3]MESA_UA!$HH$5</f>
        <v>31</v>
      </c>
      <c r="D16" s="109">
        <f>'[3]Sky West'!$HH$5+'[3]Sky West'!$HH$16</f>
        <v>2857</v>
      </c>
      <c r="E16" s="109">
        <f>'[3]Sky West_UA'!$HH$5</f>
        <v>24</v>
      </c>
      <c r="F16" s="109">
        <f>'[3]Sky West_AS'!$HH$5</f>
        <v>0</v>
      </c>
      <c r="G16" s="109">
        <f>'[3]Sky West_AA'!$HH$5</f>
        <v>8</v>
      </c>
      <c r="H16" s="112">
        <f>[3]Republic!$HH$5</f>
        <v>56</v>
      </c>
      <c r="I16" s="269">
        <f>[3]Republic_UA!$HH$5</f>
        <v>56</v>
      </c>
      <c r="J16" s="269">
        <f>'[3]Sky Regional'!$HH$16</f>
        <v>0</v>
      </c>
      <c r="K16" s="112">
        <f>'[3]American Eagle'!$HH$5</f>
        <v>55</v>
      </c>
      <c r="L16" s="110">
        <f>'Other Regional'!K16</f>
        <v>59</v>
      </c>
      <c r="M16" s="113">
        <f t="shared" si="5"/>
        <v>4888</v>
      </c>
      <c r="O16" s="128"/>
    </row>
    <row r="17" spans="1:13" x14ac:dyDescent="0.2">
      <c r="A17" s="69" t="s">
        <v>55</v>
      </c>
      <c r="B17" s="114">
        <f t="shared" ref="B17:K17" si="6">SUM(B15:B16)</f>
        <v>3485</v>
      </c>
      <c r="C17" s="114">
        <f t="shared" si="6"/>
        <v>62</v>
      </c>
      <c r="D17" s="114">
        <f t="shared" si="6"/>
        <v>5714</v>
      </c>
      <c r="E17" s="114">
        <f t="shared" si="6"/>
        <v>48</v>
      </c>
      <c r="F17" s="114">
        <f t="shared" ref="F17:G17" si="7">SUM(F15:F16)</f>
        <v>0</v>
      </c>
      <c r="G17" s="114">
        <f t="shared" si="7"/>
        <v>16</v>
      </c>
      <c r="H17" s="114">
        <f t="shared" si="6"/>
        <v>112</v>
      </c>
      <c r="I17" s="114">
        <f t="shared" ref="I17:J17" si="8">SUM(I15:I16)</f>
        <v>112</v>
      </c>
      <c r="J17" s="114">
        <f t="shared" si="8"/>
        <v>0</v>
      </c>
      <c r="K17" s="114">
        <f t="shared" si="6"/>
        <v>111</v>
      </c>
      <c r="L17" s="114">
        <f>SUM(L15:L16)</f>
        <v>118</v>
      </c>
      <c r="M17" s="115">
        <f t="shared" si="5"/>
        <v>9778</v>
      </c>
    </row>
    <row r="18" spans="1:13" x14ac:dyDescent="0.2">
      <c r="A18" s="60" t="s">
        <v>56</v>
      </c>
      <c r="B18" s="116">
        <f>[3]Pinnacle!$HH$8</f>
        <v>0</v>
      </c>
      <c r="C18" s="117">
        <f>[3]MESA_UA!$HH$8</f>
        <v>0</v>
      </c>
      <c r="D18" s="116">
        <f>'[3]Sky West'!$HH$8</f>
        <v>1</v>
      </c>
      <c r="E18" s="116">
        <f>'[3]Sky West_UA'!$HH$8</f>
        <v>0</v>
      </c>
      <c r="F18" s="116">
        <f>'[3]Sky West_AS'!$HH$8</f>
        <v>0</v>
      </c>
      <c r="G18" s="116">
        <f>'[3]Sky West_AA'!$HH$8</f>
        <v>0</v>
      </c>
      <c r="H18" s="116">
        <f>[3]Republic!$HH$8</f>
        <v>0</v>
      </c>
      <c r="I18" s="116">
        <f>[3]Republic_UA!$HH$8</f>
        <v>0</v>
      </c>
      <c r="J18" s="116">
        <f>'[3]Sky Regional'!$HH$8</f>
        <v>0</v>
      </c>
      <c r="K18" s="116">
        <f>'[3]American Eagle'!$HH$8</f>
        <v>0</v>
      </c>
      <c r="L18" s="116">
        <f>'Other Regional'!K18</f>
        <v>0</v>
      </c>
      <c r="M18" s="108">
        <f t="shared" si="5"/>
        <v>1</v>
      </c>
    </row>
    <row r="19" spans="1:13" x14ac:dyDescent="0.2">
      <c r="A19" s="60" t="s">
        <v>57</v>
      </c>
      <c r="B19" s="118">
        <f>[3]Pinnacle!$HH$9</f>
        <v>0</v>
      </c>
      <c r="C19" s="119">
        <f>[3]MESA_UA!$HH$9</f>
        <v>0</v>
      </c>
      <c r="D19" s="118">
        <f>'[3]Sky West'!$HH$9</f>
        <v>1</v>
      </c>
      <c r="E19" s="118">
        <f>'[3]Sky West_UA'!$HH$9</f>
        <v>0</v>
      </c>
      <c r="F19" s="118">
        <f>'[3]Sky West_AS'!$HH$9</f>
        <v>0</v>
      </c>
      <c r="G19" s="118">
        <f>'[3]Sky West_AA'!$HH$9</f>
        <v>0</v>
      </c>
      <c r="H19" s="118">
        <f>[3]Republic!$HH$9</f>
        <v>0</v>
      </c>
      <c r="I19" s="118">
        <f>[3]Republic_UA!$HH$9</f>
        <v>0</v>
      </c>
      <c r="J19" s="118">
        <f>'[3]Sky Regional'!$HH$9</f>
        <v>0</v>
      </c>
      <c r="K19" s="118">
        <f>'[3]American Eagle'!$HH$9</f>
        <v>0</v>
      </c>
      <c r="L19" s="118">
        <f>'Other Regional'!K19</f>
        <v>0</v>
      </c>
      <c r="M19" s="113">
        <f t="shared" si="5"/>
        <v>1</v>
      </c>
    </row>
    <row r="20" spans="1:13" x14ac:dyDescent="0.2">
      <c r="A20" s="69" t="s">
        <v>58</v>
      </c>
      <c r="B20" s="114">
        <f t="shared" ref="B20:L20" si="9">SUM(B18:B19)</f>
        <v>0</v>
      </c>
      <c r="C20" s="114">
        <f t="shared" si="9"/>
        <v>0</v>
      </c>
      <c r="D20" s="114">
        <f t="shared" si="9"/>
        <v>2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2</v>
      </c>
    </row>
    <row r="21" spans="1:13" ht="15.75" thickBot="1" x14ac:dyDescent="0.3">
      <c r="A21" s="70" t="s">
        <v>28</v>
      </c>
      <c r="B21" s="120">
        <f>SUM(B20,B17)</f>
        <v>3485</v>
      </c>
      <c r="C21" s="120">
        <f t="shared" ref="C21:K21" si="11">SUM(C20,C17)</f>
        <v>62</v>
      </c>
      <c r="D21" s="120">
        <f t="shared" si="11"/>
        <v>5716</v>
      </c>
      <c r="E21" s="120">
        <f t="shared" si="11"/>
        <v>48</v>
      </c>
      <c r="F21" s="120">
        <f t="shared" ref="F21:G21" si="12">SUM(F20,F17)</f>
        <v>0</v>
      </c>
      <c r="G21" s="120">
        <f t="shared" si="12"/>
        <v>16</v>
      </c>
      <c r="H21" s="120">
        <f t="shared" si="11"/>
        <v>112</v>
      </c>
      <c r="I21" s="120">
        <f t="shared" si="11"/>
        <v>112</v>
      </c>
      <c r="J21" s="120">
        <f t="shared" si="11"/>
        <v>0</v>
      </c>
      <c r="K21" s="120">
        <f t="shared" si="11"/>
        <v>111</v>
      </c>
      <c r="L21" s="120">
        <f>SUM(L20,L17)</f>
        <v>118</v>
      </c>
      <c r="M21" s="121">
        <f t="shared" si="5"/>
        <v>9780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[3]Pinnacle!$HH$47</f>
        <v>0</v>
      </c>
      <c r="C25" s="130">
        <f>[3]MESA_UA!$HH$47</f>
        <v>0</v>
      </c>
      <c r="D25" s="128">
        <f>'[3]Sky West'!$HH$47</f>
        <v>0</v>
      </c>
      <c r="E25" s="128">
        <f>'[3]Sky West_UA'!$HH$47</f>
        <v>0</v>
      </c>
      <c r="F25" s="128">
        <f>'[3]Sky West_AS'!$HH$47</f>
        <v>0</v>
      </c>
      <c r="G25" s="128">
        <f>'[3]Sky West_AA'!$HH$47</f>
        <v>0</v>
      </c>
      <c r="H25" s="128">
        <f>[3]Republic!$HH$47</f>
        <v>129</v>
      </c>
      <c r="I25" s="128">
        <f>[3]Republic_UA!$HH$47</f>
        <v>0</v>
      </c>
      <c r="J25" s="128">
        <f>'[3]Sky Regional'!$HH$47</f>
        <v>0</v>
      </c>
      <c r="K25" s="128">
        <f>'[3]American Eagle'!$HH$47</f>
        <v>106</v>
      </c>
      <c r="L25" s="128">
        <f>'Other Regional'!K25</f>
        <v>178</v>
      </c>
      <c r="M25" s="108">
        <f>SUM(B25:L25)</f>
        <v>413</v>
      </c>
    </row>
    <row r="26" spans="1:13" x14ac:dyDescent="0.2">
      <c r="A26" s="73" t="s">
        <v>38</v>
      </c>
      <c r="B26" s="128">
        <f>[3]Pinnacle!$HH$48</f>
        <v>0</v>
      </c>
      <c r="C26" s="130">
        <f>[3]MESA_UA!$HH$48</f>
        <v>0</v>
      </c>
      <c r="D26" s="128">
        <f>'[3]Sky West'!$HH$48</f>
        <v>0</v>
      </c>
      <c r="E26" s="128">
        <f>'[3]Sky West_UA'!$HH$48</f>
        <v>0</v>
      </c>
      <c r="F26" s="128">
        <f>'[3]Sky West_AS'!$HH$48</f>
        <v>0</v>
      </c>
      <c r="G26" s="128">
        <f>'[3]Sky West_AA'!$HH$48</f>
        <v>0</v>
      </c>
      <c r="H26" s="128">
        <f>[3]Republic!$HH$48</f>
        <v>0</v>
      </c>
      <c r="I26" s="128">
        <f>[3]Republic_UA!$HH$48</f>
        <v>0</v>
      </c>
      <c r="J26" s="128">
        <f>'[3]Sky Regional'!$HH$48</f>
        <v>0</v>
      </c>
      <c r="K26" s="128">
        <f>'[3]American Eagle'!$HH$48</f>
        <v>0</v>
      </c>
      <c r="L26" s="128">
        <f>'Other Regional'!K26</f>
        <v>780</v>
      </c>
      <c r="M26" s="108">
        <f>SUM(B26:L26)</f>
        <v>780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0</v>
      </c>
      <c r="G27" s="131">
        <f t="shared" si="14"/>
        <v>0</v>
      </c>
      <c r="H27" s="131">
        <f t="shared" si="13"/>
        <v>129</v>
      </c>
      <c r="I27" s="131">
        <f t="shared" si="13"/>
        <v>0</v>
      </c>
      <c r="J27" s="131">
        <f t="shared" si="13"/>
        <v>0</v>
      </c>
      <c r="K27" s="131">
        <f t="shared" si="13"/>
        <v>106</v>
      </c>
      <c r="L27" s="131">
        <f t="shared" si="13"/>
        <v>958</v>
      </c>
      <c r="M27" s="132">
        <f>SUM(B27:L27)</f>
        <v>1193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[3]Pinnacle!$HH$52</f>
        <v>0</v>
      </c>
      <c r="C30" s="130">
        <f>[3]MESA_UA!$HH$52</f>
        <v>0</v>
      </c>
      <c r="D30" s="128">
        <f>'[3]Sky West'!$HH$52</f>
        <v>0</v>
      </c>
      <c r="E30" s="128">
        <f>'[3]Sky West_UA'!$HH$52</f>
        <v>0</v>
      </c>
      <c r="F30" s="128">
        <f>'[3]Sky West_AS'!$HH$52</f>
        <v>0</v>
      </c>
      <c r="G30" s="128">
        <f>'[3]Sky West_AA'!$HH$52</f>
        <v>0</v>
      </c>
      <c r="H30" s="128">
        <f>[3]Republic!$HH$52</f>
        <v>0</v>
      </c>
      <c r="I30" s="128">
        <f>[3]Republic_UA!$HH$52</f>
        <v>0</v>
      </c>
      <c r="J30" s="128">
        <f>'[3]Sky Regional'!$HH$52</f>
        <v>0</v>
      </c>
      <c r="K30" s="128">
        <f>'[3]American Eagle'!$HH$52</f>
        <v>134</v>
      </c>
      <c r="L30" s="128">
        <f>'Other Regional'!K30</f>
        <v>0</v>
      </c>
      <c r="M30" s="108">
        <f t="shared" ref="M30:M37" si="15">SUM(B30:L30)</f>
        <v>134</v>
      </c>
    </row>
    <row r="31" spans="1:13" x14ac:dyDescent="0.2">
      <c r="A31" s="73" t="s">
        <v>60</v>
      </c>
      <c r="B31" s="128">
        <f>[3]Pinnacle!$HH$53</f>
        <v>0</v>
      </c>
      <c r="C31" s="130">
        <f>[3]MESA_UA!$HH$53</f>
        <v>0</v>
      </c>
      <c r="D31" s="128">
        <f>'[3]Sky West'!$HH$53</f>
        <v>0</v>
      </c>
      <c r="E31" s="128">
        <f>'[3]Sky West_UA'!$HH$53</f>
        <v>0</v>
      </c>
      <c r="F31" s="128">
        <f>'[3]Sky West_AS'!$HH$53</f>
        <v>0</v>
      </c>
      <c r="G31" s="128">
        <f>'[3]Sky West_AA'!$HH$53</f>
        <v>0</v>
      </c>
      <c r="H31" s="128">
        <f>[3]Republic!$HH$53</f>
        <v>0</v>
      </c>
      <c r="I31" s="128">
        <f>[3]Republic_UA!$HH$53</f>
        <v>0</v>
      </c>
      <c r="J31" s="128">
        <f>'[3]Sky Regional'!$HH$53</f>
        <v>0</v>
      </c>
      <c r="K31" s="128">
        <f>'[3]American Eagle'!$HH$53</f>
        <v>0</v>
      </c>
      <c r="L31" s="128">
        <f>'Other Regional'!K31</f>
        <v>676</v>
      </c>
      <c r="M31" s="108">
        <f t="shared" si="15"/>
        <v>676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0</v>
      </c>
      <c r="G32" s="131">
        <f t="shared" si="17"/>
        <v>0</v>
      </c>
      <c r="H32" s="131">
        <f t="shared" si="16"/>
        <v>0</v>
      </c>
      <c r="I32" s="131">
        <f t="shared" si="16"/>
        <v>0</v>
      </c>
      <c r="J32" s="131">
        <f t="shared" si="16"/>
        <v>0</v>
      </c>
      <c r="K32" s="131">
        <f t="shared" si="16"/>
        <v>134</v>
      </c>
      <c r="L32" s="131">
        <f>SUM(L30:L31)</f>
        <v>676</v>
      </c>
      <c r="M32" s="132">
        <f t="shared" si="15"/>
        <v>810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[3]Pinnacle!$HH$57</f>
        <v>0</v>
      </c>
      <c r="C35" s="130">
        <f>[3]MESA_UA!$HH$57</f>
        <v>0</v>
      </c>
      <c r="D35" s="128">
        <f>'[3]Sky West'!$HH$57</f>
        <v>0</v>
      </c>
      <c r="E35" s="128">
        <f>'[3]Sky West_UA'!$HH$57</f>
        <v>0</v>
      </c>
      <c r="F35" s="128">
        <f>'[3]Sky West_AS'!$HH$57</f>
        <v>0</v>
      </c>
      <c r="G35" s="128">
        <f>'[3]Sky West_AA'!$HH$57</f>
        <v>0</v>
      </c>
      <c r="H35" s="128">
        <f>[3]Republic!$HH$57</f>
        <v>0</v>
      </c>
      <c r="I35" s="128">
        <f>[3]Republic!$HH$57</f>
        <v>0</v>
      </c>
      <c r="J35" s="128">
        <f>[3]Republic!$HH$57</f>
        <v>0</v>
      </c>
      <c r="K35" s="128">
        <f>'[3]American Eagle'!$HH$57</f>
        <v>0</v>
      </c>
      <c r="L35" s="128">
        <f>'Other Regional'!K35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[3]Pinnacle!$HH$58</f>
        <v>0</v>
      </c>
      <c r="C36" s="130">
        <f>[3]MESA_UA!$HH$58</f>
        <v>0</v>
      </c>
      <c r="D36" s="128">
        <f>'[3]Sky West'!$HH$58</f>
        <v>0</v>
      </c>
      <c r="E36" s="128">
        <f>'[3]Sky West_UA'!$HH$58</f>
        <v>0</v>
      </c>
      <c r="F36" s="128">
        <f>'[3]Sky West_AS'!$HH$58</f>
        <v>0</v>
      </c>
      <c r="G36" s="128">
        <f>'[3]Sky West_AA'!$HH$58</f>
        <v>0</v>
      </c>
      <c r="H36" s="128">
        <f>[3]Republic!$HH$58</f>
        <v>0</v>
      </c>
      <c r="I36" s="128">
        <f>[3]Republic!$HH$58</f>
        <v>0</v>
      </c>
      <c r="J36" s="128">
        <f>[3]Republic!$HH$58</f>
        <v>0</v>
      </c>
      <c r="K36" s="128">
        <f>'[3]American Eagle'!$HH$58</f>
        <v>0</v>
      </c>
      <c r="L36" s="128">
        <f>'Other Regional'!K36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0</v>
      </c>
      <c r="G40" s="128">
        <f t="shared" ref="G40" si="22">SUM(G35,G30,G25)</f>
        <v>0</v>
      </c>
      <c r="H40" s="128">
        <f t="shared" si="20"/>
        <v>129</v>
      </c>
      <c r="I40" s="128">
        <f t="shared" si="20"/>
        <v>0</v>
      </c>
      <c r="J40" s="128">
        <f t="shared" si="20"/>
        <v>0</v>
      </c>
      <c r="K40" s="128">
        <f>SUM(K35,K30,K25)</f>
        <v>240</v>
      </c>
      <c r="L40" s="128">
        <f>L35+L30+L25</f>
        <v>178</v>
      </c>
      <c r="M40" s="108">
        <f>SUM(B40:L40)</f>
        <v>547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0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1456</v>
      </c>
      <c r="M41" s="108">
        <f>SUM(B41:L41)</f>
        <v>1456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0</v>
      </c>
      <c r="G42" s="134">
        <f t="shared" ref="G42" si="24">SUM(G37,G32,G27)</f>
        <v>0</v>
      </c>
      <c r="H42" s="134">
        <f t="shared" si="20"/>
        <v>129</v>
      </c>
      <c r="I42" s="134">
        <f t="shared" si="20"/>
        <v>0</v>
      </c>
      <c r="J42" s="134">
        <f t="shared" si="20"/>
        <v>0</v>
      </c>
      <c r="K42" s="134">
        <f>SUM(K37,K32,K27)</f>
        <v>240</v>
      </c>
      <c r="L42" s="134">
        <f>SUM(L37,L32,L27)</f>
        <v>1634</v>
      </c>
      <c r="M42" s="135">
        <f>SUM(B42:L42)</f>
        <v>2003</v>
      </c>
    </row>
    <row r="44" spans="1:13" x14ac:dyDescent="0.2">
      <c r="A44" s="348" t="s">
        <v>121</v>
      </c>
      <c r="B44" s="293">
        <f>[3]Pinnacle!$HH$70+[3]Pinnacle!$HH$73</f>
        <v>22452</v>
      </c>
      <c r="D44" s="294">
        <f>'[3]Sky West'!$HH$70+'[3]Sky West'!$HH$73</f>
        <v>55517</v>
      </c>
      <c r="E44" s="5"/>
      <c r="F44" s="5"/>
      <c r="G44" s="5"/>
      <c r="L44" s="294">
        <f>+'Other Regional'!K46</f>
        <v>0</v>
      </c>
      <c r="M44" s="282">
        <f>SUM(B44:L44)</f>
        <v>77969</v>
      </c>
    </row>
    <row r="45" spans="1:13" x14ac:dyDescent="0.2">
      <c r="A45" s="362" t="s">
        <v>122</v>
      </c>
      <c r="B45" s="293">
        <f>[3]Pinnacle!$HH$71+[3]Pinnacle!$HH$74</f>
        <v>59908</v>
      </c>
      <c r="D45" s="294">
        <f>'[3]Sky West'!$HH$71+'[3]Sky West'!$HH$74</f>
        <v>95799</v>
      </c>
      <c r="E45" s="5"/>
      <c r="F45" s="5"/>
      <c r="G45" s="5"/>
      <c r="L45" s="294">
        <f>+'Other Regional'!K47</f>
        <v>0</v>
      </c>
      <c r="M45" s="282">
        <f>SUM(B45:L45)</f>
        <v>155707</v>
      </c>
    </row>
    <row r="46" spans="1:13" x14ac:dyDescent="0.2">
      <c r="A46" s="284" t="s">
        <v>123</v>
      </c>
      <c r="B46" s="285">
        <f>SUM(B44:B45)</f>
        <v>82360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May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zoomScaleNormal="100" zoomScaleSheetLayoutView="100" workbookViewId="0">
      <selection activeCell="I27" sqref="I2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5" width="12.140625" customWidth="1"/>
    <col min="6" max="6" width="10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2.140625" customWidth="1"/>
  </cols>
  <sheetData>
    <row r="1" spans="1:11" s="7" customFormat="1" ht="36" customHeight="1" x14ac:dyDescent="0.2">
      <c r="A1" s="358"/>
    </row>
    <row r="2" spans="1:11" s="7" customFormat="1" ht="55.5" customHeight="1" thickBot="1" x14ac:dyDescent="0.25">
      <c r="A2" s="351">
        <v>44317</v>
      </c>
      <c r="B2" s="464" t="s">
        <v>171</v>
      </c>
      <c r="C2" s="464" t="s">
        <v>170</v>
      </c>
      <c r="D2" s="464" t="s">
        <v>197</v>
      </c>
      <c r="E2" s="538" t="s">
        <v>240</v>
      </c>
      <c r="F2" s="464" t="s">
        <v>181</v>
      </c>
      <c r="G2" s="464" t="s">
        <v>175</v>
      </c>
      <c r="H2" s="464" t="s">
        <v>174</v>
      </c>
      <c r="I2" s="464" t="s">
        <v>159</v>
      </c>
      <c r="J2" s="464" t="s">
        <v>162</v>
      </c>
      <c r="K2" s="465" t="s">
        <v>21</v>
      </c>
    </row>
    <row r="3" spans="1:11" ht="15" x14ac:dyDescent="0.25">
      <c r="A3" s="252" t="s">
        <v>3</v>
      </c>
      <c r="B3" s="374"/>
      <c r="C3" s="374"/>
      <c r="D3" s="374"/>
      <c r="E3" s="374"/>
      <c r="F3" s="374"/>
      <c r="G3" s="375"/>
      <c r="H3" s="375"/>
      <c r="I3" s="375"/>
      <c r="J3" s="375"/>
      <c r="K3" s="463"/>
    </row>
    <row r="4" spans="1:11" x14ac:dyDescent="0.2">
      <c r="A4" s="60" t="s">
        <v>29</v>
      </c>
      <c r="B4" s="126"/>
      <c r="C4" s="126"/>
      <c r="D4" s="126"/>
      <c r="E4" s="126"/>
      <c r="F4" s="127"/>
      <c r="G4" s="129"/>
      <c r="H4" s="129"/>
      <c r="I4" s="129"/>
      <c r="J4" s="129"/>
      <c r="K4" s="108"/>
    </row>
    <row r="5" spans="1:11" x14ac:dyDescent="0.2">
      <c r="A5" s="60" t="s">
        <v>30</v>
      </c>
      <c r="B5" s="129">
        <f>'[3]Shuttle America'!$HH$22</f>
        <v>0</v>
      </c>
      <c r="C5" s="129">
        <f>'[3]Shuttle America_Delta'!$HH$22</f>
        <v>0</v>
      </c>
      <c r="D5" s="426">
        <f>[3]Horizon_AS!$HH$22+[3]Horizon_AS!$HH$32</f>
        <v>1969</v>
      </c>
      <c r="E5" s="426">
        <f>'[3]Air Wisconsin'!$HH$22</f>
        <v>0</v>
      </c>
      <c r="F5" s="426">
        <f>[3]PSA!$HH$22</f>
        <v>1487</v>
      </c>
      <c r="G5" s="129">
        <f>'[3]Atlantic Southeast'!$HH$22+'[3]Atlantic Southeast'!$HH$32</f>
        <v>0</v>
      </c>
      <c r="H5" s="129">
        <f>'[3]Continental Express'!$HH$22</f>
        <v>0</v>
      </c>
      <c r="I5" s="128">
        <f>'[3]Go Jet_UA'!$HH$22</f>
        <v>0</v>
      </c>
      <c r="J5" s="20">
        <f>'[3]Go Jet'!$HH$22+'[3]Go Jet'!$HH$32</f>
        <v>0</v>
      </c>
      <c r="K5" s="108">
        <f>SUM(B5:J5)</f>
        <v>3456</v>
      </c>
    </row>
    <row r="6" spans="1:11" s="10" customFormat="1" x14ac:dyDescent="0.2">
      <c r="A6" s="60" t="s">
        <v>31</v>
      </c>
      <c r="B6" s="129">
        <f>'[3]Shuttle America'!$HH$23</f>
        <v>0</v>
      </c>
      <c r="C6" s="129">
        <f>'[3]Shuttle America_Delta'!$HH$23</f>
        <v>0</v>
      </c>
      <c r="D6" s="426">
        <f>[3]Horizon_AS!$HH$23+[3]Horizon_AS!$HH$33</f>
        <v>2050</v>
      </c>
      <c r="E6" s="426">
        <f>'[3]Air Wisconsin'!$HH$23</f>
        <v>0</v>
      </c>
      <c r="F6" s="426">
        <f>[3]PSA!$HH$23</f>
        <v>1466</v>
      </c>
      <c r="G6" s="129">
        <f>'[3]Atlantic Southeast'!$HH$23+'[3]Atlantic Southeast'!$HH$33</f>
        <v>0</v>
      </c>
      <c r="H6" s="129">
        <f>'[3]Continental Express'!$HH$23</f>
        <v>0</v>
      </c>
      <c r="I6" s="128">
        <f>'[3]Go Jet_UA'!$HH$23</f>
        <v>0</v>
      </c>
      <c r="J6" s="13">
        <f>'[3]Go Jet'!$HH$23+'[3]Go Jet'!$HH$33</f>
        <v>0</v>
      </c>
      <c r="K6" s="113">
        <f>SUM(B6:J6)</f>
        <v>3516</v>
      </c>
    </row>
    <row r="7" spans="1:11" ht="15" thickBot="1" x14ac:dyDescent="0.25">
      <c r="A7" s="71" t="s">
        <v>7</v>
      </c>
      <c r="B7" s="131">
        <f t="shared" ref="B7:I7" si="0">SUM(B5:B6)</f>
        <v>0</v>
      </c>
      <c r="C7" s="131">
        <f t="shared" si="0"/>
        <v>0</v>
      </c>
      <c r="D7" s="131">
        <f t="shared" ref="D7:E7" si="1">SUM(D5:D6)</f>
        <v>4019</v>
      </c>
      <c r="E7" s="131">
        <f t="shared" si="1"/>
        <v>0</v>
      </c>
      <c r="F7" s="131">
        <f t="shared" si="0"/>
        <v>2953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>SUM(J5:J6)</f>
        <v>0</v>
      </c>
      <c r="K7" s="132">
        <f>SUM(B7:J7)</f>
        <v>6972</v>
      </c>
    </row>
    <row r="8" spans="1:11" ht="13.5" thickTop="1" x14ac:dyDescent="0.2">
      <c r="A8" s="60"/>
      <c r="B8" s="129"/>
      <c r="C8" s="129"/>
      <c r="D8" s="426"/>
      <c r="E8" s="426"/>
      <c r="F8" s="426"/>
      <c r="G8" s="129"/>
      <c r="H8" s="129"/>
      <c r="I8" s="128"/>
      <c r="J8" s="313"/>
      <c r="K8" s="133"/>
    </row>
    <row r="9" spans="1:11" s="10" customFormat="1" x14ac:dyDescent="0.2">
      <c r="A9" s="60" t="s">
        <v>32</v>
      </c>
      <c r="B9" s="129"/>
      <c r="C9" s="129"/>
      <c r="D9" s="426"/>
      <c r="E9" s="426"/>
      <c r="F9" s="426"/>
      <c r="G9" s="129"/>
      <c r="H9" s="129"/>
      <c r="I9" s="128"/>
      <c r="J9" s="20"/>
      <c r="K9" s="108"/>
    </row>
    <row r="10" spans="1:11" x14ac:dyDescent="0.2">
      <c r="A10" s="60" t="s">
        <v>30</v>
      </c>
      <c r="B10" s="129">
        <f>'[3]Shuttle America'!$HH$27</f>
        <v>0</v>
      </c>
      <c r="C10" s="129">
        <f>'[3]Shuttle America_Delta'!$HH$27</f>
        <v>0</v>
      </c>
      <c r="D10" s="426">
        <f>[3]Horizon_AS!$HH$27+[3]Horizon_AS!$HH$37</f>
        <v>59</v>
      </c>
      <c r="E10" s="426">
        <f>'[3]Air Wisconsin'!$HH$27</f>
        <v>0</v>
      </c>
      <c r="F10" s="426">
        <f>[3]PSA!$HH$27</f>
        <v>49</v>
      </c>
      <c r="G10" s="20">
        <f>'[3]Atlantic Southeast'!$HH$27+'[3]Atlantic Southeast'!$HH$37</f>
        <v>0</v>
      </c>
      <c r="H10" s="129">
        <f>'[3]Continental Express'!$HH$27</f>
        <v>0</v>
      </c>
      <c r="I10" s="128">
        <f>'[3]Go Jet_UA'!$HH$27</f>
        <v>0</v>
      </c>
      <c r="J10" s="20">
        <f>'[3]Go Jet'!$HH$27+'[3]Go Jet'!$HH$37</f>
        <v>0</v>
      </c>
      <c r="K10" s="108">
        <f>SUM(B10:J10)</f>
        <v>108</v>
      </c>
    </row>
    <row r="11" spans="1:11" x14ac:dyDescent="0.2">
      <c r="A11" s="60" t="s">
        <v>33</v>
      </c>
      <c r="B11" s="129">
        <f>'[3]Shuttle America'!$HH$28</f>
        <v>0</v>
      </c>
      <c r="C11" s="129">
        <f>'[3]Shuttle America_Delta'!$HH$28</f>
        <v>0</v>
      </c>
      <c r="D11" s="426">
        <f>[3]Horizon_AS!$HH$28+[3]Horizon_AS!$HH$38</f>
        <v>53</v>
      </c>
      <c r="E11" s="426">
        <f>'[3]Air Wisconsin'!$HH$28</f>
        <v>0</v>
      </c>
      <c r="F11" s="426">
        <f>[3]PSA!$HH$28</f>
        <v>57</v>
      </c>
      <c r="G11" s="13">
        <f>'[3]Atlantic Southeast'!$HH$28+'[3]Atlantic Southeast'!$HH$38</f>
        <v>0</v>
      </c>
      <c r="H11" s="129">
        <f>'[3]Continental Express'!$HH$28</f>
        <v>0</v>
      </c>
      <c r="I11" s="128">
        <f>'[3]Go Jet_UA'!$HH$28</f>
        <v>0</v>
      </c>
      <c r="J11" s="13">
        <f>'[3]Go Jet'!$HH$28+'[3]Go Jet'!$HH$38</f>
        <v>0</v>
      </c>
      <c r="K11" s="113">
        <f>SUM(B11:J11)</f>
        <v>110</v>
      </c>
    </row>
    <row r="12" spans="1:11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F12" si="2">SUM(D10:D11)</f>
        <v>112</v>
      </c>
      <c r="E12" s="134">
        <f t="shared" ref="E12" si="3">SUM(E10:E11)</f>
        <v>0</v>
      </c>
      <c r="F12" s="134">
        <f t="shared" si="2"/>
        <v>106</v>
      </c>
      <c r="G12" s="134">
        <f t="shared" ref="G12:I12" si="4">SUM(G10:G11)</f>
        <v>0</v>
      </c>
      <c r="H12" s="134">
        <f t="shared" si="4"/>
        <v>0</v>
      </c>
      <c r="I12" s="134">
        <f t="shared" si="4"/>
        <v>0</v>
      </c>
      <c r="J12" s="134">
        <f t="shared" ref="J12" si="5">SUM(J10:J11)</f>
        <v>0</v>
      </c>
      <c r="K12" s="135">
        <f>SUM(B12:J12)</f>
        <v>218</v>
      </c>
    </row>
    <row r="13" spans="1:11" ht="6" customHeight="1" thickBot="1" x14ac:dyDescent="0.25"/>
    <row r="14" spans="1:11" ht="15.75" thickTop="1" x14ac:dyDescent="0.25">
      <c r="A14" s="59" t="s">
        <v>9</v>
      </c>
      <c r="B14" s="101"/>
      <c r="C14" s="101"/>
      <c r="D14" s="101"/>
      <c r="E14" s="101"/>
      <c r="F14" s="101"/>
      <c r="G14" s="102"/>
      <c r="H14" s="102"/>
      <c r="I14" s="101"/>
      <c r="J14" s="101"/>
      <c r="K14" s="103"/>
    </row>
    <row r="15" spans="1:11" x14ac:dyDescent="0.2">
      <c r="A15" s="60" t="s">
        <v>53</v>
      </c>
      <c r="B15" s="104">
        <f>'[3]Shuttle America'!$HH$4</f>
        <v>0</v>
      </c>
      <c r="C15" s="104">
        <f>'[3]Shuttle America_Delta'!$HH$4</f>
        <v>0</v>
      </c>
      <c r="D15" s="427">
        <f>[3]Horizon_AS!$HH$4</f>
        <v>31</v>
      </c>
      <c r="E15" s="427">
        <f>'[3]Air Wisconsin'!$HH$4</f>
        <v>0</v>
      </c>
      <c r="F15" s="427">
        <f>[3]PSA!$HH$4</f>
        <v>28</v>
      </c>
      <c r="G15" s="105">
        <f>'[3]Atlantic Southeast'!$HH$4+'[3]Atlantic Southeast'!$HH$15</f>
        <v>0</v>
      </c>
      <c r="H15" s="105">
        <f>'[3]Continental Express'!$HH$4</f>
        <v>0</v>
      </c>
      <c r="I15" s="104">
        <f>'[3]Go Jet_UA'!$HH$4</f>
        <v>0</v>
      </c>
      <c r="J15" s="20">
        <f>'[3]Go Jet'!$HH$4+'[3]Go Jet'!$HH$15</f>
        <v>0</v>
      </c>
      <c r="K15" s="108">
        <f t="shared" ref="K15:K21" si="6">SUM(B15:J15)</f>
        <v>59</v>
      </c>
    </row>
    <row r="16" spans="1:11" x14ac:dyDescent="0.2">
      <c r="A16" s="60" t="s">
        <v>54</v>
      </c>
      <c r="B16" s="109">
        <f>'[3]Shuttle America'!$HH$5</f>
        <v>0</v>
      </c>
      <c r="C16" s="109">
        <f>'[3]Shuttle America_Delta'!$HH$5</f>
        <v>0</v>
      </c>
      <c r="D16" s="428">
        <f>[3]Horizon_AS!$HH$5</f>
        <v>31</v>
      </c>
      <c r="E16" s="428">
        <f>'[3]Air Wisconsin'!$HH$5</f>
        <v>0</v>
      </c>
      <c r="F16" s="428">
        <f>[3]PSA!$HH$5</f>
        <v>28</v>
      </c>
      <c r="G16" s="110">
        <f>'[3]Atlantic Southeast'!$HH$5+'[3]Atlantic Southeast'!$HH$16</f>
        <v>0</v>
      </c>
      <c r="H16" s="110">
        <f>'[3]Continental Express'!$HH$5</f>
        <v>0</v>
      </c>
      <c r="I16" s="109">
        <f>'[3]Go Jet_UA'!$HH$5</f>
        <v>0</v>
      </c>
      <c r="J16" s="13">
        <f>'[3]Go Jet'!$HH$5+'[3]Go Jet'!$HH$16</f>
        <v>0</v>
      </c>
      <c r="K16" s="113">
        <f t="shared" si="6"/>
        <v>59</v>
      </c>
    </row>
    <row r="17" spans="1:14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F17" si="7">SUM(D15:D16)</f>
        <v>62</v>
      </c>
      <c r="E17" s="114">
        <f t="shared" ref="E17" si="8">SUM(E15:E16)</f>
        <v>0</v>
      </c>
      <c r="F17" s="114">
        <f t="shared" si="7"/>
        <v>56</v>
      </c>
      <c r="G17" s="114">
        <f t="shared" ref="G17:I17" si="9">SUM(G15:G16)</f>
        <v>0</v>
      </c>
      <c r="H17" s="114">
        <f t="shared" si="9"/>
        <v>0</v>
      </c>
      <c r="I17" s="114">
        <f t="shared" si="9"/>
        <v>0</v>
      </c>
      <c r="J17" s="259">
        <f>SUM(J15:J16)</f>
        <v>0</v>
      </c>
      <c r="K17" s="115">
        <f t="shared" si="6"/>
        <v>118</v>
      </c>
    </row>
    <row r="18" spans="1:14" x14ac:dyDescent="0.2">
      <c r="A18" s="60" t="s">
        <v>56</v>
      </c>
      <c r="B18" s="116">
        <f>'[3]Shuttle America'!$HH$8</f>
        <v>0</v>
      </c>
      <c r="C18" s="116">
        <f>'[3]Shuttle America_Delta'!$HH$8</f>
        <v>0</v>
      </c>
      <c r="D18" s="116">
        <f>[3]Horizon_AS!$HH$8</f>
        <v>0</v>
      </c>
      <c r="E18" s="116">
        <f>'[3]Air Wisconsin'!$HH$8</f>
        <v>0</v>
      </c>
      <c r="F18" s="116">
        <f>[3]PSA!$HH$8</f>
        <v>0</v>
      </c>
      <c r="G18" s="107">
        <f>'[3]Atlantic Southeast'!$HH$8</f>
        <v>0</v>
      </c>
      <c r="H18" s="107">
        <f>'[3]Continental Express'!$HH$8</f>
        <v>0</v>
      </c>
      <c r="I18" s="116">
        <f>'[3]Go Jet_UA'!$HH$8</f>
        <v>0</v>
      </c>
      <c r="J18" s="20">
        <f>'[3]Go Jet'!$HH$8</f>
        <v>0</v>
      </c>
      <c r="K18" s="108">
        <f t="shared" si="6"/>
        <v>0</v>
      </c>
      <c r="N18" s="351"/>
    </row>
    <row r="19" spans="1:14" x14ac:dyDescent="0.2">
      <c r="A19" s="60" t="s">
        <v>57</v>
      </c>
      <c r="B19" s="118">
        <f>'[3]Shuttle America'!$HH$9</f>
        <v>0</v>
      </c>
      <c r="C19" s="118">
        <f>'[3]Shuttle America_Delta'!$HH$9</f>
        <v>0</v>
      </c>
      <c r="D19" s="118">
        <f>[3]Horizon_AS!$HH$9</f>
        <v>0</v>
      </c>
      <c r="E19" s="118">
        <f>'[3]Air Wisconsin'!$HH$9</f>
        <v>0</v>
      </c>
      <c r="F19" s="118">
        <f>[3]PSA!$HH$9</f>
        <v>0</v>
      </c>
      <c r="G19" s="112">
        <f>'[3]Atlantic Southeast'!$HH$9</f>
        <v>0</v>
      </c>
      <c r="H19" s="112">
        <f>'[3]Continental Express'!$HH$9</f>
        <v>0</v>
      </c>
      <c r="I19" s="118">
        <f>'[3]Go Jet_UA'!$HH$9</f>
        <v>0</v>
      </c>
      <c r="J19" s="13">
        <f>'[3]Go Jet'!$HH$9</f>
        <v>0</v>
      </c>
      <c r="K19" s="113">
        <f t="shared" si="6"/>
        <v>0</v>
      </c>
    </row>
    <row r="20" spans="1:14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F20" si="10">SUM(D18:D19)</f>
        <v>0</v>
      </c>
      <c r="E20" s="114">
        <f t="shared" ref="E20" si="11">SUM(E18:E19)</f>
        <v>0</v>
      </c>
      <c r="F20" s="114">
        <f t="shared" si="10"/>
        <v>0</v>
      </c>
      <c r="G20" s="114">
        <f t="shared" ref="G20:I20" si="12">SUM(G18:G19)</f>
        <v>0</v>
      </c>
      <c r="H20" s="114">
        <f t="shared" si="12"/>
        <v>0</v>
      </c>
      <c r="I20" s="114">
        <f t="shared" si="12"/>
        <v>0</v>
      </c>
      <c r="J20" s="259">
        <f>SUM(J18:J19)</f>
        <v>0</v>
      </c>
      <c r="K20" s="115">
        <f t="shared" si="6"/>
        <v>0</v>
      </c>
    </row>
    <row r="21" spans="1:14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F21" si="13">SUM(D20,D17)</f>
        <v>62</v>
      </c>
      <c r="E21" s="120">
        <f t="shared" ref="E21" si="14">SUM(E20,E17)</f>
        <v>0</v>
      </c>
      <c r="F21" s="120">
        <f t="shared" si="13"/>
        <v>56</v>
      </c>
      <c r="G21" s="120">
        <f t="shared" ref="G21:I21" si="15">SUM(G20,G17)</f>
        <v>0</v>
      </c>
      <c r="H21" s="120">
        <f t="shared" si="15"/>
        <v>0</v>
      </c>
      <c r="I21" s="120">
        <f t="shared" si="15"/>
        <v>0</v>
      </c>
      <c r="J21" s="120">
        <f t="shared" ref="J21" si="16">SUM(J20,J17)</f>
        <v>0</v>
      </c>
      <c r="K21" s="121">
        <f t="shared" si="6"/>
        <v>118</v>
      </c>
    </row>
    <row r="22" spans="1:14" ht="3.75" customHeight="1" thickBot="1" x14ac:dyDescent="0.25"/>
    <row r="23" spans="1:14" ht="15.75" thickTop="1" x14ac:dyDescent="0.25">
      <c r="A23" s="63" t="s">
        <v>114</v>
      </c>
      <c r="B23" s="136"/>
      <c r="C23" s="136"/>
      <c r="D23" s="136"/>
      <c r="E23" s="136"/>
      <c r="F23" s="136"/>
      <c r="G23" s="137"/>
      <c r="H23" s="137"/>
      <c r="I23" s="136"/>
      <c r="J23" s="136"/>
      <c r="K23" s="138"/>
    </row>
    <row r="24" spans="1:14" x14ac:dyDescent="0.2">
      <c r="A24" s="73" t="s">
        <v>36</v>
      </c>
      <c r="B24" s="128"/>
      <c r="C24" s="128"/>
      <c r="D24" s="128"/>
      <c r="E24" s="128"/>
      <c r="F24" s="128"/>
      <c r="G24" s="129"/>
      <c r="H24" s="129"/>
      <c r="I24" s="128"/>
      <c r="K24" s="108"/>
    </row>
    <row r="25" spans="1:14" x14ac:dyDescent="0.2">
      <c r="A25" s="73" t="s">
        <v>37</v>
      </c>
      <c r="B25" s="128">
        <f>'[3]Shuttle America'!$HH$47</f>
        <v>0</v>
      </c>
      <c r="C25" s="128">
        <f>'[3]Shuttle America_Delta'!$HH$47</f>
        <v>0</v>
      </c>
      <c r="D25" s="128">
        <f>[3]Horizon_AS!$HH$47</f>
        <v>158</v>
      </c>
      <c r="E25" s="128">
        <f>'[3]Air Wisconsin'!$HH$47</f>
        <v>0</v>
      </c>
      <c r="F25" s="128">
        <f>[3]PSA!$HH$47</f>
        <v>20</v>
      </c>
      <c r="G25" s="129">
        <f>'[3]Atlantic Southeast'!$HH$47</f>
        <v>0</v>
      </c>
      <c r="H25" s="129">
        <f>'[3]Continental Express'!$HH$47</f>
        <v>0</v>
      </c>
      <c r="I25" s="128">
        <f>'[3]Go Jet_UA'!$HH$47</f>
        <v>0</v>
      </c>
      <c r="J25" s="128">
        <f>'[3]Go Jet'!$HH$47</f>
        <v>0</v>
      </c>
      <c r="K25" s="108">
        <f>SUM(B25:J25)</f>
        <v>178</v>
      </c>
    </row>
    <row r="26" spans="1:14" x14ac:dyDescent="0.2">
      <c r="A26" s="73" t="s">
        <v>38</v>
      </c>
      <c r="B26" s="128">
        <f>'[3]Shuttle America'!$HH$48</f>
        <v>0</v>
      </c>
      <c r="C26" s="128">
        <f>'[3]Shuttle America_Delta'!$HH$48</f>
        <v>0</v>
      </c>
      <c r="D26" s="128">
        <f>[3]Horizon_AS!$HH$48</f>
        <v>780</v>
      </c>
      <c r="E26" s="128">
        <f>'[3]Air Wisconsin'!$HH$48</f>
        <v>0</v>
      </c>
      <c r="F26" s="128">
        <f>[3]PSA!$HH$48</f>
        <v>0</v>
      </c>
      <c r="G26" s="129">
        <f>'[3]Atlantic Southeast'!$HH$48</f>
        <v>0</v>
      </c>
      <c r="H26" s="129">
        <f>'[3]Continental Express'!$HH$48</f>
        <v>0</v>
      </c>
      <c r="I26" s="128">
        <f>'[3]Go Jet_UA'!$HH$48</f>
        <v>0</v>
      </c>
      <c r="J26" s="128">
        <f>'[3]Go Jet'!$HH$48</f>
        <v>0</v>
      </c>
      <c r="K26" s="108">
        <f>SUM(B26:J26)</f>
        <v>780</v>
      </c>
    </row>
    <row r="27" spans="1:14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F27" si="17">SUM(D25:D26)</f>
        <v>938</v>
      </c>
      <c r="E27" s="131">
        <f t="shared" ref="E27" si="18">SUM(E25:E26)</f>
        <v>0</v>
      </c>
      <c r="F27" s="131">
        <f t="shared" si="17"/>
        <v>20</v>
      </c>
      <c r="G27" s="131">
        <f t="shared" ref="G27:I27" si="19">SUM(G25:G26)</f>
        <v>0</v>
      </c>
      <c r="H27" s="131">
        <f t="shared" si="19"/>
        <v>0</v>
      </c>
      <c r="I27" s="131">
        <f t="shared" si="19"/>
        <v>0</v>
      </c>
      <c r="J27" s="131">
        <f>SUM(J25:J26)</f>
        <v>0</v>
      </c>
      <c r="K27" s="132">
        <f>SUM(B27:J27)</f>
        <v>958</v>
      </c>
    </row>
    <row r="28" spans="1:14" ht="7.5" customHeight="1" thickTop="1" x14ac:dyDescent="0.2">
      <c r="A28" s="73"/>
      <c r="B28" s="128"/>
      <c r="C28" s="128"/>
      <c r="D28" s="128"/>
      <c r="E28" s="128"/>
      <c r="F28" s="128"/>
      <c r="G28" s="129"/>
      <c r="H28" s="129"/>
      <c r="I28" s="128"/>
      <c r="J28" s="128"/>
      <c r="K28" s="108"/>
    </row>
    <row r="29" spans="1:14" x14ac:dyDescent="0.2">
      <c r="A29" s="73" t="s">
        <v>40</v>
      </c>
      <c r="B29" s="128"/>
      <c r="C29" s="128"/>
      <c r="D29" s="128"/>
      <c r="E29" s="128"/>
      <c r="F29" s="128"/>
      <c r="G29" s="129"/>
      <c r="H29" s="129"/>
      <c r="I29" s="128"/>
      <c r="J29" s="128"/>
      <c r="K29" s="108"/>
    </row>
    <row r="30" spans="1:14" x14ac:dyDescent="0.2">
      <c r="A30" s="73" t="s">
        <v>59</v>
      </c>
      <c r="B30" s="128">
        <f>'[3]Shuttle America'!$HH$52</f>
        <v>0</v>
      </c>
      <c r="C30" s="128">
        <f>'[3]Shuttle America_Delta'!$HH$52</f>
        <v>0</v>
      </c>
      <c r="D30" s="128">
        <f>[3]Horizon_AS!$HH$52</f>
        <v>0</v>
      </c>
      <c r="E30" s="128">
        <f>'[3]Air Wisconsin'!$HH$52</f>
        <v>0</v>
      </c>
      <c r="F30" s="128">
        <f>[3]PSA!$HH$52</f>
        <v>0</v>
      </c>
      <c r="G30" s="129">
        <f>'[3]Atlantic Southeast'!$HH$52</f>
        <v>0</v>
      </c>
      <c r="H30" s="129">
        <f>'[3]Continental Express'!$HH$52</f>
        <v>0</v>
      </c>
      <c r="I30" s="128">
        <f>'[3]Go Jet_UA'!$HH$52</f>
        <v>0</v>
      </c>
      <c r="J30" s="128">
        <f>'[3]Go Jet'!$HH$52</f>
        <v>0</v>
      </c>
      <c r="K30" s="108">
        <f>SUM(B30:J30)</f>
        <v>0</v>
      </c>
    </row>
    <row r="31" spans="1:14" x14ac:dyDescent="0.2">
      <c r="A31" s="73" t="s">
        <v>60</v>
      </c>
      <c r="B31" s="128">
        <f>'[3]Shuttle America'!$HH$53</f>
        <v>0</v>
      </c>
      <c r="C31" s="128">
        <f>'[3]Shuttle America_Delta'!$HH$53</f>
        <v>0</v>
      </c>
      <c r="D31" s="128">
        <f>[3]Horizon_AS!$HH$53</f>
        <v>676</v>
      </c>
      <c r="E31" s="128">
        <f>'[3]Air Wisconsin'!$HH$53</f>
        <v>0</v>
      </c>
      <c r="F31" s="128">
        <f>[3]PSA!$HH$53</f>
        <v>0</v>
      </c>
      <c r="G31" s="129">
        <f>'[3]Atlantic Southeast'!$HH$53</f>
        <v>0</v>
      </c>
      <c r="H31" s="129">
        <f>'[3]Continental Express'!$HH$53</f>
        <v>0</v>
      </c>
      <c r="I31" s="128">
        <f>'[3]Go Jet_UA'!$HH$53</f>
        <v>0</v>
      </c>
      <c r="J31" s="128">
        <f>'[3]Go Jet'!$HH$53</f>
        <v>0</v>
      </c>
      <c r="K31" s="108">
        <f>SUM(B31:J31)</f>
        <v>676</v>
      </c>
    </row>
    <row r="32" spans="1:14" ht="15" thickBot="1" x14ac:dyDescent="0.25">
      <c r="A32" s="71" t="s">
        <v>41</v>
      </c>
      <c r="B32" s="131">
        <f t="shared" ref="B32:I32" si="20">SUM(B30:B31)</f>
        <v>0</v>
      </c>
      <c r="C32" s="131">
        <f t="shared" si="20"/>
        <v>0</v>
      </c>
      <c r="D32" s="131">
        <f t="shared" ref="D32:E32" si="21">SUM(D30:D31)</f>
        <v>676</v>
      </c>
      <c r="E32" s="131">
        <f t="shared" si="21"/>
        <v>0</v>
      </c>
      <c r="F32" s="131">
        <f t="shared" si="20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ref="J32" si="22">SUM(J30:J31)</f>
        <v>0</v>
      </c>
      <c r="K32" s="132">
        <f>SUM(B32:J32)</f>
        <v>676</v>
      </c>
    </row>
    <row r="33" spans="1:11" ht="13.5" hidden="1" thickTop="1" x14ac:dyDescent="0.2">
      <c r="A33" s="73"/>
      <c r="B33" s="128"/>
      <c r="C33" s="128"/>
      <c r="D33" s="128"/>
      <c r="E33" s="128"/>
      <c r="F33" s="128"/>
      <c r="G33" s="129"/>
      <c r="H33" s="129"/>
      <c r="I33" s="128"/>
      <c r="J33" s="128"/>
      <c r="K33" s="108"/>
    </row>
    <row r="34" spans="1:11" ht="13.5" hidden="1" thickTop="1" x14ac:dyDescent="0.2">
      <c r="A34" s="73" t="s">
        <v>42</v>
      </c>
      <c r="B34" s="128"/>
      <c r="C34" s="128"/>
      <c r="D34" s="128"/>
      <c r="E34" s="128"/>
      <c r="F34" s="128"/>
      <c r="G34" s="129"/>
      <c r="H34" s="129"/>
      <c r="I34" s="128"/>
      <c r="J34" s="128"/>
      <c r="K34" s="108"/>
    </row>
    <row r="35" spans="1:11" ht="13.5" hidden="1" thickTop="1" x14ac:dyDescent="0.2">
      <c r="A35" s="73" t="s">
        <v>37</v>
      </c>
      <c r="B35" s="128">
        <f>'[3]Shuttle America'!$HH$57</f>
        <v>0</v>
      </c>
      <c r="C35" s="128">
        <f>'[3]Shuttle America_Delta'!$HH$57</f>
        <v>0</v>
      </c>
      <c r="D35" s="128">
        <f>[3]Horizon_AS!$HH$57</f>
        <v>0</v>
      </c>
      <c r="E35" s="128">
        <f>'[3]Air Wisconsin'!$HH$57</f>
        <v>0</v>
      </c>
      <c r="F35" s="128">
        <f>[3]PSA!$HH$57</f>
        <v>0</v>
      </c>
      <c r="G35" s="129">
        <f>'[3]Atlantic Southeast'!$HH$57</f>
        <v>0</v>
      </c>
      <c r="H35" s="129">
        <f>'[3]Continental Express'!$HH$57</f>
        <v>0</v>
      </c>
      <c r="I35" s="128">
        <f>'[3]Go Jet_UA'!$AJ$57</f>
        <v>0</v>
      </c>
      <c r="J35" s="128">
        <f>'[3]Go Jet'!$HH$57</f>
        <v>0</v>
      </c>
      <c r="K35" s="108">
        <f>SUM(B35:J35)</f>
        <v>0</v>
      </c>
    </row>
    <row r="36" spans="1:11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[3]PSA!BG$58</f>
        <v>0</v>
      </c>
      <c r="G36" s="129">
        <f>'[3]Atlantic Southeast'!BG$58</f>
        <v>0</v>
      </c>
      <c r="H36" s="129">
        <f>'[3]Continental Express'!BG$58</f>
        <v>0</v>
      </c>
      <c r="I36" s="128">
        <f>'[3]Go Jet_UA'!$AJ$58</f>
        <v>0</v>
      </c>
      <c r="J36" s="128">
        <f>'[3]Go Jet'!BK$58</f>
        <v>0</v>
      </c>
      <c r="K36" s="108">
        <f>SUM(B36:J36)</f>
        <v>0</v>
      </c>
    </row>
    <row r="37" spans="1:11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F37" si="23">SUM(D35:D36)</f>
        <v>0</v>
      </c>
      <c r="E37" s="139">
        <f t="shared" ref="E37" si="24">SUM(E35:E36)</f>
        <v>0</v>
      </c>
      <c r="F37" s="139">
        <f t="shared" si="23"/>
        <v>0</v>
      </c>
      <c r="G37" s="140">
        <f t="shared" ref="G37:I37" si="25">SUM(G35:G36)</f>
        <v>0</v>
      </c>
      <c r="H37" s="140">
        <f t="shared" si="25"/>
        <v>0</v>
      </c>
      <c r="I37" s="139">
        <f t="shared" si="25"/>
        <v>0</v>
      </c>
      <c r="J37" s="139">
        <f>SUM(J35:J36)</f>
        <v>0</v>
      </c>
      <c r="K37" s="141">
        <f>SUM(B37:J37)</f>
        <v>0</v>
      </c>
    </row>
    <row r="38" spans="1:11" ht="6.75" customHeight="1" thickTop="1" x14ac:dyDescent="0.2">
      <c r="A38" s="73"/>
      <c r="B38" s="128"/>
      <c r="C38" s="128"/>
      <c r="D38" s="128"/>
      <c r="E38" s="128"/>
      <c r="F38" s="128"/>
      <c r="G38" s="129"/>
      <c r="H38" s="129"/>
      <c r="I38" s="128"/>
      <c r="J38" s="128"/>
      <c r="K38" s="108"/>
    </row>
    <row r="39" spans="1:11" x14ac:dyDescent="0.2">
      <c r="A39" s="73" t="s">
        <v>44</v>
      </c>
      <c r="B39" s="128"/>
      <c r="C39" s="128"/>
      <c r="D39" s="128"/>
      <c r="E39" s="128"/>
      <c r="F39" s="128"/>
      <c r="G39" s="129"/>
      <c r="H39" s="129"/>
      <c r="I39" s="128"/>
      <c r="J39" s="128"/>
      <c r="K39" s="108"/>
    </row>
    <row r="40" spans="1:11" x14ac:dyDescent="0.2">
      <c r="A40" s="73" t="s">
        <v>45</v>
      </c>
      <c r="B40" s="128">
        <f t="shared" ref="B40:H40" si="26">SUM(B35,B30,B25)</f>
        <v>0</v>
      </c>
      <c r="C40" s="128">
        <f>SUM(C35,C30,C25)</f>
        <v>0</v>
      </c>
      <c r="D40" s="128">
        <f t="shared" ref="D40:F41" si="27">SUM(D35,D30,D25)</f>
        <v>158</v>
      </c>
      <c r="E40" s="128">
        <f t="shared" ref="E40" si="28">SUM(E35,E30,E25)</f>
        <v>0</v>
      </c>
      <c r="F40" s="128">
        <f t="shared" si="27"/>
        <v>20</v>
      </c>
      <c r="G40" s="128">
        <f t="shared" si="26"/>
        <v>0</v>
      </c>
      <c r="H40" s="128">
        <f t="shared" si="26"/>
        <v>0</v>
      </c>
      <c r="I40" s="128">
        <f>SUM(I35,I30,I25)</f>
        <v>0</v>
      </c>
      <c r="J40" s="128">
        <f t="shared" ref="J40" si="29">SUM(J35,J30,J25)</f>
        <v>0</v>
      </c>
      <c r="K40" s="108">
        <f>SUM(B40:J40)</f>
        <v>178</v>
      </c>
    </row>
    <row r="41" spans="1:11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1456</v>
      </c>
      <c r="E41" s="128">
        <f t="shared" ref="E41" si="30">SUM(E36,E31,E26)</f>
        <v>0</v>
      </c>
      <c r="F41" s="128">
        <f t="shared" si="27"/>
        <v>0</v>
      </c>
      <c r="G41" s="128">
        <f t="shared" ref="G41:H41" si="31">SUM(G36,G31,G26)</f>
        <v>0</v>
      </c>
      <c r="H41" s="128">
        <f t="shared" si="31"/>
        <v>0</v>
      </c>
      <c r="I41" s="128">
        <f>SUM(I36,I31,I26)</f>
        <v>0</v>
      </c>
      <c r="J41" s="128">
        <f t="shared" ref="J41" si="32">SUM(J36,J31,J26)</f>
        <v>0</v>
      </c>
      <c r="K41" s="108">
        <f>SUM(B41:J41)</f>
        <v>1456</v>
      </c>
    </row>
    <row r="42" spans="1:11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F42" si="33">SUM(D40:D41)</f>
        <v>1614</v>
      </c>
      <c r="E42" s="134">
        <f t="shared" ref="E42" si="34">SUM(E40:E41)</f>
        <v>0</v>
      </c>
      <c r="F42" s="134">
        <f t="shared" si="33"/>
        <v>20</v>
      </c>
      <c r="G42" s="134">
        <f t="shared" ref="G42:I42" si="35">SUM(G40:G41)</f>
        <v>0</v>
      </c>
      <c r="H42" s="134">
        <f t="shared" si="35"/>
        <v>0</v>
      </c>
      <c r="I42" s="134">
        <f t="shared" si="35"/>
        <v>0</v>
      </c>
      <c r="J42" s="134">
        <f t="shared" ref="J42" si="36">SUM(J40:J41)</f>
        <v>0</v>
      </c>
      <c r="K42" s="135">
        <f>SUM(B42:J42)</f>
        <v>1634</v>
      </c>
    </row>
    <row r="43" spans="1:11" ht="4.5" customHeight="1" x14ac:dyDescent="0.2"/>
    <row r="44" spans="1:11" hidden="1" x14ac:dyDescent="0.2">
      <c r="A44" s="295" t="s">
        <v>124</v>
      </c>
      <c r="G44" s="280"/>
      <c r="J44" s="294">
        <f>'[3]Go Jet'!BK$70+'[3]Go Jet'!BK$73</f>
        <v>0</v>
      </c>
      <c r="K44" s="282" t="e">
        <f>SUM(#REF!)</f>
        <v>#REF!</v>
      </c>
    </row>
    <row r="45" spans="1:11" hidden="1" x14ac:dyDescent="0.2">
      <c r="A45" s="295" t="s">
        <v>125</v>
      </c>
      <c r="G45" s="298"/>
      <c r="J45" s="294">
        <f>'[3]Go Jet'!BK$71+'[3]Go Jet'!BK$74</f>
        <v>0</v>
      </c>
      <c r="K45" s="282" t="e">
        <f>SUM(#REF!)</f>
        <v>#REF!</v>
      </c>
    </row>
    <row r="46" spans="1:11" x14ac:dyDescent="0.2">
      <c r="A46" s="348" t="s">
        <v>121</v>
      </c>
      <c r="C46" s="294">
        <f>'[3]Shuttle America_Delta'!$HH$70+'[3]Shuttle America_Delta'!$HH$73</f>
        <v>0</v>
      </c>
      <c r="D46" s="5"/>
      <c r="E46" s="5"/>
      <c r="G46" s="294">
        <f>'[3]Atlantic Southeast'!$HH$70+'[3]Atlantic Southeast'!$HH$73</f>
        <v>0</v>
      </c>
      <c r="J46" s="294">
        <f>'[3]Go Jet'!$HH$70+'[3]Go Jet'!$HH$73</f>
        <v>0</v>
      </c>
      <c r="K46" s="361">
        <f>SUM(B46:J46)</f>
        <v>0</v>
      </c>
    </row>
    <row r="47" spans="1:11" x14ac:dyDescent="0.2">
      <c r="A47" s="362" t="s">
        <v>122</v>
      </c>
      <c r="C47" s="294">
        <f>'[3]Shuttle America_Delta'!$HH$71+'[3]Shuttle America_Delta'!$HH$74</f>
        <v>0</v>
      </c>
      <c r="D47" s="5"/>
      <c r="E47" s="5"/>
      <c r="G47" s="294">
        <f>'[3]Atlantic Southeast'!$HH$71+'[3]Atlantic Southeast'!$HH$74</f>
        <v>0</v>
      </c>
      <c r="J47" s="294">
        <f>'[3]Go Jet'!$HH$71+'[3]Go Jet'!$HH$74</f>
        <v>0</v>
      </c>
      <c r="K47" s="361">
        <f>SUM(B47:J47)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May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O24" sqref="O2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44317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90"/>
      <c r="C4" s="179"/>
      <c r="D4" s="179"/>
      <c r="E4" s="179"/>
      <c r="F4" s="179"/>
      <c r="G4" s="227"/>
    </row>
    <row r="5" spans="1:17" x14ac:dyDescent="0.2">
      <c r="A5" s="60" t="s">
        <v>30</v>
      </c>
      <c r="B5" s="390">
        <f>'[3]Charter Misc'!$HH$22</f>
        <v>313</v>
      </c>
      <c r="C5" s="179">
        <f>[3]Ryan!$HH$22</f>
        <v>0</v>
      </c>
      <c r="D5" s="179">
        <f>'[3]Charter Misc'!$HH$32</f>
        <v>0</v>
      </c>
      <c r="E5" s="179">
        <f>[3]Omni!$HH$32+[3]Omni!$HH$22</f>
        <v>0</v>
      </c>
      <c r="F5" s="179">
        <f>[3]Xtra!$HH$32+[3]Xtra!$HH$22</f>
        <v>0</v>
      </c>
      <c r="G5" s="312">
        <f>SUM(B5:F5)</f>
        <v>313</v>
      </c>
    </row>
    <row r="6" spans="1:17" x14ac:dyDescent="0.2">
      <c r="A6" s="60" t="s">
        <v>31</v>
      </c>
      <c r="B6" s="391">
        <f>'[3]Charter Misc'!$HH$23</f>
        <v>155</v>
      </c>
      <c r="C6" s="182">
        <f>[3]Ryan!$HH$23</f>
        <v>0</v>
      </c>
      <c r="D6" s="182">
        <f>'[3]Charter Misc'!$HH$33</f>
        <v>0</v>
      </c>
      <c r="E6" s="182">
        <f>[3]Omni!$HH$33+[3]Omni!$HH$23</f>
        <v>0</v>
      </c>
      <c r="F6" s="182">
        <f>[3]Xtra!$HH$33+[3]Xtra!$HH$23</f>
        <v>0</v>
      </c>
      <c r="G6" s="311">
        <f>SUM(B6:F6)</f>
        <v>155</v>
      </c>
    </row>
    <row r="7" spans="1:17" ht="15.75" thickBot="1" x14ac:dyDescent="0.3">
      <c r="A7" s="178" t="s">
        <v>7</v>
      </c>
      <c r="B7" s="392">
        <f>SUM(B5:B6)</f>
        <v>468</v>
      </c>
      <c r="C7" s="270">
        <f>SUM(C5:C6)</f>
        <v>0</v>
      </c>
      <c r="D7" s="270">
        <f>SUM(D5:D6)</f>
        <v>0</v>
      </c>
      <c r="E7" s="270">
        <f>SUM(E5:E6)</f>
        <v>0</v>
      </c>
      <c r="F7" s="270">
        <f>SUM(F5:F6)</f>
        <v>0</v>
      </c>
      <c r="G7" s="271">
        <f>SUM(B7:F7)</f>
        <v>468</v>
      </c>
    </row>
    <row r="8" spans="1:17" ht="13.5" thickBot="1" x14ac:dyDescent="0.25"/>
    <row r="9" spans="1:17" x14ac:dyDescent="0.2">
      <c r="A9" s="176" t="s">
        <v>9</v>
      </c>
      <c r="B9" s="393"/>
      <c r="C9" s="44"/>
      <c r="D9" s="44"/>
      <c r="E9" s="44"/>
      <c r="F9" s="44"/>
      <c r="G9" s="55"/>
    </row>
    <row r="10" spans="1:17" x14ac:dyDescent="0.2">
      <c r="A10" s="177" t="s">
        <v>79</v>
      </c>
      <c r="B10" s="390">
        <f>'[3]Charter Misc'!$HH$4</f>
        <v>2</v>
      </c>
      <c r="C10" s="179">
        <f>[3]Ryan!$HH$4</f>
        <v>0</v>
      </c>
      <c r="D10" s="179">
        <f>'[3]Charter Misc'!$HH$15</f>
        <v>0</v>
      </c>
      <c r="E10" s="179">
        <f>[3]Omni!$HH$15</f>
        <v>0</v>
      </c>
      <c r="F10" s="179">
        <f>[3]Xtra!$HH$15+[3]Xtra!$HH$4</f>
        <v>0</v>
      </c>
      <c r="G10" s="311">
        <f>SUM(B10:F10)</f>
        <v>2</v>
      </c>
    </row>
    <row r="11" spans="1:17" x14ac:dyDescent="0.2">
      <c r="A11" s="177" t="s">
        <v>80</v>
      </c>
      <c r="B11" s="390">
        <f>'[3]Charter Misc'!$HH$5</f>
        <v>1</v>
      </c>
      <c r="C11" s="179">
        <f>[3]Ryan!$HH$5</f>
        <v>0</v>
      </c>
      <c r="D11" s="179">
        <f>'[3]Charter Misc'!$HH$16</f>
        <v>0</v>
      </c>
      <c r="E11" s="179">
        <f>[3]Omni!$HH$16+[3]Omni!$HH$5</f>
        <v>0</v>
      </c>
      <c r="F11" s="179">
        <f>[3]Xtra!$HH$16+[3]Xtra!$HH$5</f>
        <v>0</v>
      </c>
      <c r="G11" s="311">
        <f>SUM(B11:F11)</f>
        <v>1</v>
      </c>
    </row>
    <row r="12" spans="1:17" ht="15.75" thickBot="1" x14ac:dyDescent="0.3">
      <c r="A12" s="250" t="s">
        <v>28</v>
      </c>
      <c r="B12" s="394">
        <f>SUM(B10:B11)</f>
        <v>3</v>
      </c>
      <c r="C12" s="272">
        <f>SUM(C10:C11)</f>
        <v>0</v>
      </c>
      <c r="D12" s="272">
        <f>SUM(D10:D11)</f>
        <v>0</v>
      </c>
      <c r="E12" s="272">
        <f>SUM(E10:E11)</f>
        <v>0</v>
      </c>
      <c r="F12" s="272">
        <f>SUM(F10:F11)</f>
        <v>0</v>
      </c>
      <c r="G12" s="273">
        <f>SUM(B12:F12)</f>
        <v>3</v>
      </c>
      <c r="Q12" s="128"/>
    </row>
    <row r="17" spans="1:16" x14ac:dyDescent="0.2">
      <c r="B17" s="553" t="s">
        <v>150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5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6" t="s">
        <v>118</v>
      </c>
      <c r="C19" s="557"/>
      <c r="D19" s="557"/>
      <c r="E19" s="558"/>
      <c r="G19" s="556" t="s">
        <v>119</v>
      </c>
      <c r="H19" s="559"/>
      <c r="I19" s="559"/>
      <c r="J19" s="560"/>
      <c r="L19" s="561" t="s">
        <v>120</v>
      </c>
      <c r="M19" s="562"/>
      <c r="N19" s="562"/>
      <c r="O19" s="563"/>
    </row>
    <row r="20" spans="1:16" ht="13.5" thickBot="1" x14ac:dyDescent="0.25">
      <c r="A20" s="210" t="s">
        <v>99</v>
      </c>
      <c r="B20" s="543" t="s">
        <v>100</v>
      </c>
      <c r="C20" s="546" t="s">
        <v>101</v>
      </c>
      <c r="D20" s="546" t="s">
        <v>230</v>
      </c>
      <c r="E20" s="542" t="s">
        <v>205</v>
      </c>
      <c r="F20" s="216" t="s">
        <v>96</v>
      </c>
      <c r="G20" s="8" t="s">
        <v>100</v>
      </c>
      <c r="H20" s="8" t="s">
        <v>101</v>
      </c>
      <c r="I20" s="521" t="s">
        <v>230</v>
      </c>
      <c r="J20" s="521" t="s">
        <v>205</v>
      </c>
      <c r="K20" s="216" t="s">
        <v>96</v>
      </c>
      <c r="L20" s="215" t="s">
        <v>100</v>
      </c>
      <c r="M20" s="209" t="s">
        <v>101</v>
      </c>
      <c r="N20" s="521" t="s">
        <v>230</v>
      </c>
      <c r="O20" s="521" t="s">
        <v>205</v>
      </c>
      <c r="P20" s="216" t="s">
        <v>96</v>
      </c>
    </row>
    <row r="21" spans="1:16" ht="14.1" customHeight="1" x14ac:dyDescent="0.2">
      <c r="A21" s="219" t="s">
        <v>102</v>
      </c>
      <c r="B21" s="545">
        <f>+[4]Charter!$B$21</f>
        <v>31072</v>
      </c>
      <c r="C21" s="544">
        <f>+[4]Charter!$C$21</f>
        <v>25325</v>
      </c>
      <c r="D21" s="544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>SUM(G21:H21)</f>
        <v>1054440</v>
      </c>
      <c r="J21" s="307">
        <f>[5]Charter!$I$21</f>
        <v>2616372</v>
      </c>
      <c r="K21" s="220">
        <f t="shared" ref="K21:K32" si="3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4">SUM(B22:C22)</f>
        <v>46280</v>
      </c>
      <c r="E22" s="309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>SUM(G22:H22)</f>
        <v>1076686</v>
      </c>
      <c r="J22" s="309">
        <f>[7]Charter!$I$22</f>
        <v>2554827</v>
      </c>
      <c r="K22" s="223">
        <f t="shared" si="3"/>
        <v>-0.57856794217377538</v>
      </c>
      <c r="L22" s="301">
        <f>+[6]Charter!$L$22</f>
        <v>547653</v>
      </c>
      <c r="M22" s="303">
        <f>+[6]Charter!$M$22</f>
        <v>575313</v>
      </c>
      <c r="N22" s="302">
        <f>SUM(L22:M22)</f>
        <v>1122966</v>
      </c>
      <c r="O22" s="309">
        <f>[7]Charter!$N$22</f>
        <v>2860613</v>
      </c>
      <c r="P22" s="222">
        <f t="shared" ref="P22:P32" si="5">(N22-O22)/O22</f>
        <v>-0.60743868534471457</v>
      </c>
    </row>
    <row r="23" spans="1:16" ht="14.1" customHeight="1" x14ac:dyDescent="0.2">
      <c r="A23" s="221" t="s">
        <v>104</v>
      </c>
      <c r="B23" s="301">
        <f>+[8]Charter!$B23</f>
        <v>37142</v>
      </c>
      <c r="C23" s="303">
        <f>+[8]Charter!C23</f>
        <v>41054</v>
      </c>
      <c r="D23" s="544">
        <f t="shared" ref="D23" si="6">SUM(B23:C23)</f>
        <v>78196</v>
      </c>
      <c r="E23" s="309">
        <f>[9]Charter!$D23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>SUM(G23:H23)</f>
        <v>1642699</v>
      </c>
      <c r="J23" s="309">
        <f>[9]Charter!I23</f>
        <v>1602785</v>
      </c>
      <c r="K23" s="223">
        <f t="shared" si="3"/>
        <v>2.4902903383797578E-2</v>
      </c>
      <c r="L23" s="301">
        <f>+[8]Charter!$L$23</f>
        <v>837902</v>
      </c>
      <c r="M23" s="303">
        <f>+[8]Charter!$M$23</f>
        <v>882993</v>
      </c>
      <c r="N23" s="302">
        <f>SUM(L23:M23)</f>
        <v>1720895</v>
      </c>
      <c r="O23" s="309">
        <f>[9]Charter!$N$23</f>
        <v>1788111</v>
      </c>
      <c r="P23" s="222">
        <f t="shared" si="5"/>
        <v>-3.7590507524421023E-2</v>
      </c>
    </row>
    <row r="24" spans="1:16" ht="14.1" customHeight="1" x14ac:dyDescent="0.2">
      <c r="A24" s="221" t="s">
        <v>105</v>
      </c>
      <c r="B24" s="226">
        <f>+[2]Charter!$B24</f>
        <v>29141</v>
      </c>
      <c r="C24" s="159">
        <f>+[2]Charter!C24</f>
        <v>20795</v>
      </c>
      <c r="D24" s="544">
        <f t="shared" ref="D24" si="7">SUM(B24:C24)</f>
        <v>49936</v>
      </c>
      <c r="E24" s="309">
        <f>[10]Charter!$D24</f>
        <v>888</v>
      </c>
      <c r="F24" s="222">
        <f t="shared" si="1"/>
        <v>55.234234234234236</v>
      </c>
      <c r="G24" s="301">
        <f t="shared" ref="G24" si="8">L24-B24</f>
        <v>850312</v>
      </c>
      <c r="H24" s="303">
        <f t="shared" ref="H24" si="9">M24-C24</f>
        <v>784485</v>
      </c>
      <c r="I24" s="302">
        <f>SUM(G24:H24)</f>
        <v>1634797</v>
      </c>
      <c r="J24" s="309">
        <f>[10]Charter!I24</f>
        <v>150595</v>
      </c>
      <c r="K24" s="223">
        <f t="shared" si="3"/>
        <v>9.8555861748398019</v>
      </c>
      <c r="L24" s="301">
        <f>+[2]Charter!$L$24</f>
        <v>879453</v>
      </c>
      <c r="M24" s="303">
        <f>+[2]Charter!$M$24</f>
        <v>805280</v>
      </c>
      <c r="N24" s="302">
        <f>SUM(L24:M24)</f>
        <v>1684733</v>
      </c>
      <c r="O24" s="309">
        <f>[10]Charter!N24</f>
        <v>151483</v>
      </c>
      <c r="P24" s="222">
        <f t="shared" si="5"/>
        <v>10.121597803053808</v>
      </c>
    </row>
    <row r="25" spans="1:16" ht="14.1" customHeight="1" x14ac:dyDescent="0.2">
      <c r="A25" s="208" t="s">
        <v>75</v>
      </c>
      <c r="B25" s="301">
        <f>'Intl Detail'!$P$4+'Intl Detail'!$P$9</f>
        <v>15735</v>
      </c>
      <c r="C25" s="303">
        <f>'Intl Detail'!$P$5+'Intl Detail'!$P$10</f>
        <v>16129</v>
      </c>
      <c r="D25" s="303">
        <f t="shared" ref="D25" si="10">SUM(B25:C25)</f>
        <v>31864</v>
      </c>
      <c r="E25" s="309">
        <f>[1]Charter!$D25</f>
        <v>1452</v>
      </c>
      <c r="F25" s="211">
        <f t="shared" si="1"/>
        <v>20.944903581267219</v>
      </c>
      <c r="G25" s="301">
        <f t="shared" ref="G25" si="11">L25-B25</f>
        <v>1048700</v>
      </c>
      <c r="H25" s="303">
        <f t="shared" ref="H25" si="12">M25-C25</f>
        <v>1007707</v>
      </c>
      <c r="I25" s="302">
        <f>SUM(G25:H25)</f>
        <v>2056407</v>
      </c>
      <c r="J25" s="309">
        <f>[1]Charter!I25</f>
        <v>282618</v>
      </c>
      <c r="K25" s="217">
        <f t="shared" si="3"/>
        <v>6.2762775194785894</v>
      </c>
      <c r="L25" s="301">
        <f>'Monthly Summary'!$B$11</f>
        <v>1064435</v>
      </c>
      <c r="M25" s="303">
        <f>'Monthly Summary'!$C$11</f>
        <v>1023836</v>
      </c>
      <c r="N25" s="302">
        <f>SUM(L25:M25)</f>
        <v>2088271</v>
      </c>
      <c r="O25" s="309">
        <f>[1]Charter!N25</f>
        <v>284070</v>
      </c>
      <c r="P25" s="211">
        <f t="shared" si="5"/>
        <v>6.3512549723659664</v>
      </c>
    </row>
    <row r="26" spans="1:16" ht="14.1" customHeight="1" x14ac:dyDescent="0.2">
      <c r="A26" s="221" t="s">
        <v>106</v>
      </c>
      <c r="B26" s="301"/>
      <c r="C26" s="303"/>
      <c r="D26" s="302">
        <f t="shared" si="0"/>
        <v>0</v>
      </c>
      <c r="E26" s="308"/>
      <c r="F26" s="222" t="e">
        <f t="shared" si="1"/>
        <v>#DIV/0!</v>
      </c>
      <c r="G26" s="301"/>
      <c r="H26" s="303"/>
      <c r="I26" s="302">
        <f t="shared" ref="I26:I32" si="13">SUM(G26:H26)</f>
        <v>0</v>
      </c>
      <c r="J26" s="308"/>
      <c r="K26" s="223" t="e">
        <f t="shared" si="3"/>
        <v>#DIV/0!</v>
      </c>
      <c r="L26" s="301"/>
      <c r="M26" s="303"/>
      <c r="N26" s="302">
        <f t="shared" ref="N26:N32" si="14">SUM(L26:M26)</f>
        <v>0</v>
      </c>
      <c r="O26" s="308"/>
      <c r="P26" s="222" t="e">
        <f t="shared" si="5"/>
        <v>#DIV/0!</v>
      </c>
    </row>
    <row r="27" spans="1:16" ht="14.1" customHeight="1" x14ac:dyDescent="0.2">
      <c r="A27" s="208" t="s">
        <v>107</v>
      </c>
      <c r="B27" s="301"/>
      <c r="C27" s="303"/>
      <c r="D27" s="302">
        <f t="shared" si="0"/>
        <v>0</v>
      </c>
      <c r="E27" s="308"/>
      <c r="F27" s="211" t="e">
        <f t="shared" si="1"/>
        <v>#DIV/0!</v>
      </c>
      <c r="G27" s="301"/>
      <c r="H27" s="303"/>
      <c r="I27" s="302">
        <f t="shared" si="13"/>
        <v>0</v>
      </c>
      <c r="J27" s="308"/>
      <c r="K27" s="217" t="e">
        <f t="shared" si="3"/>
        <v>#DIV/0!</v>
      </c>
      <c r="L27" s="301"/>
      <c r="M27" s="303"/>
      <c r="N27" s="302">
        <f t="shared" si="14"/>
        <v>0</v>
      </c>
      <c r="O27" s="308"/>
      <c r="P27" s="211" t="e">
        <f t="shared" si="5"/>
        <v>#DIV/0!</v>
      </c>
    </row>
    <row r="28" spans="1:16" ht="14.1" customHeight="1" x14ac:dyDescent="0.2">
      <c r="A28" s="221" t="s">
        <v>108</v>
      </c>
      <c r="B28" s="301"/>
      <c r="C28" s="303"/>
      <c r="D28" s="302">
        <f t="shared" si="0"/>
        <v>0</v>
      </c>
      <c r="E28" s="308"/>
      <c r="F28" s="222" t="e">
        <f t="shared" si="1"/>
        <v>#DIV/0!</v>
      </c>
      <c r="G28" s="301"/>
      <c r="H28" s="303"/>
      <c r="I28" s="302">
        <f t="shared" si="13"/>
        <v>0</v>
      </c>
      <c r="J28" s="308"/>
      <c r="K28" s="223" t="e">
        <f t="shared" si="3"/>
        <v>#DIV/0!</v>
      </c>
      <c r="L28" s="301"/>
      <c r="M28" s="303"/>
      <c r="N28" s="302">
        <f t="shared" si="14"/>
        <v>0</v>
      </c>
      <c r="O28" s="308"/>
      <c r="P28" s="222" t="e">
        <f t="shared" si="5"/>
        <v>#DIV/0!</v>
      </c>
    </row>
    <row r="29" spans="1:16" ht="14.1" customHeight="1" x14ac:dyDescent="0.2">
      <c r="A29" s="208" t="s">
        <v>109</v>
      </c>
      <c r="B29" s="301"/>
      <c r="C29" s="303"/>
      <c r="D29" s="302">
        <f t="shared" si="0"/>
        <v>0</v>
      </c>
      <c r="E29" s="308"/>
      <c r="F29" s="211" t="e">
        <f t="shared" si="1"/>
        <v>#DIV/0!</v>
      </c>
      <c r="G29" s="301"/>
      <c r="H29" s="303"/>
      <c r="I29" s="302">
        <f t="shared" si="13"/>
        <v>0</v>
      </c>
      <c r="J29" s="308"/>
      <c r="K29" s="217" t="e">
        <f t="shared" si="3"/>
        <v>#DIV/0!</v>
      </c>
      <c r="L29" s="301"/>
      <c r="M29" s="303"/>
      <c r="N29" s="302">
        <f t="shared" si="14"/>
        <v>0</v>
      </c>
      <c r="O29" s="308"/>
      <c r="P29" s="211" t="e">
        <f t="shared" si="5"/>
        <v>#DIV/0!</v>
      </c>
    </row>
    <row r="30" spans="1:16" ht="14.1" customHeight="1" x14ac:dyDescent="0.2">
      <c r="A30" s="221" t="s">
        <v>110</v>
      </c>
      <c r="B30" s="301"/>
      <c r="C30" s="303"/>
      <c r="D30" s="302">
        <f>SUM(B30:C30)</f>
        <v>0</v>
      </c>
      <c r="E30" s="308"/>
      <c r="F30" s="222" t="e">
        <f t="shared" si="1"/>
        <v>#DIV/0!</v>
      </c>
      <c r="G30" s="301"/>
      <c r="H30" s="303"/>
      <c r="I30" s="302">
        <f>SUM(G30:H30)</f>
        <v>0</v>
      </c>
      <c r="J30" s="308"/>
      <c r="K30" s="223" t="e">
        <f t="shared" si="3"/>
        <v>#DIV/0!</v>
      </c>
      <c r="L30" s="301"/>
      <c r="M30" s="303"/>
      <c r="N30" s="302">
        <f>SUM(L30:M30)</f>
        <v>0</v>
      </c>
      <c r="O30" s="308"/>
      <c r="P30" s="222" t="e">
        <f t="shared" si="5"/>
        <v>#DIV/0!</v>
      </c>
    </row>
    <row r="31" spans="1:16" ht="14.1" customHeight="1" x14ac:dyDescent="0.2">
      <c r="A31" s="208" t="s">
        <v>111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si="13"/>
        <v>0</v>
      </c>
      <c r="J31" s="308"/>
      <c r="K31" s="217" t="e">
        <f t="shared" si="3"/>
        <v>#DIV/0!</v>
      </c>
      <c r="L31" s="301"/>
      <c r="M31" s="303"/>
      <c r="N31" s="302">
        <f>SUM(L31:M31)</f>
        <v>0</v>
      </c>
      <c r="O31" s="308"/>
      <c r="P31" s="211" t="e">
        <f t="shared" si="5"/>
        <v>#DIV/0!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13"/>
        <v>0</v>
      </c>
      <c r="J32" s="308"/>
      <c r="K32" s="225" t="e">
        <f t="shared" si="3"/>
        <v>#DIV/0!</v>
      </c>
      <c r="L32" s="301"/>
      <c r="M32" s="303"/>
      <c r="N32" s="159">
        <f t="shared" si="14"/>
        <v>0</v>
      </c>
      <c r="O32" s="308"/>
      <c r="P32" s="225" t="e">
        <f t="shared" si="5"/>
        <v>#DIV/0!</v>
      </c>
    </row>
    <row r="33" spans="1:16" ht="13.5" thickBot="1" x14ac:dyDescent="0.25">
      <c r="A33" s="218" t="s">
        <v>76</v>
      </c>
      <c r="B33" s="228">
        <f>SUM(B21:B32)</f>
        <v>135234</v>
      </c>
      <c r="C33" s="229">
        <f>SUM(C21:C32)</f>
        <v>127439</v>
      </c>
      <c r="D33" s="229">
        <f>SUM(D21:D32)</f>
        <v>262673</v>
      </c>
      <c r="E33" s="230">
        <f>SUM(E21:E32)</f>
        <v>792523</v>
      </c>
      <c r="F33" s="213">
        <f>(D33-E33)/E33</f>
        <v>-0.66856103860708138</v>
      </c>
      <c r="G33" s="231">
        <f>SUM(G21:G32)</f>
        <v>3755409</v>
      </c>
      <c r="H33" s="229">
        <f>SUM(H21:H32)</f>
        <v>3709620</v>
      </c>
      <c r="I33" s="229">
        <f>SUM(I21:I32)</f>
        <v>7465029</v>
      </c>
      <c r="J33" s="232">
        <f>SUM(J21:J32)</f>
        <v>7207197</v>
      </c>
      <c r="K33" s="214">
        <f>(I33-J33)/J33</f>
        <v>3.5774240665268339E-2</v>
      </c>
      <c r="L33" s="231">
        <f>SUM(L21:L32)</f>
        <v>3890643</v>
      </c>
      <c r="M33" s="229">
        <f>SUM(M21:M32)</f>
        <v>3837059</v>
      </c>
      <c r="N33" s="229">
        <f>SUM(N21:N32)</f>
        <v>7727702</v>
      </c>
      <c r="O33" s="230">
        <f>SUM(O21:O32)</f>
        <v>7999720</v>
      </c>
      <c r="P33" s="212">
        <f>(N33-O33)/O33</f>
        <v>-3.4003440120404217E-2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May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E9" sqref="E9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184" customFormat="1" ht="16.5" thickBot="1" x14ac:dyDescent="0.3">
      <c r="B1" s="564" t="s">
        <v>212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6"/>
    </row>
    <row r="2" spans="1:20" s="185" customFormat="1" ht="43.5" customHeight="1" thickBot="1" x14ac:dyDescent="0.25">
      <c r="A2" s="351">
        <v>44317</v>
      </c>
      <c r="B2" s="410" t="s">
        <v>200</v>
      </c>
      <c r="C2" s="410" t="s">
        <v>176</v>
      </c>
      <c r="D2" s="482" t="s">
        <v>83</v>
      </c>
      <c r="E2" s="410" t="s">
        <v>213</v>
      </c>
      <c r="F2" s="467" t="s">
        <v>202</v>
      </c>
      <c r="G2" s="409" t="s">
        <v>81</v>
      </c>
      <c r="H2" s="467" t="s">
        <v>177</v>
      </c>
      <c r="I2" s="410" t="s">
        <v>214</v>
      </c>
      <c r="J2" s="467" t="s">
        <v>85</v>
      </c>
      <c r="K2" s="410" t="s">
        <v>215</v>
      </c>
      <c r="L2" s="410" t="s">
        <v>216</v>
      </c>
      <c r="M2" s="410" t="s">
        <v>217</v>
      </c>
      <c r="N2" s="409" t="s">
        <v>82</v>
      </c>
      <c r="O2" s="467" t="s">
        <v>127</v>
      </c>
      <c r="P2" s="467" t="s">
        <v>21</v>
      </c>
    </row>
    <row r="3" spans="1:20" ht="15" x14ac:dyDescent="0.25">
      <c r="A3" s="187" t="s">
        <v>9</v>
      </c>
      <c r="B3" s="483"/>
      <c r="C3" s="188"/>
      <c r="D3" s="44"/>
      <c r="E3" s="188"/>
      <c r="F3" s="44"/>
      <c r="G3" s="188"/>
      <c r="H3" s="44"/>
      <c r="I3" s="188"/>
      <c r="J3" s="44"/>
      <c r="K3" s="188"/>
      <c r="L3" s="188"/>
      <c r="M3" s="188"/>
      <c r="N3" s="188"/>
      <c r="O3" s="44"/>
      <c r="P3" s="484"/>
      <c r="R3" s="485"/>
      <c r="S3" s="485"/>
      <c r="T3" s="485"/>
    </row>
    <row r="4" spans="1:20" x14ac:dyDescent="0.2">
      <c r="A4" s="52" t="s">
        <v>53</v>
      </c>
      <c r="B4" s="226">
        <f>'[3]Atlas Air'!$HH$4</f>
        <v>31</v>
      </c>
      <c r="C4" s="473">
        <f>[3]DHL!$HH$4+[3]DHL_Atlas!$HH$4+[3]DHL_Atlas!$HH$8+[3]DHL_Atlas!$HH$15</f>
        <v>0</v>
      </c>
      <c r="D4" s="128">
        <f>[3]Bemidji!$HH$4</f>
        <v>197</v>
      </c>
      <c r="E4" s="473">
        <f>[3]DHL_Encore!$HH$4+[3]DHL_Encore!$HH$15</f>
        <v>43</v>
      </c>
      <c r="F4" s="473">
        <f>[3]Encore!$HH$4+[3]Encore!$HH$15</f>
        <v>0</v>
      </c>
      <c r="G4" s="473">
        <f>[3]FedEx!$HH$4+[3]FedEx!$HH$15</f>
        <v>140</v>
      </c>
      <c r="H4" s="473">
        <f>[3]IFL!$HH$4+[3]IFL!$HH$15</f>
        <v>15</v>
      </c>
      <c r="I4" s="473">
        <f>[3]DHL_Kalitta!$HH$4+[3]DHL_Kalitta!$HH$15</f>
        <v>0</v>
      </c>
      <c r="J4" s="128">
        <f>'[3]Mountain Cargo'!$HH$4</f>
        <v>21</v>
      </c>
      <c r="K4" s="473">
        <f>[3]DHL_Southair!$HH$4+[3]DHL_Southair!$HH$15</f>
        <v>0</v>
      </c>
      <c r="L4" s="473">
        <f>[3]DHL_Swift!$HH$4+[3]DHL_Swift!$HH$15</f>
        <v>26</v>
      </c>
      <c r="M4" s="473">
        <f>+'[3]Sun Country Cargo'!$HH$4+'[3]Sun Country Cargo'!$HH$8+'[3]Sun Country Cargo'!$HH$15</f>
        <v>63</v>
      </c>
      <c r="N4" s="473">
        <f>[3]UPS!$HH$4+[3]UPS!$HH$15</f>
        <v>152</v>
      </c>
      <c r="O4" s="128">
        <f>'[3]Misc Cargo'!$HH$4</f>
        <v>0</v>
      </c>
      <c r="P4" s="486">
        <f>SUM(B4:O4)</f>
        <v>688</v>
      </c>
      <c r="R4" s="485"/>
      <c r="S4" s="485"/>
      <c r="T4" s="283"/>
    </row>
    <row r="5" spans="1:20" x14ac:dyDescent="0.2">
      <c r="A5" s="52" t="s">
        <v>54</v>
      </c>
      <c r="B5" s="487">
        <f>'[3]Atlas Air'!$HH$5</f>
        <v>31</v>
      </c>
      <c r="C5" s="186">
        <f>[3]DHL!$HH$5+[3]DHL_Atlas!$HH$5+[3]DHL_Atlas!$HH$9+[3]DHL_Atlas!$HH$16</f>
        <v>0</v>
      </c>
      <c r="D5" s="118">
        <f>[3]Bemidji!$HH$5</f>
        <v>197</v>
      </c>
      <c r="E5" s="186">
        <f>[3]DHL_Encore!$HH$5</f>
        <v>43</v>
      </c>
      <c r="F5" s="186">
        <f>[3]Encore!$HH$5</f>
        <v>0</v>
      </c>
      <c r="G5" s="186">
        <f>[3]FedEx!$HH$5</f>
        <v>140</v>
      </c>
      <c r="H5" s="186">
        <f>[3]IFL!$HH$5</f>
        <v>15</v>
      </c>
      <c r="I5" s="186">
        <f>[3]DHL_Kalitta!$HH$5</f>
        <v>0</v>
      </c>
      <c r="J5" s="118">
        <f>'[3]Mountain Cargo'!$HH$5</f>
        <v>21</v>
      </c>
      <c r="K5" s="186">
        <f>[3]DHL_Southair!$HH$5</f>
        <v>0</v>
      </c>
      <c r="L5" s="186">
        <f>[3]DHL_Swift!$HH$5</f>
        <v>26</v>
      </c>
      <c r="M5" s="186">
        <f>+'[3]Sun Country Cargo'!$HH$5+'[3]Sun Country Cargo'!$HH$9+'[3]Sun Country Cargo'!$HH$16</f>
        <v>64</v>
      </c>
      <c r="N5" s="186">
        <f>[3]UPS!$HH$5+[3]UPS!$HH$16</f>
        <v>152</v>
      </c>
      <c r="O5" s="118">
        <f>'[3]Misc Cargo'!$HH$5</f>
        <v>0</v>
      </c>
      <c r="P5" s="486">
        <f t="shared" ref="P5:P10" si="0">SUM(B5:O5)</f>
        <v>689</v>
      </c>
      <c r="R5" s="485"/>
      <c r="S5" s="485"/>
      <c r="T5" s="283"/>
    </row>
    <row r="6" spans="1:20" s="183" customFormat="1" x14ac:dyDescent="0.2">
      <c r="A6" s="189" t="s">
        <v>55</v>
      </c>
      <c r="B6" s="488">
        <f t="shared" ref="B6:O6" si="1">SUM(B4:B5)</f>
        <v>62</v>
      </c>
      <c r="C6" s="489">
        <f t="shared" si="1"/>
        <v>0</v>
      </c>
      <c r="D6" s="468">
        <f t="shared" si="1"/>
        <v>394</v>
      </c>
      <c r="E6" s="489">
        <f t="shared" si="1"/>
        <v>86</v>
      </c>
      <c r="F6" s="489">
        <f t="shared" si="1"/>
        <v>0</v>
      </c>
      <c r="G6" s="489">
        <f t="shared" si="1"/>
        <v>280</v>
      </c>
      <c r="H6" s="489">
        <f t="shared" si="1"/>
        <v>30</v>
      </c>
      <c r="I6" s="489">
        <f t="shared" si="1"/>
        <v>0</v>
      </c>
      <c r="J6" s="468">
        <f t="shared" si="1"/>
        <v>42</v>
      </c>
      <c r="K6" s="489">
        <f t="shared" si="1"/>
        <v>0</v>
      </c>
      <c r="L6" s="489">
        <f t="shared" si="1"/>
        <v>52</v>
      </c>
      <c r="M6" s="489">
        <f t="shared" si="1"/>
        <v>127</v>
      </c>
      <c r="N6" s="489">
        <f t="shared" si="1"/>
        <v>304</v>
      </c>
      <c r="O6" s="468">
        <f t="shared" si="1"/>
        <v>0</v>
      </c>
      <c r="P6" s="486">
        <f t="shared" si="0"/>
        <v>1377</v>
      </c>
      <c r="T6" s="490"/>
    </row>
    <row r="7" spans="1:20" x14ac:dyDescent="0.2">
      <c r="A7" s="52"/>
      <c r="B7" s="226"/>
      <c r="C7" s="473"/>
      <c r="D7" s="128"/>
      <c r="E7" s="473"/>
      <c r="F7" s="473"/>
      <c r="G7" s="473"/>
      <c r="H7" s="473"/>
      <c r="I7" s="473"/>
      <c r="J7" s="128"/>
      <c r="K7" s="473"/>
      <c r="L7" s="473"/>
      <c r="M7" s="473"/>
      <c r="N7" s="473"/>
      <c r="O7" s="128"/>
      <c r="P7" s="486"/>
      <c r="R7" s="491"/>
      <c r="S7" s="485"/>
      <c r="T7" s="283"/>
    </row>
    <row r="8" spans="1:20" x14ac:dyDescent="0.2">
      <c r="A8" s="52" t="s">
        <v>56</v>
      </c>
      <c r="B8" s="226"/>
      <c r="C8" s="473"/>
      <c r="D8" s="128"/>
      <c r="E8" s="473"/>
      <c r="F8" s="473"/>
      <c r="G8" s="473"/>
      <c r="H8" s="473"/>
      <c r="I8" s="473"/>
      <c r="J8" s="128"/>
      <c r="K8" s="473"/>
      <c r="L8" s="473"/>
      <c r="M8" s="473"/>
      <c r="N8" s="473"/>
      <c r="O8" s="128">
        <f>'[3]Misc Cargo'!$HH$8</f>
        <v>0</v>
      </c>
      <c r="P8" s="486">
        <f t="shared" si="0"/>
        <v>0</v>
      </c>
      <c r="R8" s="485"/>
      <c r="S8" s="485"/>
      <c r="T8" s="283"/>
    </row>
    <row r="9" spans="1:20" ht="15" x14ac:dyDescent="0.25">
      <c r="A9" s="52" t="s">
        <v>57</v>
      </c>
      <c r="B9" s="487"/>
      <c r="C9" s="186"/>
      <c r="D9" s="118"/>
      <c r="E9" s="186"/>
      <c r="F9" s="186"/>
      <c r="G9" s="186"/>
      <c r="H9" s="186"/>
      <c r="I9" s="186"/>
      <c r="J9" s="118"/>
      <c r="K9" s="186"/>
      <c r="L9" s="186"/>
      <c r="M9" s="186"/>
      <c r="N9" s="186"/>
      <c r="O9" s="118">
        <f>'[3]Misc Cargo'!$HH$9</f>
        <v>0</v>
      </c>
      <c r="P9" s="486">
        <f t="shared" si="0"/>
        <v>0</v>
      </c>
      <c r="R9" s="485"/>
      <c r="S9" s="492"/>
      <c r="T9" s="283"/>
    </row>
    <row r="10" spans="1:20" s="183" customFormat="1" x14ac:dyDescent="0.2">
      <c r="A10" s="189" t="s">
        <v>58</v>
      </c>
      <c r="B10" s="488">
        <f t="shared" ref="B10:O10" si="2">SUM(B8:B9)</f>
        <v>0</v>
      </c>
      <c r="C10" s="489">
        <f t="shared" si="2"/>
        <v>0</v>
      </c>
      <c r="D10" s="468">
        <f t="shared" si="2"/>
        <v>0</v>
      </c>
      <c r="E10" s="489">
        <f t="shared" si="2"/>
        <v>0</v>
      </c>
      <c r="F10" s="489">
        <f t="shared" si="2"/>
        <v>0</v>
      </c>
      <c r="G10" s="489">
        <f t="shared" si="2"/>
        <v>0</v>
      </c>
      <c r="H10" s="489">
        <f t="shared" si="2"/>
        <v>0</v>
      </c>
      <c r="I10" s="489">
        <f t="shared" si="2"/>
        <v>0</v>
      </c>
      <c r="J10" s="468">
        <f t="shared" si="2"/>
        <v>0</v>
      </c>
      <c r="K10" s="489">
        <f t="shared" si="2"/>
        <v>0</v>
      </c>
      <c r="L10" s="489">
        <f t="shared" si="2"/>
        <v>0</v>
      </c>
      <c r="M10" s="489">
        <f t="shared" si="2"/>
        <v>0</v>
      </c>
      <c r="N10" s="489">
        <f t="shared" si="2"/>
        <v>0</v>
      </c>
      <c r="O10" s="468">
        <f t="shared" si="2"/>
        <v>0</v>
      </c>
      <c r="P10" s="486">
        <f t="shared" si="0"/>
        <v>0</v>
      </c>
      <c r="T10" s="490"/>
    </row>
    <row r="11" spans="1:20" x14ac:dyDescent="0.2">
      <c r="A11" s="52"/>
      <c r="B11" s="226"/>
      <c r="C11" s="473"/>
      <c r="D11" s="128"/>
      <c r="E11" s="473"/>
      <c r="F11" s="473"/>
      <c r="G11" s="473"/>
      <c r="H11" s="473"/>
      <c r="I11" s="473"/>
      <c r="J11" s="128"/>
      <c r="K11" s="473"/>
      <c r="L11" s="473"/>
      <c r="M11" s="473"/>
      <c r="N11" s="473"/>
      <c r="O11" s="128"/>
      <c r="P11" s="493"/>
      <c r="R11" s="485"/>
      <c r="S11" s="485"/>
      <c r="T11" s="283"/>
    </row>
    <row r="12" spans="1:20" ht="18" customHeight="1" thickBot="1" x14ac:dyDescent="0.25">
      <c r="A12" s="190" t="s">
        <v>28</v>
      </c>
      <c r="B12" s="494">
        <f t="shared" ref="B12:O12" si="3">B6+B10</f>
        <v>62</v>
      </c>
      <c r="C12" s="191">
        <f t="shared" si="3"/>
        <v>0</v>
      </c>
      <c r="D12" s="192">
        <f t="shared" si="3"/>
        <v>394</v>
      </c>
      <c r="E12" s="191">
        <f t="shared" si="3"/>
        <v>86</v>
      </c>
      <c r="F12" s="191">
        <f t="shared" si="3"/>
        <v>0</v>
      </c>
      <c r="G12" s="191">
        <f t="shared" si="3"/>
        <v>280</v>
      </c>
      <c r="H12" s="191">
        <f t="shared" si="3"/>
        <v>30</v>
      </c>
      <c r="I12" s="191">
        <f t="shared" si="3"/>
        <v>0</v>
      </c>
      <c r="J12" s="192">
        <f t="shared" si="3"/>
        <v>42</v>
      </c>
      <c r="K12" s="191">
        <f t="shared" si="3"/>
        <v>0</v>
      </c>
      <c r="L12" s="191">
        <f t="shared" si="3"/>
        <v>52</v>
      </c>
      <c r="M12" s="191">
        <f t="shared" si="3"/>
        <v>127</v>
      </c>
      <c r="N12" s="191">
        <f t="shared" si="3"/>
        <v>304</v>
      </c>
      <c r="O12" s="192">
        <f t="shared" si="3"/>
        <v>0</v>
      </c>
      <c r="P12" s="495">
        <f>SUM(B12:O12)</f>
        <v>1377</v>
      </c>
      <c r="R12" s="485"/>
      <c r="S12" s="485"/>
      <c r="T12" s="283"/>
    </row>
    <row r="13" spans="1:20" ht="18" customHeight="1" thickBot="1" x14ac:dyDescent="0.25">
      <c r="A13" s="174"/>
      <c r="B13" s="496"/>
      <c r="C13" s="497"/>
      <c r="D13" s="469"/>
      <c r="E13" s="497"/>
      <c r="F13" s="497"/>
      <c r="G13" s="497"/>
      <c r="H13" s="497"/>
      <c r="I13" s="497"/>
      <c r="J13" s="469"/>
      <c r="K13" s="497"/>
      <c r="L13" s="497"/>
      <c r="M13" s="497"/>
      <c r="N13" s="497"/>
      <c r="O13" s="469"/>
      <c r="P13" s="2"/>
      <c r="R13" s="485"/>
      <c r="S13" s="485"/>
      <c r="T13" s="283"/>
    </row>
    <row r="14" spans="1:20" ht="15" x14ac:dyDescent="0.25">
      <c r="A14" s="193" t="s">
        <v>92</v>
      </c>
      <c r="B14" s="498"/>
      <c r="C14" s="194"/>
      <c r="D14" s="79"/>
      <c r="E14" s="194"/>
      <c r="F14" s="194"/>
      <c r="G14" s="194"/>
      <c r="H14" s="194"/>
      <c r="I14" s="194"/>
      <c r="J14" s="79"/>
      <c r="K14" s="194"/>
      <c r="L14" s="194"/>
      <c r="M14" s="194"/>
      <c r="N14" s="194"/>
      <c r="O14" s="79"/>
      <c r="P14" s="499"/>
      <c r="R14" s="485"/>
      <c r="S14" s="485"/>
      <c r="T14" s="283"/>
    </row>
    <row r="15" spans="1:20" x14ac:dyDescent="0.2">
      <c r="A15" s="195" t="s">
        <v>93</v>
      </c>
      <c r="B15" s="226"/>
      <c r="C15" s="473"/>
      <c r="D15" s="2"/>
      <c r="E15" s="473"/>
      <c r="F15" s="473"/>
      <c r="G15" s="473"/>
      <c r="H15" s="473"/>
      <c r="I15" s="473"/>
      <c r="J15" s="2"/>
      <c r="K15" s="473"/>
      <c r="L15" s="473"/>
      <c r="M15" s="473"/>
      <c r="N15" s="473"/>
      <c r="O15" s="2"/>
      <c r="P15" s="177"/>
      <c r="R15" s="485"/>
      <c r="S15" s="485"/>
      <c r="T15" s="283"/>
    </row>
    <row r="16" spans="1:20" x14ac:dyDescent="0.2">
      <c r="A16" s="52" t="s">
        <v>37</v>
      </c>
      <c r="B16" s="226">
        <f>'[3]Atlas Air'!$HH$47</f>
        <v>1510324</v>
      </c>
      <c r="C16" s="473">
        <f>[3]DHL!$HH$47+[3]DHL_Atlas!$HH$47</f>
        <v>0</v>
      </c>
      <c r="D16" s="567" t="s">
        <v>86</v>
      </c>
      <c r="E16" s="473">
        <f>[3]DHL_Encore!$HH$47</f>
        <v>88915</v>
      </c>
      <c r="F16" s="473">
        <f>[3]Encore!$HH$47</f>
        <v>0</v>
      </c>
      <c r="G16" s="473">
        <f>[3]FedEx!$HH$47</f>
        <v>8633909</v>
      </c>
      <c r="H16" s="473">
        <f>[3]IFL!$HH$47</f>
        <v>45381</v>
      </c>
      <c r="I16" s="473">
        <f>[3]DHL_Kalitta!$HH$47</f>
        <v>0</v>
      </c>
      <c r="J16" s="128">
        <f>'[3]Mountain Cargo'!$HH$47</f>
        <v>0</v>
      </c>
      <c r="K16" s="473">
        <f>[3]DHL_Southair!$HH$47</f>
        <v>0</v>
      </c>
      <c r="L16" s="473">
        <f>[3]DHL_Swift!$HH$47</f>
        <v>812170</v>
      </c>
      <c r="M16" s="473">
        <f>+'[3]Sun Country Cargo'!$HH$47</f>
        <v>1948569</v>
      </c>
      <c r="N16" s="473">
        <f>[3]UPS!$HH$47</f>
        <v>6151132</v>
      </c>
      <c r="O16" s="128">
        <f>'[3]Misc Cargo'!$HH$47</f>
        <v>0</v>
      </c>
      <c r="P16" s="486">
        <f>SUM(B16:C16)+SUM(E16:O16)</f>
        <v>19190400</v>
      </c>
      <c r="R16" s="485"/>
      <c r="S16" s="485"/>
      <c r="T16" s="283"/>
    </row>
    <row r="17" spans="1:20" x14ac:dyDescent="0.2">
      <c r="A17" s="52" t="s">
        <v>38</v>
      </c>
      <c r="B17" s="226">
        <f>'[3]Atlas Air'!$HH$48</f>
        <v>0</v>
      </c>
      <c r="C17" s="473">
        <f>[3]DHL!$HH$48</f>
        <v>0</v>
      </c>
      <c r="D17" s="568"/>
      <c r="E17" s="473">
        <f>[3]DHL_Encore!$HH$48</f>
        <v>0</v>
      </c>
      <c r="F17" s="473">
        <f>[3]Encore!$HH$48</f>
        <v>0</v>
      </c>
      <c r="G17" s="473">
        <f>[3]FedEx!$HH$48</f>
        <v>0</v>
      </c>
      <c r="H17" s="473">
        <f>[3]IFL!$HH$48</f>
        <v>0</v>
      </c>
      <c r="I17" s="473">
        <f>[3]DHL_Kalitta!$HH$48</f>
        <v>0</v>
      </c>
      <c r="J17" s="128">
        <f>'[3]Mountain Cargo'!$HH$48</f>
        <v>52951</v>
      </c>
      <c r="K17" s="473">
        <f>[3]DHL_Southair!$HH$48</f>
        <v>0</v>
      </c>
      <c r="L17" s="473">
        <f>[3]DHL_Swift!$HH$48</f>
        <v>0</v>
      </c>
      <c r="M17" s="473">
        <f>+'[3]Sun Country Cargo'!$HH$48</f>
        <v>0</v>
      </c>
      <c r="N17" s="473">
        <f>[3]UPS!$HH$48</f>
        <v>771108</v>
      </c>
      <c r="O17" s="128">
        <f>'[3]Misc Cargo'!$HH$48</f>
        <v>0</v>
      </c>
      <c r="P17" s="486">
        <f>SUM(B17:C17)+SUM(E17:O17)</f>
        <v>824059</v>
      </c>
      <c r="R17" s="485"/>
      <c r="S17" s="485"/>
      <c r="T17" s="283"/>
    </row>
    <row r="18" spans="1:20" ht="18" customHeight="1" x14ac:dyDescent="0.2">
      <c r="A18" s="196" t="s">
        <v>39</v>
      </c>
      <c r="B18" s="500">
        <f>SUM(B16:B17)</f>
        <v>1510324</v>
      </c>
      <c r="C18" s="274">
        <f>SUM(C16:C17)</f>
        <v>0</v>
      </c>
      <c r="D18" s="568"/>
      <c r="E18" s="274">
        <f>SUM(E16:E17)</f>
        <v>88915</v>
      </c>
      <c r="F18" s="274">
        <f>SUM(F16:F17)</f>
        <v>0</v>
      </c>
      <c r="G18" s="274">
        <f>SUM(G16:G17)</f>
        <v>8633909</v>
      </c>
      <c r="H18" s="274">
        <f>SUM(H16:H17)</f>
        <v>45381</v>
      </c>
      <c r="I18" s="274">
        <f t="shared" ref="I18:O18" si="4">SUM(I16:I17)</f>
        <v>0</v>
      </c>
      <c r="J18" s="275">
        <f t="shared" si="4"/>
        <v>52951</v>
      </c>
      <c r="K18" s="274">
        <f t="shared" si="4"/>
        <v>0</v>
      </c>
      <c r="L18" s="274">
        <f t="shared" si="4"/>
        <v>812170</v>
      </c>
      <c r="M18" s="274">
        <f t="shared" si="4"/>
        <v>1948569</v>
      </c>
      <c r="N18" s="274">
        <f t="shared" si="4"/>
        <v>6922240</v>
      </c>
      <c r="O18" s="275">
        <f t="shared" si="4"/>
        <v>0</v>
      </c>
      <c r="P18" s="501">
        <f>SUM(B18:C18)+SUM(E18:O18)</f>
        <v>20014459</v>
      </c>
      <c r="R18" s="485"/>
      <c r="S18" s="485"/>
      <c r="T18" s="283"/>
    </row>
    <row r="19" spans="1:20" x14ac:dyDescent="0.2">
      <c r="A19" s="52"/>
      <c r="B19" s="226"/>
      <c r="C19" s="473"/>
      <c r="D19" s="568"/>
      <c r="E19" s="473"/>
      <c r="F19" s="473"/>
      <c r="G19" s="473"/>
      <c r="H19" s="473"/>
      <c r="I19" s="473"/>
      <c r="J19" s="128"/>
      <c r="K19" s="473"/>
      <c r="L19" s="473"/>
      <c r="M19" s="473"/>
      <c r="N19" s="473"/>
      <c r="O19" s="128"/>
      <c r="P19" s="486"/>
      <c r="R19" s="491"/>
      <c r="S19" s="485"/>
      <c r="T19" s="283"/>
    </row>
    <row r="20" spans="1:20" x14ac:dyDescent="0.2">
      <c r="A20" s="195" t="s">
        <v>87</v>
      </c>
      <c r="B20" s="226"/>
      <c r="C20" s="473"/>
      <c r="D20" s="568"/>
      <c r="E20" s="473"/>
      <c r="F20" s="473"/>
      <c r="G20" s="473"/>
      <c r="H20" s="473"/>
      <c r="I20" s="473"/>
      <c r="J20" s="128"/>
      <c r="K20" s="473"/>
      <c r="L20" s="473"/>
      <c r="M20" s="473"/>
      <c r="N20" s="473"/>
      <c r="O20" s="128"/>
      <c r="P20" s="486"/>
      <c r="R20" s="491"/>
      <c r="S20" s="485"/>
      <c r="T20" s="283"/>
    </row>
    <row r="21" spans="1:20" x14ac:dyDescent="0.2">
      <c r="A21" s="52" t="s">
        <v>59</v>
      </c>
      <c r="B21" s="226">
        <f>'[3]Atlas Air'!$HH$52</f>
        <v>792954</v>
      </c>
      <c r="C21" s="473">
        <f>[3]DHL!$HH$52+[3]DHL_Atlas!$HH$52</f>
        <v>0</v>
      </c>
      <c r="D21" s="568"/>
      <c r="E21" s="473">
        <f>[3]DHL_Encore!$HH$52</f>
        <v>56160</v>
      </c>
      <c r="F21" s="473">
        <f>[3]Encore!$HH$52</f>
        <v>0</v>
      </c>
      <c r="G21" s="473">
        <f>[3]FedEx!$HH$52</f>
        <v>7636444</v>
      </c>
      <c r="H21" s="473">
        <f>[3]IFL!$HH$52</f>
        <v>0</v>
      </c>
      <c r="I21" s="473">
        <f>[3]DHL_Kalitta!$HH$52</f>
        <v>0</v>
      </c>
      <c r="J21" s="128">
        <f>'[3]Mountain Cargo'!$HH$52</f>
        <v>0</v>
      </c>
      <c r="K21" s="473">
        <f>[3]DHL_Southair!$HH$52</f>
        <v>0</v>
      </c>
      <c r="L21" s="473">
        <f>[3]DHL_Swift!$HH$52</f>
        <v>404024</v>
      </c>
      <c r="M21" s="473">
        <f>+'[3]Sun Country Cargo'!$HH$52</f>
        <v>1029195</v>
      </c>
      <c r="N21" s="473">
        <f>[3]UPS!$HH$52</f>
        <v>5400258</v>
      </c>
      <c r="O21" s="128">
        <f>'[3]Misc Cargo'!$HH$52</f>
        <v>0</v>
      </c>
      <c r="P21" s="486">
        <f t="shared" ref="P21:P23" si="5">SUM(B21:C21)+SUM(E21:O21)</f>
        <v>15319035</v>
      </c>
      <c r="R21" s="485"/>
      <c r="S21" s="485"/>
      <c r="T21" s="283"/>
    </row>
    <row r="22" spans="1:20" x14ac:dyDescent="0.2">
      <c r="A22" s="52" t="s">
        <v>60</v>
      </c>
      <c r="B22" s="226">
        <f>'[3]Atlas Air'!$HH$53</f>
        <v>0</v>
      </c>
      <c r="C22" s="473">
        <f>[3]DHL!$HH$53</f>
        <v>0</v>
      </c>
      <c r="D22" s="568"/>
      <c r="E22" s="473">
        <f>[3]DHL_Encore!$HH$53</f>
        <v>0</v>
      </c>
      <c r="F22" s="473">
        <f>[3]Encore!$HH$53</f>
        <v>0</v>
      </c>
      <c r="G22" s="473">
        <f>[3]FedEx!$HH$53</f>
        <v>0</v>
      </c>
      <c r="H22" s="473">
        <f>[3]IFL!$HH$53</f>
        <v>0</v>
      </c>
      <c r="I22" s="473">
        <f>[3]DHL_Kalitta!$HH$53</f>
        <v>0</v>
      </c>
      <c r="J22" s="128">
        <f>'[3]Mountain Cargo'!$HH$53</f>
        <v>131126</v>
      </c>
      <c r="K22" s="473">
        <f>[3]DHL_Southair!$HH$53</f>
        <v>0</v>
      </c>
      <c r="L22" s="473">
        <f>[3]DHL_Swift!$HH$53</f>
        <v>0</v>
      </c>
      <c r="M22" s="473">
        <f>+'[3]Sun Country Cargo'!$HH$53</f>
        <v>0</v>
      </c>
      <c r="N22" s="473">
        <f>[3]UPS!$HH$53</f>
        <v>752179</v>
      </c>
      <c r="O22" s="128">
        <f>'[3]Misc Cargo'!$HH$53</f>
        <v>0</v>
      </c>
      <c r="P22" s="486">
        <f t="shared" si="5"/>
        <v>883305</v>
      </c>
      <c r="R22" s="485"/>
      <c r="S22" s="485"/>
      <c r="T22" s="283"/>
    </row>
    <row r="23" spans="1:20" ht="18" customHeight="1" x14ac:dyDescent="0.2">
      <c r="A23" s="196" t="s">
        <v>41</v>
      </c>
      <c r="B23" s="500">
        <f>SUM(B21:B22)</f>
        <v>792954</v>
      </c>
      <c r="C23" s="274">
        <f>SUM(C21:C22)</f>
        <v>0</v>
      </c>
      <c r="D23" s="568"/>
      <c r="E23" s="274">
        <f t="shared" ref="E23:O23" si="6">SUM(E21:E22)</f>
        <v>56160</v>
      </c>
      <c r="F23" s="274">
        <f t="shared" si="6"/>
        <v>0</v>
      </c>
      <c r="G23" s="274">
        <f t="shared" si="6"/>
        <v>7636444</v>
      </c>
      <c r="H23" s="274">
        <f t="shared" si="6"/>
        <v>0</v>
      </c>
      <c r="I23" s="274">
        <f t="shared" si="6"/>
        <v>0</v>
      </c>
      <c r="J23" s="275">
        <f t="shared" si="6"/>
        <v>131126</v>
      </c>
      <c r="K23" s="274">
        <f t="shared" si="6"/>
        <v>0</v>
      </c>
      <c r="L23" s="274">
        <f t="shared" si="6"/>
        <v>404024</v>
      </c>
      <c r="M23" s="274">
        <f t="shared" si="6"/>
        <v>1029195</v>
      </c>
      <c r="N23" s="274">
        <f t="shared" si="6"/>
        <v>6152437</v>
      </c>
      <c r="O23" s="275">
        <f t="shared" si="6"/>
        <v>0</v>
      </c>
      <c r="P23" s="501">
        <f t="shared" si="5"/>
        <v>16202340</v>
      </c>
      <c r="R23" s="485"/>
      <c r="S23" s="485"/>
      <c r="T23" s="283"/>
    </row>
    <row r="24" spans="1:20" x14ac:dyDescent="0.2">
      <c r="A24" s="52"/>
      <c r="B24" s="226"/>
      <c r="C24" s="473"/>
      <c r="D24" s="568"/>
      <c r="E24" s="473"/>
      <c r="F24" s="473"/>
      <c r="G24" s="473"/>
      <c r="H24" s="473"/>
      <c r="I24" s="473"/>
      <c r="J24" s="128"/>
      <c r="K24" s="473"/>
      <c r="L24" s="473"/>
      <c r="M24" s="473"/>
      <c r="N24" s="473"/>
      <c r="O24" s="128"/>
      <c r="P24" s="486"/>
      <c r="R24" s="485"/>
      <c r="S24" s="485"/>
      <c r="T24" s="283"/>
    </row>
    <row r="25" spans="1:20" x14ac:dyDescent="0.2">
      <c r="A25" s="195" t="s">
        <v>94</v>
      </c>
      <c r="B25" s="226"/>
      <c r="C25" s="473"/>
      <c r="D25" s="568"/>
      <c r="E25" s="473"/>
      <c r="F25" s="473"/>
      <c r="G25" s="473"/>
      <c r="H25" s="473"/>
      <c r="I25" s="473"/>
      <c r="J25" s="128"/>
      <c r="K25" s="473"/>
      <c r="L25" s="473"/>
      <c r="M25" s="473"/>
      <c r="N25" s="473"/>
      <c r="O25" s="128"/>
      <c r="P25" s="486"/>
      <c r="R25" s="485"/>
      <c r="S25" s="485"/>
      <c r="T25" s="283"/>
    </row>
    <row r="26" spans="1:20" x14ac:dyDescent="0.2">
      <c r="A26" s="52" t="s">
        <v>59</v>
      </c>
      <c r="B26" s="226">
        <f>'[3]Atlas Air'!$HH$57</f>
        <v>0</v>
      </c>
      <c r="C26" s="473">
        <f>[3]DHL!$HH$57</f>
        <v>0</v>
      </c>
      <c r="D26" s="568"/>
      <c r="E26" s="473">
        <f>[3]DHL_Encore!$HH$57</f>
        <v>0</v>
      </c>
      <c r="F26" s="473">
        <f>[3]Encore!$HH$57</f>
        <v>0</v>
      </c>
      <c r="G26" s="473">
        <f>[3]FedEx!$HH$57</f>
        <v>0</v>
      </c>
      <c r="H26" s="473">
        <f>[3]IFL!$HH$57</f>
        <v>0</v>
      </c>
      <c r="I26" s="473">
        <f>[3]DHL_Kalitta!$HH$57</f>
        <v>0</v>
      </c>
      <c r="J26" s="128">
        <f>'[3]Mountain Cargo'!$HH$57</f>
        <v>0</v>
      </c>
      <c r="K26" s="473">
        <f>[3]DHL_Southair!$HH$57</f>
        <v>0</v>
      </c>
      <c r="L26" s="473">
        <f>[3]DHL_Swift!$HH$57</f>
        <v>0</v>
      </c>
      <c r="M26" s="473">
        <f>+'[3]Sun Country Cargo'!$HH$57</f>
        <v>0</v>
      </c>
      <c r="N26" s="473">
        <f>[3]UPS!$HH$57</f>
        <v>0</v>
      </c>
      <c r="O26" s="128">
        <f>'[3]Misc Cargo'!$HH$57</f>
        <v>0</v>
      </c>
      <c r="P26" s="486">
        <f t="shared" ref="P26:P28" si="7">SUM(B26:C26)+SUM(E26:O26)</f>
        <v>0</v>
      </c>
      <c r="R26" s="485"/>
      <c r="S26" s="485"/>
      <c r="T26" s="485"/>
    </row>
    <row r="27" spans="1:20" x14ac:dyDescent="0.2">
      <c r="A27" s="52" t="s">
        <v>60</v>
      </c>
      <c r="B27" s="226">
        <f>'[3]Atlas Air'!$HH$58</f>
        <v>0</v>
      </c>
      <c r="C27" s="473">
        <f>[3]DHL!$HH$58</f>
        <v>0</v>
      </c>
      <c r="D27" s="568"/>
      <c r="E27" s="473">
        <f>[3]DHL_Encore!$HH$58</f>
        <v>0</v>
      </c>
      <c r="F27" s="473">
        <f>[3]Encore!$HH$58</f>
        <v>0</v>
      </c>
      <c r="G27" s="473">
        <f>[3]FedEx!$HH$58</f>
        <v>0</v>
      </c>
      <c r="H27" s="473">
        <f>[3]IFL!$HH$58</f>
        <v>0</v>
      </c>
      <c r="I27" s="473">
        <f>[3]DHL_Kalitta!$HH$58</f>
        <v>0</v>
      </c>
      <c r="J27" s="128">
        <f>'[3]Mountain Cargo'!$HH$58</f>
        <v>0</v>
      </c>
      <c r="K27" s="473">
        <f>[3]DHL_Southair!$HH$58</f>
        <v>0</v>
      </c>
      <c r="L27" s="473">
        <f>[3]DHL_Swift!$HH$58</f>
        <v>0</v>
      </c>
      <c r="M27" s="473">
        <f>+'[3]Sun Country Cargo'!$HH$58</f>
        <v>0</v>
      </c>
      <c r="N27" s="473">
        <f>[3]UPS!$HH$58</f>
        <v>0</v>
      </c>
      <c r="O27" s="128">
        <f>'[3]Misc Cargo'!$HH$58</f>
        <v>0</v>
      </c>
      <c r="P27" s="486">
        <f t="shared" si="7"/>
        <v>0</v>
      </c>
      <c r="R27" s="485"/>
      <c r="S27" s="485"/>
      <c r="T27" s="283"/>
    </row>
    <row r="28" spans="1:20" ht="18" customHeight="1" x14ac:dyDescent="0.2">
      <c r="A28" s="196" t="s">
        <v>43</v>
      </c>
      <c r="B28" s="500">
        <f>SUM(B26:B27)</f>
        <v>0</v>
      </c>
      <c r="C28" s="274">
        <f>SUM(C26:C27)</f>
        <v>0</v>
      </c>
      <c r="D28" s="568"/>
      <c r="E28" s="274">
        <f t="shared" ref="E28:O28" si="8">SUM(E26:E27)</f>
        <v>0</v>
      </c>
      <c r="F28" s="274">
        <f t="shared" si="8"/>
        <v>0</v>
      </c>
      <c r="G28" s="274">
        <f t="shared" si="8"/>
        <v>0</v>
      </c>
      <c r="H28" s="274">
        <f t="shared" si="8"/>
        <v>0</v>
      </c>
      <c r="I28" s="274">
        <f t="shared" si="8"/>
        <v>0</v>
      </c>
      <c r="J28" s="275">
        <f t="shared" si="8"/>
        <v>0</v>
      </c>
      <c r="K28" s="274">
        <f t="shared" si="8"/>
        <v>0</v>
      </c>
      <c r="L28" s="274">
        <f t="shared" si="8"/>
        <v>0</v>
      </c>
      <c r="M28" s="274">
        <f t="shared" si="8"/>
        <v>0</v>
      </c>
      <c r="N28" s="274">
        <f t="shared" si="8"/>
        <v>0</v>
      </c>
      <c r="O28" s="275">
        <f t="shared" si="8"/>
        <v>0</v>
      </c>
      <c r="P28" s="501">
        <f t="shared" si="7"/>
        <v>0</v>
      </c>
      <c r="R28" s="485"/>
      <c r="S28" s="485"/>
      <c r="T28" s="485"/>
    </row>
    <row r="29" spans="1:20" x14ac:dyDescent="0.2">
      <c r="A29" s="52"/>
      <c r="B29" s="226"/>
      <c r="C29" s="473"/>
      <c r="D29" s="568"/>
      <c r="E29" s="473"/>
      <c r="F29" s="473"/>
      <c r="G29" s="473"/>
      <c r="H29" s="473"/>
      <c r="I29" s="473"/>
      <c r="J29" s="128"/>
      <c r="K29" s="473"/>
      <c r="L29" s="473"/>
      <c r="M29" s="473"/>
      <c r="N29" s="473"/>
      <c r="O29" s="128"/>
      <c r="P29" s="486"/>
      <c r="R29" s="485"/>
      <c r="S29" s="485"/>
      <c r="T29" s="485"/>
    </row>
    <row r="30" spans="1:20" x14ac:dyDescent="0.2">
      <c r="A30" s="197" t="s">
        <v>44</v>
      </c>
      <c r="B30" s="226"/>
      <c r="C30" s="473"/>
      <c r="D30" s="568"/>
      <c r="E30" s="473"/>
      <c r="F30" s="473"/>
      <c r="G30" s="473"/>
      <c r="H30" s="473"/>
      <c r="I30" s="473"/>
      <c r="J30" s="128"/>
      <c r="K30" s="473"/>
      <c r="L30" s="473"/>
      <c r="M30" s="473"/>
      <c r="N30" s="473"/>
      <c r="O30" s="128"/>
      <c r="P30" s="486"/>
      <c r="R30" s="485"/>
      <c r="S30" s="485"/>
      <c r="T30" s="485"/>
    </row>
    <row r="31" spans="1:20" x14ac:dyDescent="0.2">
      <c r="A31" s="52" t="s">
        <v>88</v>
      </c>
      <c r="B31" s="226">
        <f>B26+B21+B16</f>
        <v>2303278</v>
      </c>
      <c r="C31" s="473">
        <f t="shared" ref="C31:O33" si="9">C26+C21+C16</f>
        <v>0</v>
      </c>
      <c r="D31" s="568"/>
      <c r="E31" s="473">
        <f t="shared" ref="E31:M33" si="10">E26+E21+E16</f>
        <v>145075</v>
      </c>
      <c r="F31" s="473">
        <f t="shared" si="10"/>
        <v>0</v>
      </c>
      <c r="G31" s="473">
        <f t="shared" si="10"/>
        <v>16270353</v>
      </c>
      <c r="H31" s="473">
        <f t="shared" si="10"/>
        <v>45381</v>
      </c>
      <c r="I31" s="473">
        <f t="shared" si="10"/>
        <v>0</v>
      </c>
      <c r="J31" s="128">
        <f>J26+J21+J16</f>
        <v>0</v>
      </c>
      <c r="K31" s="473">
        <f t="shared" si="10"/>
        <v>0</v>
      </c>
      <c r="L31" s="473">
        <f t="shared" si="10"/>
        <v>1216194</v>
      </c>
      <c r="M31" s="473">
        <f t="shared" si="10"/>
        <v>2977764</v>
      </c>
      <c r="N31" s="473">
        <f t="shared" si="9"/>
        <v>11551390</v>
      </c>
      <c r="O31" s="128">
        <f>O26+O21+O16</f>
        <v>0</v>
      </c>
      <c r="P31" s="486">
        <f t="shared" ref="P31:P32" si="11">SUM(B31:C31)+SUM(E31:O31)</f>
        <v>34509435</v>
      </c>
    </row>
    <row r="32" spans="1:20" x14ac:dyDescent="0.2">
      <c r="A32" s="52" t="s">
        <v>60</v>
      </c>
      <c r="B32" s="226">
        <f>B27+B22+B17</f>
        <v>0</v>
      </c>
      <c r="C32" s="473">
        <f t="shared" si="9"/>
        <v>0</v>
      </c>
      <c r="D32" s="569"/>
      <c r="E32" s="473">
        <f t="shared" si="10"/>
        <v>0</v>
      </c>
      <c r="F32" s="473">
        <f t="shared" si="10"/>
        <v>0</v>
      </c>
      <c r="G32" s="473">
        <f t="shared" si="10"/>
        <v>0</v>
      </c>
      <c r="H32" s="473">
        <f t="shared" si="10"/>
        <v>0</v>
      </c>
      <c r="I32" s="473">
        <f t="shared" si="10"/>
        <v>0</v>
      </c>
      <c r="J32" s="128">
        <f>J27+J22+J17</f>
        <v>184077</v>
      </c>
      <c r="K32" s="473">
        <f t="shared" si="10"/>
        <v>0</v>
      </c>
      <c r="L32" s="473">
        <f t="shared" si="10"/>
        <v>0</v>
      </c>
      <c r="M32" s="473">
        <f t="shared" si="10"/>
        <v>0</v>
      </c>
      <c r="N32" s="473">
        <f t="shared" si="9"/>
        <v>1523287</v>
      </c>
      <c r="O32" s="128">
        <f>O27+O22+O17</f>
        <v>0</v>
      </c>
      <c r="P32" s="502">
        <f t="shared" si="11"/>
        <v>1707364</v>
      </c>
    </row>
    <row r="33" spans="1:16" ht="18" customHeight="1" thickBot="1" x14ac:dyDescent="0.25">
      <c r="A33" s="190" t="s">
        <v>46</v>
      </c>
      <c r="B33" s="494">
        <f>B28+B23+B18</f>
        <v>2303278</v>
      </c>
      <c r="C33" s="191">
        <f>C28+C23+C18</f>
        <v>0</v>
      </c>
      <c r="D33" s="276">
        <f>D28+D23+D18</f>
        <v>0</v>
      </c>
      <c r="E33" s="191">
        <f>E28+E23+E18</f>
        <v>145075</v>
      </c>
      <c r="F33" s="191">
        <f>F28+F23+F18</f>
        <v>0</v>
      </c>
      <c r="G33" s="191">
        <f t="shared" si="10"/>
        <v>16270353</v>
      </c>
      <c r="H33" s="191">
        <f t="shared" si="10"/>
        <v>45381</v>
      </c>
      <c r="I33" s="191">
        <f t="shared" si="10"/>
        <v>0</v>
      </c>
      <c r="J33" s="192">
        <f>J28+J23+J18</f>
        <v>184077</v>
      </c>
      <c r="K33" s="191">
        <f t="shared" si="10"/>
        <v>0</v>
      </c>
      <c r="L33" s="191">
        <f t="shared" si="10"/>
        <v>1216194</v>
      </c>
      <c r="M33" s="191">
        <f t="shared" si="9"/>
        <v>2977764</v>
      </c>
      <c r="N33" s="191">
        <f t="shared" si="9"/>
        <v>13074677</v>
      </c>
      <c r="O33" s="192">
        <f t="shared" si="9"/>
        <v>0</v>
      </c>
      <c r="P33" s="495">
        <f>SUM(B33:C33)+SUM(E33:O33)</f>
        <v>36216799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90</v>
      </c>
    </row>
    <row r="37" spans="1:16" x14ac:dyDescent="0.2">
      <c r="A37" t="s">
        <v>91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May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G5" sqref="G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44317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1636421</v>
      </c>
      <c r="C5" s="116">
        <f>'Regional Major'!M25</f>
        <v>413</v>
      </c>
      <c r="D5" s="116">
        <f>Cargo!P16</f>
        <v>19190400</v>
      </c>
      <c r="E5" s="116">
        <f>SUM(B5:D5)</f>
        <v>20827234</v>
      </c>
      <c r="F5" s="116">
        <f>E5*0.00045359237</f>
        <v>9447.0744306045799</v>
      </c>
      <c r="G5" s="144">
        <f>'[1]Cargo Summary'!F5</f>
        <v>8169.4485130958701</v>
      </c>
      <c r="H5" s="96">
        <f>(F5-G5)/G5</f>
        <v>0.15639071786310144</v>
      </c>
      <c r="I5" s="144">
        <f>+F5+'[2]Cargo Summary'!I5</f>
        <v>43349.49394643175</v>
      </c>
      <c r="J5" s="144">
        <f>'[1]Cargo Summary'!I5</f>
        <v>42379.933451671197</v>
      </c>
      <c r="K5" s="83">
        <f>(I5-J5)/J5</f>
        <v>2.2877820133111137E-2</v>
      </c>
      <c r="M5" s="34"/>
    </row>
    <row r="6" spans="1:18" x14ac:dyDescent="0.2">
      <c r="A6" s="60" t="s">
        <v>16</v>
      </c>
      <c r="B6" s="167">
        <f>'Major Airline Stats'!K29</f>
        <v>1236894</v>
      </c>
      <c r="C6" s="116">
        <f>'Regional Major'!M26</f>
        <v>780</v>
      </c>
      <c r="D6" s="116">
        <f>Cargo!P17</f>
        <v>824059</v>
      </c>
      <c r="E6" s="116">
        <f>SUM(B6:D6)</f>
        <v>2061733</v>
      </c>
      <c r="F6" s="116">
        <f>E6*0.00045359237</f>
        <v>935.18635777720999</v>
      </c>
      <c r="G6" s="144">
        <f>'[1]Cargo Summary'!F6</f>
        <v>343.98041301238999</v>
      </c>
      <c r="H6" s="36">
        <f>(F6-G6)/G6</f>
        <v>1.7187197945004071</v>
      </c>
      <c r="I6" s="144">
        <f>+F6+'[2]Cargo Summary'!I6</f>
        <v>4378.6890800860892</v>
      </c>
      <c r="J6" s="144">
        <f>'[1]Cargo Summary'!I6</f>
        <v>2728.0596417705397</v>
      </c>
      <c r="K6" s="83">
        <f>(I6-J6)/J6</f>
        <v>0.60505621396322318</v>
      </c>
      <c r="M6" s="34"/>
    </row>
    <row r="7" spans="1:18" ht="18" customHeight="1" thickBot="1" x14ac:dyDescent="0.25">
      <c r="A7" s="71" t="s">
        <v>71</v>
      </c>
      <c r="B7" s="169">
        <f>SUM(B5:B6)</f>
        <v>2873315</v>
      </c>
      <c r="C7" s="131">
        <f t="shared" ref="C7:J7" si="0">SUM(C5:C6)</f>
        <v>1193</v>
      </c>
      <c r="D7" s="131">
        <f t="shared" si="0"/>
        <v>20014459</v>
      </c>
      <c r="E7" s="131">
        <f t="shared" si="0"/>
        <v>22888967</v>
      </c>
      <c r="F7" s="131">
        <f t="shared" si="0"/>
        <v>10382.260788381789</v>
      </c>
      <c r="G7" s="131">
        <f t="shared" si="0"/>
        <v>8513.4289261082595</v>
      </c>
      <c r="H7" s="43">
        <f>(F7-G7)/G7</f>
        <v>0.21951576485737198</v>
      </c>
      <c r="I7" s="131">
        <f t="shared" si="0"/>
        <v>47728.183026517843</v>
      </c>
      <c r="J7" s="131">
        <f t="shared" si="0"/>
        <v>45107.993093441735</v>
      </c>
      <c r="K7" s="290">
        <f>(I7-J7)/J7</f>
        <v>5.8087042969266089E-2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803607</v>
      </c>
      <c r="C10" s="116">
        <f>'Regional Major'!M30</f>
        <v>134</v>
      </c>
      <c r="D10" s="116">
        <f>Cargo!P21</f>
        <v>15319035</v>
      </c>
      <c r="E10" s="116">
        <f>SUM(B10:D10)</f>
        <v>16122776</v>
      </c>
      <c r="F10" s="116">
        <f>E10*0.00045359237</f>
        <v>7313.1681768191202</v>
      </c>
      <c r="G10" s="144">
        <f>'[1]Cargo Summary'!F10</f>
        <v>6059.0025102791797</v>
      </c>
      <c r="H10" s="36">
        <f>(F10-G10)/G10</f>
        <v>0.20699210215084604</v>
      </c>
      <c r="I10" s="144">
        <f>+F10+'[2]Cargo Summary'!I10</f>
        <v>35738.184947920068</v>
      </c>
      <c r="J10" s="144">
        <f>'[1]Cargo Summary'!I10</f>
        <v>34281.549255183229</v>
      </c>
      <c r="K10" s="83">
        <f>(I10-J10)/J10</f>
        <v>4.2490369437332309E-2</v>
      </c>
      <c r="M10" s="34"/>
    </row>
    <row r="11" spans="1:18" x14ac:dyDescent="0.2">
      <c r="A11" s="60" t="s">
        <v>16</v>
      </c>
      <c r="B11" s="167">
        <f>'Major Airline Stats'!K34</f>
        <v>1632629</v>
      </c>
      <c r="C11" s="116">
        <f>'Regional Major'!M31</f>
        <v>676</v>
      </c>
      <c r="D11" s="116">
        <f>Cargo!P22</f>
        <v>883305</v>
      </c>
      <c r="E11" s="116">
        <f>SUM(B11:D11)</f>
        <v>2516610</v>
      </c>
      <c r="F11" s="116">
        <f>E11*0.00045359237</f>
        <v>1141.5150942656999</v>
      </c>
      <c r="G11" s="144">
        <f>'[1]Cargo Summary'!F11</f>
        <v>570.24544134711994</v>
      </c>
      <c r="H11" s="34">
        <f>(F11-G11)/G11</f>
        <v>1.0017960890121989</v>
      </c>
      <c r="I11" s="144">
        <f>+F11+'[2]Cargo Summary'!I11</f>
        <v>4721.1780813859195</v>
      </c>
      <c r="J11" s="144">
        <f>'[1]Cargo Summary'!I11</f>
        <v>4245.3206763121007</v>
      </c>
      <c r="K11" s="83">
        <f>(I11-J11)/J11</f>
        <v>0.11208986113322186</v>
      </c>
      <c r="M11" s="34"/>
    </row>
    <row r="12" spans="1:18" ht="18" customHeight="1" thickBot="1" x14ac:dyDescent="0.25">
      <c r="A12" s="71" t="s">
        <v>72</v>
      </c>
      <c r="B12" s="169">
        <f>SUM(B10:B11)</f>
        <v>2436236</v>
      </c>
      <c r="C12" s="131">
        <f t="shared" ref="C12:J12" si="1">SUM(C10:C11)</f>
        <v>810</v>
      </c>
      <c r="D12" s="131">
        <f t="shared" si="1"/>
        <v>16202340</v>
      </c>
      <c r="E12" s="131">
        <f t="shared" si="1"/>
        <v>18639386</v>
      </c>
      <c r="F12" s="131">
        <f t="shared" si="1"/>
        <v>8454.6832710848194</v>
      </c>
      <c r="G12" s="131">
        <f t="shared" si="1"/>
        <v>6629.2479516262993</v>
      </c>
      <c r="H12" s="43">
        <f>(F12-G12)/G12</f>
        <v>0.27536084526913812</v>
      </c>
      <c r="I12" s="131">
        <f t="shared" si="1"/>
        <v>40459.36302930599</v>
      </c>
      <c r="J12" s="131">
        <f t="shared" si="1"/>
        <v>38526.869931495326</v>
      </c>
      <c r="K12" s="290">
        <f>(I12-J12)/J12</f>
        <v>5.0159618501239067E-2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Cargo!P26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5" t="e">
        <f>(F15-G15)/G15</f>
        <v>#DIV/0!</v>
      </c>
      <c r="I15" s="144">
        <f>+F15+'[2]Cargo Summary'!I15</f>
        <v>0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Cargo!P27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 t="shared" si="2"/>
        <v>0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2440028</v>
      </c>
      <c r="C20" s="116">
        <f t="shared" si="3"/>
        <v>547</v>
      </c>
      <c r="D20" s="116">
        <f t="shared" si="3"/>
        <v>34509435</v>
      </c>
      <c r="E20" s="116">
        <f>SUM(B20:D20)</f>
        <v>36950010</v>
      </c>
      <c r="F20" s="116">
        <f>E20*0.00045359237</f>
        <v>16760.242607423701</v>
      </c>
      <c r="G20" s="144">
        <f>'[1]Cargo Summary'!F20</f>
        <v>14228.45102337505</v>
      </c>
      <c r="H20" s="36">
        <f>(F20-G20)/G20</f>
        <v>0.17793866527630633</v>
      </c>
      <c r="I20" s="144">
        <f>+F20+'[2]Cargo Summary'!I20</f>
        <v>79087.678894351819</v>
      </c>
      <c r="J20" s="144">
        <f>+J5+J10+J15</f>
        <v>76661.482706854425</v>
      </c>
      <c r="K20" s="83">
        <f>(I20-J20)/J20</f>
        <v>3.1648177178817634E-2</v>
      </c>
      <c r="M20" s="34"/>
    </row>
    <row r="21" spans="1:13" x14ac:dyDescent="0.2">
      <c r="A21" s="60" t="s">
        <v>16</v>
      </c>
      <c r="B21" s="167">
        <f t="shared" si="3"/>
        <v>2869523</v>
      </c>
      <c r="C21" s="118">
        <f t="shared" si="3"/>
        <v>1456</v>
      </c>
      <c r="D21" s="118">
        <f t="shared" si="3"/>
        <v>1707364</v>
      </c>
      <c r="E21" s="116">
        <f>SUM(B21:D21)</f>
        <v>4578343</v>
      </c>
      <c r="F21" s="116">
        <f>E21*0.00045359237</f>
        <v>2076.7014520429098</v>
      </c>
      <c r="G21" s="144">
        <f>'[1]Cargo Summary'!F21</f>
        <v>914.22585435950998</v>
      </c>
      <c r="H21" s="36">
        <f>(F21-G21)/G21</f>
        <v>1.2715409350327433</v>
      </c>
      <c r="I21" s="144">
        <f>+F21+'[2]Cargo Summary'!I21</f>
        <v>9099.8671614720097</v>
      </c>
      <c r="J21" s="144">
        <f>+J6+J11+J16</f>
        <v>6973.3803180826399</v>
      </c>
      <c r="K21" s="83">
        <f>(I21-J21)/J21</f>
        <v>0.30494347739434013</v>
      </c>
      <c r="M21" s="34"/>
    </row>
    <row r="22" spans="1:13" ht="18" customHeight="1" thickBot="1" x14ac:dyDescent="0.25">
      <c r="A22" s="86" t="s">
        <v>62</v>
      </c>
      <c r="B22" s="170">
        <f>SUM(B20:B21)</f>
        <v>5309551</v>
      </c>
      <c r="C22" s="171">
        <f t="shared" ref="C22:J22" si="4">SUM(C20:C21)</f>
        <v>2003</v>
      </c>
      <c r="D22" s="171">
        <f t="shared" si="4"/>
        <v>36216799</v>
      </c>
      <c r="E22" s="171">
        <f t="shared" si="4"/>
        <v>41528353</v>
      </c>
      <c r="F22" s="171">
        <f t="shared" si="4"/>
        <v>18836.944059466612</v>
      </c>
      <c r="G22" s="171">
        <f t="shared" si="4"/>
        <v>15142.676877734561</v>
      </c>
      <c r="H22" s="296">
        <f>(F22-G22)/G22</f>
        <v>0.24396394452317846</v>
      </c>
      <c r="I22" s="171">
        <f t="shared" si="4"/>
        <v>88187.546055823826</v>
      </c>
      <c r="J22" s="171">
        <f t="shared" si="4"/>
        <v>83634.863024937062</v>
      </c>
      <c r="K22" s="297">
        <f>(I22-J22)/J22</f>
        <v>5.4435230312140405E-2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May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M30" sqref="M30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0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2.85546875" style="539" bestFit="1" customWidth="1"/>
  </cols>
  <sheetData>
    <row r="1" spans="1:20" ht="13.5" thickBot="1" x14ac:dyDescent="0.25">
      <c r="F1" s="503"/>
      <c r="J1" s="3"/>
      <c r="K1"/>
    </row>
    <row r="2" spans="1:20" s="198" customFormat="1" ht="26.25" thickBot="1" x14ac:dyDescent="0.25">
      <c r="A2" s="576" t="s">
        <v>187</v>
      </c>
      <c r="B2" s="577"/>
      <c r="C2" s="429" t="s">
        <v>232</v>
      </c>
      <c r="D2" s="430" t="s">
        <v>207</v>
      </c>
      <c r="E2" s="431" t="s">
        <v>95</v>
      </c>
      <c r="F2" s="432" t="s">
        <v>233</v>
      </c>
      <c r="G2" s="430" t="s">
        <v>208</v>
      </c>
      <c r="H2" s="504" t="s">
        <v>96</v>
      </c>
      <c r="I2" s="431" t="s">
        <v>137</v>
      </c>
      <c r="J2" s="576" t="s">
        <v>183</v>
      </c>
      <c r="K2" s="577"/>
      <c r="L2" s="429" t="s">
        <v>232</v>
      </c>
      <c r="M2" s="430" t="s">
        <v>207</v>
      </c>
      <c r="N2" s="431" t="s">
        <v>95</v>
      </c>
      <c r="O2" s="432" t="s">
        <v>233</v>
      </c>
      <c r="P2" s="430" t="s">
        <v>208</v>
      </c>
      <c r="Q2" s="456" t="s">
        <v>96</v>
      </c>
      <c r="R2" s="431" t="s">
        <v>137</v>
      </c>
      <c r="T2" s="540"/>
    </row>
    <row r="3" spans="1:20" s="198" customFormat="1" ht="13.5" customHeight="1" thickBot="1" x14ac:dyDescent="0.25">
      <c r="A3" s="578">
        <v>44317</v>
      </c>
      <c r="B3" s="579"/>
      <c r="C3" s="580" t="s">
        <v>9</v>
      </c>
      <c r="D3" s="581"/>
      <c r="E3" s="581"/>
      <c r="F3" s="581"/>
      <c r="G3" s="581"/>
      <c r="H3" s="582"/>
      <c r="I3" s="481"/>
      <c r="J3" s="578">
        <f>+A3</f>
        <v>44317</v>
      </c>
      <c r="K3" s="579"/>
      <c r="L3" s="573" t="s">
        <v>184</v>
      </c>
      <c r="M3" s="574"/>
      <c r="N3" s="574"/>
      <c r="O3" s="574"/>
      <c r="P3" s="574"/>
      <c r="Q3" s="574"/>
      <c r="R3" s="575"/>
      <c r="T3" s="540"/>
    </row>
    <row r="4" spans="1:20" x14ac:dyDescent="0.2">
      <c r="A4" s="315"/>
      <c r="B4" s="316"/>
      <c r="C4" s="317"/>
      <c r="D4" s="318"/>
      <c r="E4" s="319"/>
      <c r="F4" s="505"/>
      <c r="G4" s="318"/>
      <c r="H4" s="442"/>
      <c r="I4" s="319"/>
      <c r="J4" s="320"/>
      <c r="K4" s="316"/>
      <c r="L4" s="451"/>
      <c r="N4" s="83"/>
      <c r="O4" s="52"/>
      <c r="R4" s="54"/>
    </row>
    <row r="5" spans="1:20" ht="14.1" customHeight="1" x14ac:dyDescent="0.2">
      <c r="A5" s="322" t="s">
        <v>218</v>
      </c>
      <c r="B5" s="54"/>
      <c r="C5" s="506">
        <f>SUM(C6:C7)</f>
        <v>189</v>
      </c>
      <c r="D5" s="506">
        <f>SUM(D6:D7)</f>
        <v>78</v>
      </c>
      <c r="E5" s="507">
        <f>(C5-D5)/D5</f>
        <v>1.4230769230769231</v>
      </c>
      <c r="F5" s="506">
        <f>SUM(F6:F7)</f>
        <v>615</v>
      </c>
      <c r="G5" s="506">
        <f>SUM(G6:G7)</f>
        <v>314</v>
      </c>
      <c r="H5" s="508">
        <f>(F5-G5)/G5</f>
        <v>0.95859872611464969</v>
      </c>
      <c r="I5" s="507">
        <f>+F5/$F$33</f>
        <v>9.3139482053611999E-2</v>
      </c>
      <c r="J5" s="322" t="s">
        <v>218</v>
      </c>
      <c r="K5" s="54"/>
      <c r="L5" s="506">
        <f>SUM(L6:L7)</f>
        <v>5281042</v>
      </c>
      <c r="M5" s="506">
        <f>SUM(M6:M7)</f>
        <v>2923135</v>
      </c>
      <c r="N5" s="507">
        <f>(L5-M5)/M5</f>
        <v>0.80663636814584339</v>
      </c>
      <c r="O5" s="506">
        <f>SUM(O6:O7)</f>
        <v>17504317</v>
      </c>
      <c r="P5" s="506">
        <f>SUM(P6:P7)</f>
        <v>13047389</v>
      </c>
      <c r="Q5" s="508">
        <f>(O5-P5)/P5</f>
        <v>0.34159539506333414</v>
      </c>
      <c r="R5" s="507">
        <f>O5/$O$33</f>
        <v>0.10068369166152526</v>
      </c>
      <c r="S5" s="19"/>
    </row>
    <row r="6" spans="1:20" ht="14.1" customHeight="1" x14ac:dyDescent="0.2">
      <c r="A6" s="52"/>
      <c r="B6" s="397" t="s">
        <v>219</v>
      </c>
      <c r="C6" s="509">
        <f>+'[3]Atlas Air'!$HH$19</f>
        <v>62</v>
      </c>
      <c r="D6" s="283">
        <f>+'[3]Atlas Air'!$GT$19</f>
        <v>40</v>
      </c>
      <c r="E6" s="510">
        <f>(C6-D6)/D6</f>
        <v>0.55000000000000004</v>
      </c>
      <c r="F6" s="509">
        <f>+SUM('[3]Atlas Air'!$HD$19:$HH$19)</f>
        <v>151</v>
      </c>
      <c r="G6" s="283">
        <f>+SUM('[3]Atlas Air'!$GP$19:$GT$19)</f>
        <v>276</v>
      </c>
      <c r="H6" s="491">
        <f>(F6-G6)/G6</f>
        <v>-0.45289855072463769</v>
      </c>
      <c r="I6" s="510">
        <f>+F6/$F$33</f>
        <v>2.2868393154626684E-2</v>
      </c>
      <c r="J6" s="52"/>
      <c r="K6" s="397" t="s">
        <v>219</v>
      </c>
      <c r="L6" s="509">
        <f>+'[3]Atlas Air'!$HH$64</f>
        <v>2303278</v>
      </c>
      <c r="M6" s="283">
        <f>+'[3]Atlas Air'!$GT$64</f>
        <v>2215535</v>
      </c>
      <c r="N6" s="510">
        <f>(L6-M6)/M6</f>
        <v>3.9603526913364044E-2</v>
      </c>
      <c r="O6" s="283">
        <f>+SUM('[3]Atlas Air'!$HD$64:$HH$64)</f>
        <v>5287353</v>
      </c>
      <c r="P6" s="283">
        <f>+SUM('[3]Atlas Air'!$GP$64:$GT$64)</f>
        <v>12339789</v>
      </c>
      <c r="Q6" s="491">
        <f>(O6-P6)/P6</f>
        <v>-0.57151998304022866</v>
      </c>
      <c r="R6" s="510">
        <f>O6/$O$33</f>
        <v>3.0412510191493936E-2</v>
      </c>
      <c r="S6" s="19"/>
    </row>
    <row r="7" spans="1:20" ht="14.1" customHeight="1" x14ac:dyDescent="0.2">
      <c r="A7" s="52"/>
      <c r="B7" s="397" t="s">
        <v>49</v>
      </c>
      <c r="C7" s="509">
        <f>+'[3]Sun Country Cargo'!$HH$19</f>
        <v>127</v>
      </c>
      <c r="D7" s="283">
        <f>+'[3]Sun Country Cargo'!$GT$19</f>
        <v>38</v>
      </c>
      <c r="E7" s="510">
        <f>(C7-D7)/D7</f>
        <v>2.3421052631578947</v>
      </c>
      <c r="F7" s="509">
        <f>+SUM('[3]Sun Country Cargo'!$HD$19:$HH$19)</f>
        <v>464</v>
      </c>
      <c r="G7" s="283">
        <f>+SUM('[3]Sun Country Cargo'!$GP$19:$GT$19)</f>
        <v>38</v>
      </c>
      <c r="H7" s="491">
        <f>(F7-G7)/G7</f>
        <v>11.210526315789474</v>
      </c>
      <c r="I7" s="510">
        <f>+F7/$F$33</f>
        <v>7.0271088898985312E-2</v>
      </c>
      <c r="J7" s="52"/>
      <c r="K7" s="397" t="s">
        <v>49</v>
      </c>
      <c r="L7" s="509">
        <f>+'[3]Sun Country Cargo'!$HH$64</f>
        <v>2977764</v>
      </c>
      <c r="M7" s="283">
        <f>+'[3]Sun Country Cargo'!$GT$64</f>
        <v>707600</v>
      </c>
      <c r="N7" s="510">
        <f>(L7-M7)/M7</f>
        <v>3.2082589033352176</v>
      </c>
      <c r="O7" s="283">
        <f>+SUM('[3]Sun Country Cargo'!$HD$64:$HH$64)</f>
        <v>12216964</v>
      </c>
      <c r="P7" s="283">
        <f>+SUM('[3]Sun Country Cargo'!$GP$64:$GT$64)</f>
        <v>707600</v>
      </c>
      <c r="Q7" s="491">
        <f>(O7-P7)/P7</f>
        <v>16.265353306953081</v>
      </c>
      <c r="R7" s="510">
        <f>O7/$O$33</f>
        <v>7.0271181470031321E-2</v>
      </c>
      <c r="S7" s="19"/>
    </row>
    <row r="8" spans="1:20" ht="14.1" customHeight="1" x14ac:dyDescent="0.2">
      <c r="A8" s="52"/>
      <c r="B8" s="54"/>
      <c r="F8" s="511"/>
      <c r="I8" s="83"/>
      <c r="J8" s="476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506">
        <f>SUM(C10:C16)</f>
        <v>138</v>
      </c>
      <c r="D9" s="506">
        <f>SUM(D10:D16)</f>
        <v>126</v>
      </c>
      <c r="E9" s="507">
        <f>(C9-D9)/D9</f>
        <v>9.5238095238095233E-2</v>
      </c>
      <c r="F9" s="506">
        <f>SUM(F10:F16)</f>
        <v>660</v>
      </c>
      <c r="G9" s="506">
        <f>SUM(G10:G16)</f>
        <v>657</v>
      </c>
      <c r="H9" s="508">
        <f>(F9-G9)/G9</f>
        <v>4.5662100456621002E-3</v>
      </c>
      <c r="I9" s="507">
        <f>+F9/$F$33</f>
        <v>9.9954566106315312E-2</v>
      </c>
      <c r="J9" s="322" t="s">
        <v>220</v>
      </c>
      <c r="K9" s="54"/>
      <c r="L9" s="506">
        <f>SUM(L10:L16)</f>
        <v>1361269</v>
      </c>
      <c r="M9" s="506">
        <f>SUM(M10:M16)</f>
        <v>1358062</v>
      </c>
      <c r="N9" s="507">
        <f t="shared" ref="N9:N16" si="0">(L9-M9)/M9</f>
        <v>2.3614533062555317E-3</v>
      </c>
      <c r="O9" s="506">
        <f>SUM(O10:O16)</f>
        <v>6688722</v>
      </c>
      <c r="P9" s="506">
        <f>SUM(P10:P16)</f>
        <v>7860529</v>
      </c>
      <c r="Q9" s="508">
        <f t="shared" ref="Q9:Q16" si="1">(O9-P9)/P9</f>
        <v>-0.14907482689778259</v>
      </c>
      <c r="R9" s="507">
        <f t="shared" ref="R9:R16" si="2">O9/$O$33</f>
        <v>3.8473093435045798E-2</v>
      </c>
      <c r="S9" s="19"/>
    </row>
    <row r="10" spans="1:20" ht="14.1" customHeight="1" x14ac:dyDescent="0.2">
      <c r="A10" s="322"/>
      <c r="B10" s="397" t="s">
        <v>221</v>
      </c>
      <c r="C10" s="509">
        <f>+[3]Airborne!$HH$19</f>
        <v>0</v>
      </c>
      <c r="D10" s="283">
        <f>+[3]Airborne!$GT$19</f>
        <v>0</v>
      </c>
      <c r="E10" s="510" t="e">
        <f>(C10-D10)/D10</f>
        <v>#DIV/0!</v>
      </c>
      <c r="F10" s="509">
        <f>+SUM([3]Airborne!$HD$19:$HH$19)</f>
        <v>0</v>
      </c>
      <c r="G10" s="283">
        <f>+SUM([3]Airborne!$GP$19:$GT$19)</f>
        <v>0</v>
      </c>
      <c r="H10" s="491" t="e">
        <f>(F10-G10)/G10</f>
        <v>#DIV/0!</v>
      </c>
      <c r="I10" s="510">
        <f t="shared" ref="I10" si="3">+F10/$F$33</f>
        <v>0</v>
      </c>
      <c r="J10" s="322"/>
      <c r="K10" s="397" t="s">
        <v>221</v>
      </c>
      <c r="L10" s="509">
        <f>+[3]Airborne!$HH$64</f>
        <v>0</v>
      </c>
      <c r="M10" s="283">
        <f>+[3]Airborne!$GT$64</f>
        <v>0</v>
      </c>
      <c r="N10" s="510" t="e">
        <f t="shared" si="0"/>
        <v>#DIV/0!</v>
      </c>
      <c r="O10" s="509">
        <f>+SUM([3]Airborne!$HD$64:$HH$64)</f>
        <v>0</v>
      </c>
      <c r="P10" s="283">
        <f>+SUM([3]Airborne!$GP$64:$GT$64)</f>
        <v>0</v>
      </c>
      <c r="Q10" s="491" t="e">
        <f t="shared" si="1"/>
        <v>#DIV/0!</v>
      </c>
      <c r="R10" s="510">
        <f t="shared" si="2"/>
        <v>0</v>
      </c>
      <c r="S10" s="19"/>
    </row>
    <row r="11" spans="1:20" ht="14.1" customHeight="1" x14ac:dyDescent="0.2">
      <c r="A11" s="322"/>
      <c r="B11" s="54" t="s">
        <v>219</v>
      </c>
      <c r="C11" s="509">
        <f>+[3]DHL_Atlas!$HH$19</f>
        <v>0</v>
      </c>
      <c r="D11" s="283">
        <f>+[3]DHL_Atlas!$GT$19</f>
        <v>2</v>
      </c>
      <c r="E11" s="510">
        <f t="shared" ref="E11:E16" si="4">(C11-D11)/D11</f>
        <v>-1</v>
      </c>
      <c r="F11" s="509">
        <f>+SUM([3]DHL_Atlas!$HD$19:$HH$19)</f>
        <v>12</v>
      </c>
      <c r="G11" s="283">
        <f>+SUM([3]DHL_Atlas!$GP$19:$GT$19)</f>
        <v>2</v>
      </c>
      <c r="H11" s="491">
        <f t="shared" ref="H11:H16" si="5">(F11-G11)/G11</f>
        <v>5</v>
      </c>
      <c r="I11" s="510">
        <f>+F11/$F$33</f>
        <v>1.817355747387551E-3</v>
      </c>
      <c r="J11" s="322"/>
      <c r="K11" s="54" t="s">
        <v>219</v>
      </c>
      <c r="L11" s="509">
        <f>+[3]DHL_Atlas!$HH$64</f>
        <v>0</v>
      </c>
      <c r="M11" s="283">
        <f>+[3]DHL_Atlas!$GT$64</f>
        <v>60721</v>
      </c>
      <c r="N11" s="510">
        <f t="shared" si="0"/>
        <v>-1</v>
      </c>
      <c r="O11" s="509">
        <f>+SUM([3]DHL_Atlas!$HD$64:$HH$64)</f>
        <v>259570</v>
      </c>
      <c r="P11" s="283">
        <f>+SUM([3]DHL_Atlas!$GP$64:$GT$64)</f>
        <v>60721</v>
      </c>
      <c r="Q11" s="491">
        <f t="shared" si="1"/>
        <v>3.2747978458852787</v>
      </c>
      <c r="R11" s="510">
        <f t="shared" si="2"/>
        <v>1.4930297391541818E-3</v>
      </c>
      <c r="S11" s="19"/>
    </row>
    <row r="12" spans="1:20" ht="14.1" customHeight="1" x14ac:dyDescent="0.2">
      <c r="A12" s="322"/>
      <c r="B12" s="54" t="s">
        <v>222</v>
      </c>
      <c r="C12" s="509">
        <f>+[3]DHL!$HH$19</f>
        <v>0</v>
      </c>
      <c r="D12" s="283">
        <f>+[3]DHL!$GT$19</f>
        <v>2</v>
      </c>
      <c r="E12" s="510">
        <f t="shared" si="4"/>
        <v>-1</v>
      </c>
      <c r="F12" s="509">
        <f>+SUM([3]DHL!$HD$19:$HH$19)</f>
        <v>0</v>
      </c>
      <c r="G12" s="283">
        <f>+SUM([3]DHL!$GP$19:$GT$19)</f>
        <v>163</v>
      </c>
      <c r="H12" s="491">
        <f t="shared" si="5"/>
        <v>-1</v>
      </c>
      <c r="I12" s="510">
        <f>+F12/$F$33</f>
        <v>0</v>
      </c>
      <c r="J12" s="322"/>
      <c r="K12" s="54" t="s">
        <v>222</v>
      </c>
      <c r="L12" s="509">
        <f>+[3]DHL!$HH$64</f>
        <v>0</v>
      </c>
      <c r="M12" s="283">
        <f>+[3]DHL!$GT$64</f>
        <v>105861</v>
      </c>
      <c r="N12" s="510">
        <f t="shared" si="0"/>
        <v>-1</v>
      </c>
      <c r="O12" s="509">
        <f>+SUM([3]DHL!$HD$64:$HH$64)</f>
        <v>0</v>
      </c>
      <c r="P12" s="283">
        <f>+SUM([3]DHL!$GP$64:$GT$64)</f>
        <v>5299897</v>
      </c>
      <c r="Q12" s="491">
        <f t="shared" si="1"/>
        <v>-1</v>
      </c>
      <c r="R12" s="510">
        <f t="shared" si="2"/>
        <v>0</v>
      </c>
      <c r="S12" s="19"/>
    </row>
    <row r="13" spans="1:20" ht="14.1" customHeight="1" x14ac:dyDescent="0.2">
      <c r="A13" s="322"/>
      <c r="B13" s="54" t="s">
        <v>201</v>
      </c>
      <c r="C13" s="509">
        <f>+[3]Encore!$HH$19+[3]DHL_Encore!$HH$12</f>
        <v>86</v>
      </c>
      <c r="D13" s="283">
        <f>+[3]Encore!$GT$19+[3]DHL_Encore!$GT$19</f>
        <v>84</v>
      </c>
      <c r="E13" s="510">
        <f t="shared" si="4"/>
        <v>2.3809523809523808E-2</v>
      </c>
      <c r="F13" s="509">
        <f>+SUM([3]Encore!$HD$19:$HH$19)+SUM([3]DHL_Encore!$HD$19:$HH$19)</f>
        <v>416</v>
      </c>
      <c r="G13" s="283">
        <f>+SUM([3]Encore!$GP$19:$GT$19)+SUM([3]DHL_Encore!$GP$19:$GT$19)</f>
        <v>420</v>
      </c>
      <c r="H13" s="491">
        <f t="shared" si="5"/>
        <v>-9.5238095238095247E-3</v>
      </c>
      <c r="I13" s="510">
        <f t="shared" ref="I13:I16" si="6">+F13/$F$33</f>
        <v>6.3001665909435109E-2</v>
      </c>
      <c r="J13" s="322"/>
      <c r="K13" s="54" t="s">
        <v>201</v>
      </c>
      <c r="L13" s="509">
        <f>+[3]Encore!$HH$64+[3]DHL_Encore!$HH$64</f>
        <v>145075</v>
      </c>
      <c r="M13" s="283">
        <f>+[3]Encore!$GT$64+[3]DHL_Encore!$GT$64</f>
        <v>128008</v>
      </c>
      <c r="N13" s="510">
        <f t="shared" si="0"/>
        <v>0.1333276045247172</v>
      </c>
      <c r="O13" s="509">
        <f>+SUM([3]Encore!$HD$64:$HH$64)+SUM([3]DHL_Encore!$HD$64:$HH$64)</f>
        <v>724220</v>
      </c>
      <c r="P13" s="283">
        <f>+SUM([3]Encore!$GP$64:$GT$64)+SUM([3]DHL_Encore!$GP$64:$GT$64)</f>
        <v>600452</v>
      </c>
      <c r="Q13" s="491">
        <f t="shared" si="1"/>
        <v>0.20612471937806853</v>
      </c>
      <c r="R13" s="510">
        <f t="shared" si="2"/>
        <v>4.1656662853574817E-3</v>
      </c>
      <c r="S13" s="19"/>
    </row>
    <row r="14" spans="1:20" ht="14.1" customHeight="1" x14ac:dyDescent="0.2">
      <c r="A14" s="322"/>
      <c r="B14" s="54" t="s">
        <v>223</v>
      </c>
      <c r="C14" s="509">
        <f>+[3]DHL_Kalitta!$HH$19</f>
        <v>0</v>
      </c>
      <c r="D14" s="283">
        <f>+[3]DHL_Kalitta!$GT$19</f>
        <v>0</v>
      </c>
      <c r="E14" s="510" t="e">
        <f t="shared" si="4"/>
        <v>#DIV/0!</v>
      </c>
      <c r="F14" s="509">
        <f>+SUM([3]DHL_Kalitta!$HD$19:$HH$19)</f>
        <v>68</v>
      </c>
      <c r="G14" s="283">
        <f>+SUM([3]DHL_Kalitta!$GP$19:$GT$19)</f>
        <v>34</v>
      </c>
      <c r="H14" s="491">
        <f t="shared" si="5"/>
        <v>1</v>
      </c>
      <c r="I14" s="510">
        <f>+F14/$F$33</f>
        <v>1.0298349235196123E-2</v>
      </c>
      <c r="J14" s="322"/>
      <c r="K14" s="54" t="s">
        <v>223</v>
      </c>
      <c r="L14" s="509">
        <f>+[3]DHL_Kalitta!$HH$64</f>
        <v>0</v>
      </c>
      <c r="M14" s="283">
        <f>+[3]DHL_Kalitta!$GT$64</f>
        <v>0</v>
      </c>
      <c r="N14" s="510" t="e">
        <f t="shared" si="0"/>
        <v>#DIV/0!</v>
      </c>
      <c r="O14" s="509">
        <f>+SUM([3]DHL_Kalitta!$HD$64:$HH$64)</f>
        <v>1764191</v>
      </c>
      <c r="P14" s="283">
        <f>+SUM([3]DHL_Kalitta!$GP$64:$GT$64)</f>
        <v>835987</v>
      </c>
      <c r="Q14" s="491">
        <f t="shared" si="1"/>
        <v>1.1103091316013287</v>
      </c>
      <c r="R14" s="510">
        <f t="shared" si="2"/>
        <v>1.0147511763871615E-2</v>
      </c>
      <c r="S14" s="19"/>
    </row>
    <row r="15" spans="1:20" ht="14.1" customHeight="1" x14ac:dyDescent="0.2">
      <c r="A15" s="322"/>
      <c r="B15" s="54" t="s">
        <v>224</v>
      </c>
      <c r="C15" s="509">
        <f>+[3]DHL_Southair!$HH$19</f>
        <v>0</v>
      </c>
      <c r="D15" s="283">
        <f>+[3]DHL_Southair!$GT$19</f>
        <v>0</v>
      </c>
      <c r="E15" s="510" t="e">
        <f t="shared" si="4"/>
        <v>#DIV/0!</v>
      </c>
      <c r="F15" s="509">
        <f>+SUM([3]DHL_Southair!$HD$19:$HH$19)</f>
        <v>0</v>
      </c>
      <c r="G15" s="283">
        <f>+SUM([3]DHL_Southair!$GP$19:$GT$19)</f>
        <v>0</v>
      </c>
      <c r="H15" s="491" t="e">
        <f t="shared" si="5"/>
        <v>#DIV/0!</v>
      </c>
      <c r="I15" s="510">
        <f>+F15/$F$33</f>
        <v>0</v>
      </c>
      <c r="J15" s="322"/>
      <c r="K15" s="54" t="s">
        <v>224</v>
      </c>
      <c r="L15" s="509">
        <f>+[3]DHL_Southair!$HH$64</f>
        <v>0</v>
      </c>
      <c r="M15" s="283">
        <f>+[3]DHL_Southair!$GT$64</f>
        <v>0</v>
      </c>
      <c r="N15" s="510" t="e">
        <f t="shared" si="0"/>
        <v>#DIV/0!</v>
      </c>
      <c r="O15" s="509">
        <f>+SUM([3]DHL_Southair!$HD$64:$HH$64)</f>
        <v>0</v>
      </c>
      <c r="P15" s="283">
        <f>+SUM([3]DHL_Southair!$GP$64:$GT$64)</f>
        <v>0</v>
      </c>
      <c r="Q15" s="491" t="e">
        <f t="shared" si="1"/>
        <v>#DIV/0!</v>
      </c>
      <c r="R15" s="510">
        <f t="shared" si="2"/>
        <v>0</v>
      </c>
      <c r="S15" s="19"/>
    </row>
    <row r="16" spans="1:20" ht="14.1" customHeight="1" x14ac:dyDescent="0.2">
      <c r="A16" s="322"/>
      <c r="B16" s="54" t="s">
        <v>225</v>
      </c>
      <c r="C16" s="509">
        <f>+[3]DHL_Swift!$HH$19</f>
        <v>52</v>
      </c>
      <c r="D16" s="283">
        <f>+[3]DHL_Swift!$GT$19</f>
        <v>38</v>
      </c>
      <c r="E16" s="510">
        <f t="shared" si="4"/>
        <v>0.36842105263157893</v>
      </c>
      <c r="F16" s="509">
        <f>+SUM([3]DHL_Swift!$HD$19:$HH$19)</f>
        <v>164</v>
      </c>
      <c r="G16" s="283">
        <f>+SUM([3]DHL_Swift!$GP$19:$GT$19)</f>
        <v>38</v>
      </c>
      <c r="H16" s="491">
        <f t="shared" si="5"/>
        <v>3.3157894736842106</v>
      </c>
      <c r="I16" s="510">
        <f t="shared" si="6"/>
        <v>2.4837195214296531E-2</v>
      </c>
      <c r="J16" s="322"/>
      <c r="K16" s="54" t="s">
        <v>225</v>
      </c>
      <c r="L16" s="509">
        <f>+[3]DHL_Swift!$HH$64</f>
        <v>1216194</v>
      </c>
      <c r="M16" s="283">
        <f>+[3]DHL_Swift!$GT$64</f>
        <v>1063472</v>
      </c>
      <c r="N16" s="510">
        <f t="shared" si="0"/>
        <v>0.14360697789880691</v>
      </c>
      <c r="O16" s="509">
        <f>+SUM([3]DHL_Swift!$HD$64:$HH$64)</f>
        <v>3940741</v>
      </c>
      <c r="P16" s="283">
        <f>+SUM([3]DHL_Swift!$GP$64:$GT$64)</f>
        <v>1063472</v>
      </c>
      <c r="Q16" s="491">
        <f t="shared" si="1"/>
        <v>2.705542788150511</v>
      </c>
      <c r="R16" s="510">
        <f t="shared" si="2"/>
        <v>2.2666885646662516E-2</v>
      </c>
      <c r="S16" s="19"/>
    </row>
    <row r="17" spans="1:20" ht="14.1" customHeight="1" x14ac:dyDescent="0.2">
      <c r="A17" s="322"/>
      <c r="B17" s="54"/>
      <c r="C17" s="477"/>
      <c r="D17" s="469"/>
      <c r="E17" s="478"/>
      <c r="F17" s="477"/>
      <c r="G17" s="469"/>
      <c r="H17" s="479"/>
      <c r="I17" s="478"/>
      <c r="J17" s="322"/>
      <c r="K17" s="54"/>
      <c r="L17" s="451"/>
      <c r="N17" s="83"/>
      <c r="O17" s="451"/>
      <c r="P17" s="469"/>
      <c r="Q17" s="3"/>
      <c r="R17" s="83"/>
      <c r="S17" s="19"/>
    </row>
    <row r="18" spans="1:20" ht="14.1" customHeight="1" x14ac:dyDescent="0.2">
      <c r="A18" s="322" t="s">
        <v>185</v>
      </c>
      <c r="B18" s="54"/>
      <c r="C18" s="512">
        <f>SUM(C19:C22)</f>
        <v>352</v>
      </c>
      <c r="D18" s="506">
        <f>SUM(D19:D22)</f>
        <v>308</v>
      </c>
      <c r="E18" s="507">
        <f>(C18-D18)/D18</f>
        <v>0.14285714285714285</v>
      </c>
      <c r="F18" s="512">
        <f>SUM(F19:F22)</f>
        <v>1778</v>
      </c>
      <c r="G18" s="506">
        <f>SUM(G19:G22)</f>
        <v>1533</v>
      </c>
      <c r="H18" s="508">
        <f t="shared" ref="H18:H19" si="7">(F18-G18)/G18</f>
        <v>0.15981735159817351</v>
      </c>
      <c r="I18" s="507">
        <f>+F18/$F$33</f>
        <v>0.26927154323792218</v>
      </c>
      <c r="J18" s="322" t="s">
        <v>185</v>
      </c>
      <c r="K18" s="54"/>
      <c r="L18" s="512">
        <f>SUM(L19:L22)</f>
        <v>16499811</v>
      </c>
      <c r="M18" s="506">
        <f>SUM(M19:M22)</f>
        <v>15915080</v>
      </c>
      <c r="N18" s="507">
        <f>(L18-M18)/M18</f>
        <v>3.67406887053034E-2</v>
      </c>
      <c r="O18" s="512">
        <f>SUM(O19:O22)</f>
        <v>82478608</v>
      </c>
      <c r="P18" s="506">
        <f>SUM(P19:P22)</f>
        <v>79265019</v>
      </c>
      <c r="Q18" s="508">
        <f t="shared" ref="Q18:Q20" si="8">(O18-P18)/P18</f>
        <v>4.0542335579330395E-2</v>
      </c>
      <c r="R18" s="507">
        <f>O18/$O$33</f>
        <v>0.47441158295658209</v>
      </c>
      <c r="S18" s="19"/>
    </row>
    <row r="19" spans="1:20" ht="14.1" customHeight="1" x14ac:dyDescent="0.2">
      <c r="A19" s="52"/>
      <c r="B19" s="397" t="s">
        <v>185</v>
      </c>
      <c r="C19" s="509">
        <f>+[3]FedEx!$HH$19</f>
        <v>280</v>
      </c>
      <c r="D19" s="283">
        <f>+[3]FedEx!$GT$19</f>
        <v>236</v>
      </c>
      <c r="E19" s="510">
        <f>(C19-D19)/D19</f>
        <v>0.1864406779661017</v>
      </c>
      <c r="F19" s="509">
        <f>+SUM([3]FedEx!$HD$19:$HH$19)</f>
        <v>1414</v>
      </c>
      <c r="G19" s="283">
        <f>+SUM([3]FedEx!$GP$19:$GT$19)</f>
        <v>1158</v>
      </c>
      <c r="H19" s="491">
        <f t="shared" si="7"/>
        <v>0.22107081174438686</v>
      </c>
      <c r="I19" s="510">
        <f>+F19/$F$33</f>
        <v>0.21414508556716644</v>
      </c>
      <c r="J19" s="322"/>
      <c r="K19" s="397" t="s">
        <v>185</v>
      </c>
      <c r="L19" s="509">
        <f>+[3]FedEx!$HH$64</f>
        <v>16270353</v>
      </c>
      <c r="M19" s="283">
        <f>+[3]FedEx!$GT$64</f>
        <v>15683019</v>
      </c>
      <c r="N19" s="510">
        <f>(L19-M19)/M19</f>
        <v>3.7450314891539695E-2</v>
      </c>
      <c r="O19" s="509">
        <f>+SUM([3]FedEx!$HD$64:$HH$64)</f>
        <v>81655820</v>
      </c>
      <c r="P19" s="283">
        <f>+SUM([3]FedEx!$GP$64:$GT$64)</f>
        <v>77668372</v>
      </c>
      <c r="Q19" s="491">
        <f t="shared" si="8"/>
        <v>5.1339404925340781E-2</v>
      </c>
      <c r="R19" s="510">
        <f>O19/$O$33</f>
        <v>0.4696789599530794</v>
      </c>
      <c r="S19" s="19"/>
    </row>
    <row r="20" spans="1:20" ht="14.1" customHeight="1" x14ac:dyDescent="0.2">
      <c r="A20" s="52"/>
      <c r="B20" s="397" t="s">
        <v>226</v>
      </c>
      <c r="C20" s="509">
        <f>+'[3]Mountain Cargo'!$HH$19</f>
        <v>42</v>
      </c>
      <c r="D20" s="283">
        <f>+'[3]Mountain Cargo'!$GT$19</f>
        <v>42</v>
      </c>
      <c r="E20" s="510">
        <f>(C20-D20)/D20</f>
        <v>0</v>
      </c>
      <c r="F20" s="509">
        <f>+SUM('[3]Mountain Cargo'!$HD$19:$HH$19)</f>
        <v>212</v>
      </c>
      <c r="G20" s="283">
        <f>+SUM('[3]Mountain Cargo'!$GP$19:$GT$19)</f>
        <v>216</v>
      </c>
      <c r="H20" s="491">
        <f>(F20-G20)/G20</f>
        <v>-1.8518518518518517E-2</v>
      </c>
      <c r="I20" s="510">
        <f>+F20/$F$33</f>
        <v>3.2106618203846735E-2</v>
      </c>
      <c r="J20" s="476"/>
      <c r="K20" s="397" t="s">
        <v>226</v>
      </c>
      <c r="L20" s="509">
        <f>+'[3]Mountain Cargo'!$HH$64</f>
        <v>184077</v>
      </c>
      <c r="M20" s="283">
        <f>+'[3]Mountain Cargo'!$GT$64</f>
        <v>182998</v>
      </c>
      <c r="N20" s="510">
        <f>(L20-M20)/M20</f>
        <v>5.8962393031617832E-3</v>
      </c>
      <c r="O20" s="509">
        <f>+SUM('[3]Mountain Cargo'!$HD$64:$HH$64)</f>
        <v>615083</v>
      </c>
      <c r="P20" s="283">
        <f>+SUM('[3]Mountain Cargo'!$GP$64:$GT$64)</f>
        <v>1385703</v>
      </c>
      <c r="Q20" s="491">
        <f t="shared" si="8"/>
        <v>-0.55612205501467482</v>
      </c>
      <c r="R20" s="510">
        <f>O20/$O$33</f>
        <v>3.5379173673697716E-3</v>
      </c>
      <c r="S20" s="19"/>
    </row>
    <row r="21" spans="1:20" ht="14.1" customHeight="1" x14ac:dyDescent="0.2">
      <c r="A21" s="52"/>
      <c r="B21" s="397" t="s">
        <v>177</v>
      </c>
      <c r="C21" s="509">
        <f>+[3]IFL!$HH$19</f>
        <v>30</v>
      </c>
      <c r="D21" s="283">
        <f>+[3]IFL!$GT$19</f>
        <v>30</v>
      </c>
      <c r="E21" s="510">
        <f>(C21-D21)/D21</f>
        <v>0</v>
      </c>
      <c r="F21" s="509">
        <f>+SUM([3]IFL!$HD$19:$HH$19)</f>
        <v>152</v>
      </c>
      <c r="G21" s="283">
        <f>+SUM([3]IFL!$GP$19:$GT$19)</f>
        <v>159</v>
      </c>
      <c r="H21" s="491">
        <f>(F21-G21)/G21</f>
        <v>-4.40251572327044E-2</v>
      </c>
      <c r="I21" s="510">
        <f>+F21/$F$33</f>
        <v>2.3019839466908981E-2</v>
      </c>
      <c r="J21" s="476"/>
      <c r="K21" s="397" t="s">
        <v>177</v>
      </c>
      <c r="L21" s="509">
        <f>+[3]IFL!$HH$64</f>
        <v>45381</v>
      </c>
      <c r="M21" s="283">
        <f>+[3]IFL!$GT$64</f>
        <v>49063</v>
      </c>
      <c r="N21" s="510">
        <f>(L21-M21)/M21</f>
        <v>-7.5046368954201734E-2</v>
      </c>
      <c r="O21" s="509">
        <f>+SUM([3]IFL!$HD$64:$HH$64)</f>
        <v>207705</v>
      </c>
      <c r="P21" s="283">
        <f>+SUM([3]IFL!$GP$64:$GT$64)</f>
        <v>210944</v>
      </c>
      <c r="Q21" s="491">
        <f>(O21-P21)/P21</f>
        <v>-1.5354786104368932E-2</v>
      </c>
      <c r="R21" s="510">
        <f>O21/$O$33</f>
        <v>1.1947056361329095E-3</v>
      </c>
      <c r="S21" s="19"/>
    </row>
    <row r="22" spans="1:20" ht="14.1" customHeight="1" x14ac:dyDescent="0.2">
      <c r="A22" s="322"/>
      <c r="B22" s="397" t="s">
        <v>84</v>
      </c>
      <c r="C22" s="509">
        <f>+'[3]CSA Air'!$HH$19</f>
        <v>0</v>
      </c>
      <c r="D22" s="283">
        <f>+'[3]CSA Air'!$GT$19</f>
        <v>0</v>
      </c>
      <c r="E22" s="510" t="e">
        <f>(C22-D22)/D22</f>
        <v>#DIV/0!</v>
      </c>
      <c r="F22" s="509">
        <f>+SUM('[3]CSA Air'!$HD$19:$HH$19)</f>
        <v>0</v>
      </c>
      <c r="G22" s="283">
        <f>+SUM('[3]CSA Air'!$GP$19:$GT$19)</f>
        <v>0</v>
      </c>
      <c r="H22" s="491" t="e">
        <f t="shared" ref="H22" si="9">(F22-G22)/G22</f>
        <v>#DIV/0!</v>
      </c>
      <c r="I22" s="510">
        <f>+F22/$F$33</f>
        <v>0</v>
      </c>
      <c r="J22" s="322"/>
      <c r="K22" s="397" t="s">
        <v>84</v>
      </c>
      <c r="L22" s="509">
        <f>+'[3]CSA Air'!$HH$64</f>
        <v>0</v>
      </c>
      <c r="M22" s="283">
        <f>+'[3]CSA Air'!$GT$64</f>
        <v>0</v>
      </c>
      <c r="N22" s="510" t="e">
        <f>(L22-M22)/M22</f>
        <v>#DIV/0!</v>
      </c>
      <c r="O22" s="509">
        <f>+SUM('[3]CSA Air'!$HD$64:$HH$64)</f>
        <v>0</v>
      </c>
      <c r="P22" s="283">
        <f>+SUM('[3]CSA Air'!$GP$64:$GT$64)</f>
        <v>0</v>
      </c>
      <c r="Q22" s="491" t="e">
        <f t="shared" ref="Q22" si="10">(O22-P22)/P22</f>
        <v>#DIV/0!</v>
      </c>
      <c r="R22" s="510">
        <f>O22/$O$33</f>
        <v>0</v>
      </c>
      <c r="S22" s="19"/>
    </row>
    <row r="23" spans="1:20" ht="14.1" customHeight="1" x14ac:dyDescent="0.2">
      <c r="A23" s="322"/>
      <c r="B23" s="54"/>
      <c r="C23" s="477"/>
      <c r="D23" s="469"/>
      <c r="E23" s="478"/>
      <c r="F23" s="477"/>
      <c r="G23" s="469"/>
      <c r="H23" s="479"/>
      <c r="I23" s="478"/>
      <c r="J23" s="322"/>
      <c r="K23" s="54"/>
      <c r="L23" s="451"/>
      <c r="N23" s="83"/>
      <c r="O23" s="451"/>
      <c r="P23" s="469"/>
      <c r="Q23" s="3"/>
      <c r="R23" s="83"/>
      <c r="S23" s="387"/>
    </row>
    <row r="24" spans="1:20" ht="14.1" customHeight="1" x14ac:dyDescent="0.2">
      <c r="A24" s="322"/>
      <c r="B24" s="54"/>
      <c r="C24" s="477"/>
      <c r="D24" s="469"/>
      <c r="E24" s="478"/>
      <c r="F24" s="477"/>
      <c r="G24" s="469"/>
      <c r="H24" s="479"/>
      <c r="I24" s="478"/>
      <c r="J24" s="322"/>
      <c r="K24" s="54"/>
      <c r="L24" s="451"/>
      <c r="N24" s="83"/>
      <c r="O24" s="451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506">
        <f>SUM(C26:C27)</f>
        <v>698</v>
      </c>
      <c r="D25" s="506">
        <f>SUM(D26:D27)</f>
        <v>648</v>
      </c>
      <c r="E25" s="507">
        <f>(C25-D25)/D25</f>
        <v>7.716049382716049E-2</v>
      </c>
      <c r="F25" s="506">
        <f>SUM(F26:F27)</f>
        <v>3546</v>
      </c>
      <c r="G25" s="506">
        <f>SUM(G26:G27)</f>
        <v>3290</v>
      </c>
      <c r="H25" s="508">
        <f>(F25-G25)/G25</f>
        <v>7.7811550151975689E-2</v>
      </c>
      <c r="I25" s="507">
        <f>+F25/$F$33</f>
        <v>0.53702862335302137</v>
      </c>
      <c r="J25" s="322" t="s">
        <v>82</v>
      </c>
      <c r="K25" s="54"/>
      <c r="L25" s="506">
        <f>SUM(L26:L27)</f>
        <v>13074677</v>
      </c>
      <c r="M25" s="506">
        <f>SUM(M26:M27)</f>
        <v>11129346</v>
      </c>
      <c r="N25" s="507">
        <f>(L25-M25)/M25</f>
        <v>0.1747929303303177</v>
      </c>
      <c r="O25" s="506">
        <f>SUM(O26:O27)</f>
        <v>67178368</v>
      </c>
      <c r="P25" s="506">
        <f>SUM(P26:P27)</f>
        <v>56180666</v>
      </c>
      <c r="Q25" s="508">
        <f>(O25-P25)/P25</f>
        <v>0.19575599192789919</v>
      </c>
      <c r="R25" s="507">
        <f>O25/$O$33</f>
        <v>0.386405598689539</v>
      </c>
      <c r="S25" s="433"/>
      <c r="T25" s="541"/>
    </row>
    <row r="26" spans="1:20" s="7" customFormat="1" ht="14.1" customHeight="1" x14ac:dyDescent="0.2">
      <c r="A26" s="322"/>
      <c r="B26" s="397" t="s">
        <v>82</v>
      </c>
      <c r="C26" s="509">
        <f>+[3]UPS!$HH$19</f>
        <v>304</v>
      </c>
      <c r="D26" s="283">
        <f>+[3]UPS!$GT$19</f>
        <v>264</v>
      </c>
      <c r="E26" s="510">
        <f>(C26-D26)/D26</f>
        <v>0.15151515151515152</v>
      </c>
      <c r="F26" s="509">
        <f>+SUM([3]UPS!$HD$19:$HH$19)</f>
        <v>1520</v>
      </c>
      <c r="G26" s="283">
        <f>+SUM([3]UPS!$GP$19:$GT$19)</f>
        <v>1332</v>
      </c>
      <c r="H26" s="491">
        <f>(F26-G26)/G26</f>
        <v>0.14114114114114115</v>
      </c>
      <c r="I26" s="510">
        <f>+F26/$F$33</f>
        <v>0.23019839466908981</v>
      </c>
      <c r="J26" s="322"/>
      <c r="K26" s="397" t="s">
        <v>82</v>
      </c>
      <c r="L26" s="509">
        <f>+[3]UPS!$HH$64</f>
        <v>13074677</v>
      </c>
      <c r="M26" s="283">
        <f>+[3]UPS!$GT$64</f>
        <v>11129346</v>
      </c>
      <c r="N26" s="510">
        <f>(L26-M26)/M26</f>
        <v>0.1747929303303177</v>
      </c>
      <c r="O26" s="509">
        <f>+SUM([3]UPS!$HD$64:$HH$64)</f>
        <v>67178368</v>
      </c>
      <c r="P26" s="283">
        <f>+SUM([3]UPS!$GP$64:$GT$64)</f>
        <v>56180666</v>
      </c>
      <c r="Q26" s="491">
        <f>(O26-P26)/P26</f>
        <v>0.19575599192789919</v>
      </c>
      <c r="R26" s="510">
        <f>O26/$O$33</f>
        <v>0.386405598689539</v>
      </c>
      <c r="S26" s="433"/>
      <c r="T26" s="541"/>
    </row>
    <row r="27" spans="1:20" x14ac:dyDescent="0.2">
      <c r="A27" s="322"/>
      <c r="B27" s="397" t="s">
        <v>83</v>
      </c>
      <c r="C27" s="509">
        <f>+[3]Bemidji!$HH$19</f>
        <v>394</v>
      </c>
      <c r="D27" s="283">
        <f>+[3]Bemidji!$GT$19</f>
        <v>384</v>
      </c>
      <c r="E27" s="510">
        <f>(C27-D27)/D27</f>
        <v>2.6041666666666668E-2</v>
      </c>
      <c r="F27" s="509">
        <f>+SUM([3]Bemidji!$HD$19:$HH$19)</f>
        <v>2026</v>
      </c>
      <c r="G27" s="283">
        <f>+SUM([3]Bemidji!$GP$19:$GT$19)</f>
        <v>1958</v>
      </c>
      <c r="H27" s="491">
        <f t="shared" ref="H27" si="11">(F27-G27)/G27</f>
        <v>3.472931562819203E-2</v>
      </c>
      <c r="I27" s="510">
        <f>+F27/$F$33</f>
        <v>0.30683022868393156</v>
      </c>
      <c r="J27" s="322"/>
      <c r="K27" s="397" t="s">
        <v>83</v>
      </c>
      <c r="L27" s="570" t="s">
        <v>188</v>
      </c>
      <c r="M27" s="571"/>
      <c r="N27" s="571"/>
      <c r="O27" s="571"/>
      <c r="P27" s="571"/>
      <c r="Q27" s="571"/>
      <c r="R27" s="572"/>
    </row>
    <row r="28" spans="1:20" s="436" customFormat="1" x14ac:dyDescent="0.2">
      <c r="A28" s="52"/>
      <c r="B28" s="54"/>
      <c r="C28" s="477"/>
      <c r="D28" s="2"/>
      <c r="E28" s="83"/>
      <c r="F28" s="451"/>
      <c r="G28" s="2"/>
      <c r="H28" s="3"/>
      <c r="I28" s="83"/>
      <c r="J28" s="52"/>
      <c r="K28" s="54"/>
      <c r="L28" s="451"/>
      <c r="M28" s="2"/>
      <c r="N28" s="83"/>
      <c r="O28" s="451"/>
      <c r="P28" s="2"/>
      <c r="Q28" s="3"/>
      <c r="R28" s="83"/>
      <c r="T28" s="539"/>
    </row>
    <row r="29" spans="1:20" x14ac:dyDescent="0.2">
      <c r="A29" s="322" t="s">
        <v>127</v>
      </c>
      <c r="B29" s="54"/>
      <c r="C29" s="512">
        <f>+'[3]Misc Cargo'!$HH$19</f>
        <v>0</v>
      </c>
      <c r="D29" s="506">
        <f>+'[3]Misc Cargo'!$GT$19</f>
        <v>0</v>
      </c>
      <c r="E29" s="507" t="e">
        <f>(C29-D29)/D29</f>
        <v>#DIV/0!</v>
      </c>
      <c r="F29" s="512">
        <f>+SUM('[3]Misc Cargo'!$HD$19:$HH$19)</f>
        <v>4</v>
      </c>
      <c r="G29" s="506">
        <f>+SUM('[3]Misc Cargo'!$GP$19:$GT$19)</f>
        <v>9</v>
      </c>
      <c r="H29" s="508">
        <f>(F29-G29)/G29</f>
        <v>-0.55555555555555558</v>
      </c>
      <c r="I29" s="507">
        <f>+F29/$F$33</f>
        <v>6.0578524912918371E-4</v>
      </c>
      <c r="J29" s="322" t="s">
        <v>127</v>
      </c>
      <c r="K29" s="54"/>
      <c r="L29" s="512">
        <f>+'[3]Misc Cargo'!$HH$64</f>
        <v>0</v>
      </c>
      <c r="M29" s="506">
        <f>+'[3]Misc Cargo'!$GT$64</f>
        <v>0</v>
      </c>
      <c r="N29" s="507" t="e">
        <f>(L29-M29)/M29</f>
        <v>#DIV/0!</v>
      </c>
      <c r="O29" s="512">
        <f>+SUM('[3]Misc Cargo'!$HD$64:$HH$64)</f>
        <v>4526</v>
      </c>
      <c r="P29" s="506">
        <f>+SUM('[3]Misc Cargo'!$GP$64:$GT$64)</f>
        <v>264695</v>
      </c>
      <c r="Q29" s="508">
        <f>(O29-P29)/P29</f>
        <v>-0.98290107482196487</v>
      </c>
      <c r="R29" s="507">
        <f>O29/$O$33</f>
        <v>2.6033257307900863E-5</v>
      </c>
    </row>
    <row r="30" spans="1:20" x14ac:dyDescent="0.2">
      <c r="A30" s="52"/>
      <c r="B30" s="54"/>
      <c r="C30" s="477"/>
      <c r="E30" s="83"/>
      <c r="F30" s="451"/>
      <c r="I30" s="83"/>
      <c r="J30" s="52"/>
      <c r="K30" s="54"/>
      <c r="L30" s="451"/>
      <c r="N30" s="83"/>
      <c r="O30" s="451"/>
      <c r="P30" s="2"/>
      <c r="Q30" s="3"/>
      <c r="R30" s="83"/>
    </row>
    <row r="31" spans="1:20" ht="13.5" thickBot="1" x14ac:dyDescent="0.25">
      <c r="A31" s="434"/>
      <c r="B31" s="513"/>
      <c r="C31" s="514"/>
      <c r="D31" s="515"/>
      <c r="E31" s="516"/>
      <c r="F31" s="514"/>
      <c r="G31" s="515"/>
      <c r="H31" s="517"/>
      <c r="I31" s="516"/>
      <c r="J31" s="322"/>
      <c r="K31" s="54"/>
      <c r="L31" s="518"/>
      <c r="M31" s="340"/>
      <c r="N31" s="519"/>
      <c r="O31" s="518"/>
      <c r="P31" s="340"/>
      <c r="Q31" s="520"/>
      <c r="R31" s="513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7" t="s">
        <v>186</v>
      </c>
      <c r="C33" s="438">
        <f>+C29+C25+C18+C9+C5</f>
        <v>1377</v>
      </c>
      <c r="D33" s="438">
        <f>+D29+D25+D18+D9+D5</f>
        <v>1160</v>
      </c>
      <c r="E33" s="439">
        <f>(C33-D33)/D33</f>
        <v>0.18706896551724139</v>
      </c>
      <c r="F33" s="438">
        <f>+F29+F25+F18+F9+F5</f>
        <v>6603</v>
      </c>
      <c r="G33" s="438">
        <f>+G29+G25+G18+G9+G5</f>
        <v>5803</v>
      </c>
      <c r="H33" s="440">
        <f>(F33-G33)/G33</f>
        <v>0.13785972772703775</v>
      </c>
      <c r="I33" s="455"/>
      <c r="J33"/>
      <c r="K33" s="437" t="s">
        <v>186</v>
      </c>
      <c r="L33" s="438">
        <f>+L29+L25+L18+L9+L5</f>
        <v>36216799</v>
      </c>
      <c r="M33" s="438">
        <f>+M29+M25+M18+M9+M5</f>
        <v>31325623</v>
      </c>
      <c r="N33" s="441">
        <f>(L33-M33)/M33</f>
        <v>0.15613978371635259</v>
      </c>
      <c r="O33" s="438">
        <f>+O29+O25+O18+O9+O5</f>
        <v>173854541</v>
      </c>
      <c r="P33" s="438">
        <f>+P29+P25+P18+P9+P5</f>
        <v>156618298</v>
      </c>
      <c r="Q33" s="440">
        <f t="shared" ref="Q33" si="12">(O33-P33)/P33</f>
        <v>0.11005254954309361</v>
      </c>
      <c r="R33" s="455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39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55" fitToHeight="0" orientation="landscape" r:id="rId1"/>
  <headerFooter>
    <oddHeader>&amp;CMinneapolis-St. Paul International Airport&amp;"Arial,Bold"
Cargo YTD
May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2022-04-01T16:01:26Z</dcterms:modified>
</cp:coreProperties>
</file>