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BCB0BFF9-A98F-425A-8DF6-5FEF3A27BB9D}" xr6:coauthVersionLast="47" xr6:coauthVersionMax="47" xr10:uidLastSave="{00000000-0000-0000-0000-000000000000}"/>
  <bookViews>
    <workbookView xWindow="9345" yWindow="1620" windowWidth="19200" windowHeight="1132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7" l="1"/>
  <c r="F16" i="2"/>
  <c r="F15" i="2"/>
  <c r="F10" i="2"/>
  <c r="F9" i="2"/>
  <c r="F5" i="2"/>
  <c r="F4" i="2"/>
  <c r="J25" i="7"/>
  <c r="P16" i="18"/>
  <c r="O16" i="18"/>
  <c r="M16" i="18"/>
  <c r="L16" i="18"/>
  <c r="G16" i="18"/>
  <c r="F16" i="18"/>
  <c r="D16" i="18"/>
  <c r="C16" i="18"/>
  <c r="P30" i="18"/>
  <c r="O30" i="18"/>
  <c r="M30" i="18"/>
  <c r="L30" i="18"/>
  <c r="G30" i="18"/>
  <c r="F30" i="18"/>
  <c r="D30" i="18"/>
  <c r="C30" i="18"/>
  <c r="G28" i="18"/>
  <c r="F28" i="18"/>
  <c r="D28" i="18"/>
  <c r="C28" i="18"/>
  <c r="P27" i="18"/>
  <c r="P26" i="18" s="1"/>
  <c r="O27" i="18"/>
  <c r="M27" i="18"/>
  <c r="L27" i="18"/>
  <c r="L26" i="18" s="1"/>
  <c r="G27" i="18"/>
  <c r="G26" i="18" s="1"/>
  <c r="F27" i="18"/>
  <c r="D27" i="18"/>
  <c r="C27" i="18"/>
  <c r="P24" i="18"/>
  <c r="O24" i="18"/>
  <c r="M24" i="18"/>
  <c r="L24" i="18"/>
  <c r="G24" i="18"/>
  <c r="F24" i="18"/>
  <c r="D24" i="18"/>
  <c r="C24" i="18"/>
  <c r="P23" i="18"/>
  <c r="O23" i="18"/>
  <c r="M23" i="18"/>
  <c r="L23" i="18"/>
  <c r="G23" i="18"/>
  <c r="F23" i="18"/>
  <c r="D23" i="18"/>
  <c r="C23" i="18"/>
  <c r="P22" i="18"/>
  <c r="O22" i="18"/>
  <c r="M22" i="18"/>
  <c r="L22" i="18"/>
  <c r="G22" i="18"/>
  <c r="F22" i="18"/>
  <c r="D22" i="18"/>
  <c r="C22" i="18"/>
  <c r="P21" i="18"/>
  <c r="O21" i="18"/>
  <c r="M21" i="18"/>
  <c r="M20" i="18" s="1"/>
  <c r="L21" i="18"/>
  <c r="G21" i="18"/>
  <c r="F21" i="18"/>
  <c r="D21" i="18"/>
  <c r="C21" i="18"/>
  <c r="P18" i="18"/>
  <c r="O18" i="18"/>
  <c r="M18" i="18"/>
  <c r="L18" i="18"/>
  <c r="G18" i="18"/>
  <c r="F18" i="18"/>
  <c r="D18" i="18"/>
  <c r="C18" i="18"/>
  <c r="P17" i="18"/>
  <c r="O17" i="18"/>
  <c r="M17" i="18"/>
  <c r="L17" i="18"/>
  <c r="G17" i="18"/>
  <c r="F17" i="18"/>
  <c r="D17" i="18"/>
  <c r="C17" i="18"/>
  <c r="P15" i="18"/>
  <c r="O15" i="18"/>
  <c r="M15" i="18"/>
  <c r="L15" i="18"/>
  <c r="G15" i="18"/>
  <c r="F15" i="18"/>
  <c r="D15" i="18"/>
  <c r="C15" i="18"/>
  <c r="P14" i="18"/>
  <c r="O14" i="18"/>
  <c r="M14" i="18"/>
  <c r="L14" i="18"/>
  <c r="G14" i="18"/>
  <c r="F14" i="18"/>
  <c r="D14" i="18"/>
  <c r="C14" i="18"/>
  <c r="P13" i="18"/>
  <c r="O13" i="18"/>
  <c r="M13" i="18"/>
  <c r="L13" i="18"/>
  <c r="G13" i="18"/>
  <c r="F13" i="18"/>
  <c r="D13" i="18"/>
  <c r="C13" i="18"/>
  <c r="P12" i="18"/>
  <c r="O12" i="18"/>
  <c r="M12" i="18"/>
  <c r="L12" i="18"/>
  <c r="G12" i="18"/>
  <c r="F12" i="18"/>
  <c r="D12" i="18"/>
  <c r="C12" i="18"/>
  <c r="P11" i="18"/>
  <c r="O11" i="18"/>
  <c r="M11" i="18"/>
  <c r="L11" i="18"/>
  <c r="G11" i="18"/>
  <c r="F11" i="18"/>
  <c r="D11" i="18"/>
  <c r="C11" i="18"/>
  <c r="P10" i="18"/>
  <c r="O10" i="18"/>
  <c r="M10" i="18"/>
  <c r="L10" i="18"/>
  <c r="G10" i="18"/>
  <c r="F10" i="18"/>
  <c r="D10" i="18"/>
  <c r="C10" i="18"/>
  <c r="P7" i="18"/>
  <c r="O7" i="18"/>
  <c r="M7" i="18"/>
  <c r="L7" i="18"/>
  <c r="G7" i="18"/>
  <c r="F7" i="18"/>
  <c r="D7" i="18"/>
  <c r="C7" i="18"/>
  <c r="P6" i="18"/>
  <c r="O6" i="18"/>
  <c r="M6" i="18"/>
  <c r="M5" i="18" s="1"/>
  <c r="L6" i="18"/>
  <c r="G6" i="18"/>
  <c r="F6" i="18"/>
  <c r="D6" i="18"/>
  <c r="C6" i="18"/>
  <c r="J3" i="18"/>
  <c r="H27" i="8"/>
  <c r="H26" i="8"/>
  <c r="H22" i="8"/>
  <c r="H21" i="8"/>
  <c r="H17" i="8"/>
  <c r="H16" i="8"/>
  <c r="H5" i="8"/>
  <c r="H4" i="8"/>
  <c r="H10" i="8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59" i="9"/>
  <c r="V59" i="9"/>
  <c r="P59" i="9"/>
  <c r="M59" i="9"/>
  <c r="G59" i="9"/>
  <c r="D59" i="9"/>
  <c r="Y57" i="9"/>
  <c r="V57" i="9"/>
  <c r="P57" i="9"/>
  <c r="M57" i="9"/>
  <c r="G57" i="9"/>
  <c r="D57" i="9"/>
  <c r="Y55" i="9"/>
  <c r="V55" i="9"/>
  <c r="P55" i="9"/>
  <c r="M55" i="9"/>
  <c r="G55" i="9"/>
  <c r="D55" i="9"/>
  <c r="Y53" i="9"/>
  <c r="V53" i="9"/>
  <c r="P53" i="9"/>
  <c r="M53" i="9"/>
  <c r="G53" i="9"/>
  <c r="D53" i="9"/>
  <c r="Y51" i="9"/>
  <c r="V51" i="9"/>
  <c r="P51" i="9"/>
  <c r="M51" i="9"/>
  <c r="G51" i="9"/>
  <c r="D51" i="9"/>
  <c r="Y49" i="9"/>
  <c r="V49" i="9"/>
  <c r="P49" i="9"/>
  <c r="M49" i="9"/>
  <c r="G49" i="9"/>
  <c r="D49" i="9"/>
  <c r="Y47" i="9"/>
  <c r="V47" i="9"/>
  <c r="P47" i="9"/>
  <c r="M47" i="9"/>
  <c r="G47" i="9"/>
  <c r="D47" i="9"/>
  <c r="Y45" i="9"/>
  <c r="V45" i="9"/>
  <c r="P45" i="9"/>
  <c r="M45" i="9"/>
  <c r="G45" i="9"/>
  <c r="D45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6" i="9"/>
  <c r="V36" i="9"/>
  <c r="P36" i="9"/>
  <c r="M36" i="9"/>
  <c r="G36" i="9"/>
  <c r="D36" i="9"/>
  <c r="Y34" i="9"/>
  <c r="V34" i="9"/>
  <c r="P34" i="9"/>
  <c r="M34" i="9"/>
  <c r="G34" i="9"/>
  <c r="D34" i="9"/>
  <c r="Y32" i="9"/>
  <c r="V32" i="9"/>
  <c r="P32" i="9"/>
  <c r="M32" i="9"/>
  <c r="G32" i="9"/>
  <c r="D32" i="9"/>
  <c r="Y30" i="9"/>
  <c r="V30" i="9"/>
  <c r="P30" i="9"/>
  <c r="M30" i="9"/>
  <c r="G30" i="9"/>
  <c r="D30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59" i="9"/>
  <c r="U59" i="9"/>
  <c r="O59" i="9"/>
  <c r="L59" i="9"/>
  <c r="F59" i="9"/>
  <c r="C59" i="9"/>
  <c r="X57" i="9"/>
  <c r="U57" i="9"/>
  <c r="O57" i="9"/>
  <c r="L57" i="9"/>
  <c r="F57" i="9"/>
  <c r="C57" i="9"/>
  <c r="X55" i="9"/>
  <c r="U55" i="9"/>
  <c r="O55" i="9"/>
  <c r="L55" i="9"/>
  <c r="F55" i="9"/>
  <c r="C55" i="9"/>
  <c r="X53" i="9"/>
  <c r="U53" i="9"/>
  <c r="O53" i="9"/>
  <c r="L53" i="9"/>
  <c r="F53" i="9"/>
  <c r="C53" i="9"/>
  <c r="X51" i="9"/>
  <c r="U51" i="9"/>
  <c r="O51" i="9"/>
  <c r="L51" i="9"/>
  <c r="F51" i="9"/>
  <c r="C51" i="9"/>
  <c r="X49" i="9"/>
  <c r="U49" i="9"/>
  <c r="O49" i="9"/>
  <c r="L49" i="9"/>
  <c r="F49" i="9"/>
  <c r="C49" i="9"/>
  <c r="X47" i="9"/>
  <c r="U47" i="9"/>
  <c r="O47" i="9"/>
  <c r="L47" i="9"/>
  <c r="F47" i="9"/>
  <c r="C47" i="9"/>
  <c r="X45" i="9"/>
  <c r="U45" i="9"/>
  <c r="O45" i="9"/>
  <c r="L45" i="9"/>
  <c r="F45" i="9"/>
  <c r="C45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6" i="9"/>
  <c r="U36" i="9"/>
  <c r="O36" i="9"/>
  <c r="L36" i="9"/>
  <c r="F36" i="9"/>
  <c r="C36" i="9"/>
  <c r="X34" i="9"/>
  <c r="U34" i="9"/>
  <c r="O34" i="9"/>
  <c r="L34" i="9"/>
  <c r="F34" i="9"/>
  <c r="C34" i="9"/>
  <c r="X32" i="9"/>
  <c r="U32" i="9"/>
  <c r="O32" i="9"/>
  <c r="L32" i="9"/>
  <c r="F32" i="9"/>
  <c r="C32" i="9"/>
  <c r="X30" i="9"/>
  <c r="U30" i="9"/>
  <c r="O30" i="9"/>
  <c r="L30" i="9"/>
  <c r="F30" i="9"/>
  <c r="C30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G4" i="8"/>
  <c r="F4" i="8"/>
  <c r="E4" i="8"/>
  <c r="D4" i="8"/>
  <c r="C4" i="8"/>
  <c r="B4" i="8"/>
  <c r="O25" i="7"/>
  <c r="E25" i="7"/>
  <c r="F11" i="7"/>
  <c r="E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E16" i="2"/>
  <c r="D16" i="2"/>
  <c r="C16" i="2"/>
  <c r="B16" i="2"/>
  <c r="I15" i="2"/>
  <c r="H15" i="2"/>
  <c r="G15" i="2"/>
  <c r="E15" i="2"/>
  <c r="D15" i="2"/>
  <c r="C15" i="2"/>
  <c r="B15" i="2"/>
  <c r="I10" i="2"/>
  <c r="H10" i="2"/>
  <c r="G10" i="2"/>
  <c r="E10" i="2"/>
  <c r="D10" i="2"/>
  <c r="C10" i="2"/>
  <c r="B10" i="2"/>
  <c r="I9" i="2"/>
  <c r="H9" i="2"/>
  <c r="G9" i="2"/>
  <c r="E9" i="2"/>
  <c r="D9" i="2"/>
  <c r="C9" i="2"/>
  <c r="B9" i="2"/>
  <c r="I5" i="2"/>
  <c r="H5" i="2"/>
  <c r="G5" i="2"/>
  <c r="E5" i="2"/>
  <c r="D5" i="2"/>
  <c r="C5" i="2"/>
  <c r="B5" i="2"/>
  <c r="I4" i="2"/>
  <c r="H4" i="2"/>
  <c r="G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24" i="7"/>
  <c r="J24" i="7"/>
  <c r="E24" i="7"/>
  <c r="O23" i="7"/>
  <c r="M22" i="7"/>
  <c r="L22" i="7"/>
  <c r="J23" i="7"/>
  <c r="C22" i="7"/>
  <c r="B22" i="7"/>
  <c r="E23" i="7"/>
  <c r="M9" i="18" l="1"/>
  <c r="N16" i="18"/>
  <c r="H28" i="8"/>
  <c r="P9" i="18"/>
  <c r="Q16" i="18"/>
  <c r="H6" i="8"/>
  <c r="H12" i="8" s="1"/>
  <c r="L9" i="18"/>
  <c r="O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9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5" i="18" s="1"/>
  <c r="N11" i="18"/>
  <c r="H13" i="18"/>
  <c r="H18" i="18"/>
  <c r="L20" i="18"/>
  <c r="N20" i="18" s="1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M72" i="9"/>
  <c r="P72" i="9"/>
  <c r="B21" i="7"/>
  <c r="H33" i="8" l="1"/>
  <c r="M34" i="18"/>
  <c r="P34" i="18"/>
  <c r="E5" i="18"/>
  <c r="N26" i="18"/>
  <c r="E26" i="18"/>
  <c r="L34" i="18"/>
  <c r="N34" i="18" s="1"/>
  <c r="E20" i="18"/>
  <c r="H9" i="18"/>
  <c r="H5" i="18"/>
  <c r="G34" i="18"/>
  <c r="H26" i="18"/>
  <c r="C34" i="18"/>
  <c r="Q26" i="18"/>
  <c r="D34" i="18"/>
  <c r="Q9" i="18"/>
  <c r="Q20" i="18"/>
  <c r="E9" i="18"/>
  <c r="O34" i="18"/>
  <c r="R16" i="18" s="1"/>
  <c r="F34" i="18"/>
  <c r="I16" i="18" s="1"/>
  <c r="Q5" i="18"/>
  <c r="H20" i="18"/>
  <c r="C21" i="7"/>
  <c r="D21" i="7" s="1"/>
  <c r="R5" i="18" l="1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72" i="9" l="1"/>
  <c r="G72" i="9"/>
  <c r="V72" i="9"/>
  <c r="Y72" i="9"/>
  <c r="X72" i="9" l="1"/>
  <c r="U72" i="9"/>
  <c r="C72" i="9"/>
  <c r="F72" i="9"/>
  <c r="L72" i="9"/>
  <c r="O72" i="9"/>
  <c r="S5" i="8" l="1"/>
  <c r="S4" i="8"/>
  <c r="D10" i="8" l="1"/>
  <c r="D23" i="8" l="1"/>
  <c r="D6" i="8"/>
  <c r="D12" i="8" s="1"/>
  <c r="D18" i="8"/>
  <c r="D31" i="8"/>
  <c r="D28" i="8"/>
  <c r="D32" i="8"/>
  <c r="D33" i="8" l="1"/>
  <c r="K16" i="3" l="1"/>
  <c r="K17" i="3"/>
  <c r="K20" i="3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6" i="9"/>
  <c r="Z36" i="9"/>
  <c r="E36" i="9"/>
  <c r="N36" i="9"/>
  <c r="H36" i="9"/>
  <c r="Q36" i="9"/>
  <c r="K5" i="3" l="1"/>
  <c r="Z67" i="9"/>
  <c r="W67" i="9"/>
  <c r="W66" i="9"/>
  <c r="W64" i="9"/>
  <c r="Z63" i="9"/>
  <c r="Z62" i="9"/>
  <c r="V61" i="9"/>
  <c r="Z55" i="9"/>
  <c r="W55" i="9"/>
  <c r="Z53" i="9"/>
  <c r="W49" i="9"/>
  <c r="Z47" i="9"/>
  <c r="Z45" i="9"/>
  <c r="W43" i="9"/>
  <c r="Z42" i="9"/>
  <c r="W42" i="9"/>
  <c r="W41" i="9"/>
  <c r="W40" i="9"/>
  <c r="V38" i="9"/>
  <c r="W39" i="9"/>
  <c r="W32" i="9"/>
  <c r="Z30" i="9"/>
  <c r="W30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V23" i="9"/>
  <c r="Z29" i="9"/>
  <c r="W47" i="9"/>
  <c r="W51" i="9"/>
  <c r="Z57" i="9"/>
  <c r="V18" i="9"/>
  <c r="Y23" i="9"/>
  <c r="Z26" i="9"/>
  <c r="Z32" i="9"/>
  <c r="Y38" i="9"/>
  <c r="Z41" i="9"/>
  <c r="W45" i="9"/>
  <c r="W59" i="9"/>
  <c r="W68" i="9"/>
  <c r="X18" i="9"/>
  <c r="Y61" i="9"/>
  <c r="W4" i="9"/>
  <c r="U6" i="9"/>
  <c r="W6" i="9" s="1"/>
  <c r="Y18" i="9"/>
  <c r="W34" i="9"/>
  <c r="Z43" i="9"/>
  <c r="W53" i="9"/>
  <c r="Z59" i="9"/>
  <c r="W63" i="9"/>
  <c r="W65" i="9"/>
  <c r="W14" i="9"/>
  <c r="U38" i="9"/>
  <c r="W38" i="9" s="1"/>
  <c r="W44" i="9"/>
  <c r="W57" i="9"/>
  <c r="W62" i="9"/>
  <c r="X23" i="9"/>
  <c r="Z10" i="9"/>
  <c r="U18" i="9"/>
  <c r="Z24" i="9"/>
  <c r="Z34" i="9"/>
  <c r="Z44" i="9"/>
  <c r="X6" i="9"/>
  <c r="Z68" i="9"/>
  <c r="U61" i="9"/>
  <c r="Z66" i="9"/>
  <c r="Z4" i="9"/>
  <c r="Z19" i="9"/>
  <c r="U23" i="9"/>
  <c r="Z28" i="9"/>
  <c r="X38" i="9"/>
  <c r="Z40" i="9"/>
  <c r="Z51" i="9"/>
  <c r="Z65" i="9"/>
  <c r="W10" i="9"/>
  <c r="Z27" i="9"/>
  <c r="Z39" i="9"/>
  <c r="Z49" i="9"/>
  <c r="Z64" i="9"/>
  <c r="X61" i="9"/>
  <c r="V73" i="9" l="1"/>
  <c r="V71" i="9" s="1"/>
  <c r="X73" i="9"/>
  <c r="AA16" i="9" s="1"/>
  <c r="Y73" i="9"/>
  <c r="U73" i="9"/>
  <c r="W23" i="9"/>
  <c r="Z72" i="9"/>
  <c r="W72" i="9"/>
  <c r="Z18" i="9"/>
  <c r="W18" i="9"/>
  <c r="Z61" i="9"/>
  <c r="W61" i="9"/>
  <c r="Z6" i="9"/>
  <c r="Z23" i="9"/>
  <c r="Z38" i="9"/>
  <c r="W73" i="9" l="1"/>
  <c r="Z73" i="9"/>
  <c r="AA73" i="9" s="1"/>
  <c r="U71" i="9"/>
  <c r="W71" i="9" s="1"/>
  <c r="Y71" i="9"/>
  <c r="X71" i="9"/>
  <c r="AA36" i="9" s="1"/>
  <c r="AA9" i="9"/>
  <c r="AA4" i="9"/>
  <c r="AA6" i="9"/>
  <c r="AA23" i="9"/>
  <c r="AA63" i="9"/>
  <c r="AA47" i="9"/>
  <c r="AA21" i="9"/>
  <c r="AA68" i="9"/>
  <c r="AA57" i="9"/>
  <c r="AA43" i="9"/>
  <c r="AA7" i="9"/>
  <c r="AA8" i="9"/>
  <c r="AA32" i="9"/>
  <c r="AA67" i="9"/>
  <c r="AA58" i="9"/>
  <c r="AA55" i="9"/>
  <c r="AA42" i="9"/>
  <c r="AA30" i="9"/>
  <c r="AA59" i="9"/>
  <c r="AA14" i="9"/>
  <c r="AA62" i="9"/>
  <c r="AA26" i="9"/>
  <c r="AA39" i="9"/>
  <c r="AA20" i="9"/>
  <c r="AA66" i="9"/>
  <c r="AA72" i="9"/>
  <c r="AA49" i="9"/>
  <c r="AA53" i="9"/>
  <c r="AA10" i="9"/>
  <c r="AA27" i="9"/>
  <c r="AA44" i="9"/>
  <c r="AA25" i="9"/>
  <c r="AA12" i="9"/>
  <c r="AA34" i="9"/>
  <c r="AA29" i="9"/>
  <c r="AA18" i="9"/>
  <c r="AA40" i="9"/>
  <c r="AA28" i="9"/>
  <c r="AA65" i="9"/>
  <c r="AA24" i="9"/>
  <c r="AA51" i="9"/>
  <c r="AA45" i="9"/>
  <c r="AA41" i="9"/>
  <c r="AA64" i="9"/>
  <c r="AA19" i="9"/>
  <c r="AA38" i="9"/>
  <c r="AA61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S31" i="8" l="1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5" i="9"/>
  <c r="E55" i="9"/>
  <c r="N55" i="9"/>
  <c r="H55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1" i="9" l="1"/>
  <c r="E68" i="9" l="1"/>
  <c r="Q68" i="9"/>
  <c r="N68" i="9"/>
  <c r="E51" i="9"/>
  <c r="N51" i="9"/>
  <c r="Q51" i="9"/>
  <c r="H51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23" i="9"/>
  <c r="C38" i="9"/>
  <c r="C6" i="9"/>
  <c r="C61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1" i="9"/>
  <c r="N67" i="9"/>
  <c r="H67" i="9"/>
  <c r="E67" i="9"/>
  <c r="Q66" i="9"/>
  <c r="N65" i="9"/>
  <c r="H65" i="9"/>
  <c r="E65" i="9"/>
  <c r="Q64" i="9"/>
  <c r="N63" i="9"/>
  <c r="H63" i="9"/>
  <c r="E63" i="9"/>
  <c r="P61" i="9"/>
  <c r="Q62" i="9"/>
  <c r="M61" i="9"/>
  <c r="D61" i="9"/>
  <c r="Q59" i="9"/>
  <c r="N59" i="9"/>
  <c r="E59" i="9"/>
  <c r="N57" i="9"/>
  <c r="E57" i="9"/>
  <c r="Q53" i="9"/>
  <c r="N53" i="9"/>
  <c r="H53" i="9"/>
  <c r="N49" i="9"/>
  <c r="E49" i="9"/>
  <c r="N47" i="9"/>
  <c r="E47" i="9"/>
  <c r="N45" i="9"/>
  <c r="H45" i="9"/>
  <c r="Q43" i="9"/>
  <c r="N43" i="9"/>
  <c r="H43" i="9"/>
  <c r="N42" i="9"/>
  <c r="E42" i="9"/>
  <c r="N41" i="9"/>
  <c r="H41" i="9"/>
  <c r="M38" i="9"/>
  <c r="E40" i="9"/>
  <c r="Q39" i="9"/>
  <c r="N39" i="9"/>
  <c r="H39" i="9"/>
  <c r="G38" i="9"/>
  <c r="Q34" i="9"/>
  <c r="N34" i="9"/>
  <c r="H34" i="9"/>
  <c r="N32" i="9"/>
  <c r="E32" i="9"/>
  <c r="Q30" i="9"/>
  <c r="N30" i="9"/>
  <c r="H30" i="9"/>
  <c r="E30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M23" i="9"/>
  <c r="G23" i="9"/>
  <c r="H24" i="9"/>
  <c r="P23" i="9"/>
  <c r="O23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8" i="9"/>
  <c r="D38" i="9"/>
  <c r="E38" i="9" s="1"/>
  <c r="G6" i="9"/>
  <c r="P6" i="9"/>
  <c r="Q6" i="9" s="1"/>
  <c r="N12" i="9"/>
  <c r="E14" i="9"/>
  <c r="L18" i="9"/>
  <c r="N18" i="9" s="1"/>
  <c r="Q19" i="9"/>
  <c r="E43" i="9"/>
  <c r="P38" i="9"/>
  <c r="E8" i="9"/>
  <c r="N8" i="9"/>
  <c r="F23" i="9"/>
  <c r="H23" i="9" s="1"/>
  <c r="O38" i="9"/>
  <c r="O73" i="9" s="1"/>
  <c r="N40" i="9"/>
  <c r="Q41" i="9"/>
  <c r="E44" i="9"/>
  <c r="N44" i="9"/>
  <c r="Q45" i="9"/>
  <c r="E64" i="9"/>
  <c r="N64" i="9"/>
  <c r="E66" i="9"/>
  <c r="N66" i="9"/>
  <c r="H42" i="9"/>
  <c r="H57" i="9"/>
  <c r="F6" i="9"/>
  <c r="L6" i="9"/>
  <c r="N6" i="9" s="1"/>
  <c r="H8" i="9"/>
  <c r="D18" i="9"/>
  <c r="E21" i="9"/>
  <c r="E24" i="9"/>
  <c r="H27" i="9"/>
  <c r="E34" i="9"/>
  <c r="F38" i="9"/>
  <c r="H40" i="9"/>
  <c r="E45" i="9"/>
  <c r="E53" i="9"/>
  <c r="H18" i="9"/>
  <c r="H25" i="9"/>
  <c r="E6" i="9"/>
  <c r="E10" i="9"/>
  <c r="L23" i="9"/>
  <c r="N23" i="9" s="1"/>
  <c r="D23" i="9"/>
  <c r="E26" i="9"/>
  <c r="H29" i="9"/>
  <c r="H47" i="9"/>
  <c r="Q61" i="9"/>
  <c r="G61" i="9"/>
  <c r="Q63" i="9"/>
  <c r="H20" i="9"/>
  <c r="E28" i="9"/>
  <c r="H32" i="9"/>
  <c r="E39" i="9"/>
  <c r="E41" i="9"/>
  <c r="H44" i="9"/>
  <c r="H49" i="9"/>
  <c r="E62" i="9"/>
  <c r="N62" i="9"/>
  <c r="Q65" i="9"/>
  <c r="Q67" i="9"/>
  <c r="Q12" i="9"/>
  <c r="Q18" i="9"/>
  <c r="Q20" i="9"/>
  <c r="Q23" i="9"/>
  <c r="Q25" i="9"/>
  <c r="Q27" i="9"/>
  <c r="Q29" i="9"/>
  <c r="Q32" i="9"/>
  <c r="Q40" i="9"/>
  <c r="Q42" i="9"/>
  <c r="Q44" i="9"/>
  <c r="Q47" i="9"/>
  <c r="Q49" i="9"/>
  <c r="Q57" i="9"/>
  <c r="H59" i="9"/>
  <c r="F61" i="9"/>
  <c r="H62" i="9"/>
  <c r="H64" i="9"/>
  <c r="H66" i="9"/>
  <c r="P73" i="9" l="1"/>
  <c r="Q73" i="9" s="1"/>
  <c r="R73" i="9" s="1"/>
  <c r="R16" i="9"/>
  <c r="L73" i="9"/>
  <c r="L71" i="9" s="1"/>
  <c r="G73" i="9"/>
  <c r="G71" i="9" s="1"/>
  <c r="F73" i="9"/>
  <c r="I16" i="9" s="1"/>
  <c r="D73" i="9"/>
  <c r="D71" i="9" s="1"/>
  <c r="N38" i="9"/>
  <c r="Q38" i="9"/>
  <c r="E23" i="9"/>
  <c r="E72" i="9"/>
  <c r="N72" i="9"/>
  <c r="H61" i="9"/>
  <c r="H38" i="9"/>
  <c r="H6" i="9"/>
  <c r="Q72" i="9"/>
  <c r="N61" i="9"/>
  <c r="E18" i="9"/>
  <c r="H72" i="9"/>
  <c r="E61" i="9"/>
  <c r="P71" i="9" l="1"/>
  <c r="N73" i="9"/>
  <c r="O71" i="9"/>
  <c r="R9" i="9"/>
  <c r="F71" i="9"/>
  <c r="I9" i="9"/>
  <c r="R36" i="9"/>
  <c r="I55" i="9"/>
  <c r="I36" i="9"/>
  <c r="R4" i="9"/>
  <c r="R55" i="9"/>
  <c r="I4" i="9"/>
  <c r="R51" i="9"/>
  <c r="R19" i="9"/>
  <c r="I51" i="9"/>
  <c r="I6" i="9"/>
  <c r="I68" i="9"/>
  <c r="R64" i="9"/>
  <c r="R68" i="9"/>
  <c r="R62" i="9"/>
  <c r="R42" i="9"/>
  <c r="R27" i="9"/>
  <c r="R53" i="9"/>
  <c r="R38" i="9"/>
  <c r="R72" i="9"/>
  <c r="R28" i="9"/>
  <c r="R40" i="9"/>
  <c r="R29" i="9"/>
  <c r="R24" i="9"/>
  <c r="R49" i="9"/>
  <c r="R61" i="9"/>
  <c r="R25" i="9"/>
  <c r="R67" i="9"/>
  <c r="R18" i="9"/>
  <c r="R63" i="9"/>
  <c r="R12" i="9"/>
  <c r="R57" i="9"/>
  <c r="R32" i="9"/>
  <c r="R66" i="9"/>
  <c r="R10" i="9"/>
  <c r="R8" i="9"/>
  <c r="R39" i="9"/>
  <c r="R59" i="9"/>
  <c r="R47" i="9"/>
  <c r="R65" i="9"/>
  <c r="R7" i="9"/>
  <c r="R41" i="9"/>
  <c r="R21" i="9"/>
  <c r="R30" i="9"/>
  <c r="R23" i="9"/>
  <c r="R34" i="9"/>
  <c r="R58" i="9"/>
  <c r="R20" i="9"/>
  <c r="R6" i="9"/>
  <c r="R44" i="9"/>
  <c r="R43" i="9"/>
  <c r="R26" i="9"/>
  <c r="R14" i="9"/>
  <c r="R45" i="9"/>
  <c r="I72" i="9"/>
  <c r="I38" i="9"/>
  <c r="I61" i="9"/>
  <c r="H73" i="9"/>
  <c r="I73" i="9" s="1"/>
  <c r="I67" i="9"/>
  <c r="I65" i="9"/>
  <c r="I12" i="9"/>
  <c r="I63" i="9"/>
  <c r="I7" i="9"/>
  <c r="I43" i="9"/>
  <c r="I59" i="9"/>
  <c r="I18" i="9"/>
  <c r="I19" i="9"/>
  <c r="I29" i="9"/>
  <c r="I47" i="9"/>
  <c r="I24" i="9"/>
  <c r="I44" i="9"/>
  <c r="I49" i="9"/>
  <c r="I66" i="9"/>
  <c r="I8" i="9"/>
  <c r="I57" i="9"/>
  <c r="I28" i="9"/>
  <c r="I39" i="9"/>
  <c r="I41" i="9"/>
  <c r="I26" i="9"/>
  <c r="I34" i="9"/>
  <c r="I42" i="9"/>
  <c r="I27" i="9"/>
  <c r="I40" i="9"/>
  <c r="I25" i="9"/>
  <c r="I14" i="9"/>
  <c r="I64" i="9"/>
  <c r="I21" i="9"/>
  <c r="I32" i="9"/>
  <c r="I23" i="9"/>
  <c r="I62" i="9"/>
  <c r="I10" i="9"/>
  <c r="I30" i="9"/>
  <c r="I20" i="9"/>
  <c r="I45" i="9"/>
  <c r="I53" i="9"/>
  <c r="E73" i="9"/>
  <c r="R71" i="9" l="1"/>
  <c r="Q71" i="9"/>
  <c r="N71" i="9"/>
  <c r="E71" i="9"/>
  <c r="H71" i="9"/>
  <c r="I71" i="9"/>
  <c r="J2" i="9" l="1"/>
  <c r="S2" i="9" s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D20" i="1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25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B33" i="1" l="1"/>
  <c r="C25" i="7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D19" i="1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C20" i="5" s="1"/>
  <c r="L12" i="4"/>
  <c r="M12" i="4" s="1"/>
  <c r="E16" i="5"/>
  <c r="F16" i="5" s="1"/>
  <c r="C16" i="1"/>
  <c r="C42" i="4"/>
  <c r="K43" i="3"/>
  <c r="D25" i="7" l="1"/>
  <c r="F25" i="7" s="1"/>
  <c r="B17" i="5"/>
  <c r="D22" i="7"/>
  <c r="F22" i="7" s="1"/>
  <c r="F32" i="7"/>
  <c r="F30" i="7"/>
  <c r="F29" i="7"/>
  <c r="F28" i="7"/>
  <c r="K23" i="3"/>
  <c r="F27" i="7"/>
  <c r="F26" i="7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D17" i="1" s="1"/>
  <c r="K43" i="2"/>
  <c r="C11" i="5"/>
  <c r="C21" i="5" s="1"/>
  <c r="M37" i="4"/>
  <c r="H16" i="5"/>
  <c r="L21" i="4"/>
  <c r="M21" i="4" s="1"/>
  <c r="C17" i="5"/>
  <c r="E15" i="5"/>
  <c r="D12" i="5"/>
  <c r="D7" i="5"/>
  <c r="C22" i="1"/>
  <c r="D16" i="1"/>
  <c r="C7" i="5"/>
  <c r="E5" i="5"/>
  <c r="F5" i="5" s="1"/>
  <c r="B20" i="5" l="1"/>
  <c r="E20" i="5" s="1"/>
  <c r="B21" i="5"/>
  <c r="E21" i="5" s="1"/>
  <c r="C33" i="1"/>
  <c r="D10" i="1"/>
  <c r="E6" i="5"/>
  <c r="F6" i="5" s="1"/>
  <c r="E10" i="5"/>
  <c r="F10" i="5" s="1"/>
  <c r="F5" i="1"/>
  <c r="D8" i="1"/>
  <c r="F8" i="1" s="1"/>
  <c r="F6" i="1"/>
  <c r="C11" i="1"/>
  <c r="B11" i="1"/>
  <c r="L25" i="7" s="1"/>
  <c r="D28" i="1"/>
  <c r="B22" i="1"/>
  <c r="B29" i="1"/>
  <c r="C12" i="5"/>
  <c r="E11" i="5"/>
  <c r="F11" i="5" s="1"/>
  <c r="C29" i="1"/>
  <c r="F16" i="1"/>
  <c r="D22" i="1"/>
  <c r="F22" i="1" s="1"/>
  <c r="D22" i="5"/>
  <c r="F15" i="5"/>
  <c r="E17" i="5"/>
  <c r="D27" i="1" s="1"/>
  <c r="F17" i="1"/>
  <c r="G25" i="7" l="1"/>
  <c r="B22" i="5"/>
  <c r="M25" i="7"/>
  <c r="H22" i="7"/>
  <c r="N21" i="7"/>
  <c r="E22" i="5"/>
  <c r="P31" i="7"/>
  <c r="P29" i="7"/>
  <c r="P27" i="7"/>
  <c r="P26" i="7"/>
  <c r="C32" i="1"/>
  <c r="H6" i="5"/>
  <c r="F28" i="1"/>
  <c r="F10" i="1"/>
  <c r="E7" i="5"/>
  <c r="F21" i="5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N25" i="7" l="1"/>
  <c r="P25" i="7" s="1"/>
  <c r="H25" i="7"/>
  <c r="I25" i="7" s="1"/>
  <c r="K25" i="7" s="1"/>
  <c r="N22" i="7"/>
  <c r="P22" i="7" s="1"/>
  <c r="G22" i="7"/>
  <c r="K31" i="7"/>
  <c r="P32" i="7"/>
  <c r="K30" i="7"/>
  <c r="P30" i="7"/>
  <c r="K29" i="7"/>
  <c r="K28" i="7"/>
  <c r="P28" i="7"/>
  <c r="K27" i="7"/>
  <c r="K26" i="7"/>
  <c r="H21" i="5"/>
  <c r="F22" i="5"/>
  <c r="H22" i="5" s="1"/>
  <c r="H20" i="5"/>
  <c r="I22" i="7" l="1"/>
  <c r="K22" i="7" s="1"/>
  <c r="K32" i="7"/>
  <c r="I21" i="7" l="1"/>
  <c r="P21" i="7"/>
  <c r="K21" i="7" l="1"/>
  <c r="B24" i="7" l="1"/>
  <c r="C24" i="7" l="1"/>
  <c r="D24" i="7" s="1"/>
  <c r="F24" i="7" s="1"/>
  <c r="L24" i="7" l="1"/>
  <c r="M24" i="7"/>
  <c r="H24" i="7" s="1"/>
  <c r="N24" i="7" l="1"/>
  <c r="P24" i="7" s="1"/>
  <c r="G24" i="7"/>
  <c r="I24" i="7" s="1"/>
  <c r="K24" i="7" s="1"/>
  <c r="B23" i="7" l="1"/>
  <c r="G20" i="1"/>
  <c r="G21" i="1"/>
  <c r="D33" i="1"/>
  <c r="I16" i="5"/>
  <c r="I21" i="1" l="1"/>
  <c r="I20" i="1"/>
  <c r="C23" i="7"/>
  <c r="C33" i="7" s="1"/>
  <c r="B33" i="7"/>
  <c r="G18" i="1"/>
  <c r="G19" i="1"/>
  <c r="G16" i="1"/>
  <c r="I5" i="5"/>
  <c r="I19" i="1" l="1"/>
  <c r="I18" i="1"/>
  <c r="D23" i="7"/>
  <c r="D33" i="7" s="1"/>
  <c r="F33" i="7" s="1"/>
  <c r="G17" i="1"/>
  <c r="G7" i="1"/>
  <c r="K5" i="5"/>
  <c r="I16" i="1"/>
  <c r="G5" i="1"/>
  <c r="D32" i="1"/>
  <c r="I10" i="5"/>
  <c r="I15" i="5"/>
  <c r="G27" i="1"/>
  <c r="F23" i="7" l="1"/>
  <c r="I7" i="1"/>
  <c r="I17" i="1"/>
  <c r="D34" i="1"/>
  <c r="E33" i="1" s="1"/>
  <c r="I27" i="1"/>
  <c r="K10" i="5"/>
  <c r="I5" i="1"/>
  <c r="I17" i="5"/>
  <c r="K17" i="5" s="1"/>
  <c r="K15" i="5"/>
  <c r="I6" i="5"/>
  <c r="I11" i="5"/>
  <c r="G28" i="1"/>
  <c r="L23" i="7"/>
  <c r="G10" i="1"/>
  <c r="G6" i="1"/>
  <c r="G8" i="1" s="1"/>
  <c r="G22" i="1"/>
  <c r="I22" i="1" s="1"/>
  <c r="I20" i="5"/>
  <c r="E32" i="1" l="1"/>
  <c r="I6" i="1"/>
  <c r="M23" i="7"/>
  <c r="N23" i="7" s="1"/>
  <c r="I28" i="1"/>
  <c r="K11" i="5"/>
  <c r="I10" i="1"/>
  <c r="I8" i="1"/>
  <c r="G11" i="1"/>
  <c r="I11" i="1" s="1"/>
  <c r="I12" i="5"/>
  <c r="K12" i="5" s="1"/>
  <c r="K6" i="5"/>
  <c r="I7" i="5"/>
  <c r="K7" i="5" s="1"/>
  <c r="G29" i="1"/>
  <c r="I29" i="1" s="1"/>
  <c r="I21" i="5"/>
  <c r="I22" i="5" s="1"/>
  <c r="K22" i="5" s="1"/>
  <c r="G23" i="7"/>
  <c r="L33" i="7"/>
  <c r="K20" i="5"/>
  <c r="H23" i="7" l="1"/>
  <c r="H33" i="7" s="1"/>
  <c r="M33" i="7"/>
  <c r="K21" i="5"/>
  <c r="I23" i="7"/>
  <c r="G33" i="7"/>
  <c r="P23" i="7"/>
  <c r="N33" i="7"/>
  <c r="P33" i="7" s="1"/>
  <c r="K23" i="7" l="1"/>
  <c r="I33" i="7"/>
  <c r="K33" i="7" s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<sst xmlns="http://schemas.openxmlformats.org/spreadsheetml/2006/main" count="700" uniqueCount="250">
  <si>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</si>
  <si>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</si>
  <si>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</si>
  <si>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</si>
  <si>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</si>
  <si>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</si>
  <si>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</si>
  <si>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</si>
  <si>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</si>
  <si>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</si>
  <si>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</si>
  <si>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</si>
  <si>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</si>
  <si>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</si>
  <si>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</si>
  <si>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</si>
  <si>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</si>
  <si>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</si>
  <si>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</si>
  <si>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</si>
  <si>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</si>
  <si>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</si>
  <si>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</si>
  <si>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</si>
  <si>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</si>
  <si>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</si>
  <si>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</si>
  <si>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</si>
  <si>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</si>
  <si>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</si>
  <si>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</si>
  <si>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</si>
  <si>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</si>
  <si>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</si>
  <si>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</si>
  <si>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</si>
  <si>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</si>
  <si>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</si>
  <si>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</si>
  <si>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</si>
  <si>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</si>
  <si>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</si>
  <si>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</si>
  <si>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</si>
  <si>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</si>
  <si>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</si>
  <si>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</si>
  <si>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</si>
  <si>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</si>
  <si>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</si>
  <si>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</si>
  <si>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</si>
  <si>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</si>
  <si>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</si>
  <si>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</si>
  <si>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</si>
  <si>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</si>
  <si>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</si>
  <si>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</si>
  <si>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</si>
  <si>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</si>
  <si>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</si>
  <si>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</si>
  <si>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</si>
  <si>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</si>
  <si>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</si>
  <si>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</si>
  <si>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</si>
  <si>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</si>
  <si>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</si>
  <si>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</si>
  <si>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</si>
  <si>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</si>
  <si>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</si>
  <si>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</si>
  <si>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</si>
  <si>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</si>
  <si>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</si>
  <si>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</si>
  <si>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</si>
  <si>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</si>
  <si>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</si>
  <si>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</si>
  <si>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</si>
  <si>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</si>
  <si>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</si>
  <si>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</si>
  <si>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</si>
  <si>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</si>
  <si>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</si>
  <si>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</si>
  <si>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</si>
  <si>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</si>
  <si>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</si>
  <si>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</si>
  <si>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</si>
  <si>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</si>
  <si>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</si>
  <si>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</si>
  <si>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</si>
  <si>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</si>
  <si>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</si>
  <si>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</si>
  <si>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</si>
  <si>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</si>
  <si>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</si>
  <si>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</si>
  <si>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</si>
  <si>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</si>
  <si>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</si>
  <si>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</si>
  <si>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</si>
  <si>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</si>
  <si>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</si>
  <si>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</si>
  <si>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</si>
  <si>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</si>
  <si>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</si>
  <si>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</si>
  <si>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</si>
  <si>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</si>
  <si>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</si>
  <si>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</si>
  <si>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</si>
  <si>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</si>
  <si>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</si>
  <si>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</si>
  <si>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</si>
  <si>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</si>
  <si>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</si>
  <si>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</si>
  <si>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</si>
  <si>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</si>
  <si>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</si>
  <si>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</si>
  <si>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</si>
  <si>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</si>
  <si>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</si>
  <si>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</si>
  <si>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</si>
  <si>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</si>
  <si>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</si>
  <si>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</si>
  <si>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</si>
  <si>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</si>
  <si>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</si>
  <si>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</si>
  <si>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</si>
  <si>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</si>
  <si>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</si>
  <si>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</si>
  <si>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</si>
  <si>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</si>
  <si>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</si>
  <si>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</si>
  <si>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</si>
  <si>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</si>
  <si>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</si>
  <si>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</si>
  <si>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</si>
  <si>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</si>
  <si>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</si>
  <si>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</si>
  <si>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</si>
  <si>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</si>
  <si>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</si>
  <si>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</si>
  <si>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</si>
  <si>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</si>
  <si>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</si>
  <si>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</si>
  <si>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</si>
  <si>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</si>
  <si>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</si>
  <si>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</si>
  <si>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</si>
  <si>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</si>
  <si>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</si>
  <si>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</si>
  <si>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</si>
  <si>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</si>
  <si>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</si>
  <si>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</si>
  <si>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</si>
  <si>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</si>
  <si>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</si>
  <si>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</si>
  <si>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</si>
  <si>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</si>
  <si>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</si>
  <si>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</si>
  <si>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</si>
  <si>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</si>
  <si>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</si>
  <si>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</si>
  <si>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</si>
  <si>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</si>
  <si>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</si>
  <si>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</si>
  <si>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</si>
  <si>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</si>
  <si>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</si>
  <si>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</si>
  <si>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</si>
  <si>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</si>
  <si>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</si>
  <si>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</si>
  <si>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</si>
  <si>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</si>
  <si>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</si>
  <si>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</si>
  <si>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</si>
  <si>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</si>
  <si>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</si>
  <si>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</si>
  <si>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</si>
  <si>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</si>
  <si>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</si>
  <si>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</si>
  <si>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</si>
  <si>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</si>
  <si>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</si>
  <si>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</si>
  <si>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</si>
  <si>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</si>
  <si>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</si>
  <si>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</si>
  <si>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</si>
  <si>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</si>
  <si>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</si>
  <si>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</si>
  <si>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</si>
  <si>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</si>
  <si>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</si>
  <si>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</si>
  <si>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</si>
  <si>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</si>
  <si>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</si>
  <si>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</si>
  <si>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</si>
  <si>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</si>
  <si>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</si>
  <si>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</si>
  <si>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</si>
  <si>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</si>
  <si>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</si>
  <si>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</si>
  <si>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</si>
  <si>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May 2021</t>
  </si>
  <si>
    <t>Mesa -DHL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</si>
</sst>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1506637</v>
          </cell>
          <cell r="G5">
            <v>5694327</v>
          </cell>
        </row>
        <row r="6">
          <cell r="D6">
            <v>502571</v>
          </cell>
          <cell r="G6">
            <v>1750409</v>
          </cell>
        </row>
        <row r="7">
          <cell r="D7">
            <v>468</v>
          </cell>
          <cell r="G7">
            <v>1320</v>
          </cell>
        </row>
        <row r="10">
          <cell r="D10">
            <v>78595</v>
          </cell>
          <cell r="G10">
            <v>281646</v>
          </cell>
        </row>
        <row r="16">
          <cell r="D16">
            <v>11987</v>
          </cell>
          <cell r="G16">
            <v>54053</v>
          </cell>
        </row>
        <row r="17">
          <cell r="D17">
            <v>9780</v>
          </cell>
          <cell r="G17">
            <v>45588</v>
          </cell>
        </row>
        <row r="18">
          <cell r="D18">
            <v>3</v>
          </cell>
          <cell r="G18">
            <v>10</v>
          </cell>
        </row>
        <row r="19">
          <cell r="D19">
            <v>1377</v>
          </cell>
          <cell r="G19">
            <v>6603</v>
          </cell>
        </row>
        <row r="20">
          <cell r="D20">
            <v>1135</v>
          </cell>
          <cell r="G20">
            <v>5042</v>
          </cell>
        </row>
        <row r="21">
          <cell r="D21">
            <v>130</v>
          </cell>
          <cell r="G21">
            <v>565</v>
          </cell>
        </row>
        <row r="27">
          <cell r="D27">
            <v>16760.242607423701</v>
          </cell>
          <cell r="G27">
            <v>79087.678894351819</v>
          </cell>
        </row>
        <row r="28">
          <cell r="D28">
            <v>2076.7014520429098</v>
          </cell>
          <cell r="G28">
            <v>9099.8671614720097</v>
          </cell>
        </row>
        <row r="32">
          <cell r="B32">
            <v>639966</v>
          </cell>
          <cell r="D32">
            <v>2610888</v>
          </cell>
        </row>
        <row r="33">
          <cell r="B33">
            <v>349196</v>
          </cell>
          <cell r="D33">
            <v>1089797</v>
          </cell>
        </row>
      </sheetData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>
        <row r="5">
          <cell r="F5">
            <v>9447.0744306045799</v>
          </cell>
          <cell r="I5">
            <v>43349.49394643175</v>
          </cell>
        </row>
        <row r="6">
          <cell r="F6">
            <v>935.18635777720999</v>
          </cell>
          <cell r="I6">
            <v>4378.6890800860892</v>
          </cell>
        </row>
        <row r="10">
          <cell r="F10">
            <v>7313.1681768191202</v>
          </cell>
          <cell r="I10">
            <v>35738.184947920068</v>
          </cell>
        </row>
        <row r="11">
          <cell r="F11">
            <v>1141.5150942656999</v>
          </cell>
          <cell r="I11">
            <v>4721.1780813859195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16760.242607423701</v>
          </cell>
          <cell r="I20">
            <v>79087.678894351819</v>
          </cell>
        </row>
        <row r="21">
          <cell r="F21">
            <v>2076.7014520429098</v>
          </cell>
          <cell r="I21">
            <v>9099.8671614720097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7704174</v>
          </cell>
        </row>
        <row r="6">
          <cell r="G6">
            <v>1547744</v>
          </cell>
        </row>
        <row r="7">
          <cell r="G7">
            <v>4081</v>
          </cell>
        </row>
        <row r="10">
          <cell r="G10">
            <v>264162</v>
          </cell>
        </row>
        <row r="16">
          <cell r="G16">
            <v>57795</v>
          </cell>
        </row>
        <row r="17">
          <cell r="G17">
            <v>32410</v>
          </cell>
        </row>
        <row r="18">
          <cell r="G18">
            <v>39</v>
          </cell>
        </row>
        <row r="19">
          <cell r="G19">
            <v>5270</v>
          </cell>
        </row>
        <row r="20">
          <cell r="G20">
            <v>4941</v>
          </cell>
        </row>
        <row r="21">
          <cell r="G21">
            <v>316</v>
          </cell>
        </row>
        <row r="27">
          <cell r="G27">
            <v>67362.78559795476</v>
          </cell>
        </row>
        <row r="28">
          <cell r="G28">
            <v>7769.95292991918</v>
          </cell>
        </row>
        <row r="32">
          <cell r="D32">
            <v>3281072</v>
          </cell>
        </row>
        <row r="33">
          <cell r="D33">
            <v>1340182</v>
          </cell>
        </row>
      </sheetData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>
        <row r="5">
          <cell r="I5">
            <v>38619.840491612376</v>
          </cell>
        </row>
        <row r="6">
          <cell r="I6">
            <v>4234.5474039322298</v>
          </cell>
        </row>
        <row r="10">
          <cell r="I10">
            <v>28742.945106342388</v>
          </cell>
        </row>
        <row r="11">
          <cell r="I11">
            <v>3535.4055259869501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67362.785597954775</v>
          </cell>
        </row>
        <row r="21">
          <cell r="I21">
            <v>7769.95292991918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3"/>
      <sheetData sheetId="4">
        <row r="15">
          <cell r="HV15">
            <v>16</v>
          </cell>
        </row>
        <row r="16">
          <cell r="HV16">
            <v>16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</row>
        <row r="32">
          <cell r="HV32">
            <v>3072</v>
          </cell>
        </row>
        <row r="33">
          <cell r="HV33">
            <v>3870</v>
          </cell>
        </row>
        <row r="37">
          <cell r="HV37">
            <v>20</v>
          </cell>
        </row>
        <row r="38">
          <cell r="HV38">
            <v>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</row>
        <row r="47">
          <cell r="HV47">
            <v>262246</v>
          </cell>
        </row>
        <row r="52">
          <cell r="HV52">
            <v>72432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</row>
      </sheetData>
      <sheetData sheetId="5">
        <row r="4">
          <cell r="HV4">
            <v>38</v>
          </cell>
        </row>
        <row r="5">
          <cell r="HV5">
            <v>38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</row>
        <row r="22">
          <cell r="HV22">
            <v>5724</v>
          </cell>
        </row>
        <row r="23">
          <cell r="HV23">
            <v>5106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7">
        <row r="4">
          <cell r="HV4">
            <v>80</v>
          </cell>
        </row>
        <row r="5">
          <cell r="HV5">
            <v>81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</row>
        <row r="22">
          <cell r="HV22">
            <v>11470</v>
          </cell>
        </row>
        <row r="23">
          <cell r="HV23">
            <v>11870</v>
          </cell>
        </row>
        <row r="27">
          <cell r="HV27">
            <v>268</v>
          </cell>
        </row>
        <row r="28">
          <cell r="HV28">
            <v>332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</row>
        <row r="47">
          <cell r="HV47">
            <v>9720</v>
          </cell>
        </row>
        <row r="52">
          <cell r="HV52">
            <v>9831</v>
          </cell>
        </row>
        <row r="53">
          <cell r="HV53">
            <v>5420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</row>
      </sheetData>
      <sheetData sheetId="8"/>
      <sheetData sheetId="9">
        <row r="4">
          <cell r="HV4">
            <v>246</v>
          </cell>
        </row>
        <row r="5">
          <cell r="HV5">
            <v>248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</row>
        <row r="22">
          <cell r="HV22">
            <v>40050</v>
          </cell>
        </row>
        <row r="23">
          <cell r="HV23">
            <v>38307</v>
          </cell>
        </row>
        <row r="27">
          <cell r="HV27">
            <v>837</v>
          </cell>
        </row>
        <row r="28">
          <cell r="HV28">
            <v>1067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</row>
        <row r="47">
          <cell r="HV47">
            <v>27279</v>
          </cell>
        </row>
        <row r="48">
          <cell r="HV48">
            <v>81074</v>
          </cell>
        </row>
        <row r="52">
          <cell r="HV52">
            <v>4183</v>
          </cell>
        </row>
        <row r="53">
          <cell r="HV53">
            <v>4951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</row>
      </sheetData>
      <sheetData sheetId="10"/>
      <sheetData sheetId="11">
        <row r="4">
          <cell r="HV4">
            <v>4599</v>
          </cell>
        </row>
        <row r="5">
          <cell r="HV5">
            <v>4599</v>
          </cell>
        </row>
        <row r="8">
          <cell r="HV8">
            <v>1</v>
          </cell>
        </row>
        <row r="9">
          <cell r="HV9">
            <v>6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</row>
        <row r="22">
          <cell r="HV22">
            <v>696530</v>
          </cell>
        </row>
        <row r="23">
          <cell r="HV23">
            <v>669896</v>
          </cell>
        </row>
        <row r="27">
          <cell r="HV27">
            <v>21002</v>
          </cell>
        </row>
        <row r="28">
          <cell r="HV28">
            <v>21018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</row>
        <row r="47">
          <cell r="HV47">
            <v>2274354</v>
          </cell>
        </row>
        <row r="48">
          <cell r="HV48">
            <v>1594203</v>
          </cell>
        </row>
        <row r="52">
          <cell r="HV52">
            <v>1718000</v>
          </cell>
        </row>
        <row r="53">
          <cell r="HV53">
            <v>1568033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</row>
        <row r="70">
          <cell r="HV70">
            <v>396513</v>
          </cell>
        </row>
        <row r="71">
          <cell r="HV71">
            <v>273383</v>
          </cell>
        </row>
        <row r="73">
          <cell r="HV73">
            <v>33516</v>
          </cell>
        </row>
        <row r="74">
          <cell r="HV74">
            <v>23108</v>
          </cell>
        </row>
      </sheetData>
      <sheetData sheetId="12">
        <row r="4">
          <cell r="HV4">
            <v>667</v>
          </cell>
        </row>
        <row r="5">
          <cell r="HV5">
            <v>688</v>
          </cell>
        </row>
        <row r="8">
          <cell r="HV8">
            <v>86</v>
          </cell>
        </row>
        <row r="9">
          <cell r="HV9">
            <v>61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</row>
        <row r="22">
          <cell r="HV22">
            <v>111868</v>
          </cell>
        </row>
        <row r="23">
          <cell r="HV23">
            <v>105102</v>
          </cell>
        </row>
        <row r="27">
          <cell r="HV27">
            <v>2283</v>
          </cell>
        </row>
        <row r="28">
          <cell r="HV28">
            <v>2328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</row>
        <row r="47">
          <cell r="HV47">
            <v>36786</v>
          </cell>
        </row>
        <row r="48">
          <cell r="HV48">
            <v>111753</v>
          </cell>
        </row>
        <row r="52">
          <cell r="HV52">
            <v>116</v>
          </cell>
        </row>
        <row r="53">
          <cell r="HV53">
            <v>114538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</row>
        <row r="70">
          <cell r="HV70">
            <v>105102</v>
          </cell>
        </row>
        <row r="73">
          <cell r="HV73">
            <v>1554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14">
        <row r="15">
          <cell r="HV15">
            <v>1</v>
          </cell>
        </row>
        <row r="16">
          <cell r="HV16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</row>
        <row r="32">
          <cell r="HV32">
            <v>181</v>
          </cell>
        </row>
        <row r="33">
          <cell r="HV33">
            <v>214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15">
        <row r="4">
          <cell r="HV4">
            <v>80</v>
          </cell>
        </row>
        <row r="5">
          <cell r="HV5">
            <v>80</v>
          </cell>
        </row>
        <row r="8">
          <cell r="HV8">
            <v>1</v>
          </cell>
        </row>
        <row r="9">
          <cell r="HV9">
            <v>1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</row>
        <row r="22">
          <cell r="HV22">
            <v>874</v>
          </cell>
        </row>
        <row r="23">
          <cell r="HV23">
            <v>862</v>
          </cell>
        </row>
        <row r="27">
          <cell r="HV27">
            <v>46</v>
          </cell>
        </row>
        <row r="28">
          <cell r="HV28">
            <v>58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16">
        <row r="4">
          <cell r="HV4">
            <v>32</v>
          </cell>
        </row>
        <row r="5">
          <cell r="HV5">
            <v>32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</row>
        <row r="22">
          <cell r="HV22">
            <v>5285</v>
          </cell>
        </row>
        <row r="23">
          <cell r="HV23">
            <v>4867</v>
          </cell>
        </row>
        <row r="27">
          <cell r="HV27">
            <v>37</v>
          </cell>
        </row>
        <row r="28">
          <cell r="HV28">
            <v>50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</row>
        <row r="16">
          <cell r="HU16">
            <v>3</v>
          </cell>
          <cell r="HV16">
            <v>27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</row>
        <row r="32">
          <cell r="HU32">
            <v>185</v>
          </cell>
          <cell r="HV32">
            <v>2821</v>
          </cell>
        </row>
        <row r="33">
          <cell r="HU33">
            <v>330</v>
          </cell>
          <cell r="HV33">
            <v>3640</v>
          </cell>
        </row>
        <row r="37">
          <cell r="HV37">
            <v>29</v>
          </cell>
        </row>
        <row r="38">
          <cell r="HU38">
            <v>6</v>
          </cell>
          <cell r="HV38">
            <v>35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</row>
        <row r="47">
          <cell r="HV47">
            <v>7938</v>
          </cell>
        </row>
        <row r="52">
          <cell r="HV52">
            <v>436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</row>
      </sheetData>
      <sheetData sheetId="19">
        <row r="4">
          <cell r="HV4">
            <v>90</v>
          </cell>
        </row>
        <row r="5">
          <cell r="HV5">
            <v>90</v>
          </cell>
        </row>
        <row r="8">
          <cell r="HV8">
            <v>1</v>
          </cell>
        </row>
        <row r="9">
          <cell r="HV9">
            <v>1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</row>
        <row r="22">
          <cell r="HV22">
            <v>10611</v>
          </cell>
        </row>
        <row r="23">
          <cell r="HV23">
            <v>10251</v>
          </cell>
        </row>
        <row r="27">
          <cell r="HV27">
            <v>231</v>
          </cell>
        </row>
        <row r="28">
          <cell r="HV28">
            <v>228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20">
        <row r="4">
          <cell r="HV4">
            <v>354</v>
          </cell>
        </row>
        <row r="5">
          <cell r="HV5">
            <v>355</v>
          </cell>
        </row>
        <row r="8">
          <cell r="HV8">
            <v>3</v>
          </cell>
        </row>
        <row r="9">
          <cell r="HV9">
            <v>3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</row>
        <row r="22">
          <cell r="HV22">
            <v>49423</v>
          </cell>
        </row>
        <row r="23">
          <cell r="HV23">
            <v>48299</v>
          </cell>
        </row>
        <row r="27">
          <cell r="HV27">
            <v>1286</v>
          </cell>
        </row>
        <row r="28">
          <cell r="HV28">
            <v>1281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</row>
        <row r="47">
          <cell r="HV47">
            <v>53740</v>
          </cell>
        </row>
        <row r="48">
          <cell r="HV48">
            <v>31295</v>
          </cell>
        </row>
        <row r="52">
          <cell r="HV52">
            <v>37405</v>
          </cell>
        </row>
        <row r="53">
          <cell r="HV53">
            <v>6394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</row>
        <row r="47">
          <cell r="HV47">
            <v>394892</v>
          </cell>
        </row>
        <row r="52">
          <cell r="HV52">
            <v>101229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</row>
      </sheetData>
      <sheetData sheetId="22"/>
      <sheetData sheetId="23"/>
      <sheetData sheetId="24">
        <row r="4">
          <cell r="HV4">
            <v>384</v>
          </cell>
        </row>
        <row r="5">
          <cell r="HV5">
            <v>383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</row>
        <row r="22">
          <cell r="HV22">
            <v>54255</v>
          </cell>
        </row>
        <row r="23">
          <cell r="HV23">
            <v>50876</v>
          </cell>
        </row>
        <row r="27">
          <cell r="HV27">
            <v>951</v>
          </cell>
        </row>
        <row r="28">
          <cell r="HV28">
            <v>1052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</row>
        <row r="47">
          <cell r="HV47">
            <v>173667</v>
          </cell>
        </row>
        <row r="52">
          <cell r="HV52">
            <v>37782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</row>
        <row r="70">
          <cell r="HV70">
            <v>50669</v>
          </cell>
        </row>
        <row r="71">
          <cell r="HV71">
            <v>207</v>
          </cell>
        </row>
      </sheetData>
      <sheetData sheetId="25">
        <row r="4">
          <cell r="HV4">
            <v>76</v>
          </cell>
        </row>
        <row r="5">
          <cell r="HV5">
            <v>77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</row>
        <row r="22">
          <cell r="HV22">
            <v>11252</v>
          </cell>
        </row>
        <row r="23">
          <cell r="HV23">
            <v>11050</v>
          </cell>
        </row>
        <row r="27">
          <cell r="HV27">
            <v>79</v>
          </cell>
        </row>
        <row r="28">
          <cell r="HV28">
            <v>72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29">
        <row r="4">
          <cell r="HV4">
            <v>114</v>
          </cell>
        </row>
        <row r="5">
          <cell r="HV5">
            <v>113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</row>
        <row r="22">
          <cell r="HV22">
            <v>6693</v>
          </cell>
        </row>
        <row r="23">
          <cell r="HV23">
            <v>6763</v>
          </cell>
        </row>
        <row r="27">
          <cell r="HV27">
            <v>228</v>
          </cell>
        </row>
        <row r="28">
          <cell r="HV28">
            <v>263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</row>
        <row r="47">
          <cell r="HV47">
            <v>3160</v>
          </cell>
        </row>
        <row r="52">
          <cell r="HV52">
            <v>2150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</row>
      </sheetData>
      <sheetData sheetId="3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4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42">
        <row r="4">
          <cell r="HV4">
            <v>38</v>
          </cell>
        </row>
        <row r="5">
          <cell r="HV5">
            <v>38</v>
          </cell>
        </row>
        <row r="9">
          <cell r="HV9">
            <v>1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</row>
        <row r="22">
          <cell r="HV22">
            <v>2625</v>
          </cell>
        </row>
        <row r="23">
          <cell r="HV23">
            <v>2612</v>
          </cell>
        </row>
        <row r="27">
          <cell r="HV27">
            <v>109</v>
          </cell>
        </row>
        <row r="28">
          <cell r="HV28">
            <v>59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43">
        <row r="15">
          <cell r="HV15">
            <v>59</v>
          </cell>
        </row>
        <row r="16">
          <cell r="HV16">
            <v>60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</row>
        <row r="32">
          <cell r="HV32">
            <v>3526</v>
          </cell>
        </row>
        <row r="33">
          <cell r="HV33">
            <v>3644</v>
          </cell>
        </row>
        <row r="37">
          <cell r="HV37">
            <v>52</v>
          </cell>
        </row>
        <row r="38">
          <cell r="HV38">
            <v>50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</row>
        <row r="47">
          <cell r="HV47">
            <v>811.7</v>
          </cell>
        </row>
        <row r="52">
          <cell r="HV52">
            <v>836.1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</row>
      </sheetData>
      <sheetData sheetId="44">
        <row r="4">
          <cell r="HV4">
            <v>53</v>
          </cell>
        </row>
        <row r="5">
          <cell r="HV5">
            <v>53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</row>
        <row r="22">
          <cell r="HV22">
            <v>3787</v>
          </cell>
        </row>
        <row r="23">
          <cell r="HV23">
            <v>3703</v>
          </cell>
        </row>
        <row r="27">
          <cell r="HV27">
            <v>90</v>
          </cell>
        </row>
        <row r="28">
          <cell r="HV28">
            <v>104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45"/>
      <sheetData sheetId="46"/>
      <sheetData sheetId="47">
        <row r="4">
          <cell r="HV4">
            <v>723</v>
          </cell>
        </row>
        <row r="5">
          <cell r="HV5">
            <v>719</v>
          </cell>
        </row>
        <row r="9">
          <cell r="HV9">
            <v>2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</row>
        <row r="22">
          <cell r="HV22">
            <v>38250</v>
          </cell>
        </row>
        <row r="23">
          <cell r="HV23">
            <v>37907</v>
          </cell>
        </row>
        <row r="27">
          <cell r="HV27">
            <v>1520</v>
          </cell>
        </row>
        <row r="28">
          <cell r="HV28">
            <v>1445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  <row r="70">
          <cell r="HV70">
            <v>13279</v>
          </cell>
        </row>
        <row r="71">
          <cell r="HV71">
            <v>24628</v>
          </cell>
        </row>
        <row r="73">
          <cell r="HV73">
            <v>910</v>
          </cell>
        </row>
        <row r="74">
          <cell r="HV74">
            <v>1689</v>
          </cell>
        </row>
      </sheetData>
      <sheetData sheetId="48">
        <row r="4">
          <cell r="HV4">
            <v>63</v>
          </cell>
        </row>
        <row r="5">
          <cell r="HV5">
            <v>63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</row>
        <row r="22">
          <cell r="HV22">
            <v>4244</v>
          </cell>
        </row>
        <row r="23">
          <cell r="HV23">
            <v>4416</v>
          </cell>
        </row>
        <row r="27">
          <cell r="HV27">
            <v>78</v>
          </cell>
        </row>
        <row r="28">
          <cell r="HV28">
            <v>106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</row>
        <row r="47">
          <cell r="HV47">
            <v>40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</row>
      </sheetData>
      <sheetData sheetId="49">
        <row r="4">
          <cell r="HV4">
            <v>115</v>
          </cell>
        </row>
        <row r="5">
          <cell r="HV5">
            <v>115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</row>
        <row r="22">
          <cell r="HV22">
            <v>8151</v>
          </cell>
        </row>
        <row r="23">
          <cell r="HV23">
            <v>7740</v>
          </cell>
        </row>
        <row r="27">
          <cell r="HV27">
            <v>171</v>
          </cell>
        </row>
        <row r="28">
          <cell r="HV28">
            <v>251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</row>
        <row r="47">
          <cell r="HV47">
            <v>847</v>
          </cell>
        </row>
        <row r="52">
          <cell r="HV52">
            <v>251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</row>
      </sheetData>
      <sheetData sheetId="50">
        <row r="4">
          <cell r="HV4">
            <v>68</v>
          </cell>
        </row>
        <row r="5">
          <cell r="HV5">
            <v>66</v>
          </cell>
        </row>
        <row r="9">
          <cell r="HV9">
            <v>2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</row>
        <row r="22">
          <cell r="HV22">
            <v>4523</v>
          </cell>
        </row>
        <row r="23">
          <cell r="HV23">
            <v>4380</v>
          </cell>
        </row>
        <row r="27">
          <cell r="HV27">
            <v>108</v>
          </cell>
        </row>
        <row r="28">
          <cell r="HV28">
            <v>101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52">
        <row r="4">
          <cell r="HV4">
            <v>3193</v>
          </cell>
        </row>
        <row r="5">
          <cell r="HV5">
            <v>3193</v>
          </cell>
        </row>
        <row r="9">
          <cell r="HV9">
            <v>4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</row>
        <row r="22">
          <cell r="HV22">
            <v>199346</v>
          </cell>
        </row>
        <row r="23">
          <cell r="HV23">
            <v>197801</v>
          </cell>
        </row>
        <row r="27">
          <cell r="HV27">
            <v>6164</v>
          </cell>
        </row>
        <row r="28">
          <cell r="HV28">
            <v>5852</v>
          </cell>
        </row>
        <row r="32">
          <cell r="HR32">
            <v>364</v>
          </cell>
          <cell r="HT32">
            <v>194</v>
          </cell>
          <cell r="HU32">
            <v>2311</v>
          </cell>
        </row>
        <row r="33">
          <cell r="HR33">
            <v>191</v>
          </cell>
          <cell r="HT33">
            <v>163</v>
          </cell>
          <cell r="HU33">
            <v>2425</v>
          </cell>
        </row>
        <row r="37">
          <cell r="HR37">
            <v>0</v>
          </cell>
          <cell r="HT37">
            <v>1</v>
          </cell>
          <cell r="HU37">
            <v>19</v>
          </cell>
        </row>
        <row r="38">
          <cell r="HR38">
            <v>5</v>
          </cell>
          <cell r="HT38">
            <v>2</v>
          </cell>
          <cell r="HU38">
            <v>24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  <row r="70">
          <cell r="HV70">
            <v>77401</v>
          </cell>
        </row>
        <row r="71">
          <cell r="HV71">
            <v>120400</v>
          </cell>
        </row>
      </sheetData>
      <sheetData sheetId="53"/>
      <sheetData sheetId="54">
        <row r="4">
          <cell r="HV4">
            <v>4</v>
          </cell>
        </row>
        <row r="5">
          <cell r="HV5">
            <v>4</v>
          </cell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</row>
        <row r="22">
          <cell r="HV22">
            <v>245</v>
          </cell>
        </row>
        <row r="23">
          <cell r="HV23">
            <v>236</v>
          </cell>
        </row>
        <row r="27">
          <cell r="HV27">
            <v>10</v>
          </cell>
        </row>
        <row r="28">
          <cell r="HV28">
            <v>7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</row>
        <row r="47">
          <cell r="HV47">
            <v>367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4">
          <cell r="HV4">
            <v>1</v>
          </cell>
        </row>
        <row r="5">
          <cell r="HV5">
            <v>1</v>
          </cell>
        </row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4">
          <cell r="HV4">
            <v>1</v>
          </cell>
        </row>
        <row r="5">
          <cell r="HV5">
            <v>1</v>
          </cell>
        </row>
        <row r="15">
          <cell r="HT15">
            <v>1</v>
          </cell>
        </row>
        <row r="22">
          <cell r="HV22">
            <v>73</v>
          </cell>
        </row>
        <row r="23">
          <cell r="HV23">
            <v>70</v>
          </cell>
        </row>
        <row r="32">
          <cell r="HT32">
            <v>55</v>
          </cell>
        </row>
      </sheetData>
      <sheetData sheetId="65">
        <row r="4">
          <cell r="HV4">
            <v>30</v>
          </cell>
        </row>
        <row r="5">
          <cell r="HV5">
            <v>30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</row>
        <row r="47">
          <cell r="HV47">
            <v>2146405</v>
          </cell>
        </row>
        <row r="52">
          <cell r="HV52">
            <v>822564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</row>
      </sheetData>
      <sheetData sheetId="66">
        <row r="4">
          <cell r="HV4">
            <v>31</v>
          </cell>
        </row>
        <row r="5">
          <cell r="HV5">
            <v>31</v>
          </cell>
        </row>
        <row r="8">
          <cell r="HV8">
            <v>1</v>
          </cell>
        </row>
        <row r="9">
          <cell r="HV9">
            <v>1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</row>
        <row r="47">
          <cell r="HV47">
            <v>917986</v>
          </cell>
        </row>
        <row r="52">
          <cell r="HV52">
            <v>880597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</row>
      </sheetData>
      <sheetData sheetId="67">
        <row r="4">
          <cell r="HV4">
            <v>2</v>
          </cell>
        </row>
        <row r="5">
          <cell r="HV5">
            <v>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</row>
        <row r="47">
          <cell r="HV47">
            <v>63162</v>
          </cell>
        </row>
        <row r="52">
          <cell r="HV52">
            <v>68442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70">
        <row r="4">
          <cell r="HV4">
            <v>36</v>
          </cell>
        </row>
        <row r="5">
          <cell r="HV5">
            <v>36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</row>
        <row r="47">
          <cell r="HV47">
            <v>50535</v>
          </cell>
        </row>
        <row r="52">
          <cell r="HV52">
            <v>48206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</row>
      </sheetData>
      <sheetData sheetId="71">
        <row r="12">
          <cell r="HV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</row>
      </sheetData>
      <sheetData sheetId="73">
        <row r="4">
          <cell r="HV4">
            <v>39</v>
          </cell>
        </row>
        <row r="5">
          <cell r="HV5">
            <v>39</v>
          </cell>
        </row>
        <row r="12">
          <cell r="HV12">
            <v>78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</row>
        <row r="47">
          <cell r="HV47">
            <v>1051687</v>
          </cell>
        </row>
        <row r="52">
          <cell r="HV52">
            <v>488407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75">
        <row r="4">
          <cell r="HV4">
            <v>1</v>
          </cell>
        </row>
        <row r="5">
          <cell r="HV5">
            <v>1</v>
          </cell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</row>
        <row r="47">
          <cell r="HV47">
            <v>1051687</v>
          </cell>
        </row>
        <row r="52">
          <cell r="HV52">
            <v>488407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77"/>
      <sheetData sheetId="78">
        <row r="4">
          <cell r="HV4">
            <v>131</v>
          </cell>
        </row>
        <row r="5">
          <cell r="HV5">
            <v>131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</row>
        <row r="47">
          <cell r="HV47">
            <v>6627436</v>
          </cell>
        </row>
        <row r="52">
          <cell r="HV52">
            <v>8016887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</row>
      </sheetData>
      <sheetData sheetId="79">
        <row r="4">
          <cell r="HV4">
            <v>20</v>
          </cell>
        </row>
        <row r="5">
          <cell r="HV5">
            <v>20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</row>
        <row r="48">
          <cell r="HV48">
            <v>50985</v>
          </cell>
        </row>
        <row r="52">
          <cell r="HV52">
            <v>112373</v>
          </cell>
        </row>
        <row r="53">
          <cell r="HV53">
            <v>106605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</row>
      </sheetData>
      <sheetData sheetId="80">
        <row r="4">
          <cell r="HV4">
            <v>16</v>
          </cell>
        </row>
        <row r="5">
          <cell r="HV5">
            <v>16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</row>
        <row r="47">
          <cell r="HV47">
            <v>62139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</row>
      </sheetData>
      <sheetData sheetId="81">
        <row r="4">
          <cell r="HV4">
            <v>134</v>
          </cell>
        </row>
        <row r="5">
          <cell r="HV5">
            <v>134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</row>
        <row r="47">
          <cell r="HV47">
            <v>341171</v>
          </cell>
        </row>
        <row r="48">
          <cell r="HV48">
            <v>6381055</v>
          </cell>
        </row>
        <row r="52">
          <cell r="HV52">
            <v>623055</v>
          </cell>
        </row>
        <row r="53">
          <cell r="HV53">
            <v>4790949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</row>
      </sheetData>
      <sheetData sheetId="82"/>
      <sheetData sheetId="83"/>
      <sheetData sheetId="84"/>
      <sheetData sheetId="85">
        <row r="4">
          <cell r="HV4">
            <v>200</v>
          </cell>
        </row>
        <row r="5">
          <cell r="HV5">
            <v>200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87"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88">
        <row r="4">
          <cell r="HV4">
            <v>40</v>
          </cell>
        </row>
        <row r="5">
          <cell r="HV5">
            <v>37</v>
          </cell>
        </row>
      </sheetData>
      <sheetData sheetId="89">
        <row r="4">
          <cell r="HV4">
            <v>824</v>
          </cell>
        </row>
        <row r="5">
          <cell r="HV5">
            <v>825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E13" sqref="E13:E1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44682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1050869</v>
      </c>
      <c r="C5" s="10">
        <f>'Major Airline Stats'!K5</f>
        <v>1026283</v>
      </c>
      <c r="D5" s="2">
        <f>'Major Airline Stats'!K6</f>
        <v>2077152</v>
      </c>
      <c r="E5" s="2">
        <f>'[1]Monthly Summary'!D5</f>
        <v>1506637</v>
      </c>
      <c r="F5" s="3">
        <f>(D5-E5)/E5</f>
        <v>0.37866785430067096</v>
      </c>
      <c r="G5" s="2">
        <f>+'[2]Monthly Summary'!G5+D5</f>
        <v>9781326</v>
      </c>
      <c r="H5" s="2">
        <f>+'[1]Monthly Summary'!G5</f>
        <v>5694327</v>
      </c>
      <c r="I5" s="66">
        <f>(G5-H5)/H5</f>
        <v>0.71773170033965383</v>
      </c>
      <c r="J5" s="2"/>
    </row>
    <row r="6" spans="1:14" x14ac:dyDescent="0.2">
      <c r="A6" s="51" t="s">
        <v>5</v>
      </c>
      <c r="B6" s="231">
        <f>'Regional Major'!M5</f>
        <v>274072</v>
      </c>
      <c r="C6" s="231">
        <f>'Regional Major'!M6</f>
        <v>271801</v>
      </c>
      <c r="D6" s="2">
        <f>B6+C6</f>
        <v>545873</v>
      </c>
      <c r="E6" s="2">
        <f>'[1]Monthly Summary'!D6</f>
        <v>502571</v>
      </c>
      <c r="F6" s="3">
        <f>(D6-E6)/E6</f>
        <v>8.6160960341921833E-2</v>
      </c>
      <c r="G6" s="2">
        <f>+'[2]Monthly Summary'!G6+D6</f>
        <v>2093617</v>
      </c>
      <c r="H6" s="2">
        <f>+'[1]Monthly Summary'!G6</f>
        <v>1750409</v>
      </c>
      <c r="I6" s="66">
        <f>(G6-H6)/H6</f>
        <v>0.19607303207421808</v>
      </c>
      <c r="K6" s="2"/>
    </row>
    <row r="7" spans="1:14" x14ac:dyDescent="0.2">
      <c r="A7" s="51" t="s">
        <v>6</v>
      </c>
      <c r="B7" s="2">
        <f>Charter!G5</f>
        <v>73</v>
      </c>
      <c r="C7" s="231">
        <f>Charter!G6</f>
        <v>258</v>
      </c>
      <c r="D7" s="2">
        <f>B7+C7</f>
        <v>331</v>
      </c>
      <c r="E7" s="2">
        <f>'[1]Monthly Summary'!D7</f>
        <v>468</v>
      </c>
      <c r="F7" s="3">
        <f>(D7-E7)/E7</f>
        <v>-0.29273504273504275</v>
      </c>
      <c r="G7" s="2">
        <f>+'[2]Monthly Summary'!G7+D7</f>
        <v>4412</v>
      </c>
      <c r="H7" s="2">
        <f>+'[1]Monthly Summary'!G7</f>
        <v>1320</v>
      </c>
      <c r="I7" s="66">
        <f>(G7-H7)/H7</f>
        <v>2.3424242424242423</v>
      </c>
      <c r="K7" s="2"/>
    </row>
    <row r="8" spans="1:14" x14ac:dyDescent="0.2">
      <c r="A8" s="53" t="s">
        <v>7</v>
      </c>
      <c r="B8" s="120">
        <f>SUM(B5:B7)</f>
        <v>1325014</v>
      </c>
      <c r="C8" s="120">
        <f>SUM(C5:C7)</f>
        <v>1298342</v>
      </c>
      <c r="D8" s="120">
        <f>SUM(D5:D7)</f>
        <v>2623356</v>
      </c>
      <c r="E8" s="120">
        <f>SUM(E5:E7)</f>
        <v>2009676</v>
      </c>
      <c r="F8" s="72">
        <f>(D8-E8)/E8</f>
        <v>0.30536265547282249</v>
      </c>
      <c r="G8" s="120">
        <f>SUM(G5:G7)</f>
        <v>11879355</v>
      </c>
      <c r="H8" s="120">
        <f>SUM(H5:H7)</f>
        <v>7446056</v>
      </c>
      <c r="I8" s="71">
        <f>(G8-H8)/H8</f>
        <v>0.59538888775480603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36688</v>
      </c>
      <c r="C10" s="232">
        <f>'Major Airline Stats'!K10+'Regional Major'!M11</f>
        <v>37069</v>
      </c>
      <c r="D10" s="97">
        <f>SUM(B10:C10)</f>
        <v>73757</v>
      </c>
      <c r="E10" s="97">
        <f>'[1]Monthly Summary'!D10</f>
        <v>78595</v>
      </c>
      <c r="F10" s="73">
        <f>(D10-E10)/E10</f>
        <v>-6.1556078630956169E-2</v>
      </c>
      <c r="G10" s="448">
        <f>+'[2]Monthly Summary'!G10+D10</f>
        <v>337919</v>
      </c>
      <c r="H10" s="448">
        <f>+'[1]Monthly Summary'!G10</f>
        <v>281646</v>
      </c>
      <c r="I10" s="76">
        <f>(G10-H10)/H10</f>
        <v>0.19980045873188329</v>
      </c>
      <c r="J10" s="170"/>
    </row>
    <row r="11" spans="1:14" ht="15.75" thickBot="1" x14ac:dyDescent="0.3">
      <c r="A11" s="52" t="s">
        <v>13</v>
      </c>
      <c r="B11" s="211">
        <f>B10+B8</f>
        <v>1361702</v>
      </c>
      <c r="C11" s="211">
        <f>C10+C8</f>
        <v>1335411</v>
      </c>
      <c r="D11" s="211">
        <f>D10+D8</f>
        <v>2697113</v>
      </c>
      <c r="E11" s="211">
        <f>E10+E8</f>
        <v>2088271</v>
      </c>
      <c r="F11" s="74">
        <f>(D11-E11)/E11</f>
        <v>0.29155315569674628</v>
      </c>
      <c r="G11" s="211">
        <f>G8+G10</f>
        <v>12217274</v>
      </c>
      <c r="H11" s="211">
        <f>H8+H10</f>
        <v>7727702</v>
      </c>
      <c r="I11" s="77">
        <f>(G11-H11)/H11</f>
        <v>0.5809711606374055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7163</v>
      </c>
      <c r="C16" s="240">
        <f>'Major Airline Stats'!K16+'Major Airline Stats'!K20</f>
        <v>7168</v>
      </c>
      <c r="D16" s="32">
        <f t="shared" ref="D16:D21" si="0">SUM(B16:C16)</f>
        <v>14331</v>
      </c>
      <c r="E16" s="2">
        <f>'[1]Monthly Summary'!D16</f>
        <v>11987</v>
      </c>
      <c r="F16" s="75">
        <f t="shared" ref="F16:F22" si="1">(D16-E16)/E16</f>
        <v>0.19554517393843329</v>
      </c>
      <c r="G16" s="2">
        <f>+'[2]Monthly Summary'!G16+D16</f>
        <v>72126</v>
      </c>
      <c r="H16" s="2">
        <f>+'[1]Monthly Summary'!G16</f>
        <v>54053</v>
      </c>
      <c r="I16" s="202">
        <f t="shared" ref="I16:I22" si="2">(G16-H16)/H16</f>
        <v>0.33435701996188927</v>
      </c>
      <c r="N16" s="96"/>
    </row>
    <row r="17" spans="1:12" x14ac:dyDescent="0.2">
      <c r="A17" s="51" t="s">
        <v>5</v>
      </c>
      <c r="B17" s="32">
        <f>'Regional Major'!M15+'Regional Major'!M18</f>
        <v>4477</v>
      </c>
      <c r="C17" s="32">
        <f>'Regional Major'!M16+'Regional Major'!M19</f>
        <v>4480</v>
      </c>
      <c r="D17" s="32">
        <f>SUM(B17:C17)</f>
        <v>8957</v>
      </c>
      <c r="E17" s="2">
        <f>'[1]Monthly Summary'!D17</f>
        <v>9780</v>
      </c>
      <c r="F17" s="75">
        <f t="shared" si="1"/>
        <v>-8.4151329243353779E-2</v>
      </c>
      <c r="G17" s="2">
        <f>+'[2]Monthly Summary'!G17+D17</f>
        <v>41367</v>
      </c>
      <c r="H17" s="2">
        <f>+'[1]Monthly Summary'!G17</f>
        <v>45588</v>
      </c>
      <c r="I17" s="202">
        <f t="shared" si="2"/>
        <v>-9.259015530402738E-2</v>
      </c>
      <c r="L17" s="2"/>
    </row>
    <row r="18" spans="1:12" x14ac:dyDescent="0.2">
      <c r="A18" s="51" t="s">
        <v>10</v>
      </c>
      <c r="B18" s="32">
        <f>Charter!G10</f>
        <v>2</v>
      </c>
      <c r="C18" s="32">
        <f>Charter!G11</f>
        <v>2</v>
      </c>
      <c r="D18" s="32">
        <f t="shared" si="0"/>
        <v>4</v>
      </c>
      <c r="E18" s="2">
        <f>'[1]Monthly Summary'!D18</f>
        <v>3</v>
      </c>
      <c r="F18" s="75">
        <f t="shared" si="1"/>
        <v>0.33333333333333331</v>
      </c>
      <c r="G18" s="2">
        <f>+'[2]Monthly Summary'!G18+D18</f>
        <v>43</v>
      </c>
      <c r="H18" s="2">
        <f>+'[1]Monthly Summary'!G18</f>
        <v>10</v>
      </c>
      <c r="I18" s="202">
        <f t="shared" si="2"/>
        <v>3.3</v>
      </c>
    </row>
    <row r="19" spans="1:12" x14ac:dyDescent="0.2">
      <c r="A19" s="51" t="s">
        <v>11</v>
      </c>
      <c r="B19" s="32">
        <f>Cargo!S4+Cargo!S8</f>
        <v>641</v>
      </c>
      <c r="C19" s="32">
        <f>Cargo!S5+Cargo!S9</f>
        <v>641</v>
      </c>
      <c r="D19" s="32">
        <f t="shared" si="0"/>
        <v>1282</v>
      </c>
      <c r="E19" s="2">
        <f>'[1]Monthly Summary'!D19</f>
        <v>1377</v>
      </c>
      <c r="F19" s="75">
        <f t="shared" si="1"/>
        <v>-6.8990559186637615E-2</v>
      </c>
      <c r="G19" s="2">
        <f>+'[2]Monthly Summary'!G19+D19</f>
        <v>6552</v>
      </c>
      <c r="H19" s="2">
        <f>+'[1]Monthly Summary'!G19</f>
        <v>6603</v>
      </c>
      <c r="I19" s="202">
        <f t="shared" si="2"/>
        <v>-7.7237619263970918E-3</v>
      </c>
    </row>
    <row r="20" spans="1:12" x14ac:dyDescent="0.2">
      <c r="A20" s="51" t="s">
        <v>148</v>
      </c>
      <c r="B20" s="32">
        <f>'[3]General Avation'!$HV$4</f>
        <v>824</v>
      </c>
      <c r="C20" s="32">
        <f>'[3]General Avation'!$HV$5</f>
        <v>825</v>
      </c>
      <c r="D20" s="32">
        <f t="shared" si="0"/>
        <v>1649</v>
      </c>
      <c r="E20" s="2">
        <f>'[1]Monthly Summary'!D20</f>
        <v>1135</v>
      </c>
      <c r="F20" s="75">
        <f t="shared" si="1"/>
        <v>0.45286343612334801</v>
      </c>
      <c r="G20" s="2">
        <f>+'[2]Monthly Summary'!G20+D20</f>
        <v>6590</v>
      </c>
      <c r="H20" s="2">
        <f>+'[1]Monthly Summary'!G20</f>
        <v>5042</v>
      </c>
      <c r="I20" s="202">
        <f t="shared" si="2"/>
        <v>0.30702102340341136</v>
      </c>
    </row>
    <row r="21" spans="1:12" ht="12.75" customHeight="1" x14ac:dyDescent="0.2">
      <c r="A21" s="51" t="s">
        <v>12</v>
      </c>
      <c r="B21" s="11">
        <f>'[3]Military '!$HV$4</f>
        <v>40</v>
      </c>
      <c r="C21" s="11">
        <f>'[3]Military '!$HV$5</f>
        <v>37</v>
      </c>
      <c r="D21" s="11">
        <f t="shared" si="0"/>
        <v>77</v>
      </c>
      <c r="E21" s="97">
        <f>'[1]Monthly Summary'!D21</f>
        <v>130</v>
      </c>
      <c r="F21" s="200">
        <f t="shared" si="1"/>
        <v>-0.40769230769230769</v>
      </c>
      <c r="G21" s="448">
        <f>+'[2]Monthly Summary'!G21+D21</f>
        <v>393</v>
      </c>
      <c r="H21" s="448">
        <f>+'[1]Monthly Summary'!G21</f>
        <v>565</v>
      </c>
      <c r="I21" s="203">
        <f t="shared" si="2"/>
        <v>-0.30442477876106194</v>
      </c>
    </row>
    <row r="22" spans="1:12" ht="15.75" thickBot="1" x14ac:dyDescent="0.3">
      <c r="A22" s="52" t="s">
        <v>28</v>
      </c>
      <c r="B22" s="212">
        <f>SUM(B16:B21)</f>
        <v>13147</v>
      </c>
      <c r="C22" s="212">
        <f>SUM(C16:C21)</f>
        <v>13153</v>
      </c>
      <c r="D22" s="212">
        <f>SUM(D16:D21)</f>
        <v>26300</v>
      </c>
      <c r="E22" s="212">
        <f>SUM(E16:E21)</f>
        <v>24412</v>
      </c>
      <c r="F22" s="209">
        <f t="shared" si="1"/>
        <v>7.7339013599868917E-2</v>
      </c>
      <c r="G22" s="212">
        <f>SUM(G16:G21)</f>
        <v>127071</v>
      </c>
      <c r="H22" s="212">
        <f>SUM(H16:H21)</f>
        <v>111861</v>
      </c>
      <c r="I22" s="210">
        <f t="shared" si="2"/>
        <v>0.13597232279346688</v>
      </c>
    </row>
    <row r="23" spans="1:12" x14ac:dyDescent="0.2">
      <c r="B23" s="96"/>
      <c r="C23" s="96"/>
      <c r="L23" s="2"/>
    </row>
    <row r="24" spans="1:12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2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6" t="s">
        <v>15</v>
      </c>
      <c r="B27" s="14">
        <f>(Cargo!S16+'Major Airline Stats'!K28+'Regional Major'!M25)*0.00045359237</f>
        <v>7057.0153575550084</v>
      </c>
      <c r="C27" s="14">
        <f>(Cargo!S21+'Major Airline Stats'!K33+'Regional Major'!M30)*0.00045359237</f>
        <v>6138.732754475167</v>
      </c>
      <c r="D27" s="14">
        <f>(SUM(B27:C27)+('Cargo Summary'!E17*0.00045359237))</f>
        <v>13195.748112030175</v>
      </c>
      <c r="E27" s="2">
        <f>'[1]Monthly Summary'!D27</f>
        <v>16760.242607423701</v>
      </c>
      <c r="F27" s="78">
        <f>(D27-E27)/E27</f>
        <v>-0.21267559061553717</v>
      </c>
      <c r="G27" s="2">
        <f>+'[2]Monthly Summary'!G27+D27</f>
        <v>80558.533709984942</v>
      </c>
      <c r="H27" s="2">
        <f>+'[1]Monthly Summary'!G27</f>
        <v>79087.678894351819</v>
      </c>
      <c r="I27" s="80">
        <f>(G27-H27)/H27</f>
        <v>1.8597774472531234E-2</v>
      </c>
    </row>
    <row r="28" spans="1:12" x14ac:dyDescent="0.2">
      <c r="A28" s="46" t="s">
        <v>16</v>
      </c>
      <c r="B28" s="14">
        <f>(Cargo!S17+'Major Airline Stats'!K29+'Regional Major'!M26)*0.00045359237</f>
        <v>3742.30261371505</v>
      </c>
      <c r="C28" s="14">
        <f>(Cargo!S22+'Major Airline Stats'!K34+'Regional Major'!M31)*0.00045359237</f>
        <v>2992.2989697293001</v>
      </c>
      <c r="D28" s="14">
        <f>SUM(B28:C28)</f>
        <v>6734.6015834443497</v>
      </c>
      <c r="E28" s="2">
        <f>'[1]Monthly Summary'!D28</f>
        <v>2076.7014520429098</v>
      </c>
      <c r="F28" s="78">
        <f>(D28-E28)/E28</f>
        <v>2.2429319952655367</v>
      </c>
      <c r="G28" s="2">
        <f>+'[2]Monthly Summary'!G28+D28</f>
        <v>14504.55451336353</v>
      </c>
      <c r="H28" s="2">
        <f>+'[1]Monthly Summary'!G28</f>
        <v>9099.8671614720097</v>
      </c>
      <c r="I28" s="80">
        <f>(G28-H28)/H28</f>
        <v>0.59393035700284313</v>
      </c>
    </row>
    <row r="29" spans="1:12" ht="15.75" thickBot="1" x14ac:dyDescent="0.3">
      <c r="A29" s="47" t="s">
        <v>62</v>
      </c>
      <c r="B29" s="39">
        <f>SUM(B27:B28)</f>
        <v>10799.317971270058</v>
      </c>
      <c r="C29" s="39">
        <f>SUM(C27:C28)</f>
        <v>9131.0317242044675</v>
      </c>
      <c r="D29" s="39">
        <f>SUM(D27:D28)</f>
        <v>19930.349695474524</v>
      </c>
      <c r="E29" s="39">
        <f>SUM(E27:E28)</f>
        <v>18836.944059466612</v>
      </c>
      <c r="F29" s="79">
        <f>(D29-E29)/E29</f>
        <v>5.8045807884555191E-2</v>
      </c>
      <c r="G29" s="39">
        <f>SUM(G27:G28)</f>
        <v>95063.088223348474</v>
      </c>
      <c r="H29" s="39">
        <f>SUM(H27:H28)</f>
        <v>88187.546055823826</v>
      </c>
      <c r="I29" s="81">
        <f>(G29-H29)/H29</f>
        <v>7.7965001579387891E-2</v>
      </c>
    </row>
    <row r="30" spans="1:12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2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2" x14ac:dyDescent="0.2">
      <c r="A32" s="315" t="s">
        <v>145</v>
      </c>
      <c r="B32" s="316">
        <f>C8-B33</f>
        <v>854927</v>
      </c>
      <c r="C32" s="317">
        <f>B32/C8</f>
        <v>0.65847596396018926</v>
      </c>
      <c r="D32" s="318">
        <f>+B32+'[2]Monthly Summary'!D32</f>
        <v>4135999</v>
      </c>
      <c r="E32" s="319">
        <f>+D32/D34</f>
        <v>0.69869616102179943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443415</v>
      </c>
      <c r="C33" s="322">
        <f>+B33/C8</f>
        <v>0.3415240360398108</v>
      </c>
      <c r="D33" s="323">
        <f>+B33+'[2]Monthly Summary'!D33</f>
        <v>1783597</v>
      </c>
      <c r="E33" s="324">
        <f>+D33/D34</f>
        <v>0.30130383897820057</v>
      </c>
      <c r="I33" s="332"/>
    </row>
    <row r="34" spans="1:14" ht="13.5" thickBot="1" x14ac:dyDescent="0.25">
      <c r="B34" s="244"/>
      <c r="D34" s="325">
        <f>SUM(D32:D33)</f>
        <v>5919596</v>
      </c>
    </row>
    <row r="35" spans="1:14" ht="13.5" thickBot="1" x14ac:dyDescent="0.25">
      <c r="B35" s="455" t="s">
        <v>248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639966</v>
      </c>
      <c r="C36" s="317">
        <f>+B36/B38</f>
        <v>0.64697794698947186</v>
      </c>
      <c r="D36" s="318">
        <f>+'[1]Monthly Summary'!D32</f>
        <v>2610888</v>
      </c>
      <c r="E36" s="319">
        <f>+D36/D38</f>
        <v>0.70551478982945048</v>
      </c>
    </row>
    <row r="37" spans="1:14" ht="13.5" thickBot="1" x14ac:dyDescent="0.25">
      <c r="A37" s="320" t="s">
        <v>146</v>
      </c>
      <c r="B37" s="321">
        <f>'[1]Monthly Summary'!$B$33</f>
        <v>349196</v>
      </c>
      <c r="C37" s="324">
        <f>+B37/B38</f>
        <v>0.35302205301052808</v>
      </c>
      <c r="D37" s="323">
        <f>+'[1]Monthly Summary'!D33</f>
        <v>1089797</v>
      </c>
      <c r="E37" s="324">
        <f>+D37/D38</f>
        <v>0.29448521017054952</v>
      </c>
      <c r="M37" s="1"/>
    </row>
    <row r="38" spans="1:14" x14ac:dyDescent="0.2">
      <c r="B38" s="337">
        <f>+SUM(B36:B37)</f>
        <v>989162</v>
      </c>
      <c r="D38" s="325">
        <f>SUM(D36:D37)</f>
        <v>3700685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topLeftCell="A13" zoomScaleNormal="100" zoomScaleSheetLayoutView="100" workbookViewId="0">
      <selection activeCell="S35" sqref="S3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44682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[3]Delta!$HV$32</f>
        <v>41405</v>
      </c>
      <c r="C4" s="13">
        <f>'[3]Atlantic Southeast'!$HV$32</f>
        <v>0</v>
      </c>
      <c r="D4" s="13">
        <f>[3]Pinnacle!$HV$32</f>
        <v>2682</v>
      </c>
      <c r="E4" s="13">
        <f>'[3]Sky West'!$HV$32</f>
        <v>0</v>
      </c>
      <c r="F4" s="13">
        <f>'[3]Go Jet'!$HV$32</f>
        <v>0</v>
      </c>
      <c r="G4" s="13">
        <f>'[3]Sun Country'!$HV$32</f>
        <v>2078</v>
      </c>
      <c r="H4" s="13">
        <f>[3]Icelandair!$HV$32</f>
        <v>2821</v>
      </c>
      <c r="I4" s="13">
        <f>[3]KLM!$HV$32</f>
        <v>3970</v>
      </c>
      <c r="J4" s="13">
        <f>'[3]Air Georgian'!$HV$32</f>
        <v>0</v>
      </c>
      <c r="K4" s="13">
        <f>'[3]Sky Regional'!$HV$32</f>
        <v>0</v>
      </c>
      <c r="L4" s="13">
        <f>[3]Condor!$HV$32</f>
        <v>181</v>
      </c>
      <c r="M4" s="13">
        <f>'[3]Aer Lingus'!$HV$32</f>
        <v>0</v>
      </c>
      <c r="N4" s="13">
        <f>'[3]Air France'!$HV$32</f>
        <v>3072</v>
      </c>
      <c r="O4" s="13">
        <f>[3]Frontier!$HV$32</f>
        <v>0</v>
      </c>
      <c r="P4" s="13">
        <f>'[3]Charter Misc'!$HV$32+[3]Ryan!$HV$32+[3]Omni!$HV$32</f>
        <v>0</v>
      </c>
      <c r="Q4" s="219">
        <f>SUM(B4:P4)</f>
        <v>56209</v>
      </c>
    </row>
    <row r="5" spans="1:17" x14ac:dyDescent="0.2">
      <c r="A5" s="46" t="s">
        <v>31</v>
      </c>
      <c r="B5" s="7">
        <f>[3]Delta!$HV$33</f>
        <v>56624</v>
      </c>
      <c r="C5" s="7">
        <f>'[3]Atlantic Southeast'!$HV$33</f>
        <v>0</v>
      </c>
      <c r="D5" s="7">
        <f>[3]Pinnacle!$HV$33</f>
        <v>2599</v>
      </c>
      <c r="E5" s="7">
        <f>'[3]Sky West'!$HV$33</f>
        <v>0</v>
      </c>
      <c r="F5" s="7">
        <f>'[3]Go Jet'!$HV$33</f>
        <v>0</v>
      </c>
      <c r="G5" s="7">
        <f>'[3]Sun Country'!$HV$33</f>
        <v>1554</v>
      </c>
      <c r="H5" s="7">
        <f>[3]Icelandair!$HV$33</f>
        <v>3640</v>
      </c>
      <c r="I5" s="7">
        <f>[3]KLM!$HV$33</f>
        <v>3895</v>
      </c>
      <c r="J5" s="7">
        <f>'[3]Air Georgian'!$HV$33</f>
        <v>0</v>
      </c>
      <c r="K5" s="7">
        <f>'[3]Sky Regional'!$HV$33</f>
        <v>0</v>
      </c>
      <c r="L5" s="7">
        <f>[3]Condor!$HV$33</f>
        <v>214</v>
      </c>
      <c r="M5" s="7">
        <f>'[3]Aer Lingus'!$HV$33</f>
        <v>0</v>
      </c>
      <c r="N5" s="7">
        <f>'[3]Air France'!$HV$33</f>
        <v>3870</v>
      </c>
      <c r="O5" s="7">
        <f>[3]Frontier!$HV$33</f>
        <v>0</v>
      </c>
      <c r="P5" s="7">
        <f>'[3]Charter Misc'!$HV$33++[3]Ryan!$HV$33+[3]Omni!$HV$33</f>
        <v>188</v>
      </c>
      <c r="Q5" s="220">
        <f>SUM(B5:P5)</f>
        <v>72584</v>
      </c>
    </row>
    <row r="6" spans="1:17" ht="15" x14ac:dyDescent="0.25">
      <c r="A6" s="44" t="s">
        <v>7</v>
      </c>
      <c r="B6" s="25">
        <f t="shared" ref="B6:P6" si="0">SUM(B4:B5)</f>
        <v>98029</v>
      </c>
      <c r="C6" s="25">
        <f t="shared" si="0"/>
        <v>0</v>
      </c>
      <c r="D6" s="25">
        <f t="shared" si="0"/>
        <v>5281</v>
      </c>
      <c r="E6" s="25">
        <f t="shared" si="0"/>
        <v>0</v>
      </c>
      <c r="F6" s="25">
        <f t="shared" ref="F6" si="1">SUM(F4:F5)</f>
        <v>0</v>
      </c>
      <c r="G6" s="25">
        <f t="shared" si="0"/>
        <v>3632</v>
      </c>
      <c r="H6" s="25">
        <f t="shared" si="0"/>
        <v>6461</v>
      </c>
      <c r="I6" s="25">
        <f t="shared" ref="I6" si="2">SUM(I4:I5)</f>
        <v>7865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395</v>
      </c>
      <c r="M6" s="25">
        <f t="shared" si="4"/>
        <v>0</v>
      </c>
      <c r="N6" s="25">
        <f t="shared" si="0"/>
        <v>6942</v>
      </c>
      <c r="O6" s="25">
        <f t="shared" si="0"/>
        <v>0</v>
      </c>
      <c r="P6" s="25">
        <f t="shared" si="0"/>
        <v>188</v>
      </c>
      <c r="Q6" s="221">
        <f>SUM(B6:P6)</f>
        <v>128793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[3]Delta!$HV$37</f>
        <v>1004</v>
      </c>
      <c r="C9" s="13">
        <f>'[3]Atlantic Southeast'!$HV$37</f>
        <v>0</v>
      </c>
      <c r="D9" s="13">
        <f>[3]Pinnacle!$HV$37</f>
        <v>38</v>
      </c>
      <c r="E9" s="13">
        <f>'[3]Sky West'!$HV$37</f>
        <v>0</v>
      </c>
      <c r="F9" s="13">
        <f>'[3]Go Jet'!$HV$37</f>
        <v>0</v>
      </c>
      <c r="G9" s="13">
        <f>'[3]Sun Country'!$HV$37</f>
        <v>42</v>
      </c>
      <c r="H9" s="13">
        <f>[3]Icelandair!$HV$37</f>
        <v>29</v>
      </c>
      <c r="I9" s="13">
        <f>[3]KLM!$HV$37</f>
        <v>5</v>
      </c>
      <c r="J9" s="13">
        <f>'[3]Air Georgian'!$HV$37</f>
        <v>0</v>
      </c>
      <c r="K9" s="13">
        <f>'[3]Sky Regional'!$HV$37</f>
        <v>0</v>
      </c>
      <c r="L9" s="13">
        <f>[3]Condor!$HV$37</f>
        <v>0</v>
      </c>
      <c r="M9" s="13">
        <f>'[3]Aer Lingus'!$HV$37</f>
        <v>0</v>
      </c>
      <c r="N9" s="13">
        <f>'[3]Air France'!$HV$37</f>
        <v>20</v>
      </c>
      <c r="O9" s="13">
        <f>[3]Frontier!$HV$37</f>
        <v>0</v>
      </c>
      <c r="P9" s="13">
        <f>'[3]Charter Misc'!$HV$37+[3]Ryan!$HV$37+[3]Omni!$HV$37</f>
        <v>0</v>
      </c>
      <c r="Q9" s="219">
        <f>SUM(B9:P9)</f>
        <v>1138</v>
      </c>
    </row>
    <row r="10" spans="1:17" x14ac:dyDescent="0.2">
      <c r="A10" s="46" t="s">
        <v>33</v>
      </c>
      <c r="B10" s="7">
        <f>[3]Delta!$HV$38</f>
        <v>1200</v>
      </c>
      <c r="C10" s="7">
        <f>'[3]Atlantic Southeast'!$HV$38</f>
        <v>0</v>
      </c>
      <c r="D10" s="7">
        <f>[3]Pinnacle!$HV$38</f>
        <v>57</v>
      </c>
      <c r="E10" s="7">
        <f>'[3]Sky West'!$HV$38</f>
        <v>0</v>
      </c>
      <c r="F10" s="7">
        <f>'[3]Go Jet'!$HV$38</f>
        <v>0</v>
      </c>
      <c r="G10" s="7">
        <f>'[3]Sun Country'!$HV$38</f>
        <v>44</v>
      </c>
      <c r="H10" s="7">
        <f>[3]Icelandair!$HV$38</f>
        <v>35</v>
      </c>
      <c r="I10" s="7">
        <f>[3]KLM!$HV$38</f>
        <v>8</v>
      </c>
      <c r="J10" s="7">
        <f>'[3]Air Georgian'!$HV$38</f>
        <v>0</v>
      </c>
      <c r="K10" s="7">
        <f>'[3]Sky Regional'!$HV$38</f>
        <v>0</v>
      </c>
      <c r="L10" s="7">
        <f>[3]Condor!$HV$38</f>
        <v>0</v>
      </c>
      <c r="M10" s="7">
        <f>'[3]Aer Lingus'!$HV$38</f>
        <v>0</v>
      </c>
      <c r="N10" s="7">
        <f>'[3]Air France'!$HV$38</f>
        <v>1</v>
      </c>
      <c r="O10" s="7">
        <f>[3]Frontier!$HV$38</f>
        <v>0</v>
      </c>
      <c r="P10" s="7">
        <f>'[3]Charter Misc'!$HV$38+[3]Ryan!$HV$38+[3]Omni!$HV$38</f>
        <v>0</v>
      </c>
      <c r="Q10" s="220">
        <f>SUM(B10:P10)</f>
        <v>1345</v>
      </c>
    </row>
    <row r="11" spans="1:17" ht="15.75" thickBot="1" x14ac:dyDescent="0.3">
      <c r="A11" s="47" t="s">
        <v>34</v>
      </c>
      <c r="B11" s="222">
        <f t="shared" ref="B11:G11" si="5">SUM(B9:B10)</f>
        <v>2204</v>
      </c>
      <c r="C11" s="222">
        <f t="shared" si="5"/>
        <v>0</v>
      </c>
      <c r="D11" s="222">
        <f t="shared" si="5"/>
        <v>95</v>
      </c>
      <c r="E11" s="222">
        <f t="shared" si="5"/>
        <v>0</v>
      </c>
      <c r="F11" s="222">
        <f t="shared" ref="F11" si="6">SUM(F9:F10)</f>
        <v>0</v>
      </c>
      <c r="G11" s="222">
        <f t="shared" si="5"/>
        <v>86</v>
      </c>
      <c r="H11" s="222">
        <f t="shared" ref="H11:P11" si="7">SUM(H9:H10)</f>
        <v>64</v>
      </c>
      <c r="I11" s="222">
        <f t="shared" ref="I11" si="8">SUM(I9:I10)</f>
        <v>13</v>
      </c>
      <c r="J11" s="222">
        <f t="shared" si="7"/>
        <v>0</v>
      </c>
      <c r="K11" s="222">
        <f t="shared" ref="K11" si="9">SUM(K9:K10)</f>
        <v>0</v>
      </c>
      <c r="L11" s="222">
        <f t="shared" si="7"/>
        <v>0</v>
      </c>
      <c r="M11" s="222">
        <f t="shared" ref="M11" si="10">SUM(M9:M10)</f>
        <v>0</v>
      </c>
      <c r="N11" s="222">
        <f t="shared" si="7"/>
        <v>21</v>
      </c>
      <c r="O11" s="222">
        <f t="shared" si="7"/>
        <v>0</v>
      </c>
      <c r="P11" s="222">
        <f t="shared" si="7"/>
        <v>0</v>
      </c>
      <c r="Q11" s="223">
        <f>SUM(B11:P11)</f>
        <v>2483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SUM([3]Delta!$HR$32:$HV$32)</f>
        <v>268492</v>
      </c>
      <c r="C16" s="13">
        <f>SUM('[3]Atlantic Southeast'!$HR$32:$HV$32)</f>
        <v>0</v>
      </c>
      <c r="D16" s="13">
        <f>SUM([3]Pinnacle!$HR$32:$HV$32)</f>
        <v>7293</v>
      </c>
      <c r="E16" s="13">
        <f>SUM('[3]Sky West'!$HR$32:$HV$32)</f>
        <v>2869</v>
      </c>
      <c r="F16" s="13">
        <f>SUM('[3]Go Jet'!$HR$32:$HV$32)</f>
        <v>0</v>
      </c>
      <c r="G16" s="13">
        <f>SUM('[3]Sun Country'!$HR$32:$HV$32)</f>
        <v>107698</v>
      </c>
      <c r="H16" s="13">
        <f>SUM([3]Icelandair!$HR$32:$HV$32)</f>
        <v>3006</v>
      </c>
      <c r="I16" s="13">
        <f>SUM([3]KLM!$HR$32:$HV$32)</f>
        <v>14961</v>
      </c>
      <c r="J16" s="13">
        <f>SUM('[3]Air Georgian'!$HR$32:$HV$32)</f>
        <v>0</v>
      </c>
      <c r="K16" s="13">
        <f>SUM('[3]Sky Regional'!$HR$32:$HV$32)</f>
        <v>0</v>
      </c>
      <c r="L16" s="13">
        <f>SUM([3]Condor!$HR$32:$HV$32)</f>
        <v>181</v>
      </c>
      <c r="M16" s="13">
        <f>SUM('[3]Aer Lingus'!$HR$32:$HV$32)</f>
        <v>0</v>
      </c>
      <c r="N16" s="13">
        <f>SUM('[3]Air France'!$HR$32:$HV$32)</f>
        <v>3072</v>
      </c>
      <c r="O16" s="13">
        <f>SUM([3]Frontier!$HR$32:$HV$32)</f>
        <v>9678</v>
      </c>
      <c r="P16" s="13">
        <f>SUM('[3]Charter Misc'!$HR$32:$HV$32)+SUM([3]Ryan!$HR$32:$HV$32)+SUM([3]Omni!$HR$32:$HV$32)</f>
        <v>263</v>
      </c>
      <c r="Q16" s="219">
        <f>SUM(B16:P16)</f>
        <v>417513</v>
      </c>
    </row>
    <row r="17" spans="1:20" x14ac:dyDescent="0.2">
      <c r="A17" s="46" t="s">
        <v>31</v>
      </c>
      <c r="B17" s="7">
        <f>SUM([3]Delta!$HR$33:$HV$33)</f>
        <v>284094</v>
      </c>
      <c r="C17" s="7">
        <f>SUM('[3]Atlantic Southeast'!$HR$33:$HV$33)</f>
        <v>0</v>
      </c>
      <c r="D17" s="7">
        <f>SUM([3]Pinnacle!$HR$33:$HV$33)</f>
        <v>6746</v>
      </c>
      <c r="E17" s="7">
        <f>SUM('[3]Sky West'!$HR$33:$HV$33)</f>
        <v>2779</v>
      </c>
      <c r="F17" s="7">
        <f>SUM('[3]Go Jet'!$HR$33:$HV$33)</f>
        <v>0</v>
      </c>
      <c r="G17" s="7">
        <f>SUM('[3]Sun Country'!$HR$33:$HV$33)</f>
        <v>100716</v>
      </c>
      <c r="H17" s="7">
        <f>SUM([3]Icelandair!$HR$33:$HV$33)</f>
        <v>3970</v>
      </c>
      <c r="I17" s="7">
        <f>SUM([3]KLM!$HR$33:$HV$33)</f>
        <v>12512</v>
      </c>
      <c r="J17" s="7">
        <f>SUM('[3]Air Georgian'!$HR$33:$HV$33)</f>
        <v>0</v>
      </c>
      <c r="K17" s="7">
        <f>SUM('[3]Sky Regional'!$HR$33:$HV$33)</f>
        <v>0</v>
      </c>
      <c r="L17" s="7">
        <f>SUM([3]Condor!$HR$33:$HV$33)</f>
        <v>214</v>
      </c>
      <c r="M17" s="7">
        <f>SUM('[3]Aer Lingus'!$HR$33:$HV$33)</f>
        <v>0</v>
      </c>
      <c r="N17" s="7">
        <f>SUM('[3]Air France'!$HR$33:$HV$33)</f>
        <v>3870</v>
      </c>
      <c r="O17" s="7">
        <f>SUM([3]Frontier!$HR$33:$HV$33)</f>
        <v>11586</v>
      </c>
      <c r="P17" s="7">
        <f>SUM('[3]Charter Misc'!$HR$33:$HV$33)++SUM([3]Ryan!$HR$33:$HV$33)+SUM([3]Omni!$HR$33:$HV$33)</f>
        <v>395</v>
      </c>
      <c r="Q17" s="220">
        <f>SUM(B17:P17)</f>
        <v>426882</v>
      </c>
    </row>
    <row r="18" spans="1:20" ht="15" x14ac:dyDescent="0.25">
      <c r="A18" s="44" t="s">
        <v>7</v>
      </c>
      <c r="B18" s="25">
        <f t="shared" ref="B18:P18" si="11">SUM(B16:B17)</f>
        <v>552586</v>
      </c>
      <c r="C18" s="25">
        <f t="shared" si="11"/>
        <v>0</v>
      </c>
      <c r="D18" s="25">
        <f t="shared" si="11"/>
        <v>14039</v>
      </c>
      <c r="E18" s="25">
        <f t="shared" si="11"/>
        <v>5648</v>
      </c>
      <c r="F18" s="25">
        <f t="shared" ref="F18" si="12">SUM(F16:F17)</f>
        <v>0</v>
      </c>
      <c r="G18" s="25">
        <f t="shared" si="11"/>
        <v>208414</v>
      </c>
      <c r="H18" s="25">
        <f t="shared" si="11"/>
        <v>6976</v>
      </c>
      <c r="I18" s="25">
        <f t="shared" ref="I18" si="13">SUM(I16:I17)</f>
        <v>27473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395</v>
      </c>
      <c r="M18" s="25">
        <f t="shared" si="15"/>
        <v>0</v>
      </c>
      <c r="N18" s="25">
        <f t="shared" si="11"/>
        <v>6942</v>
      </c>
      <c r="O18" s="25">
        <f t="shared" si="11"/>
        <v>21264</v>
      </c>
      <c r="P18" s="25">
        <f t="shared" si="11"/>
        <v>658</v>
      </c>
      <c r="Q18" s="221">
        <f>SUM(B18:P18)</f>
        <v>844395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SUM([3]Delta!$HR$37:$HV$37)</f>
        <v>4976</v>
      </c>
      <c r="C21" s="13">
        <f>SUM('[3]Atlantic Southeast'!$HR$37:$HV$37)</f>
        <v>0</v>
      </c>
      <c r="D21" s="13">
        <f>SUM([3]Pinnacle!$HR$37:$HV$37)</f>
        <v>137</v>
      </c>
      <c r="E21" s="13">
        <f>SUM('[3]Sky West'!$HR$37:$HV$37)</f>
        <v>20</v>
      </c>
      <c r="F21" s="13">
        <f>SUM('[3]Go Jet'!$HR$37:$HV$37)</f>
        <v>0</v>
      </c>
      <c r="G21" s="13">
        <f>SUM('[3]Sun Country'!$HR$37:$HV$37)</f>
        <v>1420</v>
      </c>
      <c r="H21" s="13">
        <f>SUM([3]Icelandair!$HR$37:$HV$37)</f>
        <v>29</v>
      </c>
      <c r="I21" s="13">
        <f>SUM([3]KLM!$HR$37:$HV$37)</f>
        <v>40</v>
      </c>
      <c r="J21" s="13">
        <f>SUM('[3]Air Georgian'!$HR$37:$HV$37)</f>
        <v>0</v>
      </c>
      <c r="K21" s="13">
        <f>SUM('[3]Sky Regional'!$HR$37:$HV$37)</f>
        <v>0</v>
      </c>
      <c r="L21" s="13">
        <f>SUM([3]Condor!$HR$37:$HV$37)</f>
        <v>0</v>
      </c>
      <c r="M21" s="13">
        <f>SUM('[3]Aer Lingus'!$HR$37:$HV$37)</f>
        <v>0</v>
      </c>
      <c r="N21" s="13">
        <f>SUM('[3]Air France'!$HR$37:$HV$37)</f>
        <v>20</v>
      </c>
      <c r="O21" s="13">
        <f>SUM([3]Frontier!$HR$37:$HV$37)</f>
        <v>21</v>
      </c>
      <c r="P21" s="13">
        <f>SUM('[3]Charter Misc'!$HR$37:$HV$37)++SUM([3]Ryan!$HR$37:$HV$37)+SUM([3]Omni!$HR$37:$HV$37)</f>
        <v>0</v>
      </c>
      <c r="Q21" s="219">
        <f>SUM(B21:P21)</f>
        <v>6663</v>
      </c>
    </row>
    <row r="22" spans="1:20" x14ac:dyDescent="0.2">
      <c r="A22" s="46" t="s">
        <v>33</v>
      </c>
      <c r="B22" s="7">
        <f>SUM([3]Delta!$HR$38:$HV$38)</f>
        <v>5294</v>
      </c>
      <c r="C22" s="7">
        <f>SUM('[3]Atlantic Southeast'!$HR$38:$HV$38)</f>
        <v>0</v>
      </c>
      <c r="D22" s="7">
        <f>SUM([3]Pinnacle!$HR$38:$HV$38)</f>
        <v>133</v>
      </c>
      <c r="E22" s="7">
        <f>SUM('[3]Sky West'!$HR$38:$HV$38)</f>
        <v>31</v>
      </c>
      <c r="F22" s="7">
        <f>SUM('[3]Go Jet'!$HR$38:$HV$38)</f>
        <v>0</v>
      </c>
      <c r="G22" s="7">
        <f>SUM('[3]Sun Country'!$HR$38:$HV$38)</f>
        <v>1392</v>
      </c>
      <c r="H22" s="7">
        <f>SUM([3]Icelandair!$HR$38:$HV$38)</f>
        <v>41</v>
      </c>
      <c r="I22" s="7">
        <f>SUM([3]KLM!$HR$38:$HV$38)</f>
        <v>11</v>
      </c>
      <c r="J22" s="7">
        <f>SUM('[3]Air Georgian'!$HR$38:$HV$38)</f>
        <v>0</v>
      </c>
      <c r="K22" s="7">
        <f>SUM('[3]Sky Regional'!$HR$38:$HV$38)</f>
        <v>0</v>
      </c>
      <c r="L22" s="7">
        <f>SUM([3]Condor!$HR$38:$HV$38)</f>
        <v>0</v>
      </c>
      <c r="M22" s="7">
        <f>SUM('[3]Aer Lingus'!$HR$38:$HV$38)</f>
        <v>0</v>
      </c>
      <c r="N22" s="7">
        <f>SUM('[3]Air France'!$HR$38:$HV$38)</f>
        <v>1</v>
      </c>
      <c r="O22" s="7">
        <f>SUM([3]Frontier!$HR$38:$HV$38)</f>
        <v>11</v>
      </c>
      <c r="P22" s="7">
        <f>SUM('[3]Charter Misc'!$HR$38:$HV$38)++SUM([3]Ryan!$HR$38:$HV$38)+SUM([3]Omni!$HR$38:$HV$38)</f>
        <v>0</v>
      </c>
      <c r="Q22" s="220">
        <f>SUM(B22:P22)</f>
        <v>6914</v>
      </c>
    </row>
    <row r="23" spans="1:20" ht="15.75" thickBot="1" x14ac:dyDescent="0.3">
      <c r="A23" s="47" t="s">
        <v>34</v>
      </c>
      <c r="B23" s="222">
        <f t="shared" ref="B23:P23" si="16">SUM(B21:B22)</f>
        <v>10270</v>
      </c>
      <c r="C23" s="222">
        <f t="shared" si="16"/>
        <v>0</v>
      </c>
      <c r="D23" s="222">
        <f t="shared" si="16"/>
        <v>270</v>
      </c>
      <c r="E23" s="222">
        <f t="shared" si="16"/>
        <v>51</v>
      </c>
      <c r="F23" s="222">
        <f t="shared" ref="F23" si="17">SUM(F21:F22)</f>
        <v>0</v>
      </c>
      <c r="G23" s="222">
        <f t="shared" si="16"/>
        <v>2812</v>
      </c>
      <c r="H23" s="222">
        <f t="shared" si="16"/>
        <v>70</v>
      </c>
      <c r="I23" s="222">
        <f t="shared" ref="I23" si="18">SUM(I21:I22)</f>
        <v>51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0</v>
      </c>
      <c r="M23" s="222">
        <f t="shared" si="20"/>
        <v>0</v>
      </c>
      <c r="N23" s="222">
        <f t="shared" si="16"/>
        <v>21</v>
      </c>
      <c r="O23" s="222">
        <f t="shared" si="16"/>
        <v>32</v>
      </c>
      <c r="P23" s="222">
        <f t="shared" si="16"/>
        <v>0</v>
      </c>
      <c r="Q23" s="223">
        <f>SUM(B23:P23)</f>
        <v>13577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[3]Delta!$HV$15</f>
        <v>348</v>
      </c>
      <c r="C27" s="13">
        <f>'[3]Atlantic Southeast'!$HV$15</f>
        <v>0</v>
      </c>
      <c r="D27" s="13">
        <f>[3]Pinnacle!$HV$15</f>
        <v>47</v>
      </c>
      <c r="E27" s="13">
        <f>'[3]Sky West'!$HV$15</f>
        <v>0</v>
      </c>
      <c r="F27" s="13">
        <f>'[3]Go Jet'!$HV$15</f>
        <v>0</v>
      </c>
      <c r="G27" s="13">
        <f>'[3]Sun Country'!$HV$15</f>
        <v>15</v>
      </c>
      <c r="H27" s="13">
        <f>[3]Icelandair!$HV$15</f>
        <v>27</v>
      </c>
      <c r="I27" s="13">
        <f>[3]KLM!$HV$15</f>
        <v>18</v>
      </c>
      <c r="J27" s="13">
        <f>'[3]Air Georgian'!$HV$15</f>
        <v>0</v>
      </c>
      <c r="K27" s="13">
        <f>'[3]Sky Regional'!$HV$15</f>
        <v>0</v>
      </c>
      <c r="L27" s="13">
        <f>[3]Condor!$HV$15</f>
        <v>1</v>
      </c>
      <c r="M27" s="13">
        <f>'[3]Aer Lingus'!$HV$15</f>
        <v>0</v>
      </c>
      <c r="N27" s="13">
        <f>'[3]Air France'!$HV$15</f>
        <v>16</v>
      </c>
      <c r="O27" s="13">
        <f>[3]Frontier!$HV$15</f>
        <v>0</v>
      </c>
      <c r="P27" s="13">
        <f>'[3]Charter Misc'!$HV$15+[3]Ryan!$HV$15+[3]Omni!$HV$15</f>
        <v>0</v>
      </c>
      <c r="Q27" s="219">
        <f>SUM(B27:P27)</f>
        <v>472</v>
      </c>
    </row>
    <row r="28" spans="1:20" x14ac:dyDescent="0.2">
      <c r="A28" s="46" t="s">
        <v>23</v>
      </c>
      <c r="B28" s="13">
        <f>[3]Delta!$HV$16</f>
        <v>348</v>
      </c>
      <c r="C28" s="13">
        <f>'[3]Atlantic Southeast'!$HV$16</f>
        <v>0</v>
      </c>
      <c r="D28" s="13">
        <f>[3]Pinnacle!$HV$16</f>
        <v>47</v>
      </c>
      <c r="E28" s="13">
        <f>'[3]Sky West'!$HV$16</f>
        <v>0</v>
      </c>
      <c r="F28" s="13">
        <f>'[3]Go Jet'!$HV$16</f>
        <v>0</v>
      </c>
      <c r="G28" s="13">
        <f>'[3]Sun Country'!$HV$16</f>
        <v>15</v>
      </c>
      <c r="H28" s="13">
        <f>[3]Icelandair!$HV$16</f>
        <v>27</v>
      </c>
      <c r="I28" s="13">
        <f>[3]KLM!$HV$16</f>
        <v>18</v>
      </c>
      <c r="J28" s="13">
        <f>'[3]Air Georgian'!$HV$16</f>
        <v>0</v>
      </c>
      <c r="K28" s="13">
        <f>'[3]Sky Regional'!$HV$16</f>
        <v>0</v>
      </c>
      <c r="L28" s="13">
        <f>[3]Condor!$HV$16</f>
        <v>1</v>
      </c>
      <c r="M28" s="13">
        <f>'[3]Aer Lingus'!$HV$16</f>
        <v>0</v>
      </c>
      <c r="N28" s="13">
        <f>'[3]Air France'!$HV$16</f>
        <v>16</v>
      </c>
      <c r="O28" s="13">
        <f>[3]Frontier!$HV$16</f>
        <v>0</v>
      </c>
      <c r="P28" s="13">
        <f>'[3]Charter Misc'!$HV$16+[3]Ryan!$HV$16+[3]Omni!$HV$16</f>
        <v>0</v>
      </c>
      <c r="Q28" s="219">
        <f>SUM(B28:P28)</f>
        <v>472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696</v>
      </c>
      <c r="C30" s="307">
        <f t="shared" si="21"/>
        <v>0</v>
      </c>
      <c r="D30" s="307">
        <f t="shared" si="21"/>
        <v>94</v>
      </c>
      <c r="E30" s="307">
        <f>SUM(E27:E28)</f>
        <v>0</v>
      </c>
      <c r="F30" s="307">
        <f>SUM(F27:F28)</f>
        <v>0</v>
      </c>
      <c r="G30" s="307">
        <f t="shared" si="21"/>
        <v>30</v>
      </c>
      <c r="H30" s="307">
        <f t="shared" si="21"/>
        <v>54</v>
      </c>
      <c r="I30" s="307">
        <f t="shared" ref="I30" si="22">SUM(I27:I28)</f>
        <v>36</v>
      </c>
      <c r="J30" s="307">
        <f t="shared" si="21"/>
        <v>0</v>
      </c>
      <c r="K30" s="307">
        <f t="shared" ref="K30" si="23">SUM(K27:K28)</f>
        <v>0</v>
      </c>
      <c r="L30" s="307">
        <f>SUM(L27:L28)</f>
        <v>2</v>
      </c>
      <c r="M30" s="307">
        <f>SUM(M27:M28)</f>
        <v>0</v>
      </c>
      <c r="N30" s="307">
        <f>SUM(N27:N28)</f>
        <v>32</v>
      </c>
      <c r="O30" s="307">
        <f t="shared" ref="O30" si="24">SUM(O27:O28)</f>
        <v>0</v>
      </c>
      <c r="P30" s="307">
        <f>SUM(P27:P28)</f>
        <v>0</v>
      </c>
      <c r="Q30" s="308">
        <f>SUM(B30:P30)</f>
        <v>944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SUM([3]Delta!$HR$15:$HV$15)</f>
        <v>2046</v>
      </c>
      <c r="C34" s="13">
        <f>SUM('[3]Atlantic Southeast'!$HR$15:$HV$15)</f>
        <v>0</v>
      </c>
      <c r="D34" s="13">
        <f>SUM([3]Pinnacle!$HR$15:$HV$15)</f>
        <v>155</v>
      </c>
      <c r="E34" s="13">
        <f>SUM('[3]Sky West'!$HR$15:$HV$15)</f>
        <v>45</v>
      </c>
      <c r="F34" s="13">
        <f>SUM('[3]Go Jet'!$HR$15:$HV$15)</f>
        <v>0</v>
      </c>
      <c r="G34" s="13">
        <f>SUM('[3]Sun Country'!$HR$15:$HV$15)</f>
        <v>806</v>
      </c>
      <c r="H34" s="13">
        <f>SUM([3]Icelandair!$HR$15:$HV$15)</f>
        <v>30</v>
      </c>
      <c r="I34" s="13">
        <f>SUM([3]KLM!$HR$15:$HV$15)</f>
        <v>74</v>
      </c>
      <c r="J34" s="13">
        <f>SUM('[3]Air Georgian'!$HR$15:$HV$15)</f>
        <v>0</v>
      </c>
      <c r="K34" s="13">
        <f>SUM('[3]Sky Regional'!$HR$15:$HV$15)</f>
        <v>0</v>
      </c>
      <c r="L34" s="13">
        <f>SUM([3]Condor!$HR$15:$HV$15)</f>
        <v>1</v>
      </c>
      <c r="M34" s="13">
        <f>SUM('[3]Aer Lingus'!$HR$15:$HV$15)</f>
        <v>0</v>
      </c>
      <c r="N34" s="13">
        <f>SUM('[3]Air France'!$HR$15:$HV$15)</f>
        <v>16</v>
      </c>
      <c r="O34" s="13">
        <f>SUM([3]Frontier!$HR$15:$HV$15)</f>
        <v>99</v>
      </c>
      <c r="P34" s="13">
        <f>SUM('[3]Charter Misc'!$HR$15:$HV$15)+SUM([3]Ryan!$HR$15:$HV$15)+SUM([3]Omni!$HR$15:$HV$15)</f>
        <v>3</v>
      </c>
      <c r="Q34" s="219">
        <f>SUM(B34:P34)</f>
        <v>3275</v>
      </c>
    </row>
    <row r="35" spans="1:17" x14ac:dyDescent="0.2">
      <c r="A35" s="46" t="s">
        <v>23</v>
      </c>
      <c r="B35" s="13">
        <f>SUM([3]Delta!$HR$16:$HV$16)</f>
        <v>2048</v>
      </c>
      <c r="C35" s="13">
        <f>SUM('[3]Atlantic Southeast'!$HR$16:$HV$16)</f>
        <v>0</v>
      </c>
      <c r="D35" s="13">
        <f>SUM([3]Pinnacle!$HR$16:$HV$16)</f>
        <v>155</v>
      </c>
      <c r="E35" s="13">
        <f>SUM('[3]Sky West'!$HR$16:$HV$16)</f>
        <v>45</v>
      </c>
      <c r="F35" s="13">
        <f>SUM('[3]Go Jet'!$HR$16:$HV$16)</f>
        <v>0</v>
      </c>
      <c r="G35" s="13">
        <f>SUM('[3]Sun Country'!$HR$16:$HV$16)</f>
        <v>802</v>
      </c>
      <c r="H35" s="13">
        <f>SUM([3]Icelandair!$HR$16:$HV$16)</f>
        <v>30</v>
      </c>
      <c r="I35" s="13">
        <f>SUM([3]KLM!$HR$16:$HV$16)</f>
        <v>74</v>
      </c>
      <c r="J35" s="13">
        <f>SUM('[3]Air Georgian'!$HR$16:$HV$16)</f>
        <v>0</v>
      </c>
      <c r="K35" s="13">
        <f>SUM('[3]Sky Regional'!$HR$16:$HV$16)</f>
        <v>0</v>
      </c>
      <c r="L35" s="13">
        <f>SUM([3]Condor!$HR$16:$HV$16)</f>
        <v>1</v>
      </c>
      <c r="M35" s="13">
        <f>SUM('[3]Aer Lingus'!$HR$16:$HV$16)</f>
        <v>0</v>
      </c>
      <c r="N35" s="13">
        <f>SUM('[3]Air France'!$HR$16:$HV$16)</f>
        <v>16</v>
      </c>
      <c r="O35" s="13">
        <f>SUM([3]Frontier!$HR$16:$HV$16)</f>
        <v>99</v>
      </c>
      <c r="P35" s="13">
        <f>SUM('[3]Charter Misc'!$HR$16:$HV$16)+SUM([3]Ryan!$HR$16:$HV$16)+SUM([3]Omni!$HR$16:$HV$16)</f>
        <v>2</v>
      </c>
      <c r="Q35" s="219">
        <f>SUM(B35:P35)</f>
        <v>3272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4094</v>
      </c>
      <c r="C37" s="307">
        <f t="shared" si="25"/>
        <v>0</v>
      </c>
      <c r="D37" s="307">
        <f t="shared" si="25"/>
        <v>310</v>
      </c>
      <c r="E37" s="307">
        <f>+SUM(E34:E35)</f>
        <v>90</v>
      </c>
      <c r="F37" s="307">
        <f>+SUM(F34:F35)</f>
        <v>0</v>
      </c>
      <c r="G37" s="307">
        <f t="shared" si="25"/>
        <v>1608</v>
      </c>
      <c r="H37" s="307">
        <f t="shared" si="25"/>
        <v>60</v>
      </c>
      <c r="I37" s="307">
        <f t="shared" ref="I37" si="26">+SUM(I34:I35)</f>
        <v>148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2</v>
      </c>
      <c r="M37" s="307">
        <f>+SUM(M34:M35)</f>
        <v>0</v>
      </c>
      <c r="N37" s="307">
        <f>+SUM(N34:N35)</f>
        <v>32</v>
      </c>
      <c r="O37" s="307">
        <f t="shared" ref="O37" si="28">+SUM(O34:O35)</f>
        <v>198</v>
      </c>
      <c r="P37" s="307">
        <f>+SUM(P34:P35)</f>
        <v>5</v>
      </c>
      <c r="Q37" s="308">
        <f>SUM(B37:P37)</f>
        <v>6547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&amp;"Arial,Bold"May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O59" sqref="O5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8.85546875" style="3" bestFit="1" customWidth="1"/>
    <col min="15" max="15" width="10.7109375" bestFit="1" customWidth="1"/>
    <col min="16" max="16" width="9.855468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3" width="9.855468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44682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44682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44682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Lingus'!$HV$19</f>
        <v>0</v>
      </c>
      <c r="D4" s="286">
        <f>'[3]Aer Lingus'!$HH$19</f>
        <v>0</v>
      </c>
      <c r="E4" s="287" t="e">
        <f>(C4-D4)/D4</f>
        <v>#DIV/0!</v>
      </c>
      <c r="F4" s="286">
        <f>SUM('[3]Aer Lingus'!$HR$19:$HV$19)</f>
        <v>0</v>
      </c>
      <c r="G4" s="286">
        <f>SUM('[3]Aer Lingus'!$HD$19:$HH$19)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Lingus'!$HV$41</f>
        <v>0</v>
      </c>
      <c r="M4" s="286">
        <f>'[3]Aer Lingus'!$HH$41</f>
        <v>0</v>
      </c>
      <c r="N4" s="287" t="e">
        <f>(L4-M4)/M4</f>
        <v>#DIV/0!</v>
      </c>
      <c r="O4" s="284">
        <f>SUM('[3]Aer Lingus'!$HR$41:$HV$41)</f>
        <v>0</v>
      </c>
      <c r="P4" s="286">
        <f>SUM('[3]Aer Lingus'!$HD$41:$HH$41)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Lingus'!$HV$64</f>
        <v>0</v>
      </c>
      <c r="V4" s="286">
        <f>'[3]Aer Lingus'!$HH$64</f>
        <v>0</v>
      </c>
      <c r="W4" s="287" t="e">
        <f>(U4-V4)/V4</f>
        <v>#DIV/0!</v>
      </c>
      <c r="X4" s="284">
        <f>SUM('[3]Aer Lingus'!$HR$64:$HV$64)</f>
        <v>0</v>
      </c>
      <c r="Y4" s="286">
        <f>SUM('[3]Aer Lingus'!$HD$64:$HH$64)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119</v>
      </c>
      <c r="D6" s="286">
        <f>SUM(D7:D10)</f>
        <v>0</v>
      </c>
      <c r="E6" s="287" t="e">
        <f>(C6-D6)/D6</f>
        <v>#DIV/0!</v>
      </c>
      <c r="F6" s="284">
        <f>SUM(F7:F10)</f>
        <v>449</v>
      </c>
      <c r="G6" s="286">
        <f>SUM(G7:G10)</f>
        <v>0</v>
      </c>
      <c r="H6" s="285" t="e">
        <f>(F6-G6)/G6</f>
        <v>#DIV/0!</v>
      </c>
      <c r="I6" s="287">
        <f>F6/$F$73</f>
        <v>3.9561911307305292E-3</v>
      </c>
      <c r="J6" s="283" t="s">
        <v>98</v>
      </c>
      <c r="K6" s="40"/>
      <c r="L6" s="284">
        <f>SUM(L7:L10)</f>
        <v>7170</v>
      </c>
      <c r="M6" s="286">
        <f>SUM(M7:M10)</f>
        <v>0</v>
      </c>
      <c r="N6" s="287" t="e">
        <f>(L6-M6)/M6</f>
        <v>#DIV/0!</v>
      </c>
      <c r="O6" s="284">
        <f>SUM(O7:O10)</f>
        <v>20206</v>
      </c>
      <c r="P6" s="286">
        <f>SUM(P7:P10)</f>
        <v>0</v>
      </c>
      <c r="Q6" s="285" t="e">
        <f>(O6-P6)/P6</f>
        <v>#DIV/0!</v>
      </c>
      <c r="R6" s="287">
        <f>O6/$O$73</f>
        <v>1.701566062253941E-3</v>
      </c>
      <c r="S6" s="283" t="s">
        <v>98</v>
      </c>
      <c r="T6" s="40"/>
      <c r="U6" s="284">
        <f>SUM(U7:U10)</f>
        <v>1647.8000000000002</v>
      </c>
      <c r="V6" s="286">
        <f>SUM(V7:V10)</f>
        <v>0</v>
      </c>
      <c r="W6" s="287" t="e">
        <f>(U6-V6)/V6</f>
        <v>#DIV/0!</v>
      </c>
      <c r="X6" s="284">
        <f>SUM(X7:X10)</f>
        <v>10148.799999999999</v>
      </c>
      <c r="Y6" s="286">
        <f>SUM(Y7:Y10)</f>
        <v>0</v>
      </c>
      <c r="Z6" s="285" t="e">
        <f>(X6-Y6)/Y6</f>
        <v>#DIV/0!</v>
      </c>
      <c r="AA6" s="287">
        <f>X6/$X$73</f>
        <v>2.8150683757773883E-4</v>
      </c>
    </row>
    <row r="7" spans="1:27" ht="14.1" customHeight="1" x14ac:dyDescent="0.2">
      <c r="A7" s="283"/>
      <c r="B7" s="343" t="s">
        <v>98</v>
      </c>
      <c r="C7" s="288">
        <f>+[3]AirCanada!$HV$19</f>
        <v>0</v>
      </c>
      <c r="D7" s="2">
        <f>+[3]AirCanada!$HH$19</f>
        <v>0</v>
      </c>
      <c r="E7" s="66" t="e">
        <f>(C7-D7)/D7</f>
        <v>#DIV/0!</v>
      </c>
      <c r="F7" s="231">
        <f>SUM([3]AirCanada!$HR$19:$HV$19)</f>
        <v>0</v>
      </c>
      <c r="G7" s="231">
        <f>SUM([3]AirCanada!$HD$19:$HH$19)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+[3]AirCanada!$HV$41</f>
        <v>0</v>
      </c>
      <c r="M7" s="231">
        <f>+[3]AirCanada!$HH$41</f>
        <v>0</v>
      </c>
      <c r="N7" s="349" t="e">
        <f>(L7-M7)/M7</f>
        <v>#DIV/0!</v>
      </c>
      <c r="O7" s="347">
        <f>SUM([3]AirCanada!$HR$41:$HV$41)</f>
        <v>0</v>
      </c>
      <c r="P7" s="231">
        <f>SUM([3]AirCanada!$HD$41:$HH$41)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+[3]AirCanada!$HV$64</f>
        <v>0</v>
      </c>
      <c r="V7" s="231">
        <f>+[3]AirCanada!$HH$64</f>
        <v>0</v>
      </c>
      <c r="W7" s="349" t="e">
        <f>(U7-V7)/V7</f>
        <v>#DIV/0!</v>
      </c>
      <c r="X7" s="347">
        <f>SUM([3]AirCanada!$HR$64:$HV$64)</f>
        <v>0</v>
      </c>
      <c r="Y7" s="231">
        <f>SUM([3]AirCanada!$HD$64:$HH$64)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Georgian'!$HV$19</f>
        <v>0</v>
      </c>
      <c r="D8" s="2">
        <f>'[3]Air Georgian'!$HH$19</f>
        <v>0</v>
      </c>
      <c r="E8" s="66" t="e">
        <f>(C8-D8)/D8</f>
        <v>#DIV/0!</v>
      </c>
      <c r="F8" s="231">
        <f>SUM('[3]Air Georgian'!$HR$19:$HV$19)</f>
        <v>0</v>
      </c>
      <c r="G8" s="231">
        <f>SUM('[3]Air Georgian'!$HD$19:$HH$19)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Georgian'!$HV$41</f>
        <v>0</v>
      </c>
      <c r="M8" s="2">
        <f>'[3]Air Georgian'!$HH$41</f>
        <v>0</v>
      </c>
      <c r="N8" s="66" t="e">
        <f>(L8-M8)/M8</f>
        <v>#DIV/0!</v>
      </c>
      <c r="O8" s="288">
        <f>SUM('[3]Air Georgian'!$HR$41:$HV$41)</f>
        <v>0</v>
      </c>
      <c r="P8" s="2">
        <f>SUM('[3]Air Georgian'!$HD$41:$HH$41)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Georgian'!$HV$64</f>
        <v>0</v>
      </c>
      <c r="V8" s="2">
        <f>'[3]Air Georgian'!$HH$64</f>
        <v>0</v>
      </c>
      <c r="W8" s="66" t="e">
        <f>(U8-V8)/V8</f>
        <v>#DIV/0!</v>
      </c>
      <c r="X8" s="288">
        <f>SUM('[3]Air Georgian'!$HR$64:$HV$64)</f>
        <v>0</v>
      </c>
      <c r="Y8" s="2">
        <f>SUM('[3]Air Georgian'!$HD$64:$HH$64)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[3]Jazz_AC!$HV$19</f>
        <v>119</v>
      </c>
      <c r="D9" s="2">
        <f>[3]Jazz_AC!$HH$19</f>
        <v>0</v>
      </c>
      <c r="E9" s="66" t="e">
        <f t="shared" ref="E9" si="0">(C9-D9)/D9</f>
        <v>#DIV/0!</v>
      </c>
      <c r="F9" s="2">
        <f>SUM([3]Jazz_AC!$HR$19:$HV$19)</f>
        <v>449</v>
      </c>
      <c r="G9" s="2">
        <f>SUM([3]Jazz_AC!$HD$19:$HH$19)</f>
        <v>0</v>
      </c>
      <c r="H9" s="3" t="e">
        <f t="shared" ref="H9" si="1">(F9-G9)/G9</f>
        <v>#DIV/0!</v>
      </c>
      <c r="I9" s="66">
        <f t="shared" ref="I9" si="2">F9/$F$73</f>
        <v>3.9561911307305292E-3</v>
      </c>
      <c r="J9" s="283"/>
      <c r="K9" s="343" t="s">
        <v>236</v>
      </c>
      <c r="L9" s="288">
        <f>[3]Jazz_AC!$HV$41</f>
        <v>7170</v>
      </c>
      <c r="M9" s="2">
        <f>[3]Jazz_AC!$HH$41</f>
        <v>0</v>
      </c>
      <c r="N9" s="66" t="e">
        <f t="shared" ref="N9" si="3">(L9-M9)/M9</f>
        <v>#DIV/0!</v>
      </c>
      <c r="O9" s="288">
        <f>SUM([3]Jazz_AC!$HR$41:$HV$41)</f>
        <v>20206</v>
      </c>
      <c r="P9" s="2">
        <f>SUM([3]Jazz_AC!$HD$41:$HH$41)</f>
        <v>0</v>
      </c>
      <c r="Q9" s="3" t="e">
        <f t="shared" ref="Q9" si="4">(O9-P9)/P9</f>
        <v>#DIV/0!</v>
      </c>
      <c r="R9" s="66">
        <f t="shared" ref="R9" si="5">O9/$O$73</f>
        <v>1.701566062253941E-3</v>
      </c>
      <c r="S9" s="283"/>
      <c r="T9" s="343" t="s">
        <v>236</v>
      </c>
      <c r="U9" s="288">
        <f>[3]Jazz_AC!$HV$64</f>
        <v>1647.8000000000002</v>
      </c>
      <c r="V9" s="2">
        <f>[3]Jazz_AC!$HH$64</f>
        <v>0</v>
      </c>
      <c r="W9" s="66" t="e">
        <f t="shared" ref="W9" si="6">(U9-V9)/V9</f>
        <v>#DIV/0!</v>
      </c>
      <c r="X9" s="288">
        <f>SUM([3]Jazz_AC!$HR$64:$HV$64)</f>
        <v>10148.799999999999</v>
      </c>
      <c r="Y9" s="2">
        <f>SUM([3]Jazz_AC!$HD$64:$HH$64)</f>
        <v>0</v>
      </c>
      <c r="Z9" s="3" t="e">
        <f t="shared" ref="Z9" si="7">(X9-Y9)/Y9</f>
        <v>#DIV/0!</v>
      </c>
      <c r="AA9" s="66">
        <f t="shared" ref="AA9" si="8">X9/$X$73</f>
        <v>2.8150683757773883E-4</v>
      </c>
    </row>
    <row r="10" spans="1:27" ht="14.1" customHeight="1" x14ac:dyDescent="0.2">
      <c r="A10" s="283"/>
      <c r="B10" s="343" t="s">
        <v>192</v>
      </c>
      <c r="C10" s="288">
        <f>'[3]Sky Regional'!$HV$19</f>
        <v>0</v>
      </c>
      <c r="D10" s="2">
        <f>'[3]Sky Regional'!$HH$19</f>
        <v>0</v>
      </c>
      <c r="E10" s="66" t="e">
        <f>(C10-D10)/D10</f>
        <v>#DIV/0!</v>
      </c>
      <c r="F10" s="231">
        <f>SUM('[3]Sky Regional'!$HR$19:$HV$19)</f>
        <v>0</v>
      </c>
      <c r="G10" s="231">
        <f>SUM('[3]Sky Regional'!$HD$19:$HH$19)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Regional'!$HV$41</f>
        <v>0</v>
      </c>
      <c r="M10" s="2">
        <f>'[3]Sky Regional'!$HH$41</f>
        <v>0</v>
      </c>
      <c r="N10" s="66" t="e">
        <f>(L10-M10)/M10</f>
        <v>#DIV/0!</v>
      </c>
      <c r="O10" s="288">
        <f>SUM('[3]Sky Regional'!$HR$41:$HV$41)</f>
        <v>0</v>
      </c>
      <c r="P10" s="2">
        <f>SUM('[3]Sky Regional'!$HD$41:$HH$41)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Regional'!$HV$64</f>
        <v>0</v>
      </c>
      <c r="V10" s="2">
        <f>'[3]Sky Regional'!$HH$64</f>
        <v>0</v>
      </c>
      <c r="W10" s="66" t="e">
        <f>(U10-V10)/V10</f>
        <v>#DIV/0!</v>
      </c>
      <c r="X10" s="288">
        <f>SUM('[3]Sky Regional'!$HR$64:$HV$64)</f>
        <v>0</v>
      </c>
      <c r="Y10" s="2">
        <f>SUM('[3]Sky Regional'!$HD$64:$HH$64)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One'!$HV$19</f>
        <v>0</v>
      </c>
      <c r="D12" s="286">
        <f>'[3]Air Choice One'!$HH$19</f>
        <v>0</v>
      </c>
      <c r="E12" s="287" t="e">
        <f>(C12-D12)/D12</f>
        <v>#DIV/0!</v>
      </c>
      <c r="F12" s="286">
        <f>SUM('[3]Air Choice One'!$HR$19:$HV$19)</f>
        <v>0</v>
      </c>
      <c r="G12" s="286">
        <f>SUM('[3]Air Choice One'!$HD$19:$HH$19)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One'!$HV$41</f>
        <v>0</v>
      </c>
      <c r="M12" s="286">
        <f>'[3]Air Choice One'!$HH$41</f>
        <v>0</v>
      </c>
      <c r="N12" s="287" t="e">
        <f>(L12-M12)/M12</f>
        <v>#DIV/0!</v>
      </c>
      <c r="O12" s="284">
        <f>SUM('[3]Air Choice One'!$HR$41:$HV$41)</f>
        <v>0</v>
      </c>
      <c r="P12" s="286">
        <f>SUM('[3]Air Choice One'!$HD$41:$HH$41)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One'!$HV$64</f>
        <v>0</v>
      </c>
      <c r="V12" s="286">
        <f>'[3]Air Choice One'!$HH$64</f>
        <v>0</v>
      </c>
      <c r="W12" s="287" t="e">
        <f>(U12-V12)/V12</f>
        <v>#DIV/0!</v>
      </c>
      <c r="X12" s="284">
        <f>SUM('[3]Air Choice One'!$HR$64:$HV$64)</f>
        <v>0</v>
      </c>
      <c r="Y12" s="286">
        <f>SUM('[3]Air Choice One'!$HD$64:$HH$64)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France'!$HV$19</f>
        <v>32</v>
      </c>
      <c r="D14" s="286">
        <f>'[3]Air France'!$HH$19</f>
        <v>0</v>
      </c>
      <c r="E14" s="287" t="e">
        <f>(C14-D14)/D14</f>
        <v>#DIV/0!</v>
      </c>
      <c r="F14" s="286">
        <f>SUM('[3]Air France'!$HR$19:$HV$19)</f>
        <v>32</v>
      </c>
      <c r="G14" s="286">
        <f>SUM('[3]Air France'!$HD$19:$HH$19)</f>
        <v>0</v>
      </c>
      <c r="H14" s="285" t="e">
        <f>(F14-G14)/G14</f>
        <v>#DIV/0!</v>
      </c>
      <c r="I14" s="287">
        <f>F14/$F$73</f>
        <v>2.819557153304609E-4</v>
      </c>
      <c r="J14" s="283" t="s">
        <v>156</v>
      </c>
      <c r="K14" s="40"/>
      <c r="L14" s="284">
        <f>'[3]Air France'!$HV$41</f>
        <v>6942</v>
      </c>
      <c r="M14" s="286">
        <f>'[3]Air France'!$HH$41</f>
        <v>0</v>
      </c>
      <c r="N14" s="287" t="e">
        <f>(L14-M14)/M14</f>
        <v>#DIV/0!</v>
      </c>
      <c r="O14" s="284">
        <f>SUM('[3]Air France'!$HR$41:$HV$41)</f>
        <v>6942</v>
      </c>
      <c r="P14" s="286">
        <f>SUM('[3]Air France'!$HD$41:$HH$41)</f>
        <v>0</v>
      </c>
      <c r="Q14" s="285" t="e">
        <f>(O14-P14)/P14</f>
        <v>#DIV/0!</v>
      </c>
      <c r="R14" s="287">
        <f>O14/$O$73</f>
        <v>5.8459227972715321E-4</v>
      </c>
      <c r="S14" s="283" t="s">
        <v>156</v>
      </c>
      <c r="T14" s="40"/>
      <c r="U14" s="284">
        <f>'[3]Air France'!$HV$64</f>
        <v>334678</v>
      </c>
      <c r="V14" s="286">
        <f>'[3]Air France'!$HH$64</f>
        <v>0</v>
      </c>
      <c r="W14" s="287" t="e">
        <f>(U14-V14)/V14</f>
        <v>#DIV/0!</v>
      </c>
      <c r="X14" s="284">
        <f>SUM('[3]Air France'!$HR$64:$HV$64)</f>
        <v>334678</v>
      </c>
      <c r="Y14" s="286">
        <f>SUM('[3]Air France'!$HD$64:$HH$64)</f>
        <v>0</v>
      </c>
      <c r="Z14" s="285" t="e">
        <f>(X14-Y14)/Y14</f>
        <v>#DIV/0!</v>
      </c>
      <c r="AA14" s="287">
        <f>X14/$X$73</f>
        <v>9.2832793420741851E-3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'!$HV$19</f>
        <v>76</v>
      </c>
      <c r="D16" s="2">
        <f>'[3]Allegiant '!$HH$19</f>
        <v>0</v>
      </c>
      <c r="E16" s="66" t="e">
        <f t="shared" ref="E16" si="9">(C16-D16)/D16</f>
        <v>#DIV/0!</v>
      </c>
      <c r="F16" s="2">
        <f>SUM('[3]Allegiant '!$HR$19:$HV$19)</f>
        <v>456</v>
      </c>
      <c r="G16" s="2">
        <f>SUM('[3]Allegiant '!$HD$19:$HH$19)</f>
        <v>0</v>
      </c>
      <c r="H16" s="3" t="e">
        <f t="shared" ref="H16" si="10">(F16-G16)/G16</f>
        <v>#DIV/0!</v>
      </c>
      <c r="I16" s="66">
        <f t="shared" ref="I16" si="11">F16/$F$73</f>
        <v>4.0178689434590678E-3</v>
      </c>
      <c r="J16" s="283" t="s">
        <v>237</v>
      </c>
      <c r="K16" s="40"/>
      <c r="L16" s="288">
        <f>'[3]Allegiant '!$HV$41</f>
        <v>10830</v>
      </c>
      <c r="M16" s="2">
        <f>'[3]Allegiant '!$HH$41</f>
        <v>0</v>
      </c>
      <c r="N16" s="66" t="e">
        <f t="shared" ref="N16" si="12">(L16-M16)/M16</f>
        <v>#DIV/0!</v>
      </c>
      <c r="O16" s="288">
        <f>SUM('[3]Allegiant '!$HR$41:$HV$41)</f>
        <v>59290</v>
      </c>
      <c r="P16" s="2">
        <f>SUM('[3]Allegiant '!$HD$41:$HH$41)</f>
        <v>0</v>
      </c>
      <c r="Q16" s="3" t="e">
        <f t="shared" ref="Q16" si="13">(O16-P16)/P16</f>
        <v>#DIV/0!</v>
      </c>
      <c r="R16" s="66">
        <f t="shared" ref="R16" si="14">O16/$O$73</f>
        <v>4.9928660710202985E-3</v>
      </c>
      <c r="S16" s="283" t="s">
        <v>237</v>
      </c>
      <c r="T16" s="40"/>
      <c r="U16" s="288">
        <f>'[3]Allegiant '!$HV$64</f>
        <v>0</v>
      </c>
      <c r="V16" s="2">
        <f>'[3]Allegiant '!$HH$64</f>
        <v>0</v>
      </c>
      <c r="W16" s="66" t="e">
        <f t="shared" ref="W16" si="15">(U16-V16)/V16</f>
        <v>#DIV/0!</v>
      </c>
      <c r="X16" s="288">
        <f>SUM('[3]Allegiant '!$HR$64:$HV$64)</f>
        <v>0</v>
      </c>
      <c r="Y16" s="2">
        <f>SUM('[3]Allegiant '!$HD$64:$HH$64)</f>
        <v>0</v>
      </c>
      <c r="Z16" s="3" t="e">
        <f t="shared" ref="Z16" si="16">(X16-Y16)/Y16</f>
        <v>#DIV/0!</v>
      </c>
      <c r="AA16" s="66">
        <f t="shared" ref="AA16" si="17"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161</v>
      </c>
      <c r="D18" s="286">
        <f>SUM(D19:D21)</f>
        <v>182</v>
      </c>
      <c r="E18" s="287">
        <f>(C18-D18)/D18</f>
        <v>-0.11538461538461539</v>
      </c>
      <c r="F18" s="286">
        <f>SUM(F19:F21)</f>
        <v>683</v>
      </c>
      <c r="G18" s="286">
        <f>SUM(G19:G21)</f>
        <v>615</v>
      </c>
      <c r="H18" s="285">
        <f>(F18-G18)/G18</f>
        <v>0.11056910569105691</v>
      </c>
      <c r="I18" s="287">
        <f>F18/$F$73</f>
        <v>6.0179922990845252E-3</v>
      </c>
      <c r="J18" s="283" t="s">
        <v>128</v>
      </c>
      <c r="K18" s="40"/>
      <c r="L18" s="284">
        <f>SUM(L19:L21)</f>
        <v>23340</v>
      </c>
      <c r="M18" s="286">
        <f>SUM(M19:M21)</f>
        <v>19567</v>
      </c>
      <c r="N18" s="287">
        <f>(L18-M18)/M18</f>
        <v>0.19282465375376909</v>
      </c>
      <c r="O18" s="284">
        <f>SUM(O19:O21)</f>
        <v>82515</v>
      </c>
      <c r="P18" s="286">
        <f>SUM(P19:P21)</f>
        <v>61775</v>
      </c>
      <c r="Q18" s="285">
        <f>(O18-P18)/P18</f>
        <v>0.33573452043707003</v>
      </c>
      <c r="R18" s="287">
        <f>O18/$O$73</f>
        <v>6.9486649325390445E-3</v>
      </c>
      <c r="S18" s="283" t="s">
        <v>128</v>
      </c>
      <c r="T18" s="40"/>
      <c r="U18" s="284">
        <f>SUM(U19:U21)</f>
        <v>24971</v>
      </c>
      <c r="V18" s="286">
        <f>SUM(V19:V21)</f>
        <v>37703</v>
      </c>
      <c r="W18" s="287">
        <f>(U18-V18)/V18</f>
        <v>-0.3376919608519216</v>
      </c>
      <c r="X18" s="284">
        <f>SUM(X19:X21)</f>
        <v>109352</v>
      </c>
      <c r="Y18" s="286">
        <f>SUM(Y19:Y21)</f>
        <v>156824</v>
      </c>
      <c r="Z18" s="285">
        <f>(X18-Y18)/Y18</f>
        <v>-0.30270876906595928</v>
      </c>
      <c r="AA18" s="287">
        <f>X18/$X$73</f>
        <v>3.0331995608151607E-3</v>
      </c>
    </row>
    <row r="19" spans="1:27" ht="14.1" customHeight="1" x14ac:dyDescent="0.2">
      <c r="A19" s="283"/>
      <c r="B19" s="343" t="s">
        <v>128</v>
      </c>
      <c r="C19" s="347">
        <f>[3]Alaska!$HV$19</f>
        <v>161</v>
      </c>
      <c r="D19" s="231">
        <f>[3]Alaska!$HH$19</f>
        <v>120</v>
      </c>
      <c r="E19" s="349">
        <f>(C19-D19)/D19</f>
        <v>0.34166666666666667</v>
      </c>
      <c r="F19" s="231">
        <f>SUM([3]Alaska!$HR$19:$HV$19)</f>
        <v>591</v>
      </c>
      <c r="G19" s="231">
        <f>SUM([3]Alaska!$HD$19:$HH$19)</f>
        <v>501</v>
      </c>
      <c r="H19" s="348">
        <f>(F19-G19)/G19</f>
        <v>0.17964071856287425</v>
      </c>
      <c r="I19" s="349">
        <f>F19/$F$73</f>
        <v>5.2073696175094497E-3</v>
      </c>
      <c r="J19" s="283"/>
      <c r="K19" s="343" t="s">
        <v>128</v>
      </c>
      <c r="L19" s="347">
        <f>[3]Alaska!$HV$41</f>
        <v>23340</v>
      </c>
      <c r="M19" s="231">
        <f>[3]Alaska!$HH$41</f>
        <v>15548</v>
      </c>
      <c r="N19" s="349">
        <f>(L19-M19)/M19</f>
        <v>0.50115770517108305</v>
      </c>
      <c r="O19" s="347">
        <f>SUM([3]Alaska!$HR$41:$HV$41)</f>
        <v>77144</v>
      </c>
      <c r="P19" s="231">
        <f>SUM([3]Alaska!$HD$41:$HH$41)</f>
        <v>54250</v>
      </c>
      <c r="Q19" s="348">
        <f>(O19-P19)/P19</f>
        <v>0.42200921658986174</v>
      </c>
      <c r="R19" s="349">
        <f>O19/$O$73</f>
        <v>6.4963680246717817E-3</v>
      </c>
      <c r="S19" s="283"/>
      <c r="T19" s="343" t="s">
        <v>128</v>
      </c>
      <c r="U19" s="347">
        <f>[3]Alaska!$HV$64</f>
        <v>24971</v>
      </c>
      <c r="V19" s="231">
        <f>[3]Alaska!$HH$64</f>
        <v>36089</v>
      </c>
      <c r="W19" s="349">
        <f>(U19-V19)/V19</f>
        <v>-0.30807171160187313</v>
      </c>
      <c r="X19" s="347">
        <f>SUM([3]Alaska!$HR$64:$HV$64)</f>
        <v>101753</v>
      </c>
      <c r="Y19" s="231">
        <f>SUM([3]Alaska!$HD$64:$HH$64)</f>
        <v>149844</v>
      </c>
      <c r="Z19" s="348">
        <f>(X19-Y19)/Y19</f>
        <v>-0.32094044472918504</v>
      </c>
      <c r="AA19" s="349">
        <f>X19/$X$73</f>
        <v>2.8224189307157165E-3</v>
      </c>
    </row>
    <row r="20" spans="1:27" ht="14.1" customHeight="1" x14ac:dyDescent="0.2">
      <c r="A20" s="283"/>
      <c r="B20" s="343" t="s">
        <v>97</v>
      </c>
      <c r="C20" s="288">
        <f>'[3]Sky West_AS'!$HV$19</f>
        <v>0</v>
      </c>
      <c r="D20" s="2">
        <f>'[3]Sky West_AS'!$HH$19</f>
        <v>0</v>
      </c>
      <c r="E20" s="66" t="e">
        <f>(C20-D20)/D20</f>
        <v>#DIV/0!</v>
      </c>
      <c r="F20" s="2">
        <f>SUM('[3]Sky West_AS'!$HR$19:$HV$19)</f>
        <v>54</v>
      </c>
      <c r="G20" s="2">
        <f>SUM('[3]Sky West_AS'!$HD$19:$HH$19)</f>
        <v>0</v>
      </c>
      <c r="H20" s="3" t="e">
        <f>(F20-G20)/G20</f>
        <v>#DIV/0!</v>
      </c>
      <c r="I20" s="66">
        <f>F20/$F$73</f>
        <v>4.7580026962015277E-4</v>
      </c>
      <c r="J20" s="283"/>
      <c r="K20" s="343" t="s">
        <v>97</v>
      </c>
      <c r="L20" s="288">
        <f>'[3]Sky West_AS'!$HV$41</f>
        <v>0</v>
      </c>
      <c r="M20" s="2">
        <f>'[3]Sky West_AS'!$HH$41</f>
        <v>0</v>
      </c>
      <c r="N20" s="66" t="e">
        <f>(L20-M20)/M20</f>
        <v>#DIV/0!</v>
      </c>
      <c r="O20" s="288">
        <f>SUM('[3]Sky West_AS'!$HR$41:$HV$41)</f>
        <v>2767</v>
      </c>
      <c r="P20" s="2">
        <f>SUM('[3]Sky West_AS'!$HD$41:$HH$41)</f>
        <v>0</v>
      </c>
      <c r="Q20" s="3" t="e">
        <f>(O20-P20)/P20</f>
        <v>#DIV/0!</v>
      </c>
      <c r="R20" s="349">
        <f>O20/$O$73</f>
        <v>2.3301164477168438E-4</v>
      </c>
      <c r="S20" s="283"/>
      <c r="T20" s="343" t="s">
        <v>97</v>
      </c>
      <c r="U20" s="288">
        <f>'[3]Sky West_AS'!$HV$64</f>
        <v>0</v>
      </c>
      <c r="V20" s="2">
        <f>'[3]Sky West_AS'!$HH$64</f>
        <v>0</v>
      </c>
      <c r="W20" s="66" t="e">
        <f>(U20-V20)/V20</f>
        <v>#DIV/0!</v>
      </c>
      <c r="X20" s="288">
        <f>SUM('[3]Sky West_AS'!$HR$64:$HV$64)</f>
        <v>4924</v>
      </c>
      <c r="Y20" s="2">
        <f>SUM('[3]Sky West_AS'!$HD$64:$HH$64)</f>
        <v>0</v>
      </c>
      <c r="Z20" s="3" t="e">
        <f>(X20-Y20)/Y20</f>
        <v>#DIV/0!</v>
      </c>
      <c r="AA20" s="349">
        <f>X20/$X$73</f>
        <v>1.3658163213707889E-4</v>
      </c>
    </row>
    <row r="21" spans="1:27" ht="14.1" customHeight="1" x14ac:dyDescent="0.2">
      <c r="A21" s="283"/>
      <c r="B21" s="343" t="s">
        <v>193</v>
      </c>
      <c r="C21" s="288">
        <f>[3]Horizon_AS!$HV$19</f>
        <v>0</v>
      </c>
      <c r="D21" s="2">
        <f>[3]Horizon_AS!$HH$19</f>
        <v>62</v>
      </c>
      <c r="E21" s="66">
        <f>(C21-D21)/D21</f>
        <v>-1</v>
      </c>
      <c r="F21" s="2">
        <f>SUM([3]Horizon_AS!$HR$19:$HV$19)</f>
        <v>38</v>
      </c>
      <c r="G21" s="2">
        <f>SUM([3]Horizon_AS!$HD$19:$HH$19)</f>
        <v>114</v>
      </c>
      <c r="H21" s="3">
        <f>(F21-G21)/G21</f>
        <v>-0.66666666666666663</v>
      </c>
      <c r="I21" s="66">
        <f>F21/$F$73</f>
        <v>3.3482241195492235E-4</v>
      </c>
      <c r="J21" s="283"/>
      <c r="K21" s="343" t="s">
        <v>193</v>
      </c>
      <c r="L21" s="288">
        <f>[3]Horizon_AS!$HV$41</f>
        <v>0</v>
      </c>
      <c r="M21" s="2">
        <f>[3]Horizon_AS!$HH$41</f>
        <v>4019</v>
      </c>
      <c r="N21" s="66">
        <f>(L21-M21)/M21</f>
        <v>-1</v>
      </c>
      <c r="O21" s="288">
        <f>SUM([3]Horizon_AS!$HR$41:$HV$41)</f>
        <v>2604</v>
      </c>
      <c r="P21" s="2">
        <f>SUM([3]Horizon_AS!$HD$41:$HH$41)</f>
        <v>7525</v>
      </c>
      <c r="Q21" s="3">
        <f>(O21-P21)/P21</f>
        <v>-0.65395348837209299</v>
      </c>
      <c r="R21" s="349">
        <f>O21/$O$73</f>
        <v>2.1928526309557866E-4</v>
      </c>
      <c r="S21" s="283"/>
      <c r="T21" s="343" t="s">
        <v>193</v>
      </c>
      <c r="U21" s="288">
        <f>[3]Horizon_AS!$HV$64</f>
        <v>0</v>
      </c>
      <c r="V21" s="2">
        <f>[3]Horizon_AS!$HH$64</f>
        <v>1614</v>
      </c>
      <c r="W21" s="66">
        <f>(U21-V21)/V21</f>
        <v>-1</v>
      </c>
      <c r="X21" s="288">
        <f>SUM([3]Horizon_AS!$HR$64:$HV$64)</f>
        <v>2675</v>
      </c>
      <c r="Y21" s="2">
        <f>SUM([3]Horizon_AS!$HD$64:$HH$64)</f>
        <v>6980</v>
      </c>
      <c r="Z21" s="3">
        <f>(X21-Y21)/Y21</f>
        <v>-0.61676217765042984</v>
      </c>
      <c r="AA21" s="349">
        <f>X21/$X$73</f>
        <v>7.4198997962365154E-5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SUM(C24:C30)</f>
        <v>1085</v>
      </c>
      <c r="D23" s="286">
        <f>SUM(D24:D30)</f>
        <v>1143</v>
      </c>
      <c r="E23" s="287">
        <f t="shared" ref="E23:E30" si="18">(C23-D23)/D23</f>
        <v>-5.0743657042869643E-2</v>
      </c>
      <c r="F23" s="284">
        <f>SUM(F24:F30)</f>
        <v>5182</v>
      </c>
      <c r="G23" s="286">
        <f>SUM(G24:G30)</f>
        <v>4277</v>
      </c>
      <c r="H23" s="285">
        <f t="shared" ref="H23:H30" si="19">(F23-G23)/G23</f>
        <v>0.21159691372457329</v>
      </c>
      <c r="I23" s="287">
        <f t="shared" ref="I23:I30" si="20">F23/$F$73</f>
        <v>4.5659203651326516E-2</v>
      </c>
      <c r="J23" s="283" t="s">
        <v>17</v>
      </c>
      <c r="K23" s="290"/>
      <c r="L23" s="284">
        <f>SUM(L24:L30)</f>
        <v>116845</v>
      </c>
      <c r="M23" s="286">
        <f>SUM(M24:M30)</f>
        <v>114948</v>
      </c>
      <c r="N23" s="287">
        <f t="shared" ref="N23:N30" si="21">(L23-M23)/M23</f>
        <v>1.6503114451752097E-2</v>
      </c>
      <c r="O23" s="284">
        <f>SUM(O24:O30)</f>
        <v>547367</v>
      </c>
      <c r="P23" s="286">
        <f>SUM(P24:P30)</f>
        <v>415434</v>
      </c>
      <c r="Q23" s="285">
        <f t="shared" ref="Q23:Q30" si="22">(O23-P23)/P23</f>
        <v>0.31757872489974343</v>
      </c>
      <c r="R23" s="287">
        <f t="shared" ref="R23:R30" si="23">O23/$O$73</f>
        <v>4.6094284410459908E-2</v>
      </c>
      <c r="S23" s="283" t="s">
        <v>17</v>
      </c>
      <c r="T23" s="290"/>
      <c r="U23" s="284">
        <f>SUM(U24:U30)</f>
        <v>124302</v>
      </c>
      <c r="V23" s="286">
        <f>SUM(V24:V30)</f>
        <v>181884</v>
      </c>
      <c r="W23" s="287">
        <f t="shared" ref="W23:W27" si="24">(U23-V23)/V23</f>
        <v>-0.31658639572474762</v>
      </c>
      <c r="X23" s="284">
        <f>SUM(X24:X30)</f>
        <v>706806</v>
      </c>
      <c r="Y23" s="286">
        <f>SUM(Y24:Y30)</f>
        <v>827588</v>
      </c>
      <c r="Z23" s="285">
        <f t="shared" ref="Z23:Z27" si="25">(X23-Y23)/Y23</f>
        <v>-0.14594460045336569</v>
      </c>
      <c r="AA23" s="287">
        <f t="shared" ref="AA23:AA30" si="26">X23/$X$73</f>
        <v>1.9605344655621481E-2</v>
      </c>
    </row>
    <row r="24" spans="1:27" ht="14.1" customHeight="1" x14ac:dyDescent="0.2">
      <c r="A24" s="38"/>
      <c r="B24" s="40" t="s">
        <v>17</v>
      </c>
      <c r="C24" s="288">
        <f>[3]American!$HV$19</f>
        <v>494</v>
      </c>
      <c r="D24" s="2">
        <f>[3]American!$HH$19</f>
        <v>848</v>
      </c>
      <c r="E24" s="66">
        <f t="shared" si="18"/>
        <v>-0.41745283018867924</v>
      </c>
      <c r="F24" s="2">
        <f>SUM([3]American!$HR$19:$HV$19)</f>
        <v>2804</v>
      </c>
      <c r="G24" s="2">
        <f>SUM([3]American!$HD$19:$HH$19)</f>
        <v>2831</v>
      </c>
      <c r="H24" s="3">
        <f t="shared" si="19"/>
        <v>-9.5372659837513248E-3</v>
      </c>
      <c r="I24" s="66">
        <f t="shared" si="20"/>
        <v>2.4706369555831637E-2</v>
      </c>
      <c r="J24" s="38"/>
      <c r="K24" s="40" t="s">
        <v>17</v>
      </c>
      <c r="L24" s="288">
        <f>[3]American!$HV$41</f>
        <v>78357</v>
      </c>
      <c r="M24" s="2">
        <f>[3]American!$HH$41</f>
        <v>96636</v>
      </c>
      <c r="N24" s="66">
        <f t="shared" si="21"/>
        <v>-0.18915311064199677</v>
      </c>
      <c r="O24" s="288">
        <f>SUM([3]American!$HR$41:$HV$41)</f>
        <v>414100</v>
      </c>
      <c r="P24" s="2">
        <f>SUM([3]American!$HD$41:$HH$41)</f>
        <v>329753</v>
      </c>
      <c r="Q24" s="3">
        <f t="shared" si="22"/>
        <v>0.25578842345634462</v>
      </c>
      <c r="R24" s="66">
        <f t="shared" si="23"/>
        <v>3.4871746331750816E-2</v>
      </c>
      <c r="S24" s="38"/>
      <c r="T24" s="40" t="s">
        <v>17</v>
      </c>
      <c r="U24" s="288">
        <f>[3]American!$HV$64</f>
        <v>117487</v>
      </c>
      <c r="V24" s="2">
        <f>[3]American!$HH$64</f>
        <v>181495</v>
      </c>
      <c r="W24" s="66">
        <f t="shared" si="24"/>
        <v>-0.35267087247582579</v>
      </c>
      <c r="X24" s="288">
        <f>SUM([3]American!$HR$64:$HV$64)</f>
        <v>689066</v>
      </c>
      <c r="Y24" s="2">
        <f>SUM([3]American!$HD$64:$HH$64)</f>
        <v>821718</v>
      </c>
      <c r="Z24" s="3">
        <f t="shared" si="25"/>
        <v>-0.16143251091006891</v>
      </c>
      <c r="AA24" s="66">
        <f t="shared" si="26"/>
        <v>1.9113273543900973E-2</v>
      </c>
    </row>
    <row r="25" spans="1:27" ht="14.1" customHeight="1" x14ac:dyDescent="0.2">
      <c r="A25" s="38"/>
      <c r="B25" s="343" t="s">
        <v>165</v>
      </c>
      <c r="C25" s="288">
        <f>'[3]American Eagle'!$HV$19</f>
        <v>227</v>
      </c>
      <c r="D25" s="2">
        <f>'[3]American Eagle'!$HH$19</f>
        <v>111</v>
      </c>
      <c r="E25" s="66">
        <f t="shared" si="18"/>
        <v>1.045045045045045</v>
      </c>
      <c r="F25" s="2">
        <f>SUM('[3]American Eagle'!$HR$19:$HV$19)</f>
        <v>389</v>
      </c>
      <c r="G25" s="2">
        <f>SUM('[3]American Eagle'!$HD$19:$HH$19)</f>
        <v>843</v>
      </c>
      <c r="H25" s="3">
        <f t="shared" si="19"/>
        <v>-0.53855278766310799</v>
      </c>
      <c r="I25" s="66">
        <f t="shared" si="20"/>
        <v>3.4275241644859153E-3</v>
      </c>
      <c r="J25" s="38"/>
      <c r="K25" s="343" t="s">
        <v>165</v>
      </c>
      <c r="L25" s="288">
        <f>'[3]American Eagle'!$HV$41</f>
        <v>13456</v>
      </c>
      <c r="M25" s="2">
        <f>'[3]American Eagle'!$HH$41</f>
        <v>7109</v>
      </c>
      <c r="N25" s="66">
        <f t="shared" si="21"/>
        <v>0.89281192854128566</v>
      </c>
      <c r="O25" s="288">
        <f>SUM('[3]American Eagle'!$HR$41:$HV$41)</f>
        <v>20102</v>
      </c>
      <c r="P25" s="2">
        <f>SUM('[3]American Eagle'!$HD$41:$HH$41)</f>
        <v>53053</v>
      </c>
      <c r="Q25" s="3">
        <f t="shared" si="22"/>
        <v>-0.62109588524682868</v>
      </c>
      <c r="R25" s="66">
        <f t="shared" si="23"/>
        <v>1.6928081254790023E-3</v>
      </c>
      <c r="S25" s="38"/>
      <c r="T25" s="343" t="s">
        <v>165</v>
      </c>
      <c r="U25" s="288">
        <f>'[3]American Eagle'!$HV$64</f>
        <v>5310</v>
      </c>
      <c r="V25" s="2">
        <f>'[3]American Eagle'!$HH$64</f>
        <v>240</v>
      </c>
      <c r="W25" s="66">
        <f t="shared" si="24"/>
        <v>21.125</v>
      </c>
      <c r="X25" s="288">
        <f>SUM('[3]American Eagle'!$HR$64:$HV$64)</f>
        <v>11230</v>
      </c>
      <c r="Y25" s="2">
        <f>SUM('[3]American Eagle'!$HD$64:$HH$64)</f>
        <v>4453</v>
      </c>
      <c r="Z25" s="3">
        <f t="shared" si="25"/>
        <v>1.5218953514484617</v>
      </c>
      <c r="AA25" s="66">
        <f t="shared" si="26"/>
        <v>3.1149710172611613E-4</v>
      </c>
    </row>
    <row r="26" spans="1:27" ht="14.1" customHeight="1" x14ac:dyDescent="0.2">
      <c r="A26" s="38"/>
      <c r="B26" s="343" t="s">
        <v>52</v>
      </c>
      <c r="C26" s="288">
        <f>[3]Republic!$HV$19</f>
        <v>230</v>
      </c>
      <c r="D26" s="2">
        <f>[3]Republic!$HH$19</f>
        <v>112</v>
      </c>
      <c r="E26" s="66">
        <f t="shared" si="18"/>
        <v>1.0535714285714286</v>
      </c>
      <c r="F26" s="2">
        <f>SUM([3]Republic!$HR$19:$HV$19)</f>
        <v>957</v>
      </c>
      <c r="G26" s="2">
        <f>SUM([3]Republic!$HD$19:$HH$19)</f>
        <v>321</v>
      </c>
      <c r="H26" s="3">
        <f t="shared" si="19"/>
        <v>1.9813084112149533</v>
      </c>
      <c r="I26" s="66">
        <f t="shared" si="20"/>
        <v>8.4322381116015959E-3</v>
      </c>
      <c r="J26" s="38"/>
      <c r="K26" s="291" t="s">
        <v>52</v>
      </c>
      <c r="L26" s="288">
        <f>[3]Republic!$HV$41</f>
        <v>15891</v>
      </c>
      <c r="M26" s="2">
        <f>[3]Republic!$HH$41</f>
        <v>7401</v>
      </c>
      <c r="N26" s="66">
        <f t="shared" si="21"/>
        <v>1.1471422780705309</v>
      </c>
      <c r="O26" s="288">
        <f>SUM([3]Republic!$HR$41:$HV$41)</f>
        <v>51945</v>
      </c>
      <c r="P26" s="2">
        <f>SUM([3]Republic!$HD$41:$HH$41)</f>
        <v>17275</v>
      </c>
      <c r="Q26" s="3">
        <f t="shared" si="22"/>
        <v>2.0069464544138929</v>
      </c>
      <c r="R26" s="66">
        <f t="shared" si="23"/>
        <v>4.3743367862902581E-3</v>
      </c>
      <c r="S26" s="38"/>
      <c r="T26" s="291" t="s">
        <v>52</v>
      </c>
      <c r="U26" s="288">
        <f>[3]Republic!$HV$64</f>
        <v>1098</v>
      </c>
      <c r="V26" s="2">
        <f>[3]Republic!$HH$64</f>
        <v>129</v>
      </c>
      <c r="W26" s="66">
        <f t="shared" si="24"/>
        <v>7.5116279069767442</v>
      </c>
      <c r="X26" s="288">
        <f>SUM([3]Republic!$HR$64:$HV$64)</f>
        <v>3538</v>
      </c>
      <c r="Y26" s="2">
        <f>SUM([3]Republic!$HD$64:$HH$64)</f>
        <v>556</v>
      </c>
      <c r="Z26" s="3">
        <f t="shared" si="25"/>
        <v>5.3633093525179856</v>
      </c>
      <c r="AA26" s="66">
        <f t="shared" si="26"/>
        <v>9.8136842912466507E-5</v>
      </c>
    </row>
    <row r="27" spans="1:27" ht="14.1" customHeight="1" x14ac:dyDescent="0.2">
      <c r="A27" s="38"/>
      <c r="B27" s="343" t="s">
        <v>182</v>
      </c>
      <c r="C27" s="288">
        <f>[3]PSA!$HV$19</f>
        <v>126</v>
      </c>
      <c r="D27" s="2">
        <f>[3]PSA!$HH$19</f>
        <v>56</v>
      </c>
      <c r="E27" s="66">
        <f t="shared" si="18"/>
        <v>1.25</v>
      </c>
      <c r="F27" s="2">
        <f>SUM([3]PSA!$HR$19:$HV$19)</f>
        <v>642</v>
      </c>
      <c r="G27" s="2">
        <f>SUM([3]PSA!$HD$19:$HH$19)</f>
        <v>108</v>
      </c>
      <c r="H27" s="3">
        <f t="shared" si="19"/>
        <v>4.9444444444444446</v>
      </c>
      <c r="I27" s="66">
        <f t="shared" si="20"/>
        <v>5.6567365388173717E-3</v>
      </c>
      <c r="J27" s="38"/>
      <c r="K27" s="343" t="s">
        <v>182</v>
      </c>
      <c r="L27" s="288">
        <f>[3]PSA!$HV$41</f>
        <v>8660</v>
      </c>
      <c r="M27" s="2">
        <f>[3]PSA!$HH$41</f>
        <v>2953</v>
      </c>
      <c r="N27" s="66">
        <f t="shared" si="21"/>
        <v>1.9326109041652557</v>
      </c>
      <c r="O27" s="288">
        <f>SUM([3]PSA!$HR$41:$HV$41)</f>
        <v>39366</v>
      </c>
      <c r="P27" s="2">
        <f>SUM([3]PSA!$HD$41:$HH$41)</f>
        <v>5415</v>
      </c>
      <c r="Q27" s="3">
        <f t="shared" si="22"/>
        <v>6.2698060941828251</v>
      </c>
      <c r="R27" s="66">
        <f t="shared" si="23"/>
        <v>3.3150474911753259E-3</v>
      </c>
      <c r="S27" s="38"/>
      <c r="T27" s="343" t="s">
        <v>182</v>
      </c>
      <c r="U27" s="288">
        <f>[3]PSA!$HV$64</f>
        <v>40</v>
      </c>
      <c r="V27" s="2">
        <f>[3]PSA!$HH$64</f>
        <v>20</v>
      </c>
      <c r="W27" s="66">
        <f t="shared" si="24"/>
        <v>1</v>
      </c>
      <c r="X27" s="288">
        <f>SUM([3]PSA!$HR$64:$HV$64)</f>
        <v>1042</v>
      </c>
      <c r="Y27" s="2">
        <f>SUM([3]PSA!$HD$64:$HH$64)</f>
        <v>20</v>
      </c>
      <c r="Z27" s="3">
        <f t="shared" si="25"/>
        <v>51.1</v>
      </c>
      <c r="AA27" s="66">
        <f t="shared" si="26"/>
        <v>2.8902936776368034E-5</v>
      </c>
    </row>
    <row r="28" spans="1:27" ht="14.1" customHeight="1" x14ac:dyDescent="0.2">
      <c r="A28" s="38"/>
      <c r="B28" s="343" t="s">
        <v>97</v>
      </c>
      <c r="C28" s="288">
        <f>'[3]Sky West_AA'!$HV$19</f>
        <v>8</v>
      </c>
      <c r="D28" s="2">
        <f>'[3]Sky West_AA'!$HH$19</f>
        <v>16</v>
      </c>
      <c r="E28" s="66">
        <f>(C28-D28)/D28</f>
        <v>-0.5</v>
      </c>
      <c r="F28" s="2">
        <f>SUM('[3]Sky West_AA'!$HR$19:$HV$19)</f>
        <v>390</v>
      </c>
      <c r="G28" s="2">
        <f>SUM('[3]Sky West_AA'!$HD$19:$HH$19)</f>
        <v>174</v>
      </c>
      <c r="H28" s="3">
        <f>(F28-G28)/G28</f>
        <v>1.2413793103448276</v>
      </c>
      <c r="I28" s="66">
        <f t="shared" si="20"/>
        <v>3.4363352805899922E-3</v>
      </c>
      <c r="J28" s="38"/>
      <c r="K28" s="343" t="s">
        <v>97</v>
      </c>
      <c r="L28" s="288">
        <f>'[3]Sky West_AA'!$HV$41</f>
        <v>481</v>
      </c>
      <c r="M28" s="2">
        <f>'[3]Sky West_AA'!$HH$41</f>
        <v>849</v>
      </c>
      <c r="N28" s="66">
        <f>(L28-M28)/M28</f>
        <v>-0.43345111896348648</v>
      </c>
      <c r="O28" s="288">
        <f>SUM('[3]Sky West_AA'!$HR$41:$HV$41)</f>
        <v>21854</v>
      </c>
      <c r="P28" s="2">
        <f>SUM('[3]Sky West_AA'!$HD$41:$HH$41)</f>
        <v>9938</v>
      </c>
      <c r="Q28" s="3">
        <f>(O28-P28)/P28</f>
        <v>1.1990340108673778</v>
      </c>
      <c r="R28" s="349">
        <f t="shared" si="23"/>
        <v>1.8403456757645068E-3</v>
      </c>
      <c r="S28" s="38"/>
      <c r="T28" s="343" t="s">
        <v>97</v>
      </c>
      <c r="U28" s="288">
        <f>'[3]Sky West_AA'!$HV$64</f>
        <v>367</v>
      </c>
      <c r="V28" s="2">
        <f>'[3]Sky West_AA'!$HH$64</f>
        <v>0</v>
      </c>
      <c r="W28" s="66" t="e">
        <f>(U28-V28)/V28</f>
        <v>#DIV/0!</v>
      </c>
      <c r="X28" s="288">
        <f>SUM('[3]Sky West_AA'!$HR$64:$HV$64)</f>
        <v>1930</v>
      </c>
      <c r="Y28" s="2">
        <f>SUM('[3]Sky West_AA'!$HD$64:$HH$64)</f>
        <v>841</v>
      </c>
      <c r="Z28" s="3">
        <f>(X28-Y28)/Y28</f>
        <v>1.2948870392390013</v>
      </c>
      <c r="AA28" s="349">
        <f t="shared" si="26"/>
        <v>5.3534230305556912E-5</v>
      </c>
    </row>
    <row r="29" spans="1:27" ht="14.1" customHeight="1" x14ac:dyDescent="0.2">
      <c r="A29" s="38"/>
      <c r="B29" s="343" t="s">
        <v>51</v>
      </c>
      <c r="C29" s="288">
        <f>[3]MESA!$HV$19</f>
        <v>0</v>
      </c>
      <c r="D29" s="2">
        <f>[3]MESA!$HH$19</f>
        <v>0</v>
      </c>
      <c r="E29" s="66" t="e">
        <f t="shared" si="18"/>
        <v>#DIV/0!</v>
      </c>
      <c r="F29" s="2">
        <f>SUM([3]MESA!$HR$19:$HV$19)</f>
        <v>0</v>
      </c>
      <c r="G29" s="2">
        <f>SUM([3]MESA!$HD$19:$HH$19)</f>
        <v>0</v>
      </c>
      <c r="H29" s="3" t="e">
        <f t="shared" si="19"/>
        <v>#DIV/0!</v>
      </c>
      <c r="I29" s="66">
        <f t="shared" si="20"/>
        <v>0</v>
      </c>
      <c r="J29" s="38"/>
      <c r="K29" s="343" t="s">
        <v>51</v>
      </c>
      <c r="L29" s="288">
        <f>[3]MESA!$HV$41</f>
        <v>0</v>
      </c>
      <c r="M29" s="2">
        <f>[3]MESA!$HH$41</f>
        <v>0</v>
      </c>
      <c r="N29" s="66" t="e">
        <f t="shared" si="21"/>
        <v>#DIV/0!</v>
      </c>
      <c r="O29" s="288">
        <f>SUM([3]MESA!$HR$41:$HV$41)</f>
        <v>0</v>
      </c>
      <c r="P29" s="2">
        <f>SUM([3]MESA!$HD$41:$HH$41)</f>
        <v>0</v>
      </c>
      <c r="Q29" s="3" t="e">
        <f t="shared" si="22"/>
        <v>#DIV/0!</v>
      </c>
      <c r="R29" s="66">
        <f t="shared" si="23"/>
        <v>0</v>
      </c>
      <c r="S29" s="38"/>
      <c r="T29" s="343" t="s">
        <v>51</v>
      </c>
      <c r="U29" s="288">
        <f>[3]MESA!$HV$64</f>
        <v>0</v>
      </c>
      <c r="V29" s="2">
        <f>[3]MESA!$HH$64</f>
        <v>0</v>
      </c>
      <c r="W29" s="66" t="e">
        <f t="shared" ref="W29:W30" si="27">(U29-V29)/V29</f>
        <v>#DIV/0!</v>
      </c>
      <c r="X29" s="288">
        <f>SUM([3]MESA!$HR$64:$HV$64)</f>
        <v>0</v>
      </c>
      <c r="Y29" s="2">
        <f>SUM([3]MESA!$HD$64:$HH$64)</f>
        <v>0</v>
      </c>
      <c r="Z29" s="3" t="e">
        <f t="shared" ref="Z29:Z30" si="28">(X29-Y29)/Y29</f>
        <v>#DIV/0!</v>
      </c>
      <c r="AA29" s="66">
        <f t="shared" si="26"/>
        <v>0</v>
      </c>
    </row>
    <row r="30" spans="1:27" ht="14.1" customHeight="1" x14ac:dyDescent="0.2">
      <c r="A30" s="38"/>
      <c r="B30" s="343" t="s">
        <v>50</v>
      </c>
      <c r="C30" s="288">
        <f>'[3]Air Wisconsin'!$HV$19</f>
        <v>0</v>
      </c>
      <c r="D30" s="2">
        <f>'[3]Air Wisconsin'!$HH$19</f>
        <v>0</v>
      </c>
      <c r="E30" s="66" t="e">
        <f t="shared" si="18"/>
        <v>#DIV/0!</v>
      </c>
      <c r="F30" s="2">
        <f>SUM('[3]Air Wisconsin'!$HR$19:$HV$19)</f>
        <v>0</v>
      </c>
      <c r="G30" s="2">
        <f>SUM('[3]Air Wisconsin'!$HD$19:$HH$19)</f>
        <v>0</v>
      </c>
      <c r="H30" s="379" t="e">
        <f t="shared" si="19"/>
        <v>#DIV/0!</v>
      </c>
      <c r="I30" s="66">
        <f t="shared" si="20"/>
        <v>0</v>
      </c>
      <c r="J30" s="38"/>
      <c r="K30" s="291" t="s">
        <v>50</v>
      </c>
      <c r="L30" s="288">
        <f>'[3]Air Wisconsin'!$HV$41</f>
        <v>0</v>
      </c>
      <c r="M30" s="2">
        <f>'[3]Air Wisconsin'!$HH$41</f>
        <v>0</v>
      </c>
      <c r="N30" s="66" t="e">
        <f t="shared" si="21"/>
        <v>#DIV/0!</v>
      </c>
      <c r="O30" s="288">
        <f>SUM('[3]Air Wisconsin'!$HR$41:$HV$41)</f>
        <v>0</v>
      </c>
      <c r="P30" s="2">
        <f>SUM('[3]Air Wisconsin'!$HD$41:$HH$41)</f>
        <v>0</v>
      </c>
      <c r="Q30" s="3" t="e">
        <f t="shared" si="22"/>
        <v>#DIV/0!</v>
      </c>
      <c r="R30" s="66">
        <f t="shared" si="23"/>
        <v>0</v>
      </c>
      <c r="S30" s="38"/>
      <c r="T30" s="291" t="s">
        <v>50</v>
      </c>
      <c r="U30" s="288">
        <f>'[3]Air Wisconsin'!$HV$64</f>
        <v>0</v>
      </c>
      <c r="V30" s="2">
        <f>'[3]Air Wisconsin'!$HH$64</f>
        <v>0</v>
      </c>
      <c r="W30" s="66" t="e">
        <f t="shared" si="27"/>
        <v>#DIV/0!</v>
      </c>
      <c r="X30" s="288">
        <f>SUM('[3]Air Wisconsin'!$HR$64:$HV$64)</f>
        <v>0</v>
      </c>
      <c r="Y30" s="2">
        <f>SUM('[3]Air Wisconsin'!$HD$64:$HH$64)</f>
        <v>0</v>
      </c>
      <c r="Z30" s="3" t="e">
        <f t="shared" si="28"/>
        <v>#DIV/0!</v>
      </c>
      <c r="AA30" s="66">
        <f t="shared" si="26"/>
        <v>0</v>
      </c>
    </row>
    <row r="31" spans="1:27" ht="14.1" customHeight="1" x14ac:dyDescent="0.2">
      <c r="A31" s="38"/>
      <c r="B31" s="40"/>
      <c r="C31" s="288"/>
      <c r="E31" s="66"/>
      <c r="F31" s="2"/>
      <c r="I31" s="66"/>
      <c r="J31" s="38"/>
      <c r="K31" s="40"/>
      <c r="L31" s="288"/>
      <c r="N31" s="66"/>
      <c r="O31" s="288"/>
      <c r="P31" s="2"/>
      <c r="Q31" s="3"/>
      <c r="R31" s="66"/>
      <c r="S31" s="38"/>
      <c r="T31" s="40"/>
      <c r="U31" s="288"/>
      <c r="V31" s="2"/>
      <c r="W31" s="66"/>
      <c r="X31" s="288"/>
      <c r="Y31" s="2"/>
      <c r="Z31" s="3"/>
      <c r="AA31" s="66"/>
    </row>
    <row r="32" spans="1:27" ht="14.1" customHeight="1" x14ac:dyDescent="0.2">
      <c r="A32" s="283" t="s">
        <v>179</v>
      </c>
      <c r="B32" s="40"/>
      <c r="C32" s="284">
        <f>'[3]Boutique Air'!$HV$19</f>
        <v>0</v>
      </c>
      <c r="D32" s="286">
        <f>'[3]Boutique Air'!$HH$19</f>
        <v>44</v>
      </c>
      <c r="E32" s="287">
        <f>(C32-D32)/D32</f>
        <v>-1</v>
      </c>
      <c r="F32" s="286">
        <f>SUM('[3]Boutique Air'!$HR$19:$HV$19)</f>
        <v>0</v>
      </c>
      <c r="G32" s="286">
        <f>SUM('[3]Boutique Air'!$HD$19:$HH$19)</f>
        <v>226</v>
      </c>
      <c r="H32" s="285">
        <f>(F32-G32)/G32</f>
        <v>-1</v>
      </c>
      <c r="I32" s="287">
        <f>F32/$F$73</f>
        <v>0</v>
      </c>
      <c r="J32" s="283" t="s">
        <v>179</v>
      </c>
      <c r="K32" s="40"/>
      <c r="L32" s="284">
        <f>'[3]Boutique Air'!$HV$41</f>
        <v>0</v>
      </c>
      <c r="M32" s="286">
        <f>'[3]Boutique Air'!$HH$41</f>
        <v>183</v>
      </c>
      <c r="N32" s="287">
        <f>(L32-M32)/M32</f>
        <v>-1</v>
      </c>
      <c r="O32" s="284">
        <f>SUM('[3]Boutique Air'!$HR$41:$HV$41)</f>
        <v>0</v>
      </c>
      <c r="P32" s="286">
        <f>SUM('[3]Boutique Air'!$HD$41:$HH$41)</f>
        <v>998</v>
      </c>
      <c r="Q32" s="285">
        <f>(O32-P32)/P32</f>
        <v>-1</v>
      </c>
      <c r="R32" s="287">
        <f>O32/$O$73</f>
        <v>0</v>
      </c>
      <c r="S32" s="283" t="s">
        <v>179</v>
      </c>
      <c r="T32" s="40"/>
      <c r="U32" s="284">
        <f>'[3]Boutique Air'!$HV$64</f>
        <v>0</v>
      </c>
      <c r="V32" s="286">
        <f>'[3]Boutique Air'!$HH$64</f>
        <v>0</v>
      </c>
      <c r="W32" s="287" t="e">
        <f>(U32-V32)/V32</f>
        <v>#DIV/0!</v>
      </c>
      <c r="X32" s="284">
        <f>SUM('[3]Boutique Air'!$HR$64:$HV$64)</f>
        <v>0</v>
      </c>
      <c r="Y32" s="286">
        <f>SUM('[3]Boutique Air'!$HD$64:$HH$64)</f>
        <v>0</v>
      </c>
      <c r="Z32" s="285" t="e">
        <f>(X32-Y32)/Y32</f>
        <v>#DIV/0!</v>
      </c>
      <c r="AA32" s="287">
        <f>X32/$X$73</f>
        <v>0</v>
      </c>
    </row>
    <row r="33" spans="1:27" ht="14.1" customHeight="1" x14ac:dyDescent="0.2">
      <c r="A33" s="38"/>
      <c r="B33" s="40"/>
      <c r="C33" s="288"/>
      <c r="E33" s="66"/>
      <c r="F33" s="2"/>
      <c r="I33" s="66"/>
      <c r="J33" s="38"/>
      <c r="K33" s="40"/>
      <c r="L33" s="288"/>
      <c r="N33" s="66"/>
      <c r="O33" s="288"/>
      <c r="P33" s="2"/>
      <c r="Q33" s="3"/>
      <c r="R33" s="66"/>
      <c r="S33" s="38"/>
      <c r="T33" s="40"/>
      <c r="U33" s="288"/>
      <c r="V33" s="2"/>
      <c r="W33" s="66"/>
      <c r="X33" s="288"/>
      <c r="Y33" s="2"/>
      <c r="Z33" s="3"/>
      <c r="AA33" s="66"/>
    </row>
    <row r="34" spans="1:27" ht="14.1" customHeight="1" x14ac:dyDescent="0.2">
      <c r="A34" s="283" t="s">
        <v>161</v>
      </c>
      <c r="B34" s="40"/>
      <c r="C34" s="284">
        <f>[3]Condor!$HV$19</f>
        <v>2</v>
      </c>
      <c r="D34" s="286">
        <f>[3]Condor!$HH$19</f>
        <v>0</v>
      </c>
      <c r="E34" s="287" t="e">
        <f>(C34-D34)/D34</f>
        <v>#DIV/0!</v>
      </c>
      <c r="F34" s="286">
        <f>SUM([3]Condor!$HR$19:$HV$19)</f>
        <v>2</v>
      </c>
      <c r="G34" s="286">
        <f>SUM([3]Condor!$HD$19:$HH$19)</f>
        <v>0</v>
      </c>
      <c r="H34" s="285" t="e">
        <f>(F34-G34)/G34</f>
        <v>#DIV/0!</v>
      </c>
      <c r="I34" s="287">
        <f>F34/$F$73</f>
        <v>1.7622232208153806E-5</v>
      </c>
      <c r="J34" s="283" t="s">
        <v>161</v>
      </c>
      <c r="K34" s="40"/>
      <c r="L34" s="284">
        <f>[3]Condor!$HV$41</f>
        <v>395</v>
      </c>
      <c r="M34" s="286">
        <f>[3]Condor!$HH$41</f>
        <v>0</v>
      </c>
      <c r="N34" s="287" t="e">
        <f>(L34-M34)/M34</f>
        <v>#DIV/0!</v>
      </c>
      <c r="O34" s="284">
        <f>SUM([3]Condor!$HR$41:$HV$41)</f>
        <v>395</v>
      </c>
      <c r="P34" s="286">
        <f>SUM([3]Condor!$HD$41:$HH$41)</f>
        <v>0</v>
      </c>
      <c r="Q34" s="285" t="e">
        <f>(O34-P34)/P34</f>
        <v>#DIV/0!</v>
      </c>
      <c r="R34" s="287">
        <f>O34/$O$73</f>
        <v>3.3263317558661126E-5</v>
      </c>
      <c r="S34" s="283" t="s">
        <v>161</v>
      </c>
      <c r="T34" s="40"/>
      <c r="U34" s="284">
        <f>[3]Condor!$HV$64</f>
        <v>0</v>
      </c>
      <c r="V34" s="286">
        <f>[3]Condor!$HH$64</f>
        <v>0</v>
      </c>
      <c r="W34" s="287" t="e">
        <f>(U34-V34)/V34</f>
        <v>#DIV/0!</v>
      </c>
      <c r="X34" s="284">
        <f>SUM([3]Condor!$HR$64:$HV$64)</f>
        <v>0</v>
      </c>
      <c r="Y34" s="286">
        <f>SUM([3]Condor!$HD$64:$HH$64)</f>
        <v>0</v>
      </c>
      <c r="Z34" s="285" t="e">
        <f>(X34-Y34)/Y34</f>
        <v>#DIV/0!</v>
      </c>
      <c r="AA34" s="287">
        <f>X34/$X$73</f>
        <v>0</v>
      </c>
    </row>
    <row r="35" spans="1:27" ht="14.1" customHeight="1" x14ac:dyDescent="0.2">
      <c r="A35" s="38"/>
      <c r="B35" s="40"/>
      <c r="C35" s="288"/>
      <c r="E35" s="66"/>
      <c r="F35" s="2"/>
      <c r="I35" s="66"/>
      <c r="J35" s="38"/>
      <c r="K35" s="40"/>
      <c r="L35" s="288"/>
      <c r="N35" s="66"/>
      <c r="O35" s="288"/>
      <c r="P35" s="2"/>
      <c r="Q35" s="3"/>
      <c r="R35" s="66"/>
      <c r="S35" s="38"/>
      <c r="T35" s="40"/>
      <c r="U35" s="288"/>
      <c r="V35" s="2"/>
      <c r="W35" s="66"/>
      <c r="X35" s="288"/>
      <c r="Y35" s="2"/>
      <c r="Z35" s="3"/>
      <c r="AA35" s="66"/>
    </row>
    <row r="36" spans="1:27" ht="14.1" customHeight="1" x14ac:dyDescent="0.2">
      <c r="A36" s="283" t="s">
        <v>229</v>
      </c>
      <c r="B36" s="40"/>
      <c r="C36" s="284">
        <f>'[3]Denver Air'!$HV$19</f>
        <v>162</v>
      </c>
      <c r="D36" s="286">
        <f>'[3]Denver Air'!$HH$19</f>
        <v>104</v>
      </c>
      <c r="E36" s="287">
        <f>(C36-D36)/D36</f>
        <v>0.55769230769230771</v>
      </c>
      <c r="F36" s="286">
        <f>SUM('[3]Denver Air'!$HR$19:$HV$19)</f>
        <v>784</v>
      </c>
      <c r="G36" s="286">
        <f>SUM('[3]Denver Air'!$HD$19:$HH$19)</f>
        <v>550</v>
      </c>
      <c r="H36" s="285">
        <f>(F36-G36)/G36</f>
        <v>0.42545454545454547</v>
      </c>
      <c r="I36" s="287">
        <f>F36/$F$73</f>
        <v>6.9079150255962922E-3</v>
      </c>
      <c r="J36" s="283" t="s">
        <v>229</v>
      </c>
      <c r="K36" s="40"/>
      <c r="L36" s="284">
        <f>'[3]Denver Air'!$HV$41</f>
        <v>1736</v>
      </c>
      <c r="M36" s="286">
        <f>'[3]Denver Air'!$HH$41</f>
        <v>568</v>
      </c>
      <c r="N36" s="287">
        <f>(L36-M36)/M36</f>
        <v>2.056338028169014</v>
      </c>
      <c r="O36" s="284">
        <f>SUM('[3]Denver Air'!$HR$41:$HV$41)</f>
        <v>7894</v>
      </c>
      <c r="P36" s="286">
        <f>SUM('[3]Denver Air'!$HD$41:$HH$41)</f>
        <v>2434</v>
      </c>
      <c r="Q36" s="285">
        <f>(O36-P36)/P36</f>
        <v>2.2432210353327857</v>
      </c>
      <c r="R36" s="287">
        <f>O36/$O$73</f>
        <v>6.6476108559005299E-4</v>
      </c>
      <c r="S36" s="283" t="s">
        <v>229</v>
      </c>
      <c r="T36" s="40"/>
      <c r="U36" s="284">
        <f>'[3]Denver Air'!$HV$64</f>
        <v>0</v>
      </c>
      <c r="V36" s="286">
        <f>'[3]Denver Air'!$HH$64</f>
        <v>0</v>
      </c>
      <c r="W36" s="287" t="e">
        <f>(U36-V36)/V36</f>
        <v>#DIV/0!</v>
      </c>
      <c r="X36" s="284">
        <f>SUM('[3]Denver Air'!$HR$64:$HV$64)</f>
        <v>0</v>
      </c>
      <c r="Y36" s="286">
        <f>SUM('[3]Denver Air'!$HD$64:$HH$64)</f>
        <v>0</v>
      </c>
      <c r="Z36" s="285" t="e">
        <f>(X36-Y36)/Y36</f>
        <v>#DIV/0!</v>
      </c>
      <c r="AA36" s="287">
        <f>X36/$X$71</f>
        <v>0</v>
      </c>
    </row>
    <row r="37" spans="1:27" ht="14.1" customHeight="1" x14ac:dyDescent="0.2">
      <c r="A37" s="38"/>
      <c r="B37" s="40"/>
      <c r="C37" s="288"/>
      <c r="E37" s="66"/>
      <c r="F37" s="2"/>
      <c r="I37" s="66"/>
      <c r="J37" s="38"/>
      <c r="K37" s="40"/>
      <c r="L37" s="288"/>
      <c r="N37" s="66"/>
      <c r="O37" s="288"/>
      <c r="P37" s="2"/>
      <c r="Q37" s="3"/>
      <c r="R37" s="66"/>
      <c r="S37" s="38"/>
      <c r="T37" s="40"/>
      <c r="U37" s="288"/>
      <c r="V37" s="2"/>
      <c r="W37" s="66"/>
      <c r="X37" s="288"/>
      <c r="Y37" s="2"/>
      <c r="Z37" s="3"/>
      <c r="AA37" s="66"/>
    </row>
    <row r="38" spans="1:27" ht="14.1" customHeight="1" x14ac:dyDescent="0.2">
      <c r="A38" s="283" t="s">
        <v>18</v>
      </c>
      <c r="B38" s="290"/>
      <c r="C38" s="284">
        <f>SUM(C39:C45)</f>
        <v>17829</v>
      </c>
      <c r="D38" s="286">
        <f>SUM(D39:D45)</f>
        <v>16996</v>
      </c>
      <c r="E38" s="287">
        <f t="shared" ref="E38:E45" si="29">(C38-D38)/D38</f>
        <v>4.9011532125205932E-2</v>
      </c>
      <c r="F38" s="289">
        <f>SUM(F39:F45)</f>
        <v>85079</v>
      </c>
      <c r="G38" s="289">
        <f>SUM(G39:G45)</f>
        <v>77954</v>
      </c>
      <c r="H38" s="285">
        <f>(F38-G38)/G38</f>
        <v>9.1400056443543626E-2</v>
      </c>
      <c r="I38" s="287">
        <f t="shared" ref="I38:I45" si="30">F38/$F$73</f>
        <v>0.74964094701875883</v>
      </c>
      <c r="J38" s="283" t="s">
        <v>18</v>
      </c>
      <c r="K38" s="290"/>
      <c r="L38" s="284">
        <f>SUM(L39:L45)</f>
        <v>1943040</v>
      </c>
      <c r="M38" s="286">
        <f>SUM(M39:M45)</f>
        <v>1482148</v>
      </c>
      <c r="N38" s="287">
        <f t="shared" ref="N38:N45" si="31">(L38-M38)/M38</f>
        <v>0.31096219810707165</v>
      </c>
      <c r="O38" s="284">
        <f>SUM(O39:O45)</f>
        <v>8478084</v>
      </c>
      <c r="P38" s="286">
        <f>SUM(P39:P45)</f>
        <v>5133241</v>
      </c>
      <c r="Q38" s="285">
        <f t="shared" ref="Q38:Q45" si="32">(O38-P38)/P38</f>
        <v>0.65160451262662322</v>
      </c>
      <c r="R38" s="287">
        <f t="shared" ref="R38:R45" si="33">O38/$O$73</f>
        <v>0.71394734273671878</v>
      </c>
      <c r="S38" s="283" t="s">
        <v>18</v>
      </c>
      <c r="T38" s="290"/>
      <c r="U38" s="284">
        <f>SUM(U39:U45)</f>
        <v>7154590</v>
      </c>
      <c r="V38" s="286">
        <f>SUM(V39:V45)</f>
        <v>4005777</v>
      </c>
      <c r="W38" s="287">
        <f t="shared" ref="W38:W45" si="34">(U38-V38)/V38</f>
        <v>0.78606797133240314</v>
      </c>
      <c r="X38" s="284">
        <f>SUM(X39:X45)</f>
        <v>29314607</v>
      </c>
      <c r="Y38" s="286">
        <f>SUM(Y39:Y45)</f>
        <v>15599165</v>
      </c>
      <c r="Z38" s="285">
        <f t="shared" ref="Z38:Z41" si="35">(X38-Y38)/Y38</f>
        <v>0.879242061994985</v>
      </c>
      <c r="AA38" s="287">
        <f t="shared" ref="AA38:AA45" si="36">X38/$X$73</f>
        <v>0.81312690282636835</v>
      </c>
    </row>
    <row r="39" spans="1:27" ht="14.1" customHeight="1" x14ac:dyDescent="0.2">
      <c r="A39" s="38"/>
      <c r="B39" s="40" t="s">
        <v>18</v>
      </c>
      <c r="C39" s="288">
        <f>[3]Delta!$HV$19</f>
        <v>9901</v>
      </c>
      <c r="D39" s="2">
        <f>[3]Delta!$HH$19</f>
        <v>7795</v>
      </c>
      <c r="E39" s="66">
        <f t="shared" si="29"/>
        <v>0.27017318794098782</v>
      </c>
      <c r="F39" s="2">
        <f>SUM([3]Delta!$HR$19:$HV$19)</f>
        <v>48170</v>
      </c>
      <c r="G39" s="2">
        <f>SUM([3]Delta!$HD$19:$HH$19)</f>
        <v>35229</v>
      </c>
      <c r="H39" s="3">
        <f t="shared" ref="H39:H45" si="37">(F39-G39)/G39</f>
        <v>0.36733940787419456</v>
      </c>
      <c r="I39" s="66">
        <f t="shared" si="30"/>
        <v>0.42443146273338445</v>
      </c>
      <c r="J39" s="38"/>
      <c r="K39" s="40" t="s">
        <v>18</v>
      </c>
      <c r="L39" s="288">
        <f>[3]Delta!$HV$41</f>
        <v>1464455</v>
      </c>
      <c r="M39" s="2">
        <f>[3]Delta!$HH$41</f>
        <v>1015609</v>
      </c>
      <c r="N39" s="66">
        <f t="shared" si="31"/>
        <v>0.44194763929819447</v>
      </c>
      <c r="O39" s="288">
        <f>SUM([3]Delta!$HR$41:$HV$41)</f>
        <v>6640096</v>
      </c>
      <c r="P39" s="2">
        <f>SUM([3]Delta!$HD$41:$HH$41)</f>
        <v>3546812</v>
      </c>
      <c r="Q39" s="3">
        <f t="shared" si="32"/>
        <v>0.87213080366255669</v>
      </c>
      <c r="R39" s="66">
        <f t="shared" si="33"/>
        <v>0.55916866295695067</v>
      </c>
      <c r="S39" s="38"/>
      <c r="T39" s="40" t="s">
        <v>18</v>
      </c>
      <c r="U39" s="288">
        <f>[3]Delta!$HV$64</f>
        <v>7154590</v>
      </c>
      <c r="V39" s="2">
        <f>[3]Delta!$HH$64</f>
        <v>4005777</v>
      </c>
      <c r="W39" s="66">
        <f t="shared" si="34"/>
        <v>0.78606797133240314</v>
      </c>
      <c r="X39" s="288">
        <f>SUM([3]Delta!$HR$64:$HV$64)</f>
        <v>29314607</v>
      </c>
      <c r="Y39" s="2">
        <f>SUM([3]Delta!$HD$64:$HH$64)</f>
        <v>15599165</v>
      </c>
      <c r="Z39" s="3">
        <f t="shared" si="35"/>
        <v>0.879242061994985</v>
      </c>
      <c r="AA39" s="66">
        <f t="shared" si="36"/>
        <v>0.81312690282636835</v>
      </c>
    </row>
    <row r="40" spans="1:27" ht="14.1" customHeight="1" x14ac:dyDescent="0.2">
      <c r="A40" s="38"/>
      <c r="B40" s="291" t="s">
        <v>117</v>
      </c>
      <c r="C40" s="288">
        <f>[3]Compass!$HV$19</f>
        <v>0</v>
      </c>
      <c r="D40" s="2">
        <f>[3]Compass!$HH$19</f>
        <v>0</v>
      </c>
      <c r="E40" s="66" t="e">
        <f t="shared" si="29"/>
        <v>#DIV/0!</v>
      </c>
      <c r="F40" s="2">
        <f>SUM([3]Compass!$HR$19:$HV$19)</f>
        <v>0</v>
      </c>
      <c r="G40" s="2">
        <f>SUM([3]Compass!$HD$19:$HH$19)</f>
        <v>0</v>
      </c>
      <c r="H40" s="3" t="e">
        <f t="shared" si="37"/>
        <v>#DIV/0!</v>
      </c>
      <c r="I40" s="66">
        <f t="shared" si="30"/>
        <v>0</v>
      </c>
      <c r="J40" s="38"/>
      <c r="K40" s="291" t="s">
        <v>117</v>
      </c>
      <c r="L40" s="288">
        <f>[3]Compass!$HV$41</f>
        <v>0</v>
      </c>
      <c r="M40" s="2">
        <f>[3]Compass!$HH$41</f>
        <v>0</v>
      </c>
      <c r="N40" s="66" t="e">
        <f t="shared" si="31"/>
        <v>#DIV/0!</v>
      </c>
      <c r="O40" s="288">
        <f>SUM([3]Compass!$HR$41:$HV$41)</f>
        <v>0</v>
      </c>
      <c r="P40" s="2">
        <f>SUM([3]Compass!$HD$41:$HH$41)</f>
        <v>0</v>
      </c>
      <c r="Q40" s="3" t="e">
        <f t="shared" si="32"/>
        <v>#DIV/0!</v>
      </c>
      <c r="R40" s="66">
        <f t="shared" si="33"/>
        <v>0</v>
      </c>
      <c r="S40" s="38"/>
      <c r="T40" s="291" t="s">
        <v>117</v>
      </c>
      <c r="U40" s="288">
        <f>[3]Compass!$HV$64</f>
        <v>0</v>
      </c>
      <c r="V40" s="2">
        <f>[3]Compass!$HH$64</f>
        <v>0</v>
      </c>
      <c r="W40" s="66" t="e">
        <f t="shared" si="34"/>
        <v>#DIV/0!</v>
      </c>
      <c r="X40" s="288">
        <f>SUM([3]Compass!$HR$64:$HV$64)</f>
        <v>0</v>
      </c>
      <c r="Y40" s="2">
        <f>SUM([3]Compass!$HD$64:$HH$64)</f>
        <v>0</v>
      </c>
      <c r="Z40" s="3" t="e">
        <f t="shared" si="35"/>
        <v>#DIV/0!</v>
      </c>
      <c r="AA40" s="66">
        <f t="shared" si="36"/>
        <v>0</v>
      </c>
    </row>
    <row r="41" spans="1:27" ht="14.1" customHeight="1" x14ac:dyDescent="0.2">
      <c r="A41" s="38"/>
      <c r="B41" s="40" t="s">
        <v>158</v>
      </c>
      <c r="C41" s="288">
        <f>[3]Pinnacle!$HV$19</f>
        <v>1538</v>
      </c>
      <c r="D41" s="2">
        <f>[3]Pinnacle!$HH$19</f>
        <v>3485</v>
      </c>
      <c r="E41" s="66">
        <f t="shared" si="29"/>
        <v>-0.55868005738880921</v>
      </c>
      <c r="F41" s="2">
        <f>SUM([3]Pinnacle!$HR$19:$HV$19)</f>
        <v>8283</v>
      </c>
      <c r="G41" s="2">
        <f>SUM([3]Pinnacle!$HD$19:$HH$19)</f>
        <v>15743</v>
      </c>
      <c r="H41" s="3">
        <f t="shared" si="37"/>
        <v>-0.47386139871689004</v>
      </c>
      <c r="I41" s="66">
        <f t="shared" si="30"/>
        <v>7.2982474690068994E-2</v>
      </c>
      <c r="J41" s="38"/>
      <c r="K41" s="40" t="s">
        <v>158</v>
      </c>
      <c r="L41" s="288">
        <f>[3]Pinnacle!$HV$41</f>
        <v>81438</v>
      </c>
      <c r="M41" s="2">
        <f>[3]Pinnacle!$HH$41</f>
        <v>166652</v>
      </c>
      <c r="N41" s="66">
        <f t="shared" si="31"/>
        <v>-0.51132899695173173</v>
      </c>
      <c r="O41" s="288">
        <f>SUM([3]Pinnacle!$HR$41:$HV$41)</f>
        <v>388418</v>
      </c>
      <c r="P41" s="2">
        <f>SUM([3]Pinnacle!$HD$41:$HH$41)</f>
        <v>569029</v>
      </c>
      <c r="Q41" s="3">
        <f t="shared" si="32"/>
        <v>-0.31740210077166542</v>
      </c>
      <c r="R41" s="66">
        <f t="shared" si="33"/>
        <v>3.2709041213924143E-2</v>
      </c>
      <c r="S41" s="38"/>
      <c r="T41" s="40" t="s">
        <v>158</v>
      </c>
      <c r="U41" s="288">
        <f>[3]Pinnacle!$HV$64</f>
        <v>0</v>
      </c>
      <c r="V41" s="2">
        <f>[3]Pinnacle!$HH$64</f>
        <v>0</v>
      </c>
      <c r="W41" s="66" t="e">
        <f t="shared" si="34"/>
        <v>#DIV/0!</v>
      </c>
      <c r="X41" s="288">
        <f>SUM([3]Pinnacle!$HR$64:$HV$64)</f>
        <v>0</v>
      </c>
      <c r="Y41" s="2">
        <f>SUM([3]Pinnacle!$HD$64:$HH$64)</f>
        <v>0</v>
      </c>
      <c r="Z41" s="3" t="e">
        <f t="shared" si="35"/>
        <v>#DIV/0!</v>
      </c>
      <c r="AA41" s="66">
        <f t="shared" si="36"/>
        <v>0</v>
      </c>
    </row>
    <row r="42" spans="1:27" ht="14.1" customHeight="1" x14ac:dyDescent="0.2">
      <c r="A42" s="38"/>
      <c r="B42" s="40" t="s">
        <v>154</v>
      </c>
      <c r="C42" s="288">
        <f>'[3]Go Jet'!$HV$19</f>
        <v>0</v>
      </c>
      <c r="D42" s="2">
        <f>'[3]Go Jet'!$HH$19</f>
        <v>0</v>
      </c>
      <c r="E42" s="66" t="e">
        <f t="shared" si="29"/>
        <v>#DIV/0!</v>
      </c>
      <c r="F42" s="2">
        <f>SUM('[3]Go Jet'!$HR$19:$HV$19)</f>
        <v>0</v>
      </c>
      <c r="G42" s="2">
        <f>SUM('[3]Go Jet'!$HD$19:$HH$19)</f>
        <v>0</v>
      </c>
      <c r="H42" s="3" t="e">
        <f>(F42-G42)/G42</f>
        <v>#DIV/0!</v>
      </c>
      <c r="I42" s="66">
        <f t="shared" si="30"/>
        <v>0</v>
      </c>
      <c r="J42" s="38"/>
      <c r="K42" s="40" t="s">
        <v>154</v>
      </c>
      <c r="L42" s="288">
        <f>'[3]Go Jet'!$HV$41</f>
        <v>0</v>
      </c>
      <c r="M42" s="2">
        <f>'[3]Go Jet'!$HH$41</f>
        <v>0</v>
      </c>
      <c r="N42" s="66" t="e">
        <f t="shared" si="31"/>
        <v>#DIV/0!</v>
      </c>
      <c r="O42" s="288">
        <f>SUM('[3]Go Jet'!$HR$41:$HV$41)</f>
        <v>0</v>
      </c>
      <c r="P42" s="2">
        <f>SUM('[3]Go Jet'!$HD$41:$HH$41)</f>
        <v>0</v>
      </c>
      <c r="Q42" s="3" t="e">
        <f>(O42-P42)/P42</f>
        <v>#DIV/0!</v>
      </c>
      <c r="R42" s="66">
        <f t="shared" si="33"/>
        <v>0</v>
      </c>
      <c r="S42" s="38"/>
      <c r="T42" s="40" t="s">
        <v>154</v>
      </c>
      <c r="U42" s="288">
        <f>'[3]Go Jet'!$HV$64</f>
        <v>0</v>
      </c>
      <c r="V42" s="2">
        <f>'[3]Go Jet'!$HH$64</f>
        <v>0</v>
      </c>
      <c r="W42" s="66" t="e">
        <f t="shared" si="34"/>
        <v>#DIV/0!</v>
      </c>
      <c r="X42" s="288">
        <f>SUM('[3]Go Jet'!$HR$64:$HV$64)</f>
        <v>0</v>
      </c>
      <c r="Y42" s="2">
        <f>SUM('[3]Go Jet'!$HD$64:$HH$64)</f>
        <v>0</v>
      </c>
      <c r="Z42" s="3" t="e">
        <f>(X42-Y42)/Y42</f>
        <v>#DIV/0!</v>
      </c>
      <c r="AA42" s="66">
        <f t="shared" si="36"/>
        <v>0</v>
      </c>
    </row>
    <row r="43" spans="1:27" ht="14.1" customHeight="1" x14ac:dyDescent="0.2">
      <c r="A43" s="38"/>
      <c r="B43" s="40" t="s">
        <v>97</v>
      </c>
      <c r="C43" s="288">
        <f>'[3]Sky West'!$HV$19</f>
        <v>6390</v>
      </c>
      <c r="D43" s="2">
        <f>'[3]Sky West'!$HH$19</f>
        <v>5716</v>
      </c>
      <c r="E43" s="66">
        <f t="shared" si="29"/>
        <v>0.1179146256123163</v>
      </c>
      <c r="F43" s="2">
        <f>SUM('[3]Sky West'!$HR$19:$HV$19)</f>
        <v>28626</v>
      </c>
      <c r="G43" s="2">
        <f>SUM('[3]Sky West'!$HD$19:$HH$19)</f>
        <v>26982</v>
      </c>
      <c r="H43" s="3">
        <f t="shared" si="37"/>
        <v>6.0929508561263064E-2</v>
      </c>
      <c r="I43" s="66">
        <f t="shared" si="30"/>
        <v>0.25222700959530542</v>
      </c>
      <c r="J43" s="38"/>
      <c r="K43" s="40" t="s">
        <v>97</v>
      </c>
      <c r="L43" s="288">
        <f>'[3]Sky West'!$HV$41</f>
        <v>397147</v>
      </c>
      <c r="M43" s="2">
        <f>'[3]Sky West'!$HH$41</f>
        <v>299887</v>
      </c>
      <c r="N43" s="66">
        <f t="shared" si="31"/>
        <v>0.32432216134744085</v>
      </c>
      <c r="O43" s="288">
        <f>SUM('[3]Sky West'!$HR$41:$HV$41)</f>
        <v>1449570</v>
      </c>
      <c r="P43" s="2">
        <f>SUM('[3]Sky West'!$HD$41:$HH$41)</f>
        <v>1017400</v>
      </c>
      <c r="Q43" s="3">
        <f t="shared" si="32"/>
        <v>0.42477884804403382</v>
      </c>
      <c r="R43" s="66">
        <f t="shared" si="33"/>
        <v>0.12206963856584406</v>
      </c>
      <c r="S43" s="38"/>
      <c r="T43" s="40" t="s">
        <v>97</v>
      </c>
      <c r="U43" s="288">
        <f>'[3]Sky West'!$HV$64</f>
        <v>0</v>
      </c>
      <c r="V43" s="2">
        <f>'[3]Sky West'!$HH$64</f>
        <v>0</v>
      </c>
      <c r="W43" s="66" t="e">
        <f t="shared" si="34"/>
        <v>#DIV/0!</v>
      </c>
      <c r="X43" s="288">
        <f>SUM('[3]Sky West'!$HR$64:$HV$64)</f>
        <v>0</v>
      </c>
      <c r="Y43" s="2">
        <f>SUM('[3]Sky West'!$HD$64:$HH$64)</f>
        <v>0</v>
      </c>
      <c r="Z43" s="3" t="e">
        <f t="shared" ref="Z43:Z45" si="38">(X43-Y43)/Y43</f>
        <v>#DIV/0!</v>
      </c>
      <c r="AA43" s="66">
        <f t="shared" si="36"/>
        <v>0</v>
      </c>
    </row>
    <row r="44" spans="1:27" ht="14.1" customHeight="1" x14ac:dyDescent="0.2">
      <c r="A44" s="38"/>
      <c r="B44" s="40" t="s">
        <v>131</v>
      </c>
      <c r="C44" s="288">
        <f>'[3]Shuttle America_Delta'!$HV$19</f>
        <v>0</v>
      </c>
      <c r="D44" s="2">
        <f>'[3]Shuttle America_Delta'!$HH$19</f>
        <v>0</v>
      </c>
      <c r="E44" s="66" t="e">
        <f t="shared" si="29"/>
        <v>#DIV/0!</v>
      </c>
      <c r="F44" s="2">
        <f>SUM('[3]Shuttle America_Delta'!$HR$19:$HV$19)</f>
        <v>0</v>
      </c>
      <c r="G44" s="2">
        <f>SUM('[3]Shuttle America_Delta'!$HD$19:$HH$19)</f>
        <v>0</v>
      </c>
      <c r="H44" s="3" t="e">
        <f t="shared" si="37"/>
        <v>#DIV/0!</v>
      </c>
      <c r="I44" s="66">
        <f t="shared" si="30"/>
        <v>0</v>
      </c>
      <c r="J44" s="38"/>
      <c r="K44" s="40" t="s">
        <v>131</v>
      </c>
      <c r="L44" s="288">
        <f>'[3]Shuttle America_Delta'!$HV$41</f>
        <v>0</v>
      </c>
      <c r="M44" s="2">
        <f>'[3]Shuttle America_Delta'!$HH$41</f>
        <v>0</v>
      </c>
      <c r="N44" s="66" t="e">
        <f t="shared" si="31"/>
        <v>#DIV/0!</v>
      </c>
      <c r="O44" s="288">
        <f>SUM('[3]Shuttle America_Delta'!$HR$41:$HV$41)</f>
        <v>0</v>
      </c>
      <c r="P44" s="2">
        <f>SUM('[3]Shuttle America_Delta'!$HD$41:$HH$41)</f>
        <v>0</v>
      </c>
      <c r="Q44" s="3" t="e">
        <f t="shared" si="32"/>
        <v>#DIV/0!</v>
      </c>
      <c r="R44" s="66">
        <f t="shared" si="33"/>
        <v>0</v>
      </c>
      <c r="S44" s="38"/>
      <c r="T44" s="40" t="s">
        <v>131</v>
      </c>
      <c r="U44" s="288">
        <f>'[3]Shuttle America_Delta'!$HV$64</f>
        <v>0</v>
      </c>
      <c r="V44" s="2">
        <f>'[3]Shuttle America_Delta'!$HH$64</f>
        <v>0</v>
      </c>
      <c r="W44" s="66" t="e">
        <f t="shared" si="34"/>
        <v>#DIV/0!</v>
      </c>
      <c r="X44" s="288">
        <f>SUM('[3]Shuttle America_Delta'!$HR$64:$HV$64)</f>
        <v>0</v>
      </c>
      <c r="Y44" s="2">
        <f>SUM('[3]Shuttle America_Delta'!$HD$64:$HH$64)</f>
        <v>0</v>
      </c>
      <c r="Z44" s="3" t="e">
        <f t="shared" si="38"/>
        <v>#DIV/0!</v>
      </c>
      <c r="AA44" s="66">
        <f t="shared" si="36"/>
        <v>0</v>
      </c>
    </row>
    <row r="45" spans="1:27" ht="14.1" customHeight="1" x14ac:dyDescent="0.2">
      <c r="A45" s="38"/>
      <c r="B45" s="343" t="s">
        <v>166</v>
      </c>
      <c r="C45" s="288">
        <f>'[3]Atlantic Southeast'!$HV$19</f>
        <v>0</v>
      </c>
      <c r="D45" s="2">
        <f>'[3]Atlantic Southeast'!$HH$19</f>
        <v>0</v>
      </c>
      <c r="E45" s="66" t="e">
        <f t="shared" si="29"/>
        <v>#DIV/0!</v>
      </c>
      <c r="F45" s="2">
        <f>SUM('[3]Atlantic Southeast'!$HR$19:$HV$19)</f>
        <v>0</v>
      </c>
      <c r="G45" s="2">
        <f>SUM('[3]Atlantic Southeast'!$HD$19:$HH$19)</f>
        <v>0</v>
      </c>
      <c r="H45" s="3" t="e">
        <f t="shared" si="37"/>
        <v>#DIV/0!</v>
      </c>
      <c r="I45" s="66">
        <f t="shared" si="30"/>
        <v>0</v>
      </c>
      <c r="J45" s="38"/>
      <c r="K45" s="343" t="s">
        <v>166</v>
      </c>
      <c r="L45" s="288">
        <f>'[3]Atlantic Southeast'!$HV$41</f>
        <v>0</v>
      </c>
      <c r="M45" s="2">
        <f>'[3]Atlantic Southeast'!$HH$41</f>
        <v>0</v>
      </c>
      <c r="N45" s="66" t="e">
        <f t="shared" si="31"/>
        <v>#DIV/0!</v>
      </c>
      <c r="O45" s="288">
        <f>SUM('[3]Atlantic Southeast'!$HR$41:$HV$41)</f>
        <v>0</v>
      </c>
      <c r="P45" s="2">
        <f>SUM('[3]Atlantic Southeast'!$HD$41:$HH$41)</f>
        <v>0</v>
      </c>
      <c r="Q45" s="3" t="e">
        <f t="shared" si="32"/>
        <v>#DIV/0!</v>
      </c>
      <c r="R45" s="66">
        <f t="shared" si="33"/>
        <v>0</v>
      </c>
      <c r="S45" s="38"/>
      <c r="T45" s="343" t="s">
        <v>166</v>
      </c>
      <c r="U45" s="288">
        <f>'[3]Atlantic Southeast'!$HV$64</f>
        <v>0</v>
      </c>
      <c r="V45" s="2">
        <f>'[3]Atlantic Southeast'!$HH$64</f>
        <v>0</v>
      </c>
      <c r="W45" s="66" t="e">
        <f t="shared" si="34"/>
        <v>#DIV/0!</v>
      </c>
      <c r="X45" s="288">
        <f>SUM('[3]Atlantic Southeast'!$HR$64:$HV$64)</f>
        <v>0</v>
      </c>
      <c r="Y45" s="2">
        <f>SUM('[3]Atlantic Southeast'!$HD$64:$HH$64)</f>
        <v>0</v>
      </c>
      <c r="Z45" s="3" t="e">
        <f t="shared" si="38"/>
        <v>#DIV/0!</v>
      </c>
      <c r="AA45" s="66">
        <f t="shared" si="36"/>
        <v>0</v>
      </c>
    </row>
    <row r="46" spans="1:27" ht="14.1" customHeight="1" x14ac:dyDescent="0.2">
      <c r="A46" s="38"/>
      <c r="B46" s="343"/>
      <c r="C46" s="288"/>
      <c r="E46" s="66"/>
      <c r="F46" s="2"/>
      <c r="I46" s="66"/>
      <c r="J46" s="38"/>
      <c r="K46" s="343"/>
      <c r="L46" s="288"/>
      <c r="N46" s="66"/>
      <c r="O46" s="288"/>
      <c r="P46" s="2"/>
      <c r="Q46" s="3"/>
      <c r="R46" s="66"/>
      <c r="S46" s="38"/>
      <c r="T46" s="343"/>
      <c r="U46" s="288"/>
      <c r="V46" s="2"/>
      <c r="W46" s="66"/>
      <c r="X46" s="288"/>
      <c r="Y46" s="2"/>
      <c r="Z46" s="3"/>
      <c r="AA46" s="66"/>
    </row>
    <row r="47" spans="1:27" ht="14.1" customHeight="1" x14ac:dyDescent="0.2">
      <c r="A47" s="283" t="s">
        <v>47</v>
      </c>
      <c r="B47" s="40"/>
      <c r="C47" s="284">
        <f>[3]Frontier!$HV$19</f>
        <v>64</v>
      </c>
      <c r="D47" s="286">
        <f>[3]Frontier!$HH$19</f>
        <v>94</v>
      </c>
      <c r="E47" s="287">
        <f>(C47-D47)/D47</f>
        <v>-0.31914893617021278</v>
      </c>
      <c r="F47" s="286">
        <f>SUM([3]Frontier!$HR$19:$HV$19)</f>
        <v>688</v>
      </c>
      <c r="G47" s="286">
        <f>SUM([3]Frontier!$HD$19:$HH$19)</f>
        <v>466</v>
      </c>
      <c r="H47" s="285">
        <f>(F47-G47)/G47</f>
        <v>0.47639484978540775</v>
      </c>
      <c r="I47" s="287">
        <f>F47/$F$73</f>
        <v>6.0620478796049098E-3</v>
      </c>
      <c r="J47" s="283" t="s">
        <v>47</v>
      </c>
      <c r="K47" s="40"/>
      <c r="L47" s="284">
        <f>[3]Frontier!$HV$41</f>
        <v>10152</v>
      </c>
      <c r="M47" s="286">
        <f>[3]Frontier!$HH$41</f>
        <v>13379</v>
      </c>
      <c r="N47" s="287">
        <f>(L47-M47)/M47</f>
        <v>-0.24119889378877346</v>
      </c>
      <c r="O47" s="284">
        <f>SUM([3]Frontier!$HR$41:$HV$41)</f>
        <v>93699</v>
      </c>
      <c r="P47" s="286">
        <f>SUM([3]Frontier!$HD$41:$HH$41)</f>
        <v>69020</v>
      </c>
      <c r="Q47" s="285">
        <f>(O47-P47)/P47</f>
        <v>0.35756302521008404</v>
      </c>
      <c r="R47" s="287">
        <f>O47/$O$73</f>
        <v>7.89047997956706E-3</v>
      </c>
      <c r="S47" s="283" t="s">
        <v>47</v>
      </c>
      <c r="T47" s="40"/>
      <c r="U47" s="284">
        <f>[3]Frontier!$HV$64</f>
        <v>0</v>
      </c>
      <c r="V47" s="286">
        <f>[3]Frontier!$HH$64</f>
        <v>0</v>
      </c>
      <c r="W47" s="287" t="e">
        <f>(U47-V47)/V47</f>
        <v>#DIV/0!</v>
      </c>
      <c r="X47" s="284">
        <f>SUM([3]Frontier!$HR$64:$HV$64)</f>
        <v>0</v>
      </c>
      <c r="Y47" s="286">
        <f>SUM([3]Frontier!$HD$64:$HH$64)</f>
        <v>0</v>
      </c>
      <c r="Z47" s="285" t="e">
        <f>(X47-Y47)/Y47</f>
        <v>#DIV/0!</v>
      </c>
      <c r="AA47" s="287">
        <f>X47/$X$73</f>
        <v>0</v>
      </c>
    </row>
    <row r="48" spans="1:27" ht="14.1" customHeight="1" x14ac:dyDescent="0.2">
      <c r="A48" s="283"/>
      <c r="B48" s="40"/>
      <c r="C48" s="284"/>
      <c r="D48" s="286"/>
      <c r="E48" s="287"/>
      <c r="F48" s="286"/>
      <c r="G48" s="286"/>
      <c r="H48" s="285"/>
      <c r="I48" s="287"/>
      <c r="J48" s="283"/>
      <c r="K48" s="40"/>
      <c r="L48" s="288"/>
      <c r="N48" s="66"/>
      <c r="O48" s="288"/>
      <c r="P48" s="2"/>
      <c r="Q48" s="3"/>
      <c r="R48" s="66"/>
      <c r="S48" s="283"/>
      <c r="T48" s="40"/>
      <c r="U48" s="288"/>
      <c r="V48" s="2"/>
      <c r="W48" s="66"/>
      <c r="X48" s="288"/>
      <c r="Y48" s="2"/>
      <c r="Z48" s="3"/>
      <c r="AA48" s="66"/>
    </row>
    <row r="49" spans="1:27" ht="14.1" customHeight="1" x14ac:dyDescent="0.2">
      <c r="A49" s="283" t="s">
        <v>48</v>
      </c>
      <c r="B49" s="40"/>
      <c r="C49" s="284">
        <f>[3]Icelandair!$HV$19</f>
        <v>54</v>
      </c>
      <c r="D49" s="286">
        <f>[3]Icelandair!$HH$19</f>
        <v>0</v>
      </c>
      <c r="E49" s="287" t="e">
        <f>(C49-D49)/D49</f>
        <v>#DIV/0!</v>
      </c>
      <c r="F49" s="286">
        <f>SUM([3]Icelandair!$HR$19:$HV$19)</f>
        <v>60</v>
      </c>
      <c r="G49" s="286">
        <f>SUM([3]Icelandair!$HD$19:$HH$19)</f>
        <v>0</v>
      </c>
      <c r="H49" s="285" t="e">
        <f>(F49-G49)/G49</f>
        <v>#DIV/0!</v>
      </c>
      <c r="I49" s="287">
        <f>F49/$F$73</f>
        <v>5.2866696624461417E-4</v>
      </c>
      <c r="J49" s="283" t="s">
        <v>48</v>
      </c>
      <c r="K49" s="40"/>
      <c r="L49" s="284">
        <f>[3]Icelandair!$HV$41</f>
        <v>6461</v>
      </c>
      <c r="M49" s="286">
        <f>[3]Icelandair!$HH$41</f>
        <v>0</v>
      </c>
      <c r="N49" s="287" t="e">
        <f>(L49-M49)/M49</f>
        <v>#DIV/0!</v>
      </c>
      <c r="O49" s="284">
        <f>SUM([3]Icelandair!$HR$41:$HV$41)</f>
        <v>6976</v>
      </c>
      <c r="P49" s="286">
        <f>SUM([3]Icelandair!$HD$41:$HH$41)</f>
        <v>0</v>
      </c>
      <c r="Q49" s="285" t="e">
        <f>(O49-P49)/P49</f>
        <v>#DIV/0!</v>
      </c>
      <c r="R49" s="287">
        <f>O49/$O$73</f>
        <v>5.8745545136511387E-4</v>
      </c>
      <c r="S49" s="283" t="s">
        <v>48</v>
      </c>
      <c r="T49" s="40"/>
      <c r="U49" s="284">
        <f>[3]Icelandair!$HV$64</f>
        <v>8374</v>
      </c>
      <c r="V49" s="286">
        <f>[3]Icelandair!$HH$64</f>
        <v>0</v>
      </c>
      <c r="W49" s="287" t="e">
        <f>(U49-V49)/V49</f>
        <v>#DIV/0!</v>
      </c>
      <c r="X49" s="284">
        <f>SUM([3]Icelandair!$HR$64:$HV$64)</f>
        <v>8374</v>
      </c>
      <c r="Y49" s="286">
        <f>SUM([3]Icelandair!$HD$64:$HH$64)</f>
        <v>0</v>
      </c>
      <c r="Z49" s="285" t="e">
        <f>(X49-Y49)/Y49</f>
        <v>#DIV/0!</v>
      </c>
      <c r="AA49" s="287">
        <f>X49/$X$73</f>
        <v>2.3227753605115732E-4</v>
      </c>
    </row>
    <row r="50" spans="1:27" ht="14.1" customHeight="1" x14ac:dyDescent="0.2">
      <c r="A50" s="283"/>
      <c r="B50" s="40"/>
      <c r="C50" s="284"/>
      <c r="D50" s="286"/>
      <c r="E50" s="287"/>
      <c r="F50" s="286"/>
      <c r="G50" s="286"/>
      <c r="H50" s="285"/>
      <c r="I50" s="287"/>
      <c r="J50" s="283"/>
      <c r="K50" s="40"/>
      <c r="L50" s="288"/>
      <c r="N50" s="66"/>
      <c r="O50" s="288"/>
      <c r="P50" s="2"/>
      <c r="Q50" s="3"/>
      <c r="R50" s="66"/>
      <c r="S50" s="283"/>
      <c r="T50" s="40"/>
      <c r="U50" s="288"/>
      <c r="V50" s="2"/>
      <c r="W50" s="66"/>
      <c r="X50" s="288"/>
      <c r="Y50" s="2"/>
      <c r="Z50" s="3"/>
      <c r="AA50" s="66"/>
    </row>
    <row r="51" spans="1:27" ht="14.1" customHeight="1" x14ac:dyDescent="0.2">
      <c r="A51" s="283" t="s">
        <v>199</v>
      </c>
      <c r="B51" s="40"/>
      <c r="C51" s="284">
        <f>'[3]Jet Blue'!$HV$19</f>
        <v>182</v>
      </c>
      <c r="D51" s="286">
        <f>'[3]Jet Blue'!$HH$19</f>
        <v>36</v>
      </c>
      <c r="E51" s="287">
        <f>(C51-D51)/D51</f>
        <v>4.0555555555555554</v>
      </c>
      <c r="F51" s="286">
        <f>SUM('[3]Jet Blue'!$HR$19:$HV$19)</f>
        <v>608</v>
      </c>
      <c r="G51" s="286">
        <f>SUM('[3]Jet Blue'!$HD$19:$HH$19)</f>
        <v>84</v>
      </c>
      <c r="H51" s="285">
        <f>(F51-G51)/G51</f>
        <v>6.2380952380952381</v>
      </c>
      <c r="I51" s="287">
        <f>F51/$F$73</f>
        <v>5.3571585912787576E-3</v>
      </c>
      <c r="J51" s="283" t="s">
        <v>199</v>
      </c>
      <c r="K51" s="40"/>
      <c r="L51" s="284">
        <f>'[3]Jet Blue'!$HV$41</f>
        <v>20862</v>
      </c>
      <c r="M51" s="286">
        <f>'[3]Jet Blue'!$HH$41</f>
        <v>2865</v>
      </c>
      <c r="N51" s="287">
        <f>(L51-M51)/M51</f>
        <v>6.2816753926701567</v>
      </c>
      <c r="O51" s="284">
        <f>SUM('[3]Jet Blue'!$HR$41:$HV$41)</f>
        <v>48666</v>
      </c>
      <c r="P51" s="286">
        <f>SUM('[3]Jet Blue'!$HD$41:$HH$41)</f>
        <v>5291</v>
      </c>
      <c r="Q51" s="285">
        <f>(O51-P51)/P51</f>
        <v>8.1978831978831987</v>
      </c>
      <c r="R51" s="287">
        <f>O51/$O$73</f>
        <v>4.0982091450881067E-3</v>
      </c>
      <c r="S51" s="283" t="s">
        <v>199</v>
      </c>
      <c r="T51" s="40"/>
      <c r="U51" s="284">
        <f>'[3]Jet Blue'!$HV$64</f>
        <v>0</v>
      </c>
      <c r="V51" s="286">
        <f>'[3]Jet Blue'!$HH$64</f>
        <v>0</v>
      </c>
      <c r="W51" s="287" t="e">
        <f>(U51-V51)/V51</f>
        <v>#DIV/0!</v>
      </c>
      <c r="X51" s="284">
        <f>SUM('[3]Jet Blue'!$HR$64:$HV$64)</f>
        <v>0</v>
      </c>
      <c r="Y51" s="286">
        <f>SUM('[3]Jet Blue'!$HD$64:$HH$64)</f>
        <v>0</v>
      </c>
      <c r="Z51" s="285" t="e">
        <f>(X51-Y51)/Y51</f>
        <v>#DIV/0!</v>
      </c>
      <c r="AA51" s="287">
        <f>X51/$X$73</f>
        <v>0</v>
      </c>
    </row>
    <row r="52" spans="1:27" ht="14.1" customHeight="1" x14ac:dyDescent="0.2">
      <c r="A52" s="283"/>
      <c r="B52" s="40"/>
      <c r="C52" s="284"/>
      <c r="D52" s="286"/>
      <c r="E52" s="287"/>
      <c r="F52" s="286"/>
      <c r="G52" s="286"/>
      <c r="H52" s="285"/>
      <c r="I52" s="287"/>
      <c r="J52" s="283"/>
      <c r="K52" s="40"/>
      <c r="L52" s="288"/>
      <c r="N52" s="66"/>
      <c r="O52" s="288"/>
      <c r="P52" s="2"/>
      <c r="Q52" s="3"/>
      <c r="R52" s="66"/>
      <c r="S52" s="283"/>
      <c r="T52" s="40"/>
      <c r="U52" s="288"/>
      <c r="V52" s="2"/>
      <c r="W52" s="66"/>
      <c r="X52" s="288"/>
      <c r="Y52" s="2"/>
      <c r="Z52" s="3"/>
      <c r="AA52" s="66"/>
    </row>
    <row r="53" spans="1:27" ht="14.1" customHeight="1" x14ac:dyDescent="0.2">
      <c r="A53" s="283" t="s">
        <v>194</v>
      </c>
      <c r="B53" s="40"/>
      <c r="C53" s="284">
        <f>[3]KLM!$HV$19</f>
        <v>36</v>
      </c>
      <c r="D53" s="286">
        <f>[3]KLM!$HH$19</f>
        <v>0</v>
      </c>
      <c r="E53" s="287" t="e">
        <f>(C53-D53)/D53</f>
        <v>#DIV/0!</v>
      </c>
      <c r="F53" s="286">
        <f>SUM([3]KLM!$HR$19:$HV$19)</f>
        <v>148</v>
      </c>
      <c r="G53" s="286">
        <f>SUM([3]KLM!$HD$19:$HH$19)</f>
        <v>0</v>
      </c>
      <c r="H53" s="285" t="e">
        <f>(F53-G53)/G53</f>
        <v>#DIV/0!</v>
      </c>
      <c r="I53" s="287">
        <f>F53/$F$73</f>
        <v>1.3040451834033817E-3</v>
      </c>
      <c r="J53" s="283" t="s">
        <v>194</v>
      </c>
      <c r="K53" s="40"/>
      <c r="L53" s="284">
        <f>[3]KLM!$HV$41</f>
        <v>7865</v>
      </c>
      <c r="M53" s="286">
        <f>[3]KLM!$HH$41</f>
        <v>0</v>
      </c>
      <c r="N53" s="287" t="e">
        <f>(L53-M53)/M53</f>
        <v>#DIV/0!</v>
      </c>
      <c r="O53" s="284">
        <f>SUM([3]KLM!$HR$41:$HV$41)</f>
        <v>27473</v>
      </c>
      <c r="P53" s="286">
        <f>SUM([3]KLM!$HD$41:$HH$41)</f>
        <v>0</v>
      </c>
      <c r="Q53" s="285" t="e">
        <f>(O53-P53)/P53</f>
        <v>#DIV/0!</v>
      </c>
      <c r="R53" s="287">
        <f>O53/$O$73</f>
        <v>2.3135268944027773E-3</v>
      </c>
      <c r="S53" s="283" t="s">
        <v>194</v>
      </c>
      <c r="T53" s="40"/>
      <c r="U53" s="284">
        <f>[3]KLM!$HV$64</f>
        <v>496121</v>
      </c>
      <c r="V53" s="286">
        <f>[3]KLM!$HH$64</f>
        <v>0</v>
      </c>
      <c r="W53" s="287" t="e">
        <f>(U53-V53)/V53</f>
        <v>#DIV/0!</v>
      </c>
      <c r="X53" s="284">
        <f>SUM([3]KLM!$HR$64:$HV$64)</f>
        <v>2872954</v>
      </c>
      <c r="Y53" s="286">
        <f>SUM([3]KLM!$HD$64:$HH$64)</f>
        <v>0</v>
      </c>
      <c r="Z53" s="285" t="e">
        <f>(X53-Y53)/Y53</f>
        <v>#DIV/0!</v>
      </c>
      <c r="AA53" s="287">
        <f>X53/$X$73</f>
        <v>7.9689834763352826E-2</v>
      </c>
    </row>
    <row r="54" spans="1:27" ht="14.1" customHeight="1" x14ac:dyDescent="0.2">
      <c r="A54" s="283"/>
      <c r="B54" s="40"/>
      <c r="C54" s="284"/>
      <c r="D54" s="286"/>
      <c r="E54" s="287"/>
      <c r="F54" s="286"/>
      <c r="G54" s="286"/>
      <c r="H54" s="285"/>
      <c r="I54" s="287"/>
      <c r="J54" s="283"/>
      <c r="K54" s="40"/>
      <c r="L54" s="288"/>
      <c r="N54" s="66"/>
      <c r="O54" s="288"/>
      <c r="P54" s="2"/>
      <c r="Q54" s="3"/>
      <c r="R54" s="66"/>
      <c r="S54" s="283"/>
      <c r="T54" s="40"/>
      <c r="U54" s="288"/>
      <c r="V54" s="2"/>
      <c r="W54" s="66"/>
      <c r="X54" s="288"/>
      <c r="Y54" s="2"/>
      <c r="Z54" s="3"/>
      <c r="AA54" s="66"/>
    </row>
    <row r="55" spans="1:27" ht="14.1" customHeight="1" x14ac:dyDescent="0.2">
      <c r="A55" s="283" t="s">
        <v>129</v>
      </c>
      <c r="B55" s="40"/>
      <c r="C55" s="284">
        <f>[3]Southwest!$HV$19</f>
        <v>767</v>
      </c>
      <c r="D55" s="286">
        <f>[3]Southwest!$HH$19</f>
        <v>766</v>
      </c>
      <c r="E55" s="287">
        <f>(C55-D55)/D55</f>
        <v>1.3054830287206266E-3</v>
      </c>
      <c r="F55" s="286">
        <f>SUM([3]Southwest!$HR$19:$HV$19)</f>
        <v>3540</v>
      </c>
      <c r="G55" s="286">
        <f>SUM([3]Southwest!$HD$19:$HH$19)</f>
        <v>3221</v>
      </c>
      <c r="H55" s="285">
        <f>(F55-G55)/G55</f>
        <v>9.9037565973300212E-2</v>
      </c>
      <c r="I55" s="287">
        <f>F55/$F$73</f>
        <v>3.1191351008432237E-2</v>
      </c>
      <c r="J55" s="283" t="s">
        <v>129</v>
      </c>
      <c r="K55" s="40"/>
      <c r="L55" s="284">
        <f>[3]Southwest!$HV$41</f>
        <v>105131</v>
      </c>
      <c r="M55" s="286">
        <f>[3]Southwest!$HH$41</f>
        <v>94924</v>
      </c>
      <c r="N55" s="287">
        <f>(L55-M55)/M55</f>
        <v>0.10752812776537019</v>
      </c>
      <c r="O55" s="284">
        <f>SUM([3]Southwest!$HR$41:$HV$41)</f>
        <v>438347</v>
      </c>
      <c r="P55" s="286">
        <f>SUM([3]Southwest!$HD$41:$HH$41)</f>
        <v>374937</v>
      </c>
      <c r="Q55" s="285">
        <f>(O55-P55)/P55</f>
        <v>0.16912174578662548</v>
      </c>
      <c r="R55" s="287">
        <f>O55/$O$73</f>
        <v>3.691360876426944E-2</v>
      </c>
      <c r="S55" s="283" t="s">
        <v>129</v>
      </c>
      <c r="T55" s="40"/>
      <c r="U55" s="284">
        <f>[3]Southwest!$HV$64</f>
        <v>211449</v>
      </c>
      <c r="V55" s="286">
        <f>[3]Southwest!$HH$64</f>
        <v>361400</v>
      </c>
      <c r="W55" s="287">
        <f>(U55-V55)/V55</f>
        <v>-0.41491698948533479</v>
      </c>
      <c r="X55" s="284">
        <f>SUM([3]Southwest!$HR$64:$HV$64)</f>
        <v>1007618</v>
      </c>
      <c r="Y55" s="286">
        <f>SUM([3]Southwest!$HD$64:$HH$64)</f>
        <v>1407598</v>
      </c>
      <c r="Z55" s="285">
        <f>(X55-Y55)/Y55</f>
        <v>-0.28415783483636664</v>
      </c>
      <c r="AA55" s="287">
        <f>X55/$X$73</f>
        <v>2.7949250814520543E-2</v>
      </c>
    </row>
    <row r="56" spans="1:27" ht="14.1" customHeight="1" x14ac:dyDescent="0.2">
      <c r="A56" s="283"/>
      <c r="B56" s="40"/>
      <c r="C56" s="284"/>
      <c r="D56" s="286"/>
      <c r="E56" s="287"/>
      <c r="F56" s="286"/>
      <c r="G56" s="286"/>
      <c r="H56" s="285"/>
      <c r="I56" s="287"/>
      <c r="J56" s="283"/>
      <c r="K56" s="40"/>
      <c r="L56" s="288"/>
      <c r="N56" s="66"/>
      <c r="O56" s="288"/>
      <c r="P56" s="2"/>
      <c r="Q56" s="3"/>
      <c r="R56" s="66"/>
      <c r="S56" s="283"/>
      <c r="T56" s="40"/>
      <c r="U56" s="288"/>
      <c r="V56" s="2"/>
      <c r="W56" s="66"/>
      <c r="X56" s="288"/>
      <c r="Y56" s="2"/>
      <c r="Z56" s="3"/>
      <c r="AA56" s="66"/>
    </row>
    <row r="57" spans="1:27" ht="14.1" customHeight="1" x14ac:dyDescent="0.2">
      <c r="A57" s="283" t="s">
        <v>155</v>
      </c>
      <c r="B57" s="40"/>
      <c r="C57" s="284">
        <f>[3]Spirit!$HV$19</f>
        <v>153</v>
      </c>
      <c r="D57" s="286">
        <f>[3]Spirit!$HH$19</f>
        <v>354</v>
      </c>
      <c r="E57" s="287">
        <f>(C57-D57)/D57</f>
        <v>-0.56779661016949157</v>
      </c>
      <c r="F57" s="286">
        <f>SUM([3]Spirit!$HR$19:$HV$19)</f>
        <v>1484</v>
      </c>
      <c r="G57" s="286">
        <f>SUM([3]Spirit!$HD$19:$HH$19)</f>
        <v>1558</v>
      </c>
      <c r="H57" s="285">
        <f>(F57-G57)/G57</f>
        <v>-4.7496790757381259E-2</v>
      </c>
      <c r="I57" s="287">
        <f>F57/$F$73</f>
        <v>1.3075696298450125E-2</v>
      </c>
      <c r="J57" s="283" t="s">
        <v>155</v>
      </c>
      <c r="K57" s="40"/>
      <c r="L57" s="284">
        <f>[3]Spirit!$HV$41</f>
        <v>22302</v>
      </c>
      <c r="M57" s="286">
        <f>[3]Spirit!$HH$41</f>
        <v>44747</v>
      </c>
      <c r="N57" s="287">
        <f>(L57-M57)/M57</f>
        <v>-0.50159787248307153</v>
      </c>
      <c r="O57" s="284">
        <f>SUM([3]Spirit!$HR$41:$HV$41)</f>
        <v>215164</v>
      </c>
      <c r="P57" s="286">
        <f>SUM([3]Spirit!$HD$41:$HH$41)</f>
        <v>222940</v>
      </c>
      <c r="Q57" s="285">
        <f>(O57-P57)/P57</f>
        <v>-3.4879339732663495E-2</v>
      </c>
      <c r="R57" s="287">
        <f>O57/$O$73</f>
        <v>1.8119160656181677E-2</v>
      </c>
      <c r="S57" s="283" t="s">
        <v>155</v>
      </c>
      <c r="T57" s="40"/>
      <c r="U57" s="284">
        <f>[3]Spirit!$HV$64</f>
        <v>0</v>
      </c>
      <c r="V57" s="286">
        <f>[3]Spirit!$HH$64</f>
        <v>0</v>
      </c>
      <c r="W57" s="287" t="e">
        <f>(U57-V57)/V57</f>
        <v>#DIV/0!</v>
      </c>
      <c r="X57" s="284">
        <f>SUM([3]Spirit!$HR$64:$HV$64)</f>
        <v>0</v>
      </c>
      <c r="Y57" s="286">
        <f>SUM([3]Spirit!$HD$64:$HH$64)</f>
        <v>0</v>
      </c>
      <c r="Z57" s="285" t="e">
        <f>(X57-Y57)/Y57</f>
        <v>#DIV/0!</v>
      </c>
      <c r="AA57" s="287">
        <f>X57/$X$73</f>
        <v>0</v>
      </c>
    </row>
    <row r="58" spans="1:27" ht="14.1" customHeight="1" x14ac:dyDescent="0.2">
      <c r="A58" s="283"/>
      <c r="B58" s="40"/>
      <c r="C58" s="284"/>
      <c r="D58" s="286"/>
      <c r="E58" s="287"/>
      <c r="F58" s="286"/>
      <c r="G58" s="286"/>
      <c r="H58" s="285"/>
      <c r="I58" s="287"/>
      <c r="J58" s="283"/>
      <c r="K58" s="40"/>
      <c r="L58" s="288"/>
      <c r="N58" s="66"/>
      <c r="O58" s="288"/>
      <c r="P58" s="2"/>
      <c r="Q58" s="3"/>
      <c r="R58" s="66">
        <f>O58/$O$73</f>
        <v>0</v>
      </c>
      <c r="S58" s="283"/>
      <c r="T58" s="40"/>
      <c r="U58" s="288"/>
      <c r="V58" s="2"/>
      <c r="W58" s="66"/>
      <c r="X58" s="288"/>
      <c r="Y58" s="2"/>
      <c r="Z58" s="3"/>
      <c r="AA58" s="66">
        <f>X58/$X$73</f>
        <v>0</v>
      </c>
    </row>
    <row r="59" spans="1:27" ht="14.1" customHeight="1" x14ac:dyDescent="0.2">
      <c r="A59" s="283" t="s">
        <v>49</v>
      </c>
      <c r="B59" s="40"/>
      <c r="C59" s="284">
        <f>'[3]Sun Country'!$HV$19</f>
        <v>1532</v>
      </c>
      <c r="D59" s="286">
        <f>'[3]Sun Country'!$HH$19</f>
        <v>1450</v>
      </c>
      <c r="E59" s="287">
        <f>(C59-D59)/D59</f>
        <v>5.6551724137931032E-2</v>
      </c>
      <c r="F59" s="286">
        <f>SUM('[3]Sun Country'!$HR$19:$HV$19)</f>
        <v>9719</v>
      </c>
      <c r="G59" s="286">
        <f>SUM('[3]Sun Country'!$HD$19:$HH$19)</f>
        <v>7567</v>
      </c>
      <c r="H59" s="285">
        <f>(F59-G59)/G59</f>
        <v>0.28439275802828068</v>
      </c>
      <c r="I59" s="287">
        <f>F59/$F$73</f>
        <v>8.5635237415523424E-2</v>
      </c>
      <c r="J59" s="283" t="s">
        <v>49</v>
      </c>
      <c r="K59" s="40"/>
      <c r="L59" s="284">
        <f>'[3]Sun Country'!$HV$41</f>
        <v>220602</v>
      </c>
      <c r="M59" s="286">
        <f>'[3]Sun Country'!$HH$41</f>
        <v>177167</v>
      </c>
      <c r="N59" s="287">
        <f>(L59-M59)/M59</f>
        <v>0.24516416714173633</v>
      </c>
      <c r="O59" s="284">
        <f>SUM('[3]Sun Country'!$HR$41:$HV$41)</f>
        <v>1358575</v>
      </c>
      <c r="P59" s="286">
        <f>SUM('[3]Sun Country'!$HD$41:$HH$41)</f>
        <v>905803</v>
      </c>
      <c r="Q59" s="285">
        <f>(O59-P59)/P59</f>
        <v>0.49985703293100153</v>
      </c>
      <c r="R59" s="287">
        <f>O59/$O$73</f>
        <v>0.11440686494242541</v>
      </c>
      <c r="S59" s="283" t="s">
        <v>49</v>
      </c>
      <c r="T59" s="40"/>
      <c r="U59" s="284">
        <f>'[3]Sun Country'!$HV$64</f>
        <v>263193</v>
      </c>
      <c r="V59" s="286">
        <f>'[3]Sun Country'!$HH$64</f>
        <v>540020</v>
      </c>
      <c r="W59" s="287">
        <f>(U59-V59)/V59</f>
        <v>-0.51262360653309136</v>
      </c>
      <c r="X59" s="284">
        <f>SUM('[3]Sun Country'!$HR$64:$HV$64)</f>
        <v>1140446</v>
      </c>
      <c r="Y59" s="286">
        <f>SUM('[3]Sun Country'!$HD$64:$HH$64)</f>
        <v>2069217</v>
      </c>
      <c r="Z59" s="285">
        <f>(X59-Y59)/Y59</f>
        <v>-0.44885142544257078</v>
      </c>
      <c r="AA59" s="287">
        <f>X59/$X$73</f>
        <v>3.1633626329042056E-2</v>
      </c>
    </row>
    <row r="60" spans="1:27" ht="14.1" customHeight="1" x14ac:dyDescent="0.2">
      <c r="A60" s="283"/>
      <c r="B60" s="40"/>
      <c r="C60" s="284"/>
      <c r="D60" s="286"/>
      <c r="E60" s="287"/>
      <c r="F60" s="286"/>
      <c r="G60" s="286"/>
      <c r="H60" s="285"/>
      <c r="I60" s="287"/>
      <c r="J60" s="283"/>
      <c r="K60" s="40"/>
      <c r="L60" s="288"/>
      <c r="N60" s="66"/>
      <c r="O60" s="288"/>
      <c r="P60" s="2"/>
      <c r="Q60" s="3"/>
      <c r="R60" s="66"/>
      <c r="S60" s="283"/>
      <c r="T60" s="40"/>
      <c r="U60" s="288"/>
      <c r="V60" s="2"/>
      <c r="W60" s="66"/>
      <c r="X60" s="288"/>
      <c r="Y60" s="2"/>
      <c r="Z60" s="3"/>
      <c r="AA60" s="66"/>
    </row>
    <row r="61" spans="1:27" ht="14.1" customHeight="1" x14ac:dyDescent="0.2">
      <c r="A61" s="283" t="s">
        <v>19</v>
      </c>
      <c r="B61" s="290"/>
      <c r="C61" s="284">
        <f>SUM(C62:C68)</f>
        <v>1034</v>
      </c>
      <c r="D61" s="286">
        <f>SUM(D62:D68)</f>
        <v>598</v>
      </c>
      <c r="E61" s="287">
        <f t="shared" ref="E61:E68" si="39">(C61-D61)/D61</f>
        <v>0.72909698996655514</v>
      </c>
      <c r="F61" s="286">
        <f>SUM(F62:F68)</f>
        <v>4579</v>
      </c>
      <c r="G61" s="286">
        <f>SUM(G62:G68)</f>
        <v>2859</v>
      </c>
      <c r="H61" s="285">
        <f t="shared" ref="H61:H68" si="40">(F61-G61)/G61</f>
        <v>0.60160895417978311</v>
      </c>
      <c r="I61" s="287">
        <f t="shared" ref="I61:I68" si="41">F61/$F$73</f>
        <v>4.0346100640568143E-2</v>
      </c>
      <c r="J61" s="283" t="s">
        <v>19</v>
      </c>
      <c r="K61" s="290"/>
      <c r="L61" s="284">
        <f>SUM(L62:L68)</f>
        <v>119352</v>
      </c>
      <c r="M61" s="286">
        <f>SUM(M62:M68)</f>
        <v>58712</v>
      </c>
      <c r="N61" s="287">
        <f t="shared" ref="N61:N68" si="42">(L61-M61)/M61</f>
        <v>1.0328382613435072</v>
      </c>
      <c r="O61" s="284">
        <f>SUM(O62:O68)</f>
        <v>483350</v>
      </c>
      <c r="P61" s="286">
        <f>SUM(P62:P68)</f>
        <v>252392</v>
      </c>
      <c r="Q61" s="285">
        <f t="shared" ref="Q61:Q68" si="43">(O61-P61)/P61</f>
        <v>0.91507654759263368</v>
      </c>
      <c r="R61" s="287">
        <f t="shared" ref="R61:R68" si="44">O61/$O$73</f>
        <v>4.0703353270832542E-2</v>
      </c>
      <c r="S61" s="283" t="s">
        <v>19</v>
      </c>
      <c r="T61" s="290"/>
      <c r="U61" s="284">
        <f>SUM(U62:U68)</f>
        <v>128834</v>
      </c>
      <c r="V61" s="286">
        <f>SUM(V62:V68)</f>
        <v>184770</v>
      </c>
      <c r="W61" s="287">
        <f t="shared" ref="W61:W68" si="45">(U61-V61)/V61</f>
        <v>-0.30273312767224114</v>
      </c>
      <c r="X61" s="284">
        <f>SUM(X62:X68)</f>
        <v>546716</v>
      </c>
      <c r="Y61" s="286">
        <f>SUM(Y62:Y68)</f>
        <v>505326</v>
      </c>
      <c r="Z61" s="285">
        <f t="shared" ref="Z61:Z68" si="46">(X61-Y61)/Y61</f>
        <v>8.1907521085398338E-2</v>
      </c>
      <c r="AA61" s="287">
        <f t="shared" ref="AA61:AA68" si="47">X61/$X$73</f>
        <v>1.5164777334576609E-2</v>
      </c>
    </row>
    <row r="62" spans="1:27" ht="14.1" customHeight="1" x14ac:dyDescent="0.2">
      <c r="A62" s="38"/>
      <c r="B62" s="343" t="s">
        <v>19</v>
      </c>
      <c r="C62" s="288">
        <f>[3]United!$HV$19</f>
        <v>715</v>
      </c>
      <c r="D62" s="2">
        <f>[3]United!$HH$19+[3]Continental!$HH$19</f>
        <v>376</v>
      </c>
      <c r="E62" s="66">
        <f t="shared" si="39"/>
        <v>0.90159574468085102</v>
      </c>
      <c r="F62" s="2">
        <f>SUM([3]United!$HR$19:$HV$19)</f>
        <v>3040</v>
      </c>
      <c r="G62" s="2">
        <f>SUM([3]United!$HD$19:$HH$19)+SUM([3]Continental!$HD$19:$HH$19)</f>
        <v>1556</v>
      </c>
      <c r="H62" s="3">
        <f t="shared" si="40"/>
        <v>0.95372750642673521</v>
      </c>
      <c r="I62" s="66">
        <f t="shared" si="41"/>
        <v>2.6785792956393786E-2</v>
      </c>
      <c r="J62" s="38"/>
      <c r="K62" s="343" t="s">
        <v>19</v>
      </c>
      <c r="L62" s="288">
        <f>[3]United!$HV$41</f>
        <v>97722</v>
      </c>
      <c r="M62" s="2">
        <f>[3]United!$HH$41+[3]Continental!$HH$41</f>
        <v>45011</v>
      </c>
      <c r="N62" s="66">
        <f t="shared" si="42"/>
        <v>1.1710692941725356</v>
      </c>
      <c r="O62" s="288">
        <f>SUM([3]United!$HR$41:$HV$41)</f>
        <v>386565</v>
      </c>
      <c r="P62" s="2">
        <f>SUM([3]United!$HD$41:$HH$41)+SUM([3]Continental!$HD$41:$HH$41)</f>
        <v>181618</v>
      </c>
      <c r="Q62" s="3">
        <f t="shared" si="43"/>
        <v>1.1284509244678391</v>
      </c>
      <c r="R62" s="66">
        <f t="shared" si="44"/>
        <v>3.2552998359655284E-2</v>
      </c>
      <c r="S62" s="38"/>
      <c r="T62" s="343" t="s">
        <v>19</v>
      </c>
      <c r="U62" s="288">
        <f>[3]United!$HV$64</f>
        <v>128834</v>
      </c>
      <c r="V62" s="2">
        <f>[3]United!$HH$64+[3]Continental!$HH$64</f>
        <v>184770</v>
      </c>
      <c r="W62" s="66">
        <f t="shared" si="45"/>
        <v>-0.30273312767224114</v>
      </c>
      <c r="X62" s="288">
        <f>SUM([3]United!$HR$64:$HV$64)</f>
        <v>546716</v>
      </c>
      <c r="Y62" s="2">
        <f>SUM([3]United!$HD$64:$HH$64)+SUM([3]Continental!$HD$64:$HH$64)</f>
        <v>505326</v>
      </c>
      <c r="Z62" s="3">
        <f t="shared" si="46"/>
        <v>8.1907521085398338E-2</v>
      </c>
      <c r="AA62" s="66">
        <f t="shared" si="47"/>
        <v>1.5164777334576609E-2</v>
      </c>
    </row>
    <row r="63" spans="1:27" ht="14.1" customHeight="1" x14ac:dyDescent="0.2">
      <c r="A63" s="38"/>
      <c r="B63" s="343" t="s">
        <v>166</v>
      </c>
      <c r="C63" s="288">
        <f>'[3]Continental Express'!$HV$19</f>
        <v>0</v>
      </c>
      <c r="D63" s="2">
        <f>'[3]Continental Express'!$HH$19</f>
        <v>0</v>
      </c>
      <c r="E63" s="66" t="e">
        <f t="shared" si="39"/>
        <v>#DIV/0!</v>
      </c>
      <c r="F63" s="2">
        <f>SUM('[3]Continental Express'!$HR$19:$HV$19)</f>
        <v>0</v>
      </c>
      <c r="G63" s="2">
        <f>SUM('[3]Continental Express'!$HD$19:$HH$19)</f>
        <v>0</v>
      </c>
      <c r="H63" s="3" t="e">
        <f t="shared" si="40"/>
        <v>#DIV/0!</v>
      </c>
      <c r="I63" s="66">
        <f t="shared" si="41"/>
        <v>0</v>
      </c>
      <c r="J63" s="38"/>
      <c r="K63" s="343" t="s">
        <v>166</v>
      </c>
      <c r="L63" s="288">
        <f>'[3]Continental Express'!$HV$41</f>
        <v>0</v>
      </c>
      <c r="M63" s="2">
        <f>'[3]Continental Express'!$HH$41</f>
        <v>0</v>
      </c>
      <c r="N63" s="66" t="e">
        <f t="shared" si="42"/>
        <v>#DIV/0!</v>
      </c>
      <c r="O63" s="288">
        <f>SUM('[3]Continental Express'!$HR$41:$HV$41)</f>
        <v>0</v>
      </c>
      <c r="P63" s="2">
        <f>SUM('[3]Continental Express'!$HD$41:$HH$41)</f>
        <v>0</v>
      </c>
      <c r="Q63" s="3" t="e">
        <f t="shared" si="43"/>
        <v>#DIV/0!</v>
      </c>
      <c r="R63" s="66">
        <f t="shared" si="44"/>
        <v>0</v>
      </c>
      <c r="S63" s="38"/>
      <c r="T63" s="343" t="s">
        <v>166</v>
      </c>
      <c r="U63" s="288">
        <f>'[3]Continental Express'!$HV$64</f>
        <v>0</v>
      </c>
      <c r="V63" s="2">
        <f>'[3]Continental Express'!$HH$64</f>
        <v>0</v>
      </c>
      <c r="W63" s="66" t="e">
        <f t="shared" si="45"/>
        <v>#DIV/0!</v>
      </c>
      <c r="X63" s="288">
        <f>SUM('[3]Continental Express'!$HR$64:$HV$64)</f>
        <v>0</v>
      </c>
      <c r="Y63" s="2">
        <f>SUM('[3]Continental Express'!$HD$64:$HH$64)</f>
        <v>0</v>
      </c>
      <c r="Z63" s="3" t="e">
        <f t="shared" si="46"/>
        <v>#DIV/0!</v>
      </c>
      <c r="AA63" s="66">
        <f t="shared" si="47"/>
        <v>0</v>
      </c>
    </row>
    <row r="64" spans="1:27" ht="14.1" customHeight="1" x14ac:dyDescent="0.2">
      <c r="A64" s="38"/>
      <c r="B64" s="40" t="s">
        <v>154</v>
      </c>
      <c r="C64" s="288">
        <f>'[3]Go Jet_UA'!$HV$19</f>
        <v>0</v>
      </c>
      <c r="D64" s="2">
        <f>'[3]Go Jet_UA'!$HH$19</f>
        <v>0</v>
      </c>
      <c r="E64" s="66" t="e">
        <f t="shared" si="39"/>
        <v>#DIV/0!</v>
      </c>
      <c r="F64" s="2">
        <f>SUM('[3]Go Jet_UA'!$HR$19:$HV$19)</f>
        <v>0</v>
      </c>
      <c r="G64" s="2">
        <f>SUM('[3]Go Jet_UA'!$HD$19:$HH$19)</f>
        <v>0</v>
      </c>
      <c r="H64" s="3" t="e">
        <f t="shared" si="40"/>
        <v>#DIV/0!</v>
      </c>
      <c r="I64" s="66">
        <f t="shared" si="41"/>
        <v>0</v>
      </c>
      <c r="J64" s="38"/>
      <c r="K64" s="40" t="s">
        <v>154</v>
      </c>
      <c r="L64" s="288">
        <f>'[3]Go Jet_UA'!$HV$41</f>
        <v>0</v>
      </c>
      <c r="M64" s="2">
        <f>'[3]Go Jet_UA'!$HH$41</f>
        <v>0</v>
      </c>
      <c r="N64" s="66" t="e">
        <f t="shared" si="42"/>
        <v>#DIV/0!</v>
      </c>
      <c r="O64" s="288">
        <f>SUM('[3]Go Jet_UA'!$HR$41:$HV$41)</f>
        <v>0</v>
      </c>
      <c r="P64" s="2">
        <f>SUM('[3]Go Jet_UA'!$HD$41:$HH$41)</f>
        <v>0</v>
      </c>
      <c r="Q64" s="3" t="e">
        <f t="shared" si="43"/>
        <v>#DIV/0!</v>
      </c>
      <c r="R64" s="66">
        <f t="shared" si="44"/>
        <v>0</v>
      </c>
      <c r="S64" s="38"/>
      <c r="T64" s="40" t="s">
        <v>154</v>
      </c>
      <c r="U64" s="288">
        <f>'[3]Go Jet_UA'!$HV$64</f>
        <v>0</v>
      </c>
      <c r="V64" s="2">
        <f>'[3]Go Jet_UA'!$HH$64</f>
        <v>0</v>
      </c>
      <c r="W64" s="66" t="e">
        <f t="shared" si="45"/>
        <v>#DIV/0!</v>
      </c>
      <c r="X64" s="288">
        <f>SUM('[3]Go Jet_UA'!$HR$64:$HV$64)</f>
        <v>0</v>
      </c>
      <c r="Y64" s="2">
        <f>SUM('[3]Go Jet_UA'!$HD$64:$HH$64)</f>
        <v>0</v>
      </c>
      <c r="Z64" s="3" t="e">
        <f t="shared" si="46"/>
        <v>#DIV/0!</v>
      </c>
      <c r="AA64" s="66">
        <f t="shared" si="47"/>
        <v>0</v>
      </c>
    </row>
    <row r="65" spans="1:27" ht="14.1" customHeight="1" x14ac:dyDescent="0.2">
      <c r="A65" s="38"/>
      <c r="B65" s="40" t="s">
        <v>51</v>
      </c>
      <c r="C65" s="288">
        <f>[3]MESA_UA!$HV$19</f>
        <v>106</v>
      </c>
      <c r="D65" s="2">
        <f>[3]MESA_UA!$HH$19</f>
        <v>62</v>
      </c>
      <c r="E65" s="66">
        <f t="shared" si="39"/>
        <v>0.70967741935483875</v>
      </c>
      <c r="F65" s="2">
        <f>SUM([3]MESA_UA!$HR$19:$HV$19)</f>
        <v>504</v>
      </c>
      <c r="G65" s="2">
        <f>SUM([3]MESA_UA!$HD$19:$HH$19)</f>
        <v>385</v>
      </c>
      <c r="H65" s="3">
        <f>(F65-G65)/G65</f>
        <v>0.30909090909090908</v>
      </c>
      <c r="I65" s="66">
        <f t="shared" si="41"/>
        <v>4.4408025164547589E-3</v>
      </c>
      <c r="J65" s="38"/>
      <c r="K65" s="40" t="s">
        <v>51</v>
      </c>
      <c r="L65" s="288">
        <f>[3]MESA_UA!$HV$41</f>
        <v>7490</v>
      </c>
      <c r="M65" s="2">
        <f>[3]MESA_UA!$HH$41</f>
        <v>3779</v>
      </c>
      <c r="N65" s="66">
        <f t="shared" si="42"/>
        <v>0.98200582164593808</v>
      </c>
      <c r="O65" s="288">
        <f>SUM([3]MESA_UA!$HR$41:$HV$41)</f>
        <v>32990</v>
      </c>
      <c r="P65" s="2">
        <f>SUM([3]MESA_UA!$HD$41:$HH$41)</f>
        <v>20657</v>
      </c>
      <c r="Q65" s="3">
        <f t="shared" si="43"/>
        <v>0.59703732390957065</v>
      </c>
      <c r="R65" s="66">
        <f t="shared" si="44"/>
        <v>2.7781185981271658E-3</v>
      </c>
      <c r="S65" s="38"/>
      <c r="T65" s="40" t="s">
        <v>51</v>
      </c>
      <c r="U65" s="288">
        <f>[3]MESA_UA!$HV$64</f>
        <v>0</v>
      </c>
      <c r="V65" s="2">
        <f>[3]MESA_UA!$HH$64</f>
        <v>0</v>
      </c>
      <c r="W65" s="66" t="e">
        <f t="shared" si="45"/>
        <v>#DIV/0!</v>
      </c>
      <c r="X65" s="288">
        <f>SUM([3]MESA_UA!$HR$64:$HV$64)</f>
        <v>0</v>
      </c>
      <c r="Y65" s="2">
        <f>SUM([3]MESA_UA!$HD$64:$HH$64)</f>
        <v>0</v>
      </c>
      <c r="Z65" s="3" t="e">
        <f t="shared" si="46"/>
        <v>#DIV/0!</v>
      </c>
      <c r="AA65" s="66">
        <f t="shared" si="47"/>
        <v>0</v>
      </c>
    </row>
    <row r="66" spans="1:27" ht="14.1" customHeight="1" x14ac:dyDescent="0.2">
      <c r="A66" s="38"/>
      <c r="B66" s="343" t="s">
        <v>52</v>
      </c>
      <c r="C66" s="288">
        <f>[3]Republic_UA!$HV$19</f>
        <v>136</v>
      </c>
      <c r="D66" s="2">
        <f>[3]Republic_UA!$HH$19</f>
        <v>112</v>
      </c>
      <c r="E66" s="66">
        <f t="shared" si="39"/>
        <v>0.21428571428571427</v>
      </c>
      <c r="F66" s="2">
        <f>SUM([3]Republic_UA!$HR$19:$HV$19)</f>
        <v>749</v>
      </c>
      <c r="G66" s="2">
        <f>SUM([3]Republic_UA!$HD$19:$HH$19)</f>
        <v>653</v>
      </c>
      <c r="H66" s="3">
        <f t="shared" ref="H66" si="48">(F66-G66)/G66</f>
        <v>0.14701378254211334</v>
      </c>
      <c r="I66" s="66">
        <f t="shared" si="41"/>
        <v>6.5995259619536003E-3</v>
      </c>
      <c r="J66" s="38"/>
      <c r="K66" s="343" t="s">
        <v>52</v>
      </c>
      <c r="L66" s="288">
        <f>[3]Republic_UA!$HV$41</f>
        <v>8903</v>
      </c>
      <c r="M66" s="2">
        <f>[3]Republic_UA!$HH$41</f>
        <v>6887</v>
      </c>
      <c r="N66" s="66">
        <f t="shared" si="42"/>
        <v>0.29272542471322782</v>
      </c>
      <c r="O66" s="288">
        <f>SUM([3]Republic_UA!$HR$41:$HV$41)</f>
        <v>45477</v>
      </c>
      <c r="P66" s="2">
        <f>SUM([3]Republic_UA!$HD$41:$HH$41)</f>
        <v>35056</v>
      </c>
      <c r="Q66" s="3">
        <f t="shared" si="43"/>
        <v>0.29726722957553631</v>
      </c>
      <c r="R66" s="66">
        <f t="shared" si="44"/>
        <v>3.8296604876334986E-3</v>
      </c>
      <c r="S66" s="38"/>
      <c r="T66" s="343" t="s">
        <v>52</v>
      </c>
      <c r="U66" s="288">
        <f>[3]Republic_UA!$HV$64</f>
        <v>0</v>
      </c>
      <c r="V66" s="2">
        <f>[3]Republic_UA!$HH$64</f>
        <v>0</v>
      </c>
      <c r="W66" s="66" t="e">
        <f t="shared" si="45"/>
        <v>#DIV/0!</v>
      </c>
      <c r="X66" s="288">
        <f>SUM([3]Republic_UA!$HR$64:$HV$64)</f>
        <v>0</v>
      </c>
      <c r="Y66" s="2">
        <f>SUM([3]Republic_UA!$HD$64:$HH$64)</f>
        <v>0</v>
      </c>
      <c r="Z66" s="3" t="e">
        <f t="shared" si="46"/>
        <v>#DIV/0!</v>
      </c>
      <c r="AA66" s="66">
        <f t="shared" si="47"/>
        <v>0</v>
      </c>
    </row>
    <row r="67" spans="1:27" ht="14.1" customHeight="1" x14ac:dyDescent="0.2">
      <c r="A67" s="38"/>
      <c r="B67" s="40" t="s">
        <v>97</v>
      </c>
      <c r="C67" s="288">
        <f>'[3]Sky West_UA'!$HV$19</f>
        <v>77</v>
      </c>
      <c r="D67" s="2">
        <f>'[3]Sky West_UA'!$HH$19+'[3]Sky West_CO'!$HH$19</f>
        <v>48</v>
      </c>
      <c r="E67" s="66">
        <f t="shared" si="39"/>
        <v>0.60416666666666663</v>
      </c>
      <c r="F67" s="2">
        <f>SUM('[3]Sky West_UA'!$HR$19:$HV$19)</f>
        <v>286</v>
      </c>
      <c r="G67" s="2">
        <f>SUM('[3]Sky West_UA'!$HD$19:$HH$19)+SUM('[3]Sky West_CO'!$HD$19:$HH$19)</f>
        <v>265</v>
      </c>
      <c r="H67" s="3">
        <f t="shared" si="40"/>
        <v>7.9245283018867921E-2</v>
      </c>
      <c r="I67" s="66">
        <f t="shared" si="41"/>
        <v>2.5199792057659944E-3</v>
      </c>
      <c r="J67" s="38"/>
      <c r="K67" s="40" t="s">
        <v>97</v>
      </c>
      <c r="L67" s="288">
        <f>'[3]Sky West_UA'!$HV$41</f>
        <v>5237</v>
      </c>
      <c r="M67" s="2">
        <f>'[3]Sky West_UA'!$HH$41+'[3]Sky West_CO'!$HH$41</f>
        <v>3035</v>
      </c>
      <c r="N67" s="66">
        <f t="shared" si="42"/>
        <v>0.72553542009884675</v>
      </c>
      <c r="O67" s="288">
        <f>SUM('[3]Sky West_UA'!$HR$41:$HV$41)</f>
        <v>18318</v>
      </c>
      <c r="P67" s="2">
        <f>SUM('[3]Sky West_UA'!$HD$41:$HH$41)+SUM('[3]Sky West_CO'!$HD$41:$HH$41)</f>
        <v>15061</v>
      </c>
      <c r="Q67" s="3">
        <f t="shared" si="43"/>
        <v>0.21625390080339951</v>
      </c>
      <c r="R67" s="66">
        <f t="shared" si="44"/>
        <v>1.5425758254165936E-3</v>
      </c>
      <c r="S67" s="38"/>
      <c r="T67" s="40" t="s">
        <v>97</v>
      </c>
      <c r="U67" s="288">
        <f>'[3]Sky West_UA'!$HV$64</f>
        <v>0</v>
      </c>
      <c r="V67" s="2">
        <f>'[3]Sky West_UA'!$HH$64+'[3]Sky West_CO'!$HH$64</f>
        <v>0</v>
      </c>
      <c r="W67" s="66" t="e">
        <f t="shared" si="45"/>
        <v>#DIV/0!</v>
      </c>
      <c r="X67" s="288">
        <f>SUM('[3]Sky West_UA'!$HR$64:$HV$64)</f>
        <v>0</v>
      </c>
      <c r="Y67" s="2">
        <f>SUM('[3]Sky West_UA'!$HD$64:$HH$64)+SUM('[3]Sky West_CO'!$HD$64:$HH$64)</f>
        <v>0</v>
      </c>
      <c r="Z67" s="3" t="e">
        <f t="shared" si="46"/>
        <v>#DIV/0!</v>
      </c>
      <c r="AA67" s="66">
        <f t="shared" si="47"/>
        <v>0</v>
      </c>
    </row>
    <row r="68" spans="1:27" ht="14.1" customHeight="1" x14ac:dyDescent="0.2">
      <c r="A68" s="38"/>
      <c r="B68" s="291" t="s">
        <v>131</v>
      </c>
      <c r="C68" s="288">
        <f>'[3]Shuttle America'!$HV$19</f>
        <v>0</v>
      </c>
      <c r="D68" s="2">
        <f>'[3]Shuttle America'!$HH$19</f>
        <v>0</v>
      </c>
      <c r="E68" s="66" t="e">
        <f t="shared" si="39"/>
        <v>#DIV/0!</v>
      </c>
      <c r="F68" s="2">
        <f>SUM('[3]Shuttle America'!$HR$19:$HV$19)</f>
        <v>0</v>
      </c>
      <c r="G68" s="2">
        <f>SUM('[3]Shuttle America'!$HD$19:$HH$19)</f>
        <v>0</v>
      </c>
      <c r="H68" s="3" t="e">
        <f t="shared" si="40"/>
        <v>#DIV/0!</v>
      </c>
      <c r="I68" s="66">
        <f t="shared" si="41"/>
        <v>0</v>
      </c>
      <c r="J68" s="38"/>
      <c r="K68" s="291" t="s">
        <v>131</v>
      </c>
      <c r="L68" s="288">
        <f>'[3]Shuttle America'!$HV$41</f>
        <v>0</v>
      </c>
      <c r="M68" s="2">
        <f>'[3]Shuttle America'!$HH$41</f>
        <v>0</v>
      </c>
      <c r="N68" s="66" t="e">
        <f t="shared" si="42"/>
        <v>#DIV/0!</v>
      </c>
      <c r="O68" s="288">
        <f>SUM('[3]Shuttle America'!$HR$41:$HV$41)</f>
        <v>0</v>
      </c>
      <c r="P68" s="2">
        <f>SUM('[3]Shuttle America'!$HD$41:$HH$41)</f>
        <v>0</v>
      </c>
      <c r="Q68" s="3" t="e">
        <f t="shared" si="43"/>
        <v>#DIV/0!</v>
      </c>
      <c r="R68" s="66">
        <f t="shared" si="44"/>
        <v>0</v>
      </c>
      <c r="S68" s="38"/>
      <c r="T68" s="291" t="s">
        <v>131</v>
      </c>
      <c r="U68" s="288">
        <f>'[3]Shuttle America'!$HV$64</f>
        <v>0</v>
      </c>
      <c r="V68" s="2">
        <f>'[3]Shuttle America'!$HH$64</f>
        <v>0</v>
      </c>
      <c r="W68" s="66" t="e">
        <f t="shared" si="45"/>
        <v>#DIV/0!</v>
      </c>
      <c r="X68" s="288">
        <f>SUM('[3]Shuttle America'!$HR$64:$HV$64)</f>
        <v>0</v>
      </c>
      <c r="Y68" s="2">
        <f>SUM('[3]Shuttle America'!$HD$64:$HH$64)</f>
        <v>0</v>
      </c>
      <c r="Z68" s="3" t="e">
        <f t="shared" si="46"/>
        <v>#DIV/0!</v>
      </c>
      <c r="AA68" s="66">
        <f t="shared" si="47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14331</v>
      </c>
      <c r="D71" s="353">
        <f>+D73-D72</f>
        <v>11987</v>
      </c>
      <c r="E71" s="354">
        <f>(C71-D71)/D71</f>
        <v>0.19554517393843329</v>
      </c>
      <c r="F71" s="353">
        <f>+F73-F72</f>
        <v>72126</v>
      </c>
      <c r="G71" s="353">
        <f>+G73-G72</f>
        <v>54053</v>
      </c>
      <c r="H71" s="354">
        <f>(F71-G71)/G71</f>
        <v>0.33435701996188927</v>
      </c>
      <c r="I71" s="386">
        <f>F71/$F$73</f>
        <v>0.63551056012265073</v>
      </c>
      <c r="K71" s="299" t="s">
        <v>133</v>
      </c>
      <c r="L71" s="353">
        <f>+L73-L72</f>
        <v>2077152</v>
      </c>
      <c r="M71" s="353">
        <f>+M73-M72</f>
        <v>1506637</v>
      </c>
      <c r="N71" s="354">
        <f>(L71-M71)/M71</f>
        <v>0.37866785430067096</v>
      </c>
      <c r="O71" s="353">
        <f>+O73-O72</f>
        <v>9781326</v>
      </c>
      <c r="P71" s="353">
        <f>+P73-P72</f>
        <v>5694327</v>
      </c>
      <c r="Q71" s="382">
        <f>(O71-P71)/P71</f>
        <v>0.71773170033965383</v>
      </c>
      <c r="R71" s="444">
        <f>+O71/O73</f>
        <v>0.82369456426022425</v>
      </c>
      <c r="S71" s="3"/>
      <c r="T71" s="299" t="s">
        <v>133</v>
      </c>
      <c r="U71" s="353">
        <f>+U73-U72</f>
        <v>8739697</v>
      </c>
      <c r="V71" s="353">
        <f>+V73-V72</f>
        <v>5309551</v>
      </c>
      <c r="W71" s="354">
        <f>(U71-V71)/V71</f>
        <v>0.64603315798266181</v>
      </c>
      <c r="X71" s="353">
        <f>+X73-X72</f>
        <v>36016212</v>
      </c>
      <c r="Y71" s="353">
        <f>+Y73-Y72</f>
        <v>20552868</v>
      </c>
      <c r="Z71" s="382">
        <f>(X71-Y71)/Y71</f>
        <v>0.75236915840650564</v>
      </c>
      <c r="AA71" s="444">
        <f>+X71/X73</f>
        <v>0.9990156414206024</v>
      </c>
    </row>
    <row r="72" spans="1:27" ht="14.1" customHeight="1" x14ac:dyDescent="0.2">
      <c r="B72" s="170" t="s">
        <v>134</v>
      </c>
      <c r="C72" s="355">
        <f>C68+C45+C43+C41+C40+C44+C25+C67+C64+C42+C63+C65+C30+C29+C26+C20+C8+C66+C27+C28+C10+C21+C9</f>
        <v>8957</v>
      </c>
      <c r="D72" s="355">
        <f>D68+D45+D43+D41+D40+D44+D25+D67+D64+D42+D63+D65+D30+D29+D26+D20+D8+D66+D27+D28+D10+D21+D9</f>
        <v>9780</v>
      </c>
      <c r="E72" s="300">
        <f>(C72-D72)/D72</f>
        <v>-8.4151329243353779E-2</v>
      </c>
      <c r="F72" s="355">
        <f>F68+F45+F43+F41+F40+F44+F25+F67+F64+F42+F63+F65+F30+F29+F26+F20+F8+F66+F27+F28+F10+F21+F9</f>
        <v>41367</v>
      </c>
      <c r="G72" s="355">
        <f>G68+G45+G43+G41+G40+G44+G25+G67+G64+G42+G63+G65+G30+G29+G26+G20+G8+G66+G27+G28+G10+G21+G9</f>
        <v>45588</v>
      </c>
      <c r="H72" s="300">
        <f>(F72-G72)/G72</f>
        <v>-9.259015530402738E-2</v>
      </c>
      <c r="I72" s="387">
        <f>F72/$F$73</f>
        <v>0.36448943987734927</v>
      </c>
      <c r="K72" s="170" t="s">
        <v>134</v>
      </c>
      <c r="L72" s="355">
        <f>L68+L45+L43+L41+L40+L44+L25+L67+L64+L42+L63+L65+L30+L29+L26+L20+L8+L66+L27+L28+L10+L21+L9</f>
        <v>545873</v>
      </c>
      <c r="M72" s="355">
        <f>M68+M45+M43+M41+M40+M44+M25+M67+M64+M42+M63+M65+M30+M29+M26+M20+M8+M66+M27+M28+M10+M21+M9</f>
        <v>502571</v>
      </c>
      <c r="N72" s="300">
        <f>(L72-M72)/M72</f>
        <v>8.6160960341921833E-2</v>
      </c>
      <c r="O72" s="355">
        <f>O68+O45+O43+O41+O40+O44+O25+O67+O64+O42+O63+O65+O30+O29+O26+O20+O8+O66+O27+O28+O10+O21+O9</f>
        <v>2093617</v>
      </c>
      <c r="P72" s="355">
        <f>P68+P45+P43+P41+P40+P44+P25+P67+P64+P42+P63+P65+P30+P29+P26+P20+P8+P66+P27+P28+P10+P21+P9</f>
        <v>1750409</v>
      </c>
      <c r="Q72" s="380">
        <f>(O72-P72)/P72</f>
        <v>0.19607303207421808</v>
      </c>
      <c r="R72" s="445">
        <f>+O72/O73</f>
        <v>0.17630543573977575</v>
      </c>
      <c r="S72" s="3"/>
      <c r="T72" s="170" t="s">
        <v>134</v>
      </c>
      <c r="U72" s="355">
        <f>U68+U45+U43+U41+U40+U44+U25+U67+U64+U42+U63+U65+U30+U29+U26+U20+U8+U66+U27+U28+U10+U21+U9</f>
        <v>8462.7999999999993</v>
      </c>
      <c r="V72" s="355">
        <f>V68+V45+V43+V41+V40+V44+V25+V67+V64+V42+V63+V65+V30+V29+V26+V20+V8+V66+V27+V28+V10+V21+V9</f>
        <v>2003</v>
      </c>
      <c r="W72" s="300">
        <f>(U72-V72)/V72</f>
        <v>3.2250624063904141</v>
      </c>
      <c r="X72" s="355">
        <f>X68+X45+X43+X41+X40+X44+X25+X67+X64+X42+X63+X65+X30+X29+X26+X20+X8+X66+X27+X28+X10+X21+X9</f>
        <v>35487.800000000003</v>
      </c>
      <c r="Y72" s="355">
        <f>Y68+Y45+Y43+Y41+Y40+Y44+Y25+Y67+Y64+Y42+Y63+Y65+Y30+Y29+Y26+Y20+Y8+Y66+Y27+Y28+Y10+Y21+Y9</f>
        <v>12850</v>
      </c>
      <c r="Z72" s="380">
        <f>(X72-Y72)/Y72</f>
        <v>1.7616964980544749</v>
      </c>
      <c r="AA72" s="445">
        <f>+X72/X73</f>
        <v>9.8435857939769048E-4</v>
      </c>
    </row>
    <row r="73" spans="1:27" ht="14.1" customHeight="1" thickBot="1" x14ac:dyDescent="0.25">
      <c r="B73" s="170" t="s">
        <v>135</v>
      </c>
      <c r="C73" s="356">
        <f>C61+C59+C55+C49+C47+C38+C23+C18+C6+C57+C34+C32+C12+C53+C14+C51+C4+C36+C16</f>
        <v>23288</v>
      </c>
      <c r="D73" s="356">
        <f>D61+D59+D55+D49+D47+D38+D23+D18+D6+D57+D34+D32+D12+D53+D14+D51+D4+D36+D16</f>
        <v>21767</v>
      </c>
      <c r="E73" s="357">
        <f>(C73-D73)/D73</f>
        <v>6.9876418431570733E-2</v>
      </c>
      <c r="F73" s="356">
        <f>F61+F59+F55+F49+F47+F38+F23+F18+F6+F57+F34+F32+F12+F53+F14+F51+F4+F36+F16</f>
        <v>113493</v>
      </c>
      <c r="G73" s="356">
        <f>G61+G59+G55+G49+G47+G38+G23+G18+G6+G57+G34+G32+G12+G53+G14+G51+G4+G36+G16</f>
        <v>99641</v>
      </c>
      <c r="H73" s="357">
        <f>(F73-G73)/G73</f>
        <v>0.13901907849178552</v>
      </c>
      <c r="I73" s="388">
        <f>+H73/H73</f>
        <v>1</v>
      </c>
      <c r="K73" s="170" t="s">
        <v>135</v>
      </c>
      <c r="L73" s="356">
        <f>L61+L59+L55+L49+L47+L38+L23+L18+L6+L57+L34+L32+L12+L53+L14+L51+L4+L36+L16</f>
        <v>2623025</v>
      </c>
      <c r="M73" s="356">
        <f>M61+M59+M55+M49+M47+M38+M23+M18+M6+M57+M34+M32+M12+M53+M14+M51+M4+M36+M16</f>
        <v>2009208</v>
      </c>
      <c r="N73" s="357">
        <f>(L73-M73)/M73</f>
        <v>0.30550196893502313</v>
      </c>
      <c r="O73" s="356">
        <f>O61+O59+O55+O49+O47+O38+O23+O18+O6+O57+O34+O32+O12+O53+O14+O51+O4+O36+O16</f>
        <v>11874943</v>
      </c>
      <c r="P73" s="356">
        <f>P61+P59+P55+P49+P47+P38+P23+P18+P6+P57+P34+P32+P12+P53+P14+P51+P4+P36+P16</f>
        <v>7444736</v>
      </c>
      <c r="Q73" s="443">
        <f>(O73-P73)/P73</f>
        <v>0.59507912705030774</v>
      </c>
      <c r="R73" s="388">
        <f>+Q73/Q73</f>
        <v>1</v>
      </c>
      <c r="S73" s="3"/>
      <c r="T73" s="170" t="s">
        <v>135</v>
      </c>
      <c r="U73" s="356">
        <f>U61+U59+U55+U49+U47+U38+U23+U18+U6+U57+U34+U32+U12+U53+U14+U51+U4+U36+U16</f>
        <v>8748159.8000000007</v>
      </c>
      <c r="V73" s="356">
        <f>V61+V59+V55+V49+V47+V38+V23+V18+V6+V57+V34+V32+V12+V53+V14+V51+V4+V36+V16</f>
        <v>5311554</v>
      </c>
      <c r="W73" s="357">
        <f>(U73-V73)/V73</f>
        <v>0.64700571621789038</v>
      </c>
      <c r="X73" s="356">
        <f>X61+X59+X55+X49+X47+X38+X23+X18+X6+X57+X34+X32+X12+X53+X14+X51+X4+X36+X16</f>
        <v>36051699.799999997</v>
      </c>
      <c r="Y73" s="356">
        <f>Y61+Y59+Y55+Y49+Y47+Y38+Y23+Y18+Y6+Y57+Y34+Y32+Y12+Y53+Y14+Y51+Y4+Y36+Y16</f>
        <v>20565718</v>
      </c>
      <c r="Z73" s="443">
        <f>(X73-Y73)/Y73</f>
        <v>0.7529998126007561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6"/>
      <c r="V75" s="96"/>
      <c r="W75" s="96"/>
    </row>
    <row r="76" spans="1:27" x14ac:dyDescent="0.2">
      <c r="E76"/>
      <c r="F76" s="2"/>
      <c r="H76"/>
      <c r="I76"/>
      <c r="J76"/>
      <c r="K76"/>
      <c r="N76"/>
      <c r="O76" s="2"/>
      <c r="P76" s="2"/>
      <c r="U76" s="96"/>
      <c r="V76" s="96"/>
      <c r="W76" s="96"/>
    </row>
    <row r="77" spans="1:27" x14ac:dyDescent="0.2">
      <c r="E77"/>
      <c r="F77" s="2"/>
      <c r="H77"/>
      <c r="I77"/>
      <c r="J77"/>
      <c r="K77"/>
      <c r="N77"/>
      <c r="O77" s="2"/>
      <c r="P77" s="2"/>
      <c r="U77" s="96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May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F17" sqref="F1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44682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[3]American!$HV$22</f>
        <v>40050</v>
      </c>
      <c r="C4" s="13">
        <f>[3]Delta!$HV$22+[3]Delta!$HV$32</f>
        <v>737935</v>
      </c>
      <c r="D4" s="13">
        <f>[3]United!$HV$22</f>
        <v>49423</v>
      </c>
      <c r="E4" s="13">
        <f>[3]Spirit!$HV$22</f>
        <v>11252</v>
      </c>
      <c r="F4" s="13">
        <f>[3]Condor!$HV$32</f>
        <v>181</v>
      </c>
      <c r="G4" s="13">
        <f>'[3]Air France'!$HV$32</f>
        <v>3072</v>
      </c>
      <c r="H4" s="13">
        <f>'[3]Jet Blue'!$HV$22</f>
        <v>10611</v>
      </c>
      <c r="I4" s="13">
        <f>[3]KLM!$HV$22+[3]KLM!$HV$32</f>
        <v>3970</v>
      </c>
      <c r="J4" s="13">
        <f>'Other Major Airline Stats'!K5</f>
        <v>194375</v>
      </c>
      <c r="K4" s="219">
        <f>SUM(B4:J4)</f>
        <v>1050869</v>
      </c>
    </row>
    <row r="5" spans="1:20" x14ac:dyDescent="0.2">
      <c r="A5" s="46" t="s">
        <v>31</v>
      </c>
      <c r="B5" s="7">
        <f>[3]American!$HV$23</f>
        <v>38307</v>
      </c>
      <c r="C5" s="7">
        <f>[3]Delta!$HV$23+[3]Delta!$HV$33</f>
        <v>726520</v>
      </c>
      <c r="D5" s="7">
        <f>[3]United!$HV$23</f>
        <v>48299</v>
      </c>
      <c r="E5" s="7">
        <f>[3]Spirit!$HV$23</f>
        <v>11050</v>
      </c>
      <c r="F5" s="7">
        <f>[3]Condor!$HV$33</f>
        <v>214</v>
      </c>
      <c r="G5" s="7">
        <f>'[3]Air France'!$HV$33</f>
        <v>3870</v>
      </c>
      <c r="H5" s="7">
        <f>'[3]Jet Blue'!$HV$23</f>
        <v>10251</v>
      </c>
      <c r="I5" s="7">
        <f>[3]KLM!$HV$23+[3]KLM!$HV$33</f>
        <v>3895</v>
      </c>
      <c r="J5" s="7">
        <f>'Other Major Airline Stats'!K6</f>
        <v>183877</v>
      </c>
      <c r="K5" s="220">
        <f>SUM(B5:J5)</f>
        <v>1026283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78357</v>
      </c>
      <c r="C6" s="25">
        <f t="shared" si="0"/>
        <v>1464455</v>
      </c>
      <c r="D6" s="25">
        <f t="shared" si="0"/>
        <v>97722</v>
      </c>
      <c r="E6" s="25">
        <f t="shared" si="0"/>
        <v>22302</v>
      </c>
      <c r="F6" s="25">
        <f t="shared" ref="F6:I6" si="1">SUM(F4:F5)</f>
        <v>395</v>
      </c>
      <c r="G6" s="25">
        <f t="shared" si="1"/>
        <v>6942</v>
      </c>
      <c r="H6" s="25">
        <f t="shared" ref="H6" si="2">SUM(H4:H5)</f>
        <v>20862</v>
      </c>
      <c r="I6" s="25">
        <f t="shared" si="1"/>
        <v>7865</v>
      </c>
      <c r="J6" s="25">
        <f>SUM(J4:J5)</f>
        <v>378252</v>
      </c>
      <c r="K6" s="221">
        <f>SUM(B6:J6)</f>
        <v>2077152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[3]American!$HV$27</f>
        <v>837</v>
      </c>
      <c r="C9" s="13">
        <f>[3]Delta!$HV$27+[3]Delta!$HV$37</f>
        <v>22006</v>
      </c>
      <c r="D9" s="13">
        <f>[3]United!$HV$27</f>
        <v>1286</v>
      </c>
      <c r="E9" s="13">
        <f>[3]Spirit!$HV$27</f>
        <v>79</v>
      </c>
      <c r="F9" s="13">
        <f>[3]Condor!$HV$37</f>
        <v>0</v>
      </c>
      <c r="G9" s="13">
        <f>'[3]Air France'!$HV$37</f>
        <v>20</v>
      </c>
      <c r="H9" s="13">
        <f>'[3]Jet Blue'!$HV$27</f>
        <v>231</v>
      </c>
      <c r="I9" s="13">
        <f>[3]KLM!$HV$27+[3]KLM!$HV$37</f>
        <v>5</v>
      </c>
      <c r="J9" s="13">
        <f>'Other Major Airline Stats'!K10</f>
        <v>3656</v>
      </c>
      <c r="K9" s="219">
        <f>SUM(B9:J9)</f>
        <v>28120</v>
      </c>
      <c r="N9" s="244"/>
    </row>
    <row r="10" spans="1:20" x14ac:dyDescent="0.2">
      <c r="A10" s="46" t="s">
        <v>33</v>
      </c>
      <c r="B10" s="7">
        <f>[3]American!$HV$28</f>
        <v>1067</v>
      </c>
      <c r="C10" s="7">
        <f>[3]Delta!$HV$28+[3]Delta!$HV$38</f>
        <v>22218</v>
      </c>
      <c r="D10" s="7">
        <f>[3]United!$HV$28</f>
        <v>1281</v>
      </c>
      <c r="E10" s="7">
        <f>[3]Spirit!$HV$28</f>
        <v>72</v>
      </c>
      <c r="F10" s="7">
        <f>[3]Condor!$HV$38</f>
        <v>0</v>
      </c>
      <c r="G10" s="7">
        <f>'[3]Air France'!$HV$38</f>
        <v>1</v>
      </c>
      <c r="H10" s="7">
        <f>'[3]Jet Blue'!$HV$28</f>
        <v>228</v>
      </c>
      <c r="I10" s="7">
        <f>[3]KLM!$HV$28+[3]KLM!$HV$38</f>
        <v>8</v>
      </c>
      <c r="J10" s="7">
        <f>'Other Major Airline Stats'!K11</f>
        <v>3899</v>
      </c>
      <c r="K10" s="220">
        <f>SUM(B10:J10)</f>
        <v>28774</v>
      </c>
    </row>
    <row r="11" spans="1:20" ht="15.75" thickBot="1" x14ac:dyDescent="0.3">
      <c r="A11" s="47" t="s">
        <v>34</v>
      </c>
      <c r="B11" s="222">
        <f t="shared" ref="B11:J11" si="3">SUM(B9:B10)</f>
        <v>1904</v>
      </c>
      <c r="C11" s="222">
        <f t="shared" si="3"/>
        <v>44224</v>
      </c>
      <c r="D11" s="222">
        <f t="shared" si="3"/>
        <v>2567</v>
      </c>
      <c r="E11" s="222">
        <f t="shared" si="3"/>
        <v>151</v>
      </c>
      <c r="F11" s="222">
        <f t="shared" ref="F11:I11" si="4">SUM(F9:F10)</f>
        <v>0</v>
      </c>
      <c r="G11" s="222">
        <f t="shared" si="4"/>
        <v>21</v>
      </c>
      <c r="H11" s="222">
        <f t="shared" ref="H11" si="5">SUM(H9:H10)</f>
        <v>459</v>
      </c>
      <c r="I11" s="222">
        <f t="shared" si="4"/>
        <v>13</v>
      </c>
      <c r="J11" s="222">
        <f t="shared" si="3"/>
        <v>7555</v>
      </c>
      <c r="K11" s="223">
        <f>SUM(B11:J11)</f>
        <v>56894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[3]American!$HV$4</f>
        <v>246</v>
      </c>
      <c r="C15" s="13">
        <f>[3]Delta!$HV$4+[3]Delta!$HV$15</f>
        <v>4947</v>
      </c>
      <c r="D15" s="13">
        <f>[3]United!$HV$4</f>
        <v>354</v>
      </c>
      <c r="E15" s="13">
        <f>[3]Spirit!$HV$4</f>
        <v>76</v>
      </c>
      <c r="F15" s="13">
        <f>[3]Condor!$HV$15</f>
        <v>1</v>
      </c>
      <c r="G15" s="13">
        <f>'[3]Air France'!$HV$15</f>
        <v>16</v>
      </c>
      <c r="H15" s="13">
        <f>'[3]Jet Blue'!$HV$4</f>
        <v>90</v>
      </c>
      <c r="I15" s="13">
        <f>[3]KLM!$HV$4+[3]KLM!$HV$15</f>
        <v>18</v>
      </c>
      <c r="J15" s="13">
        <f>'Other Major Airline Stats'!K16</f>
        <v>1323</v>
      </c>
      <c r="K15" s="18">
        <f>SUM(B15:J15)</f>
        <v>7071</v>
      </c>
    </row>
    <row r="16" spans="1:20" x14ac:dyDescent="0.2">
      <c r="A16" s="46" t="s">
        <v>23</v>
      </c>
      <c r="B16" s="7">
        <f>[3]American!$HV$5</f>
        <v>248</v>
      </c>
      <c r="C16" s="7">
        <f>[3]Delta!$HV$5+[3]Delta!$HV$16</f>
        <v>4947</v>
      </c>
      <c r="D16" s="7">
        <f>[3]United!$HV$5</f>
        <v>355</v>
      </c>
      <c r="E16" s="7">
        <f>[3]Spirit!$HV$5</f>
        <v>77</v>
      </c>
      <c r="F16" s="7">
        <f>[3]Condor!$HV$16</f>
        <v>1</v>
      </c>
      <c r="G16" s="7">
        <f>'[3]Air France'!$HV$16</f>
        <v>16</v>
      </c>
      <c r="H16" s="7">
        <f>'[3]Jet Blue'!$HV$5</f>
        <v>90</v>
      </c>
      <c r="I16" s="7">
        <f>[3]KLM!$HV$5+[3]KLM!$HV$16</f>
        <v>18</v>
      </c>
      <c r="J16" s="7">
        <f>'Other Major Airline Stats'!K17</f>
        <v>1344</v>
      </c>
      <c r="K16" s="24">
        <f>SUM(B16:J16)</f>
        <v>7096</v>
      </c>
    </row>
    <row r="17" spans="1:11" x14ac:dyDescent="0.2">
      <c r="A17" s="46" t="s">
        <v>24</v>
      </c>
      <c r="B17" s="226">
        <f t="shared" ref="B17:J17" si="6">SUM(B15:B16)</f>
        <v>494</v>
      </c>
      <c r="C17" s="224">
        <f t="shared" si="6"/>
        <v>9894</v>
      </c>
      <c r="D17" s="224">
        <f t="shared" si="6"/>
        <v>709</v>
      </c>
      <c r="E17" s="224">
        <f t="shared" si="6"/>
        <v>153</v>
      </c>
      <c r="F17" s="224">
        <f t="shared" ref="F17:I17" si="7">SUM(F15:F16)</f>
        <v>2</v>
      </c>
      <c r="G17" s="224">
        <f t="shared" si="7"/>
        <v>32</v>
      </c>
      <c r="H17" s="224">
        <f t="shared" ref="H17" si="8">SUM(H15:H16)</f>
        <v>180</v>
      </c>
      <c r="I17" s="224">
        <f t="shared" si="7"/>
        <v>36</v>
      </c>
      <c r="J17" s="224">
        <f t="shared" si="6"/>
        <v>2667</v>
      </c>
      <c r="K17" s="225">
        <f>SUM(B17:J17)</f>
        <v>14167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[3]American!$HV$8</f>
        <v>0</v>
      </c>
      <c r="C19" s="13">
        <f>[3]Delta!$HV$8</f>
        <v>1</v>
      </c>
      <c r="D19" s="13">
        <f>[3]United!$HV$8</f>
        <v>3</v>
      </c>
      <c r="E19" s="13">
        <f>[3]Spirit!$HV$8</f>
        <v>0</v>
      </c>
      <c r="F19" s="13">
        <f>[3]Condor!$HV$8</f>
        <v>0</v>
      </c>
      <c r="G19" s="13">
        <f>'[3]Air France'!$HV$8</f>
        <v>0</v>
      </c>
      <c r="H19" s="13">
        <f>'[3]Jet Blue'!$HV$8</f>
        <v>1</v>
      </c>
      <c r="I19" s="13">
        <f>[3]KLM!$HV$8</f>
        <v>0</v>
      </c>
      <c r="J19" s="13">
        <f>'Other Major Airline Stats'!K20</f>
        <v>87</v>
      </c>
      <c r="K19" s="18">
        <f>SUM(B19:J19)</f>
        <v>92</v>
      </c>
    </row>
    <row r="20" spans="1:11" x14ac:dyDescent="0.2">
      <c r="A20" s="46" t="s">
        <v>26</v>
      </c>
      <c r="B20" s="7">
        <f>[3]American!$HV$9</f>
        <v>0</v>
      </c>
      <c r="C20" s="7">
        <f>[3]Delta!$HV$9</f>
        <v>6</v>
      </c>
      <c r="D20" s="7">
        <f>[3]United!$HV$9</f>
        <v>3</v>
      </c>
      <c r="E20" s="7">
        <f>[3]Spirit!$HV$9</f>
        <v>0</v>
      </c>
      <c r="F20" s="7">
        <f>[3]Condor!$HV$9</f>
        <v>0</v>
      </c>
      <c r="G20" s="7">
        <f>'[3]Air France'!$HV$9</f>
        <v>0</v>
      </c>
      <c r="H20" s="7">
        <f>'[3]Jet Blue'!$HV$9</f>
        <v>1</v>
      </c>
      <c r="I20" s="7">
        <f>[3]KLM!$HV$9</f>
        <v>0</v>
      </c>
      <c r="J20" s="7">
        <f>'Other Major Airline Stats'!K21</f>
        <v>62</v>
      </c>
      <c r="K20" s="24">
        <f>SUM(B20:J20)</f>
        <v>72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7</v>
      </c>
      <c r="D21" s="224">
        <f t="shared" si="9"/>
        <v>6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2</v>
      </c>
      <c r="I21" s="224">
        <f t="shared" si="10"/>
        <v>0</v>
      </c>
      <c r="J21" s="224">
        <f t="shared" si="9"/>
        <v>149</v>
      </c>
      <c r="K21" s="146">
        <f>SUM(B21:J21)</f>
        <v>164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494</v>
      </c>
      <c r="C23" s="19">
        <f t="shared" si="12"/>
        <v>9901</v>
      </c>
      <c r="D23" s="19">
        <f t="shared" si="12"/>
        <v>715</v>
      </c>
      <c r="E23" s="19">
        <f>E17+E21</f>
        <v>153</v>
      </c>
      <c r="F23" s="19">
        <f t="shared" ref="F23:I23" si="13">F17+F21</f>
        <v>2</v>
      </c>
      <c r="G23" s="19">
        <f t="shared" si="13"/>
        <v>32</v>
      </c>
      <c r="H23" s="19">
        <f t="shared" ref="H23" si="14">H17+H21</f>
        <v>182</v>
      </c>
      <c r="I23" s="19">
        <f t="shared" si="13"/>
        <v>36</v>
      </c>
      <c r="J23" s="19">
        <f t="shared" si="12"/>
        <v>2816</v>
      </c>
      <c r="K23" s="20">
        <f>SUM(B23:J23)</f>
        <v>14331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[3]American!$HV$47</f>
        <v>27279</v>
      </c>
      <c r="C28" s="13">
        <f>[3]Delta!$HV$47</f>
        <v>2274354</v>
      </c>
      <c r="D28" s="13">
        <f>[3]United!$HV$47</f>
        <v>53740</v>
      </c>
      <c r="E28" s="13">
        <f>[3]Spirit!$HV$47</f>
        <v>0</v>
      </c>
      <c r="F28" s="13">
        <f>[3]Condor!$HV$47</f>
        <v>0</v>
      </c>
      <c r="G28" s="13">
        <f>'[3]Air France'!$HV$47</f>
        <v>262246</v>
      </c>
      <c r="H28" s="13">
        <f>'[3]Jet Blue'!$HV$47</f>
        <v>0</v>
      </c>
      <c r="I28" s="13">
        <f>[3]KLM!$HV$47</f>
        <v>394892</v>
      </c>
      <c r="J28" s="13">
        <f>'Other Major Airline Stats'!K28</f>
        <v>228111</v>
      </c>
      <c r="K28" s="18">
        <f>SUM(B28:J28)</f>
        <v>3240622</v>
      </c>
    </row>
    <row r="29" spans="1:11" x14ac:dyDescent="0.2">
      <c r="A29" s="46" t="s">
        <v>38</v>
      </c>
      <c r="B29" s="7">
        <f>[3]American!$HV$48</f>
        <v>81074</v>
      </c>
      <c r="C29" s="7">
        <f>[3]Delta!$HV$48</f>
        <v>1594203</v>
      </c>
      <c r="D29" s="7">
        <f>[3]United!$HV$48</f>
        <v>31295</v>
      </c>
      <c r="E29" s="7">
        <f>[3]Spirit!$HV$48</f>
        <v>0</v>
      </c>
      <c r="F29" s="7">
        <f>[3]Condor!$HV$48</f>
        <v>0</v>
      </c>
      <c r="G29" s="7">
        <f>'[3]Air France'!$HV$48</f>
        <v>0</v>
      </c>
      <c r="H29" s="7">
        <f>'[3]Jet Blue'!$HV$48</f>
        <v>0</v>
      </c>
      <c r="I29" s="7">
        <f>[3]KLM!$HV$48</f>
        <v>0</v>
      </c>
      <c r="J29" s="7">
        <f>'Other Major Airline Stats'!K29</f>
        <v>111753</v>
      </c>
      <c r="K29" s="24">
        <f>SUM(B29:J29)</f>
        <v>1818325</v>
      </c>
    </row>
    <row r="30" spans="1:11" x14ac:dyDescent="0.2">
      <c r="A30" s="50" t="s">
        <v>39</v>
      </c>
      <c r="B30" s="226">
        <f t="shared" ref="B30:J30" si="15">SUM(B28:B29)</f>
        <v>108353</v>
      </c>
      <c r="C30" s="226">
        <f t="shared" si="15"/>
        <v>3868557</v>
      </c>
      <c r="D30" s="226">
        <f t="shared" si="15"/>
        <v>85035</v>
      </c>
      <c r="E30" s="226">
        <f t="shared" si="15"/>
        <v>0</v>
      </c>
      <c r="F30" s="226">
        <f t="shared" ref="F30:I30" si="16">SUM(F28:F29)</f>
        <v>0</v>
      </c>
      <c r="G30" s="226">
        <f t="shared" si="16"/>
        <v>262246</v>
      </c>
      <c r="H30" s="226">
        <f t="shared" ref="H30" si="17">SUM(H28:H29)</f>
        <v>0</v>
      </c>
      <c r="I30" s="226">
        <f t="shared" si="16"/>
        <v>394892</v>
      </c>
      <c r="J30" s="226">
        <f t="shared" si="15"/>
        <v>339864</v>
      </c>
      <c r="K30" s="18">
        <f>SUM(B30:J30)</f>
        <v>5058947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[3]American!$HV$52</f>
        <v>4183</v>
      </c>
      <c r="C33" s="13">
        <f>[3]Delta!$HV$52</f>
        <v>1718000</v>
      </c>
      <c r="D33" s="13">
        <f>[3]United!$HV$52</f>
        <v>37405</v>
      </c>
      <c r="E33" s="13">
        <f>[3]Spirit!$HV$52</f>
        <v>0</v>
      </c>
      <c r="F33" s="13">
        <f>[3]Condor!$HV$52</f>
        <v>0</v>
      </c>
      <c r="G33" s="13">
        <f>'[3]Air France'!$HV$52</f>
        <v>72432</v>
      </c>
      <c r="H33" s="13">
        <f>'[3]Jet Blue'!$HV$52</f>
        <v>0</v>
      </c>
      <c r="I33" s="13">
        <f>[3]KLM!$HV$52</f>
        <v>101229</v>
      </c>
      <c r="J33" s="13">
        <f>'Other Major Airline Stats'!K33</f>
        <v>48165</v>
      </c>
      <c r="K33" s="18">
        <f t="shared" si="18"/>
        <v>1981414</v>
      </c>
    </row>
    <row r="34" spans="1:11" x14ac:dyDescent="0.2">
      <c r="A34" s="46" t="s">
        <v>38</v>
      </c>
      <c r="B34" s="7">
        <f>[3]American!$HV$53</f>
        <v>4951</v>
      </c>
      <c r="C34" s="7">
        <f>[3]Delta!$HV$53</f>
        <v>1568033</v>
      </c>
      <c r="D34" s="7">
        <f>[3]United!$HV$53</f>
        <v>6394</v>
      </c>
      <c r="E34" s="7">
        <f>[3]Spirit!$HV$53</f>
        <v>0</v>
      </c>
      <c r="F34" s="7">
        <f>[3]Condor!$HV$53</f>
        <v>0</v>
      </c>
      <c r="G34" s="7">
        <f>'[3]Air France'!$HV$53</f>
        <v>0</v>
      </c>
      <c r="H34" s="7">
        <f>'[3]Jet Blue'!$HV$53</f>
        <v>0</v>
      </c>
      <c r="I34" s="7">
        <f>[3]KLM!$HV$53</f>
        <v>0</v>
      </c>
      <c r="J34" s="7">
        <f>'Other Major Airline Stats'!K34</f>
        <v>119958</v>
      </c>
      <c r="K34" s="24">
        <f t="shared" si="18"/>
        <v>1699336</v>
      </c>
    </row>
    <row r="35" spans="1:11" x14ac:dyDescent="0.2">
      <c r="A35" s="50" t="s">
        <v>41</v>
      </c>
      <c r="B35" s="226">
        <f t="shared" ref="B35:J35" si="19">SUM(B33:B34)</f>
        <v>9134</v>
      </c>
      <c r="C35" s="226">
        <f t="shared" si="19"/>
        <v>3286033</v>
      </c>
      <c r="D35" s="226">
        <f t="shared" si="19"/>
        <v>43799</v>
      </c>
      <c r="E35" s="226">
        <f t="shared" si="19"/>
        <v>0</v>
      </c>
      <c r="F35" s="226">
        <f t="shared" ref="F35:I35" si="20">SUM(F33:F34)</f>
        <v>0</v>
      </c>
      <c r="G35" s="226">
        <f t="shared" si="20"/>
        <v>72432</v>
      </c>
      <c r="H35" s="226">
        <f t="shared" ref="H35" si="21">SUM(H33:H34)</f>
        <v>0</v>
      </c>
      <c r="I35" s="226">
        <f t="shared" si="20"/>
        <v>101229</v>
      </c>
      <c r="J35" s="226">
        <f t="shared" si="19"/>
        <v>168123</v>
      </c>
      <c r="K35" s="18">
        <f t="shared" si="18"/>
        <v>3680750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[3]American!$HV$57</f>
        <v>0</v>
      </c>
      <c r="C38" s="13">
        <f>[3]Delta!$HV$57</f>
        <v>0</v>
      </c>
      <c r="D38" s="13">
        <f>[3]United!$HV$57</f>
        <v>0</v>
      </c>
      <c r="E38" s="13">
        <f>[3]Spirit!$HV$57</f>
        <v>0</v>
      </c>
      <c r="F38" s="13">
        <f>[3]Condor!$HV$57</f>
        <v>0</v>
      </c>
      <c r="G38" s="13">
        <f>'[3]Air France'!$HV$57</f>
        <v>0</v>
      </c>
      <c r="H38" s="13">
        <f>'[3]Jet Blue'!$HV$57</f>
        <v>0</v>
      </c>
      <c r="I38" s="13">
        <f>[3]KLM!$HV$57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[3]American!$HV$58</f>
        <v>0</v>
      </c>
      <c r="C39" s="7">
        <f>[3]Delta!$HV$58</f>
        <v>0</v>
      </c>
      <c r="D39" s="7">
        <f>[3]United!$HV$58</f>
        <v>0</v>
      </c>
      <c r="E39" s="7">
        <f>[3]Spirit!$HV$58</f>
        <v>0</v>
      </c>
      <c r="F39" s="7">
        <f>[3]Condor!$HV$58</f>
        <v>0</v>
      </c>
      <c r="G39" s="7">
        <f>'[3]Air France'!$HV$58</f>
        <v>0</v>
      </c>
      <c r="H39" s="7">
        <f>'[3]Jet Blue'!$HV$58</f>
        <v>0</v>
      </c>
      <c r="I39" s="7">
        <f>[3]KLM!$HV$58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31462</v>
      </c>
      <c r="C43" s="13">
        <f t="shared" si="25"/>
        <v>3992354</v>
      </c>
      <c r="D43" s="13">
        <f t="shared" si="25"/>
        <v>91145</v>
      </c>
      <c r="E43" s="13">
        <f>E28+E33+E38</f>
        <v>0</v>
      </c>
      <c r="F43" s="13">
        <f t="shared" ref="F43:I43" si="26">F28+F33+F38</f>
        <v>0</v>
      </c>
      <c r="G43" s="13">
        <f t="shared" si="26"/>
        <v>334678</v>
      </c>
      <c r="H43" s="13">
        <f t="shared" ref="H43" si="27">H28+H33+H38</f>
        <v>0</v>
      </c>
      <c r="I43" s="13">
        <f t="shared" si="26"/>
        <v>496121</v>
      </c>
      <c r="J43" s="13">
        <f t="shared" si="25"/>
        <v>276276</v>
      </c>
      <c r="K43" s="18">
        <f>SUM(B43:J43)</f>
        <v>5222036</v>
      </c>
    </row>
    <row r="44" spans="1:11" x14ac:dyDescent="0.2">
      <c r="A44" s="46" t="s">
        <v>38</v>
      </c>
      <c r="B44" s="7">
        <f t="shared" si="25"/>
        <v>86025</v>
      </c>
      <c r="C44" s="7">
        <f t="shared" si="25"/>
        <v>3162236</v>
      </c>
      <c r="D44" s="7">
        <f t="shared" si="25"/>
        <v>37689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231711</v>
      </c>
      <c r="K44" s="18">
        <f>SUM(B44:J44)</f>
        <v>3517661</v>
      </c>
    </row>
    <row r="45" spans="1:11" ht="15.75" thickBot="1" x14ac:dyDescent="0.3">
      <c r="A45" s="47" t="s">
        <v>46</v>
      </c>
      <c r="B45" s="227">
        <f t="shared" ref="B45:J45" si="30">SUM(B43:B44)</f>
        <v>117487</v>
      </c>
      <c r="C45" s="227">
        <f t="shared" si="30"/>
        <v>7154590</v>
      </c>
      <c r="D45" s="227">
        <f t="shared" si="30"/>
        <v>128834</v>
      </c>
      <c r="E45" s="227">
        <f t="shared" si="30"/>
        <v>0</v>
      </c>
      <c r="F45" s="227">
        <f t="shared" ref="F45:I45" si="31">SUM(F43:F44)</f>
        <v>0</v>
      </c>
      <c r="G45" s="227">
        <f t="shared" si="31"/>
        <v>334678</v>
      </c>
      <c r="H45" s="227">
        <f t="shared" ref="H45" si="32">SUM(H43:H44)</f>
        <v>0</v>
      </c>
      <c r="I45" s="227">
        <f t="shared" si="31"/>
        <v>496121</v>
      </c>
      <c r="J45" s="227">
        <f t="shared" si="30"/>
        <v>507987</v>
      </c>
      <c r="K45" s="228">
        <f>SUM(B45:J45)</f>
        <v>8739697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[3]Delta!$HV$70+[3]Delta!$HV$73</f>
        <v>430029</v>
      </c>
      <c r="D47" s="241"/>
      <c r="E47" s="241"/>
      <c r="F47" s="241"/>
      <c r="G47" s="241"/>
      <c r="H47" s="241"/>
      <c r="I47" s="241"/>
      <c r="J47" s="241"/>
      <c r="K47" s="242">
        <f>SUM(B47:J47)</f>
        <v>430029</v>
      </c>
    </row>
    <row r="48" spans="1:11" hidden="1" x14ac:dyDescent="0.2">
      <c r="A48" s="302" t="s">
        <v>122</v>
      </c>
      <c r="C48" s="253">
        <f>[3]Delta!$HV$71+[3]Delta!$HV$74</f>
        <v>296491</v>
      </c>
      <c r="D48" s="241"/>
      <c r="E48" s="241"/>
      <c r="F48" s="241"/>
      <c r="G48" s="241"/>
      <c r="H48" s="241"/>
      <c r="I48" s="241"/>
      <c r="J48" s="241"/>
      <c r="K48" s="242">
        <f>SUM(B48:J48)</f>
        <v>296491</v>
      </c>
    </row>
    <row r="49" spans="1:11" hidden="1" x14ac:dyDescent="0.2">
      <c r="A49" s="303" t="s">
        <v>123</v>
      </c>
      <c r="C49" s="254">
        <f>SUM(C47:C48)</f>
        <v>726520</v>
      </c>
      <c r="K49" s="242">
        <f>SUM(B49:J49)</f>
        <v>726520</v>
      </c>
    </row>
    <row r="50" spans="1:11" x14ac:dyDescent="0.2">
      <c r="A50" s="301" t="s">
        <v>121</v>
      </c>
      <c r="B50" s="312"/>
      <c r="C50" s="256">
        <f>[3]Delta!$HV$70+[3]Delta!$HV$73</f>
        <v>430029</v>
      </c>
      <c r="D50" s="312"/>
      <c r="E50" s="256">
        <f>[3]Spirit!$HV$70+[3]Spirit!$HV$73</f>
        <v>0</v>
      </c>
      <c r="F50" s="312"/>
      <c r="G50" s="312"/>
      <c r="H50" s="312"/>
      <c r="I50" s="312"/>
      <c r="J50" s="255">
        <f>'Other Major Airline Stats'!K48</f>
        <v>157325</v>
      </c>
      <c r="K50" s="245">
        <f>SUM(B50:J50)</f>
        <v>587354</v>
      </c>
    </row>
    <row r="51" spans="1:11" x14ac:dyDescent="0.2">
      <c r="A51" s="314" t="s">
        <v>122</v>
      </c>
      <c r="B51" s="312"/>
      <c r="C51" s="256">
        <f>[3]Delta!$HV$71+[3]Delta!$HV$74</f>
        <v>296491</v>
      </c>
      <c r="D51" s="312"/>
      <c r="E51" s="256">
        <f>[3]Spirit!$HV$71+[3]Spirit!$HV$74</f>
        <v>0</v>
      </c>
      <c r="F51" s="312"/>
      <c r="G51" s="312"/>
      <c r="H51" s="312"/>
      <c r="I51" s="312"/>
      <c r="J51" s="255">
        <f>+'Other Major Airline Stats'!K49</f>
        <v>207</v>
      </c>
      <c r="K51" s="245">
        <f>SUM(B51:J51)</f>
        <v>296698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topLeftCell="A6" zoomScaleNormal="100" workbookViewId="0">
      <selection activeCell="B4" sqref="B4:K5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44682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[3]Frontier!$HV$22+[3]Frontier!$HV$32</f>
        <v>5285</v>
      </c>
      <c r="C5" s="96">
        <f>'[3]Allegiant '!$HV$22</f>
        <v>5724</v>
      </c>
      <c r="D5" s="96">
        <f>'[3]Aer Lingus'!$HV$22+'[3]Aer Lingus'!$HV$32</f>
        <v>0</v>
      </c>
      <c r="E5" s="96">
        <f>'[3]Denver Air'!$HV$22+'[3]Denver Air'!$HV$32</f>
        <v>874</v>
      </c>
      <c r="F5" s="96">
        <f>'[3]Boutique Air'!$HV$22</f>
        <v>0</v>
      </c>
      <c r="G5" s="96">
        <f>[3]Icelandair!$HV$32</f>
        <v>2821</v>
      </c>
      <c r="H5" s="96">
        <f>[3]Southwest!$HV$22</f>
        <v>54255</v>
      </c>
      <c r="I5" s="96">
        <f>'[3]Sun Country'!$HV$22+'[3]Sun Country'!$HV$32</f>
        <v>113946</v>
      </c>
      <c r="J5" s="96">
        <f>[3]Alaska!$HV$22</f>
        <v>11470</v>
      </c>
      <c r="K5" s="119">
        <f>SUM(B5:J5)</f>
        <v>194375</v>
      </c>
      <c r="N5" s="96"/>
    </row>
    <row r="6" spans="1:14" x14ac:dyDescent="0.2">
      <c r="A6" s="46" t="s">
        <v>31</v>
      </c>
      <c r="B6" s="96">
        <f>[3]Frontier!$HV$23+[3]Frontier!$HV$33</f>
        <v>4867</v>
      </c>
      <c r="C6" s="96">
        <f>'[3]Allegiant '!$HV$23</f>
        <v>5106</v>
      </c>
      <c r="D6" s="96">
        <f>'[3]Aer Lingus'!$HV$23+'[3]Aer Lingus'!$HV$33</f>
        <v>0</v>
      </c>
      <c r="E6" s="96">
        <f>'[3]Denver Air'!$HV$23+'[3]Denver Air'!$HV$33</f>
        <v>862</v>
      </c>
      <c r="F6" s="96">
        <f>'[3]Boutique Air'!$HV$23</f>
        <v>0</v>
      </c>
      <c r="G6" s="96">
        <f>[3]Icelandair!$HV$33</f>
        <v>3640</v>
      </c>
      <c r="H6" s="96">
        <f>[3]Southwest!$HV$23</f>
        <v>50876</v>
      </c>
      <c r="I6" s="96">
        <f>'[3]Sun Country'!$HV$23+'[3]Sun Country'!$HV$33</f>
        <v>106656</v>
      </c>
      <c r="J6" s="96">
        <f>[3]Alaska!$HV$23</f>
        <v>11870</v>
      </c>
      <c r="K6" s="119">
        <f>SUM(B6:J6)</f>
        <v>183877</v>
      </c>
    </row>
    <row r="7" spans="1:14" ht="15" x14ac:dyDescent="0.25">
      <c r="A7" s="44" t="s">
        <v>7</v>
      </c>
      <c r="B7" s="127">
        <f>SUM(B5:B6)</f>
        <v>10152</v>
      </c>
      <c r="C7" s="127">
        <f t="shared" ref="C7:F7" si="0">SUM(C5:C6)</f>
        <v>10830</v>
      </c>
      <c r="D7" s="127">
        <f>SUM(D5:D6)</f>
        <v>0</v>
      </c>
      <c r="E7" s="127">
        <f>SUM(E5:E6)</f>
        <v>1736</v>
      </c>
      <c r="F7" s="127">
        <f t="shared" si="0"/>
        <v>0</v>
      </c>
      <c r="G7" s="127">
        <f t="shared" ref="G7:J7" si="1">SUM(G5:G6)</f>
        <v>6461</v>
      </c>
      <c r="H7" s="127">
        <f t="shared" si="1"/>
        <v>105131</v>
      </c>
      <c r="I7" s="127">
        <f>SUM(I5:I6)</f>
        <v>220602</v>
      </c>
      <c r="J7" s="127">
        <f t="shared" si="1"/>
        <v>23340</v>
      </c>
      <c r="K7" s="128">
        <f>SUM(B7:J7)</f>
        <v>378252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[3]Frontier!$HV$27+[3]Frontier!$HV$37</f>
        <v>37</v>
      </c>
      <c r="C10" s="126">
        <f>'[3]Allegiant '!$HV$27</f>
        <v>0</v>
      </c>
      <c r="D10" s="395">
        <f>'[3]Aer Lingus'!$HV$27+'[3]Aer Lingus'!$HV$37</f>
        <v>0</v>
      </c>
      <c r="E10" s="126">
        <f>'[3]Denver Air'!$HV$27+'[3]Denver Air'!$HV$37</f>
        <v>46</v>
      </c>
      <c r="F10" s="126">
        <f>'[3]Boutique Air'!$HV$27</f>
        <v>0</v>
      </c>
      <c r="G10" s="126">
        <f>[3]Icelandair!$HV$37</f>
        <v>29</v>
      </c>
      <c r="H10" s="126">
        <f>[3]Southwest!$HV$27</f>
        <v>951</v>
      </c>
      <c r="I10" s="126">
        <f>'[3]Sun Country'!$HV$27+'[3]Sun Country'!$HV$37</f>
        <v>2325</v>
      </c>
      <c r="J10" s="126">
        <f>[3]Alaska!$HV$27</f>
        <v>268</v>
      </c>
      <c r="K10" s="119">
        <f>SUM(B10:J10)</f>
        <v>3656</v>
      </c>
    </row>
    <row r="11" spans="1:14" x14ac:dyDescent="0.2">
      <c r="A11" s="46" t="s">
        <v>33</v>
      </c>
      <c r="B11" s="129">
        <f>[3]Frontier!$HV$28+[3]Frontier!$HV$38</f>
        <v>50</v>
      </c>
      <c r="C11" s="129">
        <f>'[3]Allegiant '!$HV$28</f>
        <v>0</v>
      </c>
      <c r="D11" s="129">
        <f>'[3]Aer Lingus'!$HV$28+'[3]Aer Lingus'!$HV$38</f>
        <v>0</v>
      </c>
      <c r="E11" s="129">
        <f>'[3]Denver Air'!$HV$28+'[3]Denver Air'!$HV$38</f>
        <v>58</v>
      </c>
      <c r="F11" s="129">
        <f>'[3]Boutique Air'!$HV$28</f>
        <v>0</v>
      </c>
      <c r="G11" s="129">
        <f>[3]Icelandair!$HV$38</f>
        <v>35</v>
      </c>
      <c r="H11" s="129">
        <f>[3]Southwest!$HV$28</f>
        <v>1052</v>
      </c>
      <c r="I11" s="129">
        <f>'[3]Sun Country'!$HV$28+'[3]Sun Country'!$HV$38</f>
        <v>2372</v>
      </c>
      <c r="J11" s="129">
        <f>[3]Alaska!$HV$28</f>
        <v>332</v>
      </c>
      <c r="K11" s="119">
        <f>SUM(B11:J11)</f>
        <v>3899</v>
      </c>
    </row>
    <row r="12" spans="1:14" ht="15.75" thickBot="1" x14ac:dyDescent="0.3">
      <c r="A12" s="47" t="s">
        <v>34</v>
      </c>
      <c r="B12" s="122">
        <f>SUM(B10:B11)</f>
        <v>87</v>
      </c>
      <c r="C12" s="122">
        <f t="shared" ref="C12:F12" si="2">SUM(C10:C11)</f>
        <v>0</v>
      </c>
      <c r="D12" s="122">
        <f>SUM(D10:D11)</f>
        <v>0</v>
      </c>
      <c r="E12" s="122">
        <f>SUM(E10:E11)</f>
        <v>104</v>
      </c>
      <c r="F12" s="122">
        <f t="shared" si="2"/>
        <v>0</v>
      </c>
      <c r="G12" s="122">
        <f t="shared" ref="G12:J12" si="3">SUM(G10:G11)</f>
        <v>64</v>
      </c>
      <c r="H12" s="122">
        <f t="shared" si="3"/>
        <v>2003</v>
      </c>
      <c r="I12" s="122">
        <f>SUM(I10:I11)</f>
        <v>4697</v>
      </c>
      <c r="J12" s="122">
        <f t="shared" si="3"/>
        <v>600</v>
      </c>
      <c r="K12" s="130">
        <f>SUM(B12:J12)</f>
        <v>7555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[3]Frontier!$HV$4+[3]Frontier!$HV$15</f>
        <v>32</v>
      </c>
      <c r="C16" s="86">
        <f>'[3]Allegiant '!$HV$4</f>
        <v>38</v>
      </c>
      <c r="D16" s="96">
        <f>'[3]Aer Lingus'!$HV$4+'[3]Aer Lingus'!$HV$15</f>
        <v>0</v>
      </c>
      <c r="E16" s="96">
        <f>'[3]Denver Air'!$HV$4+'[3]Denver Air'!$HV$15</f>
        <v>80</v>
      </c>
      <c r="F16" s="86">
        <f>'[3]Boutique Air'!$HV$4</f>
        <v>0</v>
      </c>
      <c r="G16" s="96">
        <f>[3]Icelandair!$HV$15</f>
        <v>27</v>
      </c>
      <c r="H16" s="86">
        <f>[3]Southwest!$HV$4</f>
        <v>384</v>
      </c>
      <c r="I16" s="96">
        <f>'[3]Sun Country'!$HV$4+'[3]Sun Country'!$HV$15</f>
        <v>682</v>
      </c>
      <c r="J16" s="96">
        <f>[3]Alaska!$HV$4</f>
        <v>80</v>
      </c>
      <c r="K16" s="119">
        <f>SUM(B16:J16)</f>
        <v>1323</v>
      </c>
    </row>
    <row r="17" spans="1:258" x14ac:dyDescent="0.2">
      <c r="A17" s="46" t="s">
        <v>23</v>
      </c>
      <c r="B17" s="96">
        <f>[3]Frontier!$HV$5+[3]Frontier!$HV$16</f>
        <v>32</v>
      </c>
      <c r="C17" s="86">
        <f>'[3]Allegiant '!$HV$5</f>
        <v>38</v>
      </c>
      <c r="D17" s="96">
        <f>'[3]Aer Lingus'!$HV$5+'[3]Aer Lingus'!$HV$16</f>
        <v>0</v>
      </c>
      <c r="E17" s="96">
        <f>'[3]Denver Air'!$HV$5+'[3]Denver Air'!$HV$16</f>
        <v>80</v>
      </c>
      <c r="F17" s="86">
        <f>'[3]Boutique Air'!$HV$5</f>
        <v>0</v>
      </c>
      <c r="G17" s="96">
        <f>[3]Icelandair!$HV$16</f>
        <v>27</v>
      </c>
      <c r="H17" s="86">
        <f>[3]Southwest!$HV$5</f>
        <v>383</v>
      </c>
      <c r="I17" s="96">
        <f>'[3]Sun Country'!$HV$5+'[3]Sun Country'!$HV$16</f>
        <v>703</v>
      </c>
      <c r="J17" s="96">
        <f>[3]Alaska!$HV$5</f>
        <v>81</v>
      </c>
      <c r="K17" s="119">
        <f>SUM(B17:J17)</f>
        <v>1344</v>
      </c>
    </row>
    <row r="18" spans="1:258" x14ac:dyDescent="0.2">
      <c r="A18" s="50" t="s">
        <v>24</v>
      </c>
      <c r="B18" s="120">
        <f t="shared" ref="B18" si="4">SUM(B16:B17)</f>
        <v>64</v>
      </c>
      <c r="C18" s="120">
        <f t="shared" ref="C18:F18" si="5">SUM(C16:C17)</f>
        <v>76</v>
      </c>
      <c r="D18" s="120">
        <f t="shared" si="5"/>
        <v>0</v>
      </c>
      <c r="E18" s="120">
        <f t="shared" si="5"/>
        <v>160</v>
      </c>
      <c r="F18" s="120">
        <f t="shared" si="5"/>
        <v>0</v>
      </c>
      <c r="G18" s="120">
        <f t="shared" ref="G18:J18" si="6">SUM(G16:G17)</f>
        <v>54</v>
      </c>
      <c r="H18" s="120">
        <f t="shared" si="6"/>
        <v>767</v>
      </c>
      <c r="I18" s="120">
        <f t="shared" si="6"/>
        <v>1385</v>
      </c>
      <c r="J18" s="120">
        <f t="shared" si="6"/>
        <v>161</v>
      </c>
      <c r="K18" s="121">
        <f>SUM(B18:J18)</f>
        <v>2667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[3]Frontier!$HV$8</f>
        <v>0</v>
      </c>
      <c r="C20" s="96">
        <f>'[3]Allegiant '!$HV$8</f>
        <v>0</v>
      </c>
      <c r="D20" s="96">
        <f>'[3]Aer Lingus'!$HV$8</f>
        <v>0</v>
      </c>
      <c r="E20" s="96">
        <f>'[3]Denver Air'!$HV$8</f>
        <v>1</v>
      </c>
      <c r="F20" s="96">
        <f>'[3]Boutique Air'!$HV$8</f>
        <v>0</v>
      </c>
      <c r="G20" s="96">
        <f>[3]Icelandair!$HV$8</f>
        <v>0</v>
      </c>
      <c r="H20" s="96">
        <f>[3]Southwest!$HV$8</f>
        <v>0</v>
      </c>
      <c r="I20" s="96">
        <f>'[3]Sun Country'!$HV$8</f>
        <v>86</v>
      </c>
      <c r="J20" s="96">
        <f>[3]Alaska!$HV$8</f>
        <v>0</v>
      </c>
      <c r="K20" s="119">
        <f>SUM(B20:J20)</f>
        <v>87</v>
      </c>
    </row>
    <row r="21" spans="1:258" x14ac:dyDescent="0.2">
      <c r="A21" s="46" t="s">
        <v>26</v>
      </c>
      <c r="B21" s="96">
        <f>[3]Frontier!$HV$9</f>
        <v>0</v>
      </c>
      <c r="C21" s="96">
        <f>'[3]Allegiant '!$HV$9</f>
        <v>0</v>
      </c>
      <c r="D21" s="96">
        <f>'[3]Aer Lingus'!$HV$9</f>
        <v>0</v>
      </c>
      <c r="E21" s="96">
        <f>'[3]Denver Air'!$HV$9</f>
        <v>1</v>
      </c>
      <c r="F21" s="96">
        <f>'[3]Boutique Air'!$HV$9</f>
        <v>0</v>
      </c>
      <c r="G21" s="96">
        <f>[3]Icelandair!$HV$9</f>
        <v>0</v>
      </c>
      <c r="H21" s="96">
        <f>[3]Southwest!$HV$9</f>
        <v>0</v>
      </c>
      <c r="I21" s="96">
        <f>'[3]Sun Country'!$HV$9</f>
        <v>61</v>
      </c>
      <c r="J21" s="96">
        <f>[3]Alaska!$HV$9</f>
        <v>0</v>
      </c>
      <c r="K21" s="119">
        <f>SUM(B21:J21)</f>
        <v>62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2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147</v>
      </c>
      <c r="J22" s="120">
        <f t="shared" si="9"/>
        <v>0</v>
      </c>
      <c r="K22" s="121">
        <f>SUM(B22:J22)</f>
        <v>149</v>
      </c>
    </row>
    <row r="23" spans="1:258" ht="15.75" thickBot="1" x14ac:dyDescent="0.3">
      <c r="A23" s="47" t="s">
        <v>28</v>
      </c>
      <c r="B23" s="122">
        <f t="shared" ref="B23" si="10">B22+B18</f>
        <v>64</v>
      </c>
      <c r="C23" s="122">
        <f t="shared" ref="C23:F23" si="11">C22+C18</f>
        <v>76</v>
      </c>
      <c r="D23" s="122">
        <f t="shared" si="11"/>
        <v>0</v>
      </c>
      <c r="E23" s="122">
        <f t="shared" si="11"/>
        <v>162</v>
      </c>
      <c r="F23" s="122">
        <f t="shared" si="11"/>
        <v>0</v>
      </c>
      <c r="G23" s="122">
        <f t="shared" ref="G23:J23" si="12">G22+G18</f>
        <v>54</v>
      </c>
      <c r="H23" s="122">
        <f t="shared" si="12"/>
        <v>767</v>
      </c>
      <c r="I23" s="122">
        <f t="shared" si="12"/>
        <v>1532</v>
      </c>
      <c r="J23" s="122">
        <f t="shared" si="12"/>
        <v>161</v>
      </c>
      <c r="K23" s="123">
        <f>SUM(B23:J23)</f>
        <v>2816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[3]Frontier!$HV$47</f>
        <v>0</v>
      </c>
      <c r="C28" s="96">
        <f>'[3]Allegiant '!$HV$47</f>
        <v>0</v>
      </c>
      <c r="D28" s="96">
        <f>'[3]Aer Lingus'!$HV$47</f>
        <v>0</v>
      </c>
      <c r="E28" s="96">
        <f>'[3]Denver Air'!$HV$47</f>
        <v>0</v>
      </c>
      <c r="F28" s="96">
        <f>'[3]Boutique Air'!$HV$47</f>
        <v>0</v>
      </c>
      <c r="G28" s="96">
        <f>[3]Icelandair!$HV$47</f>
        <v>7938</v>
      </c>
      <c r="H28" s="96">
        <f>[3]Southwest!$HV$47</f>
        <v>173667</v>
      </c>
      <c r="I28" s="96">
        <f>'[3]Sun Country'!$HV$47</f>
        <v>36786</v>
      </c>
      <c r="J28" s="96">
        <f>[3]Alaska!$HV$47</f>
        <v>9720</v>
      </c>
      <c r="K28" s="119">
        <f>SUM(B28:J28)</f>
        <v>228111</v>
      </c>
    </row>
    <row r="29" spans="1:258" x14ac:dyDescent="0.2">
      <c r="A29" s="46" t="s">
        <v>38</v>
      </c>
      <c r="B29" s="96">
        <f>[3]Frontier!$HV$48</f>
        <v>0</v>
      </c>
      <c r="C29" s="96">
        <f>'[3]Allegiant '!$HV$48</f>
        <v>0</v>
      </c>
      <c r="D29" s="96">
        <f>'[3]Aer Lingus'!$HV$48</f>
        <v>0</v>
      </c>
      <c r="E29" s="96">
        <f>'[3]Denver Air'!$HV$48</f>
        <v>0</v>
      </c>
      <c r="F29" s="96">
        <f>'[3]Boutique Air'!$HV$48</f>
        <v>0</v>
      </c>
      <c r="G29" s="96">
        <f>[3]Icelandair!$HV$48</f>
        <v>0</v>
      </c>
      <c r="H29" s="96">
        <f>[3]Southwest!$HV$48</f>
        <v>0</v>
      </c>
      <c r="I29" s="96">
        <f>'[3]Sun Country'!$HV$48</f>
        <v>111753</v>
      </c>
      <c r="J29" s="96">
        <f>[3]Alaska!$HV$48</f>
        <v>0</v>
      </c>
      <c r="K29" s="119">
        <f>SUM(B29:J29)</f>
        <v>111753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7938</v>
      </c>
      <c r="H30" s="134">
        <f t="shared" si="15"/>
        <v>173667</v>
      </c>
      <c r="I30" s="134">
        <f t="shared" si="15"/>
        <v>148539</v>
      </c>
      <c r="J30" s="134">
        <f t="shared" si="15"/>
        <v>9720</v>
      </c>
      <c r="K30" s="136">
        <f>SUM(B30:J30)</f>
        <v>339864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[3]Frontier!$HV$52</f>
        <v>0</v>
      </c>
      <c r="C33" s="96">
        <f>'[3]Allegiant '!$HV$52</f>
        <v>0</v>
      </c>
      <c r="D33" s="96">
        <f>'[3]Aer Lingus'!$HV$52</f>
        <v>0</v>
      </c>
      <c r="E33" s="96">
        <f>'[3]Denver Air'!$HV$52</f>
        <v>0</v>
      </c>
      <c r="F33" s="96">
        <f>'[3]Boutique Air'!$HV$52</f>
        <v>0</v>
      </c>
      <c r="G33" s="96">
        <f>[3]Icelandair!$HV$52</f>
        <v>436</v>
      </c>
      <c r="H33" s="96">
        <f>[3]Southwest!$HV$52</f>
        <v>37782</v>
      </c>
      <c r="I33" s="96">
        <f>'[3]Sun Country'!$HV$52</f>
        <v>116</v>
      </c>
      <c r="J33" s="96">
        <f>[3]Alaska!$HV$52</f>
        <v>9831</v>
      </c>
      <c r="K33" s="119">
        <f>SUM(B33:J33)</f>
        <v>48165</v>
      </c>
    </row>
    <row r="34" spans="1:11" x14ac:dyDescent="0.2">
      <c r="A34" s="46" t="s">
        <v>38</v>
      </c>
      <c r="B34" s="96">
        <f>[3]Frontier!$HV$53</f>
        <v>0</v>
      </c>
      <c r="C34" s="96">
        <f>'[3]Allegiant '!$HV$53</f>
        <v>0</v>
      </c>
      <c r="D34" s="96">
        <f>'[3]Aer Lingus'!$HV$53</f>
        <v>0</v>
      </c>
      <c r="E34" s="96">
        <f>'[3]Denver Air'!$HV$53</f>
        <v>0</v>
      </c>
      <c r="F34" s="96">
        <f>'[3]Boutique Air'!$HV$53</f>
        <v>0</v>
      </c>
      <c r="G34" s="96">
        <f>[3]Icelandair!$HV$53</f>
        <v>0</v>
      </c>
      <c r="H34" s="96">
        <f>[3]Southwest!$HV$53</f>
        <v>0</v>
      </c>
      <c r="I34" s="96">
        <f>'[3]Sun Country'!$HV$53</f>
        <v>114538</v>
      </c>
      <c r="J34" s="96">
        <f>[3]Alaska!$HV$53</f>
        <v>5420</v>
      </c>
      <c r="K34" s="135">
        <f>SUM(B34:J34)</f>
        <v>119958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436</v>
      </c>
      <c r="H35" s="120">
        <f t="shared" si="18"/>
        <v>37782</v>
      </c>
      <c r="I35" s="120">
        <f t="shared" si="18"/>
        <v>114654</v>
      </c>
      <c r="J35" s="120">
        <f t="shared" si="18"/>
        <v>15251</v>
      </c>
      <c r="K35" s="136">
        <f>SUM(B35:J35)</f>
        <v>168123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[3]Frontier!$HV$57</f>
        <v>0</v>
      </c>
      <c r="C38" s="126">
        <f>'[3]Allegiant '!$HV$57</f>
        <v>0</v>
      </c>
      <c r="D38" s="395">
        <f>'[3]Aer Lingus'!$HV$57</f>
        <v>0</v>
      </c>
      <c r="E38" s="126">
        <f>'[3]Denver Air'!$HV$57</f>
        <v>0</v>
      </c>
      <c r="F38" s="126">
        <f>'[3]Boutique Air'!$HV$57</f>
        <v>0</v>
      </c>
      <c r="G38" s="126">
        <f>[3]Icelandair!$HV$57</f>
        <v>0</v>
      </c>
      <c r="H38" s="126">
        <f>[3]Southwest!$HV$57</f>
        <v>0</v>
      </c>
      <c r="I38" s="126">
        <f>'[3]Sun Country'!$HV$57</f>
        <v>0</v>
      </c>
      <c r="J38" s="126">
        <f>[3]Alaska!$HV$57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[3]Frontier!$HV$58</f>
        <v>0</v>
      </c>
      <c r="C39" s="129">
        <f>'[3]Allegiant '!$HV$58</f>
        <v>0</v>
      </c>
      <c r="D39" s="129">
        <f>'[3]Aer Lingus'!$HV$58</f>
        <v>0</v>
      </c>
      <c r="E39" s="129">
        <f>'[3]Denver Air'!$HV$58</f>
        <v>0</v>
      </c>
      <c r="F39" s="129">
        <f>'[3]Boutique Air'!$HV$58</f>
        <v>0</v>
      </c>
      <c r="G39" s="129">
        <f>[3]Icelandair!$HV$58</f>
        <v>0</v>
      </c>
      <c r="H39" s="129">
        <f>[3]Southwest!$HV$58</f>
        <v>0</v>
      </c>
      <c r="I39" s="129">
        <f>'[3]Sun Country'!$HV$58</f>
        <v>0</v>
      </c>
      <c r="J39" s="129">
        <f>[3]Alaska!$HV$58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8374</v>
      </c>
      <c r="H43" s="126">
        <f t="shared" si="24"/>
        <v>211449</v>
      </c>
      <c r="I43" s="126">
        <f t="shared" si="24"/>
        <v>36902</v>
      </c>
      <c r="J43" s="126">
        <f t="shared" si="24"/>
        <v>19551</v>
      </c>
      <c r="K43" s="119">
        <f>SUM(B43:J43)</f>
        <v>276276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226291</v>
      </c>
      <c r="J44" s="129">
        <f t="shared" si="27"/>
        <v>5420</v>
      </c>
      <c r="K44" s="119">
        <f>SUM(B44:J44)</f>
        <v>231711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8374</v>
      </c>
      <c r="H45" s="138">
        <f t="shared" si="30"/>
        <v>211449</v>
      </c>
      <c r="I45" s="138">
        <f t="shared" si="30"/>
        <v>263193</v>
      </c>
      <c r="J45" s="138">
        <f t="shared" si="30"/>
        <v>24971</v>
      </c>
      <c r="K45" s="139">
        <f>SUM(B45:J45)</f>
        <v>507987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[3]Southwest!$HV$70+[3]Southwest!$HV$73</f>
        <v>50669</v>
      </c>
      <c r="I48" s="256">
        <f>'[3]Sun Country'!$HV$70+'[3]Sun Country'!$HV$73</f>
        <v>106656</v>
      </c>
      <c r="J48" s="312"/>
      <c r="K48" s="245">
        <f>SUM(B48:J48)</f>
        <v>157325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[3]Southwest!$HV$71+[3]Southwest!$HV$74</f>
        <v>207</v>
      </c>
      <c r="I49" s="256">
        <f>'[3]Sun Country'!$HV$71+'[3]Sun Country'!$HV$74</f>
        <v>0</v>
      </c>
      <c r="J49" s="312"/>
      <c r="K49" s="245">
        <f>SUM(B49:J49)</f>
        <v>207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May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topLeftCell="A6" zoomScaleNormal="100" zoomScaleSheetLayoutView="115" workbookViewId="0">
      <selection activeCell="R27" sqref="R2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44682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[3]Pinnacle!$HV$22+[3]Pinnacle!$HV$32</f>
        <v>40932</v>
      </c>
      <c r="C5" s="88">
        <f>[3]MESA_UA!$HV$22</f>
        <v>3787</v>
      </c>
      <c r="D5" s="96">
        <f>'[3]Sky West'!$HV$22+'[3]Sky West'!$HV$32</f>
        <v>199346</v>
      </c>
      <c r="E5" s="96">
        <f>'[3]Sky West_UA'!$HV$22</f>
        <v>2625</v>
      </c>
      <c r="F5" s="96">
        <f>'[3]Sky West_AS'!$HV$22</f>
        <v>0</v>
      </c>
      <c r="G5" s="96">
        <f>'[3]Sky West_AA'!$HV$22</f>
        <v>245</v>
      </c>
      <c r="H5" s="96">
        <f>[3]Republic!$HV$22</f>
        <v>8151</v>
      </c>
      <c r="I5" s="96">
        <f>[3]Republic_UA!$HV$22</f>
        <v>4523</v>
      </c>
      <c r="J5" s="96">
        <f>'[3]Sky Regional'!$HV$32</f>
        <v>0</v>
      </c>
      <c r="K5" s="96">
        <f>'[3]American Eagle'!$HV$22</f>
        <v>6693</v>
      </c>
      <c r="L5" s="96">
        <f>'Other Regional'!L5</f>
        <v>7770</v>
      </c>
      <c r="M5" s="89">
        <f>SUM(B5:L5)</f>
        <v>274072</v>
      </c>
    </row>
    <row r="6" spans="1:16" s="6" customFormat="1" x14ac:dyDescent="0.2">
      <c r="A6" s="46" t="s">
        <v>31</v>
      </c>
      <c r="B6" s="88">
        <f>[3]Pinnacle!$HV$23+[3]Pinnacle!$HV$33</f>
        <v>40506</v>
      </c>
      <c r="C6" s="88">
        <f>[3]MESA_UA!$HV$23</f>
        <v>3703</v>
      </c>
      <c r="D6" s="96">
        <f>'[3]Sky West'!$HV$23+'[3]Sky West'!$HV$33</f>
        <v>197801</v>
      </c>
      <c r="E6" s="96">
        <f>'[3]Sky West_UA'!$HV$23</f>
        <v>2612</v>
      </c>
      <c r="F6" s="96">
        <f>'[3]Sky West_AS'!$HV$23</f>
        <v>0</v>
      </c>
      <c r="G6" s="96">
        <f>'[3]Sky West_AA'!$HV$23</f>
        <v>236</v>
      </c>
      <c r="H6" s="96">
        <f>[3]Republic!$HV$23</f>
        <v>7740</v>
      </c>
      <c r="I6" s="96">
        <f>[3]Republic_UA!$HV$23</f>
        <v>4380</v>
      </c>
      <c r="J6" s="96">
        <f>'[3]Sky Regional'!$HV$33</f>
        <v>0</v>
      </c>
      <c r="K6" s="96">
        <f>'[3]American Eagle'!$HV$23</f>
        <v>6763</v>
      </c>
      <c r="L6" s="96">
        <f>'Other Regional'!L6</f>
        <v>8060</v>
      </c>
      <c r="M6" s="93">
        <f>SUM(B6:L6)</f>
        <v>271801</v>
      </c>
    </row>
    <row r="7" spans="1:16" ht="15" thickBot="1" x14ac:dyDescent="0.25">
      <c r="A7" s="55" t="s">
        <v>7</v>
      </c>
      <c r="B7" s="106">
        <f>SUM(B5:B6)</f>
        <v>81438</v>
      </c>
      <c r="C7" s="106">
        <f t="shared" ref="C7:L7" si="0">SUM(C5:C6)</f>
        <v>7490</v>
      </c>
      <c r="D7" s="106">
        <f t="shared" si="0"/>
        <v>397147</v>
      </c>
      <c r="E7" s="106">
        <f t="shared" si="0"/>
        <v>5237</v>
      </c>
      <c r="F7" s="106">
        <f t="shared" ref="F7:G7" si="1">SUM(F5:F6)</f>
        <v>0</v>
      </c>
      <c r="G7" s="106">
        <f t="shared" si="1"/>
        <v>481</v>
      </c>
      <c r="H7" s="106">
        <f t="shared" si="0"/>
        <v>15891</v>
      </c>
      <c r="I7" s="106">
        <f t="shared" si="0"/>
        <v>8903</v>
      </c>
      <c r="J7" s="106">
        <f t="shared" si="0"/>
        <v>0</v>
      </c>
      <c r="K7" s="106">
        <f t="shared" si="0"/>
        <v>13456</v>
      </c>
      <c r="L7" s="106">
        <f t="shared" si="0"/>
        <v>15830</v>
      </c>
      <c r="M7" s="107">
        <f>SUM(B7:L7)</f>
        <v>545873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[3]Pinnacle!$HV$27+[3]Pinnacle!$HV$37</f>
        <v>1558</v>
      </c>
      <c r="C10" s="88">
        <f>[3]MESA_UA!$HV$27</f>
        <v>90</v>
      </c>
      <c r="D10" s="96">
        <f>'[3]Sky West'!$HV$27+'[3]Sky West'!$HV$37</f>
        <v>6164</v>
      </c>
      <c r="E10" s="96">
        <f>'[3]Sky West_UA'!$HV$27</f>
        <v>109</v>
      </c>
      <c r="F10" s="96">
        <f>'[3]Sky West_AS'!$HV$27</f>
        <v>0</v>
      </c>
      <c r="G10" s="96">
        <f>'[3]Sky West_AA'!$HV$27</f>
        <v>10</v>
      </c>
      <c r="H10" s="96">
        <f>[3]Republic!$HV$27</f>
        <v>171</v>
      </c>
      <c r="I10" s="96">
        <f>[3]Republic_UA!$HV$27</f>
        <v>108</v>
      </c>
      <c r="J10" s="96">
        <f>'[3]Sky Regional'!$HV$37</f>
        <v>0</v>
      </c>
      <c r="K10" s="96">
        <f>'[3]American Eagle'!$HV$27</f>
        <v>228</v>
      </c>
      <c r="L10" s="96">
        <f>'Other Regional'!L10</f>
        <v>130</v>
      </c>
      <c r="M10" s="89">
        <f>SUM(B10:L10)</f>
        <v>8568</v>
      </c>
    </row>
    <row r="11" spans="1:16" x14ac:dyDescent="0.2">
      <c r="A11" s="46" t="s">
        <v>33</v>
      </c>
      <c r="B11" s="88">
        <f>[3]Pinnacle!$HV$28+[3]Pinnacle!$HV$38</f>
        <v>1502</v>
      </c>
      <c r="C11" s="88">
        <f>[3]MESA_UA!$HV$28</f>
        <v>104</v>
      </c>
      <c r="D11" s="96">
        <f>'[3]Sky West'!$HV$28+'[3]Sky West'!$HV$38</f>
        <v>5852</v>
      </c>
      <c r="E11" s="96">
        <f>'[3]Sky West_UA'!$HV$28</f>
        <v>59</v>
      </c>
      <c r="F11" s="96">
        <f>'[3]Sky West_AS'!$HV$28</f>
        <v>0</v>
      </c>
      <c r="G11" s="96">
        <f>'[3]Sky West_AA'!$HV$28</f>
        <v>7</v>
      </c>
      <c r="H11" s="96">
        <f>[3]Republic!$HV$28</f>
        <v>251</v>
      </c>
      <c r="I11" s="96">
        <f>[3]Republic_UA!$HV$28</f>
        <v>101</v>
      </c>
      <c r="J11" s="96">
        <f>'[3]Sky Regional'!$HV$38</f>
        <v>0</v>
      </c>
      <c r="K11" s="96">
        <f>'[3]American Eagle'!$HV$28</f>
        <v>263</v>
      </c>
      <c r="L11" s="96">
        <f>'Other Regional'!L11</f>
        <v>156</v>
      </c>
      <c r="M11" s="93">
        <f>SUM(B11:L11)</f>
        <v>8295</v>
      </c>
    </row>
    <row r="12" spans="1:16" ht="15" thickBot="1" x14ac:dyDescent="0.25">
      <c r="A12" s="56" t="s">
        <v>34</v>
      </c>
      <c r="B12" s="109">
        <f t="shared" ref="B12:L12" si="2">SUM(B10:B11)</f>
        <v>3060</v>
      </c>
      <c r="C12" s="109">
        <f t="shared" si="2"/>
        <v>194</v>
      </c>
      <c r="D12" s="109">
        <f t="shared" si="2"/>
        <v>12016</v>
      </c>
      <c r="E12" s="109">
        <f t="shared" si="2"/>
        <v>168</v>
      </c>
      <c r="F12" s="109">
        <f t="shared" ref="F12:G12" si="3">SUM(F10:F11)</f>
        <v>0</v>
      </c>
      <c r="G12" s="109">
        <f t="shared" si="3"/>
        <v>17</v>
      </c>
      <c r="H12" s="109">
        <f t="shared" si="2"/>
        <v>422</v>
      </c>
      <c r="I12" s="109">
        <f t="shared" si="2"/>
        <v>209</v>
      </c>
      <c r="J12" s="109">
        <f t="shared" si="2"/>
        <v>0</v>
      </c>
      <c r="K12" s="109">
        <f t="shared" si="2"/>
        <v>491</v>
      </c>
      <c r="L12" s="109">
        <f t="shared" si="2"/>
        <v>286</v>
      </c>
      <c r="M12" s="110">
        <f>SUM(B12:L12)</f>
        <v>16863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[3]Pinnacle!$HV$4+[3]Pinnacle!$HV$15</f>
        <v>770</v>
      </c>
      <c r="C15" s="87">
        <f>[3]MESA_UA!$HV$4</f>
        <v>53</v>
      </c>
      <c r="D15" s="86">
        <f>'[3]Sky West'!$HV$4+'[3]Sky West'!$HV$15</f>
        <v>3193</v>
      </c>
      <c r="E15" s="86">
        <f>'[3]Sky West_UA'!$HV$4</f>
        <v>38</v>
      </c>
      <c r="F15" s="86">
        <f>'[3]Sky West_AS'!$HV$4</f>
        <v>0</v>
      </c>
      <c r="G15" s="86">
        <f>'[3]Sky West_AA'!$HV$4</f>
        <v>4</v>
      </c>
      <c r="H15" s="88">
        <f>[3]Republic!$HV$4</f>
        <v>115</v>
      </c>
      <c r="I15" s="363">
        <f>[3]Republic_UA!$HV$4</f>
        <v>68</v>
      </c>
      <c r="J15" s="363">
        <f>'[3]Sky Regional'!$HV$15</f>
        <v>0</v>
      </c>
      <c r="K15" s="88">
        <f>'[3]American Eagle'!$HV$4</f>
        <v>114</v>
      </c>
      <c r="L15" s="87">
        <f>'Other Regional'!L15</f>
        <v>122</v>
      </c>
      <c r="M15" s="89">
        <f t="shared" ref="M15:M21" si="5">SUM(B15:L15)</f>
        <v>4477</v>
      </c>
    </row>
    <row r="16" spans="1:16" x14ac:dyDescent="0.2">
      <c r="A16" s="46" t="s">
        <v>54</v>
      </c>
      <c r="B16" s="7">
        <f>[3]Pinnacle!$HV$5+[3]Pinnacle!$HV$16</f>
        <v>766</v>
      </c>
      <c r="C16" s="91">
        <f>[3]MESA_UA!$HV$5</f>
        <v>53</v>
      </c>
      <c r="D16" s="90">
        <f>'[3]Sky West'!$HV$5+'[3]Sky West'!$HV$16</f>
        <v>3193</v>
      </c>
      <c r="E16" s="90">
        <f>'[3]Sky West_UA'!$HV$5</f>
        <v>38</v>
      </c>
      <c r="F16" s="90">
        <f>'[3]Sky West_AS'!$HV$5</f>
        <v>0</v>
      </c>
      <c r="G16" s="90">
        <f>'[3]Sky West_AA'!$HV$5</f>
        <v>4</v>
      </c>
      <c r="H16" s="92">
        <f>[3]Republic!$HV$5</f>
        <v>115</v>
      </c>
      <c r="I16" s="232">
        <f>[3]Republic_UA!$HV$5</f>
        <v>66</v>
      </c>
      <c r="J16" s="232">
        <f>'[3]Sky Regional'!$HV$16</f>
        <v>0</v>
      </c>
      <c r="K16" s="92">
        <f>'[3]American Eagle'!$HV$5</f>
        <v>113</v>
      </c>
      <c r="L16" s="91">
        <f>'Other Regional'!L16</f>
        <v>123</v>
      </c>
      <c r="M16" s="93">
        <f t="shared" si="5"/>
        <v>4471</v>
      </c>
      <c r="O16" s="96"/>
      <c r="P16" s="96"/>
    </row>
    <row r="17" spans="1:13" x14ac:dyDescent="0.2">
      <c r="A17" s="50" t="s">
        <v>55</v>
      </c>
      <c r="B17" s="94">
        <f t="shared" ref="B17:E17" si="6">SUM(B15:B16)</f>
        <v>1536</v>
      </c>
      <c r="C17" s="94">
        <f t="shared" si="6"/>
        <v>106</v>
      </c>
      <c r="D17" s="94">
        <f t="shared" si="6"/>
        <v>6386</v>
      </c>
      <c r="E17" s="94">
        <f t="shared" si="6"/>
        <v>76</v>
      </c>
      <c r="F17" s="94">
        <f t="shared" ref="F17:G17" si="7">SUM(F15:F16)</f>
        <v>0</v>
      </c>
      <c r="G17" s="94">
        <f t="shared" si="7"/>
        <v>8</v>
      </c>
      <c r="H17" s="94">
        <f>SUM(H15:H16)</f>
        <v>230</v>
      </c>
      <c r="I17" s="94">
        <f t="shared" ref="I17:J17" si="8">SUM(I15:I16)</f>
        <v>134</v>
      </c>
      <c r="J17" s="94">
        <f t="shared" si="8"/>
        <v>0</v>
      </c>
      <c r="K17" s="94">
        <f>SUM(K15:K16)</f>
        <v>227</v>
      </c>
      <c r="L17" s="94">
        <f>SUM(L15:L16)</f>
        <v>245</v>
      </c>
      <c r="M17" s="95">
        <f t="shared" si="5"/>
        <v>8948</v>
      </c>
    </row>
    <row r="18" spans="1:13" x14ac:dyDescent="0.2">
      <c r="A18" s="46" t="s">
        <v>56</v>
      </c>
      <c r="B18" s="96">
        <f>[3]Pinnacle!$HV$8</f>
        <v>0</v>
      </c>
      <c r="C18" s="88">
        <f>[3]MESA_UA!$HV$8</f>
        <v>0</v>
      </c>
      <c r="D18" s="96">
        <f>'[3]Sky West'!$HV$8</f>
        <v>0</v>
      </c>
      <c r="E18" s="96">
        <f>'[3]Sky West_UA'!$HV$8</f>
        <v>0</v>
      </c>
      <c r="F18" s="96">
        <f>'[3]Sky West_AS'!$HV$8</f>
        <v>0</v>
      </c>
      <c r="G18" s="96">
        <f>'[3]Sky West_AA'!$HV$8</f>
        <v>0</v>
      </c>
      <c r="H18" s="96">
        <f>[3]Republic!$HV$8</f>
        <v>0</v>
      </c>
      <c r="I18" s="96">
        <f>[3]Republic_UA!$HV$8</f>
        <v>0</v>
      </c>
      <c r="J18" s="96">
        <f>'[3]Sky Regional'!$HV$8</f>
        <v>0</v>
      </c>
      <c r="K18" s="96">
        <f>'[3]American Eagle'!$HV$8</f>
        <v>0</v>
      </c>
      <c r="L18" s="96">
        <f>'Other Regional'!L18</f>
        <v>0</v>
      </c>
      <c r="M18" s="89">
        <f t="shared" si="5"/>
        <v>0</v>
      </c>
    </row>
    <row r="19" spans="1:13" x14ac:dyDescent="0.2">
      <c r="A19" s="46" t="s">
        <v>57</v>
      </c>
      <c r="B19" s="97">
        <f>[3]Pinnacle!$HV$9</f>
        <v>2</v>
      </c>
      <c r="C19" s="92">
        <f>[3]MESA_UA!$HV$9</f>
        <v>0</v>
      </c>
      <c r="D19" s="97">
        <f>'[3]Sky West'!$HV$9</f>
        <v>4</v>
      </c>
      <c r="E19" s="97">
        <f>'[3]Sky West_UA'!$HV$9</f>
        <v>1</v>
      </c>
      <c r="F19" s="97">
        <f>'[3]Sky West_AS'!$HV$9</f>
        <v>0</v>
      </c>
      <c r="G19" s="97">
        <f>'[3]Sky West_AA'!$HV$9</f>
        <v>0</v>
      </c>
      <c r="H19" s="97">
        <f>[3]Republic!$HV$9</f>
        <v>0</v>
      </c>
      <c r="I19" s="97">
        <f>[3]Republic_UA!$HV$9</f>
        <v>2</v>
      </c>
      <c r="J19" s="97">
        <f>'[3]Sky Regional'!$HV$9</f>
        <v>0</v>
      </c>
      <c r="K19" s="97">
        <f>'[3]American Eagle'!$HV$9</f>
        <v>0</v>
      </c>
      <c r="L19" s="97">
        <f>'Other Regional'!L19</f>
        <v>0</v>
      </c>
      <c r="M19" s="93">
        <f t="shared" si="5"/>
        <v>9</v>
      </c>
    </row>
    <row r="20" spans="1:13" x14ac:dyDescent="0.2">
      <c r="A20" s="50" t="s">
        <v>58</v>
      </c>
      <c r="B20" s="94">
        <f t="shared" ref="B20:L20" si="9">SUM(B18:B19)</f>
        <v>2</v>
      </c>
      <c r="C20" s="94">
        <f t="shared" si="9"/>
        <v>0</v>
      </c>
      <c r="D20" s="94">
        <f t="shared" si="9"/>
        <v>4</v>
      </c>
      <c r="E20" s="94">
        <f t="shared" si="9"/>
        <v>1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2</v>
      </c>
      <c r="J20" s="94">
        <f t="shared" si="9"/>
        <v>0</v>
      </c>
      <c r="K20" s="94">
        <f t="shared" si="9"/>
        <v>0</v>
      </c>
      <c r="L20" s="94">
        <f t="shared" si="9"/>
        <v>0</v>
      </c>
      <c r="M20" s="95">
        <f t="shared" si="5"/>
        <v>9</v>
      </c>
    </row>
    <row r="21" spans="1:13" ht="15.75" thickBot="1" x14ac:dyDescent="0.3">
      <c r="A21" s="54" t="s">
        <v>28</v>
      </c>
      <c r="B21" s="98">
        <f>SUM(B20,B17)</f>
        <v>1538</v>
      </c>
      <c r="C21" s="98">
        <f t="shared" ref="C21:K21" si="11">SUM(C20,C17)</f>
        <v>106</v>
      </c>
      <c r="D21" s="98">
        <f t="shared" si="11"/>
        <v>6390</v>
      </c>
      <c r="E21" s="98">
        <f t="shared" si="11"/>
        <v>77</v>
      </c>
      <c r="F21" s="98">
        <f t="shared" ref="F21:G21" si="12">SUM(F20,F17)</f>
        <v>0</v>
      </c>
      <c r="G21" s="98">
        <f t="shared" si="12"/>
        <v>8</v>
      </c>
      <c r="H21" s="98">
        <f t="shared" si="11"/>
        <v>230</v>
      </c>
      <c r="I21" s="98">
        <f t="shared" si="11"/>
        <v>136</v>
      </c>
      <c r="J21" s="98">
        <f t="shared" si="11"/>
        <v>0</v>
      </c>
      <c r="K21" s="98">
        <f t="shared" si="11"/>
        <v>227</v>
      </c>
      <c r="L21" s="98">
        <f>SUM(L20,L17)</f>
        <v>245</v>
      </c>
      <c r="M21" s="99">
        <f t="shared" si="5"/>
        <v>8957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[3]Pinnacle!$HV$47</f>
        <v>0</v>
      </c>
      <c r="C25" s="88">
        <f>[3]MESA_UA!$HV$47</f>
        <v>0</v>
      </c>
      <c r="D25" s="96">
        <f>'[3]Sky West'!$HV$47</f>
        <v>0</v>
      </c>
      <c r="E25" s="96">
        <f>'[3]Sky West_UA'!$HV$47</f>
        <v>0</v>
      </c>
      <c r="F25" s="96">
        <f>'[3]Sky West_AS'!$HV$47</f>
        <v>0</v>
      </c>
      <c r="G25" s="96">
        <f>'[3]Sky West_AA'!$HV$47</f>
        <v>367</v>
      </c>
      <c r="H25" s="96">
        <f>[3]Republic!$HV$47</f>
        <v>847</v>
      </c>
      <c r="I25" s="96">
        <f>[3]Republic_UA!$HV$47</f>
        <v>0</v>
      </c>
      <c r="J25" s="96">
        <f>'[3]Sky Regional'!$HV$47</f>
        <v>0</v>
      </c>
      <c r="K25" s="96">
        <f>'[3]American Eagle'!$HV$47</f>
        <v>3160</v>
      </c>
      <c r="L25" s="96">
        <f>'Other Regional'!L25</f>
        <v>851.7</v>
      </c>
      <c r="M25" s="89">
        <f>SUM(B25:L25)</f>
        <v>5225.7</v>
      </c>
    </row>
    <row r="26" spans="1:13" x14ac:dyDescent="0.2">
      <c r="A26" s="46" t="s">
        <v>38</v>
      </c>
      <c r="B26" s="96">
        <f>[3]Pinnacle!$HV$48</f>
        <v>0</v>
      </c>
      <c r="C26" s="88">
        <f>[3]MESA_UA!$HV$48</f>
        <v>0</v>
      </c>
      <c r="D26" s="96">
        <f>'[3]Sky West'!$HV$48</f>
        <v>0</v>
      </c>
      <c r="E26" s="96">
        <f>'[3]Sky West_UA'!$HV$48</f>
        <v>0</v>
      </c>
      <c r="F26" s="96">
        <f>'[3]Sky West_AS'!$HV$48</f>
        <v>0</v>
      </c>
      <c r="G26" s="96">
        <f>'[3]Sky West_AA'!$HV$48</f>
        <v>0</v>
      </c>
      <c r="H26" s="96">
        <f>[3]Republic!$HV$48</f>
        <v>0</v>
      </c>
      <c r="I26" s="96">
        <f>[3]Republic_UA!$HV$48</f>
        <v>0</v>
      </c>
      <c r="J26" s="96">
        <f>'[3]Sky Regional'!$HV$48</f>
        <v>0</v>
      </c>
      <c r="K26" s="96">
        <f>'[3]American Eagle'!$HV$48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367</v>
      </c>
      <c r="H27" s="106">
        <f t="shared" si="13"/>
        <v>847</v>
      </c>
      <c r="I27" s="106">
        <f t="shared" si="13"/>
        <v>0</v>
      </c>
      <c r="J27" s="106">
        <f t="shared" si="13"/>
        <v>0</v>
      </c>
      <c r="K27" s="106">
        <f t="shared" si="13"/>
        <v>3160</v>
      </c>
      <c r="L27" s="106">
        <f t="shared" si="13"/>
        <v>851.7</v>
      </c>
      <c r="M27" s="107">
        <f>SUM(B27:L27)</f>
        <v>5225.7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[3]Pinnacle!$HV$52</f>
        <v>0</v>
      </c>
      <c r="C30" s="88">
        <f>[3]MESA_UA!$HV$52</f>
        <v>0</v>
      </c>
      <c r="D30" s="96">
        <f>'[3]Sky West'!$HV$52</f>
        <v>0</v>
      </c>
      <c r="E30" s="96">
        <f>'[3]Sky West_UA'!$HV$52</f>
        <v>0</v>
      </c>
      <c r="F30" s="96">
        <f>'[3]Sky West_AS'!$HV$52</f>
        <v>0</v>
      </c>
      <c r="G30" s="96">
        <f>'[3]Sky West_AA'!$HV$52</f>
        <v>0</v>
      </c>
      <c r="H30" s="96">
        <f>[3]Republic!$HV$52</f>
        <v>251</v>
      </c>
      <c r="I30" s="96">
        <f>[3]Republic_UA!$HV$52</f>
        <v>0</v>
      </c>
      <c r="J30" s="96">
        <f>'[3]Sky Regional'!$HV$52</f>
        <v>0</v>
      </c>
      <c r="K30" s="96">
        <f>'[3]American Eagle'!$HV$52</f>
        <v>2150</v>
      </c>
      <c r="L30" s="96">
        <f>'Other Regional'!L30</f>
        <v>836.1</v>
      </c>
      <c r="M30" s="89">
        <f t="shared" ref="M30:M37" si="15">SUM(B30:L30)</f>
        <v>3237.1</v>
      </c>
    </row>
    <row r="31" spans="1:13" x14ac:dyDescent="0.2">
      <c r="A31" s="46" t="s">
        <v>60</v>
      </c>
      <c r="B31" s="96">
        <f>[3]Pinnacle!$HV$53</f>
        <v>0</v>
      </c>
      <c r="C31" s="88">
        <f>[3]MESA_UA!$HV$53</f>
        <v>0</v>
      </c>
      <c r="D31" s="96">
        <f>'[3]Sky West'!$HV$53</f>
        <v>0</v>
      </c>
      <c r="E31" s="96">
        <f>'[3]Sky West_UA'!$HV$53</f>
        <v>0</v>
      </c>
      <c r="F31" s="96">
        <f>'[3]Sky West_AS'!$HV$53</f>
        <v>0</v>
      </c>
      <c r="G31" s="96">
        <f>'[3]Sky West_AA'!$HV$53</f>
        <v>0</v>
      </c>
      <c r="H31" s="96">
        <f>[3]Republic!$HV$53</f>
        <v>0</v>
      </c>
      <c r="I31" s="96">
        <f>[3]Republic_UA!$HV$53</f>
        <v>0</v>
      </c>
      <c r="J31" s="96">
        <f>'[3]Sky Regional'!$HV$53</f>
        <v>0</v>
      </c>
      <c r="K31" s="96">
        <f>'[3]American Eagle'!$HV$53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251</v>
      </c>
      <c r="I32" s="106">
        <f t="shared" si="16"/>
        <v>0</v>
      </c>
      <c r="J32" s="106">
        <f t="shared" si="16"/>
        <v>0</v>
      </c>
      <c r="K32" s="106">
        <f t="shared" si="16"/>
        <v>2150</v>
      </c>
      <c r="L32" s="106">
        <f>SUM(L30:L31)</f>
        <v>836.1</v>
      </c>
      <c r="M32" s="107">
        <f t="shared" si="15"/>
        <v>3237.1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[3]Pinnacle!$HV$57</f>
        <v>0</v>
      </c>
      <c r="C35" s="88">
        <f>[3]MESA_UA!$HV$57</f>
        <v>0</v>
      </c>
      <c r="D35" s="96">
        <f>'[3]Sky West'!$HV$57</f>
        <v>0</v>
      </c>
      <c r="E35" s="96">
        <f>'[3]Sky West_UA'!$HV$57</f>
        <v>0</v>
      </c>
      <c r="F35" s="96">
        <f>'[3]Sky West_AS'!$HV$57</f>
        <v>0</v>
      </c>
      <c r="G35" s="96">
        <f>'[3]Sky West_AA'!$HV$57</f>
        <v>0</v>
      </c>
      <c r="H35" s="96">
        <f>[3]Republic!$HV$57</f>
        <v>0</v>
      </c>
      <c r="I35" s="96">
        <f>[3]Republic!$HV$57</f>
        <v>0</v>
      </c>
      <c r="J35" s="96">
        <f>[3]Republic!$HV$57</f>
        <v>0</v>
      </c>
      <c r="K35" s="96">
        <f>'[3]American Eagle'!$HV$57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[3]Pinnacle!$HV$58</f>
        <v>0</v>
      </c>
      <c r="C36" s="88">
        <f>[3]MESA_UA!$HV$58</f>
        <v>0</v>
      </c>
      <c r="D36" s="96">
        <f>'[3]Sky West'!$HV$58</f>
        <v>0</v>
      </c>
      <c r="E36" s="96">
        <f>'[3]Sky West_UA'!$HV$58</f>
        <v>0</v>
      </c>
      <c r="F36" s="96">
        <f>'[3]Sky West_AS'!$HV$58</f>
        <v>0</v>
      </c>
      <c r="G36" s="96">
        <f>'[3]Sky West_AA'!$HV$58</f>
        <v>0</v>
      </c>
      <c r="H36" s="96">
        <f>[3]Republic!$HV$58</f>
        <v>0</v>
      </c>
      <c r="I36" s="96">
        <f>[3]Republic!$HV$58</f>
        <v>0</v>
      </c>
      <c r="J36" s="96">
        <f>[3]Republic!$HV$58</f>
        <v>0</v>
      </c>
      <c r="K36" s="96">
        <f>'[3]American Eagle'!$HV$58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367</v>
      </c>
      <c r="H40" s="96">
        <f t="shared" si="20"/>
        <v>1098</v>
      </c>
      <c r="I40" s="96">
        <f t="shared" si="20"/>
        <v>0</v>
      </c>
      <c r="J40" s="96">
        <f t="shared" si="20"/>
        <v>0</v>
      </c>
      <c r="K40" s="96">
        <f>SUM(K35,K30,K25)</f>
        <v>5310</v>
      </c>
      <c r="L40" s="96">
        <f>L35+L30+L25</f>
        <v>1687.8000000000002</v>
      </c>
      <c r="M40" s="89">
        <f>SUM(B40:L40)</f>
        <v>8462.7999999999993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367</v>
      </c>
      <c r="H42" s="109">
        <f t="shared" si="20"/>
        <v>1098</v>
      </c>
      <c r="I42" s="109">
        <f t="shared" si="20"/>
        <v>0</v>
      </c>
      <c r="J42" s="109">
        <f t="shared" si="20"/>
        <v>0</v>
      </c>
      <c r="K42" s="109">
        <f>SUM(K37,K32,K27)</f>
        <v>5310</v>
      </c>
      <c r="L42" s="109">
        <f>SUM(L37,L32,L27)</f>
        <v>1687.8000000000002</v>
      </c>
      <c r="M42" s="110">
        <f>SUM(B42:L42)</f>
        <v>8462.7999999999993</v>
      </c>
    </row>
    <row r="44" spans="1:13" x14ac:dyDescent="0.2">
      <c r="A44" s="301" t="s">
        <v>121</v>
      </c>
      <c r="B44" s="255">
        <f>[3]Pinnacle!$HV$70+[3]Pinnacle!$HV$73</f>
        <v>14189</v>
      </c>
      <c r="D44" s="256">
        <f>'[3]Sky West'!$HV$70+'[3]Sky West'!$HV$73</f>
        <v>77401</v>
      </c>
      <c r="E44" s="2"/>
      <c r="F44" s="2"/>
      <c r="G44" s="2"/>
      <c r="L44" s="256">
        <f>+'Other Regional'!L46</f>
        <v>0</v>
      </c>
      <c r="M44" s="245">
        <f>SUM(B44:L44)</f>
        <v>91590</v>
      </c>
    </row>
    <row r="45" spans="1:13" x14ac:dyDescent="0.2">
      <c r="A45" s="314" t="s">
        <v>122</v>
      </c>
      <c r="B45" s="255">
        <f>[3]Pinnacle!$HV$71+[3]Pinnacle!$HV$74</f>
        <v>26317</v>
      </c>
      <c r="D45" s="256">
        <f>'[3]Sky West'!$HV$71+'[3]Sky West'!$HV$74</f>
        <v>120400</v>
      </c>
      <c r="E45" s="2"/>
      <c r="F45" s="2"/>
      <c r="G45" s="2"/>
      <c r="L45" s="256">
        <f>+'Other Regional'!L47</f>
        <v>0</v>
      </c>
      <c r="M45" s="245">
        <f>SUM(B45:L45)</f>
        <v>146717</v>
      </c>
    </row>
    <row r="46" spans="1:13" x14ac:dyDescent="0.2">
      <c r="A46" s="246" t="s">
        <v>123</v>
      </c>
      <c r="B46" s="247">
        <f>SUM(B44:B45)</f>
        <v>40506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May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topLeftCell="A2" zoomScaleNormal="100" zoomScaleSheetLayoutView="100" workbookViewId="0">
      <selection activeCell="B4" sqref="B4:L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44682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America'!$HV$22</f>
        <v>0</v>
      </c>
      <c r="C5" s="88">
        <f>'[3]Shuttle America_Delta'!$HV$22</f>
        <v>0</v>
      </c>
      <c r="D5" s="363">
        <f>[3]Horizon_AS!$HV$22+[3]Horizon_AS!$HV$32</f>
        <v>0</v>
      </c>
      <c r="E5" s="363">
        <f>'[3]Air Wisconsin'!$HV$22</f>
        <v>0</v>
      </c>
      <c r="F5" s="363">
        <f>[3]Jazz_AC!$HV$22+[3]Jazz_AC!$HV$32</f>
        <v>3526</v>
      </c>
      <c r="G5" s="363">
        <f>[3]PSA!$HV$22</f>
        <v>4244</v>
      </c>
      <c r="H5" s="88">
        <f>'[3]Atlantic Southeast'!$HV$22+'[3]Atlantic Southeast'!$HV$32</f>
        <v>0</v>
      </c>
      <c r="I5" s="88">
        <f>'[3]Continental Express'!$HV$22</f>
        <v>0</v>
      </c>
      <c r="J5" s="96">
        <f>'[3]Go Jet_UA'!$HV$22</f>
        <v>0</v>
      </c>
      <c r="K5" s="13">
        <f>'[3]Go Jet'!$HV$22+'[3]Go Jet'!$HV$32</f>
        <v>0</v>
      </c>
      <c r="L5" s="89">
        <f>SUM(B5:K5)</f>
        <v>7770</v>
      </c>
    </row>
    <row r="6" spans="1:12" s="6" customFormat="1" x14ac:dyDescent="0.2">
      <c r="A6" s="46" t="s">
        <v>31</v>
      </c>
      <c r="B6" s="88">
        <f>'[3]Shuttle America'!$HV$23</f>
        <v>0</v>
      </c>
      <c r="C6" s="88">
        <f>'[3]Shuttle America_Delta'!$HV$23</f>
        <v>0</v>
      </c>
      <c r="D6" s="363">
        <f>[3]Horizon_AS!$HV$23+[3]Horizon_AS!$HV$33</f>
        <v>0</v>
      </c>
      <c r="E6" s="363">
        <f>'[3]Air Wisconsin'!$HV$23</f>
        <v>0</v>
      </c>
      <c r="F6" s="363">
        <f>[3]Jazz_AC!$HV$23+[3]Jazz_AC!$HV$33</f>
        <v>3644</v>
      </c>
      <c r="G6" s="363">
        <f>[3]PSA!$HV$23</f>
        <v>4416</v>
      </c>
      <c r="H6" s="88">
        <f>'[3]Atlantic Southeast'!$HV$23+'[3]Atlantic Southeast'!$HV$33</f>
        <v>0</v>
      </c>
      <c r="I6" s="88">
        <f>'[3]Continental Express'!$HV$23</f>
        <v>0</v>
      </c>
      <c r="J6" s="96">
        <f>'[3]Go Jet_UA'!$HV$23</f>
        <v>0</v>
      </c>
      <c r="K6" s="7">
        <f>'[3]Go Jet'!$HV$23+'[3]Go Jet'!$HV$33</f>
        <v>0</v>
      </c>
      <c r="L6" s="93">
        <f>SUM(B6:K6)</f>
        <v>8060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7170</v>
      </c>
      <c r="G7" s="106">
        <f t="shared" si="0"/>
        <v>8660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15830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America'!$HV$27</f>
        <v>0</v>
      </c>
      <c r="C10" s="88">
        <f>'[3]Shuttle America_Delta'!$HV$27</f>
        <v>0</v>
      </c>
      <c r="D10" s="363">
        <f>[3]Horizon_AS!$HV$27+[3]Horizon_AS!$HV$37</f>
        <v>0</v>
      </c>
      <c r="E10" s="363">
        <f>'[3]Air Wisconsin'!$HV$27</f>
        <v>0</v>
      </c>
      <c r="F10" s="363">
        <f>[3]Jazz_AC!$HV$27+[3]Jazz_AC!$HV$37</f>
        <v>52</v>
      </c>
      <c r="G10" s="363">
        <f>[3]PSA!$HV$27</f>
        <v>78</v>
      </c>
      <c r="H10" s="13">
        <f>'[3]Atlantic Southeast'!$HV$27+'[3]Atlantic Southeast'!$HV$37</f>
        <v>0</v>
      </c>
      <c r="I10" s="88">
        <f>'[3]Continental Express'!$HV$27</f>
        <v>0</v>
      </c>
      <c r="J10" s="96">
        <f>'[3]Go Jet_UA'!$HV$27</f>
        <v>0</v>
      </c>
      <c r="K10" s="13">
        <f>'[3]Go Jet'!$HV$27+'[3]Go Jet'!$HV$37</f>
        <v>0</v>
      </c>
      <c r="L10" s="89">
        <f>SUM(B10:K10)</f>
        <v>130</v>
      </c>
    </row>
    <row r="11" spans="1:12" x14ac:dyDescent="0.2">
      <c r="A11" s="46" t="s">
        <v>33</v>
      </c>
      <c r="B11" s="88">
        <f>'[3]Shuttle America'!$HV$28</f>
        <v>0</v>
      </c>
      <c r="C11" s="88">
        <f>'[3]Shuttle America_Delta'!$HV$28</f>
        <v>0</v>
      </c>
      <c r="D11" s="363">
        <f>[3]Horizon_AS!$HV$28+[3]Horizon_AS!$HV$38</f>
        <v>0</v>
      </c>
      <c r="E11" s="363">
        <f>'[3]Air Wisconsin'!$HV$28</f>
        <v>0</v>
      </c>
      <c r="F11" s="363">
        <f>[3]Jazz_AC!$HV$28+[3]Jazz_AC!$HV$38</f>
        <v>50</v>
      </c>
      <c r="G11" s="363">
        <f>[3]PSA!$HV$28</f>
        <v>106</v>
      </c>
      <c r="H11" s="7">
        <f>'[3]Atlantic Southeast'!$HV$28+'[3]Atlantic Southeast'!$HV$38</f>
        <v>0</v>
      </c>
      <c r="I11" s="88">
        <f>'[3]Continental Express'!$HV$28</f>
        <v>0</v>
      </c>
      <c r="J11" s="96">
        <f>'[3]Go Jet_UA'!$HV$28</f>
        <v>0</v>
      </c>
      <c r="K11" s="7">
        <f>'[3]Go Jet'!$HV$28+'[3]Go Jet'!$HV$38</f>
        <v>0</v>
      </c>
      <c r="L11" s="93">
        <f>SUM(B11:K11)</f>
        <v>156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102</v>
      </c>
      <c r="G12" s="109">
        <f t="shared" si="2"/>
        <v>184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286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America'!$HV$4</f>
        <v>0</v>
      </c>
      <c r="C15" s="86">
        <f>'[3]Shuttle America_Delta'!$HV$4</f>
        <v>0</v>
      </c>
      <c r="D15" s="364">
        <f>[3]Horizon_AS!$HV$4</f>
        <v>0</v>
      </c>
      <c r="E15" s="364">
        <f>'[3]Air Wisconsin'!$HV$4</f>
        <v>0</v>
      </c>
      <c r="F15" s="364">
        <f>[3]Jazz_AC!$HV$4+[3]Jazz_AC!$HV$15</f>
        <v>59</v>
      </c>
      <c r="G15" s="364">
        <f>[3]PSA!$HV$4</f>
        <v>63</v>
      </c>
      <c r="H15" s="87">
        <f>'[3]Atlantic Southeast'!$HV$4+'[3]Atlantic Southeast'!$HV$15</f>
        <v>0</v>
      </c>
      <c r="I15" s="87">
        <f>'[3]Continental Express'!$HV$4</f>
        <v>0</v>
      </c>
      <c r="J15" s="86">
        <f>'[3]Go Jet_UA'!$HV$4</f>
        <v>0</v>
      </c>
      <c r="K15" s="13">
        <f>'[3]Go Jet'!$HV$4+'[3]Go Jet'!$HV$15</f>
        <v>0</v>
      </c>
      <c r="L15" s="89">
        <f t="shared" ref="L15:L21" si="6">SUM(B15:K15)</f>
        <v>122</v>
      </c>
    </row>
    <row r="16" spans="1:12" x14ac:dyDescent="0.2">
      <c r="A16" s="46" t="s">
        <v>54</v>
      </c>
      <c r="B16" s="90">
        <f>'[3]Shuttle America'!$HV$5</f>
        <v>0</v>
      </c>
      <c r="C16" s="90">
        <f>'[3]Shuttle America_Delta'!$HV$5</f>
        <v>0</v>
      </c>
      <c r="D16" s="365">
        <f>[3]Horizon_AS!$HV$5</f>
        <v>0</v>
      </c>
      <c r="E16" s="365">
        <f>'[3]Air Wisconsin'!$HV$5</f>
        <v>0</v>
      </c>
      <c r="F16" s="365">
        <f>[3]Jazz_AC!$HV$5+[3]Jazz_AC!$HV$16</f>
        <v>60</v>
      </c>
      <c r="G16" s="365">
        <f>[3]PSA!$HV$5</f>
        <v>63</v>
      </c>
      <c r="H16" s="91">
        <f>'[3]Atlantic Southeast'!$HV$5+'[3]Atlantic Southeast'!$HV$16</f>
        <v>0</v>
      </c>
      <c r="I16" s="91">
        <f>'[3]Continental Express'!$HV$5</f>
        <v>0</v>
      </c>
      <c r="J16" s="90">
        <f>'[3]Go Jet_UA'!$HV$5</f>
        <v>0</v>
      </c>
      <c r="K16" s="7">
        <f>'[3]Go Jet'!$HV$5+'[3]Go Jet'!$HV$16</f>
        <v>0</v>
      </c>
      <c r="L16" s="93">
        <f t="shared" si="6"/>
        <v>123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7">SUM(D15:D16)</f>
        <v>0</v>
      </c>
      <c r="E17" s="94">
        <f t="shared" ref="E17:F17" si="8">SUM(E15:E16)</f>
        <v>0</v>
      </c>
      <c r="F17" s="94">
        <f t="shared" si="8"/>
        <v>119</v>
      </c>
      <c r="G17" s="94">
        <f t="shared" si="7"/>
        <v>126</v>
      </c>
      <c r="H17" s="94">
        <f t="shared" ref="H17:J17" si="9">SUM(H15:H16)</f>
        <v>0</v>
      </c>
      <c r="I17" s="94">
        <f t="shared" si="9"/>
        <v>0</v>
      </c>
      <c r="J17" s="94">
        <f t="shared" si="9"/>
        <v>0</v>
      </c>
      <c r="K17" s="224">
        <f>SUM(K15:K16)</f>
        <v>0</v>
      </c>
      <c r="L17" s="95">
        <f t="shared" si="6"/>
        <v>245</v>
      </c>
    </row>
    <row r="18" spans="1:15" x14ac:dyDescent="0.2">
      <c r="A18" s="46" t="s">
        <v>56</v>
      </c>
      <c r="B18" s="96">
        <f>'[3]Shuttle America'!$HV$8</f>
        <v>0</v>
      </c>
      <c r="C18" s="96">
        <f>'[3]Shuttle America_Delta'!$HV$8</f>
        <v>0</v>
      </c>
      <c r="D18" s="96">
        <f>[3]Horizon_AS!$HV$8</f>
        <v>0</v>
      </c>
      <c r="E18" s="96">
        <f>'[3]Air Wisconsin'!$HV$8</f>
        <v>0</v>
      </c>
      <c r="F18" s="96">
        <f>[3]Jazz_AC!$HV$8</f>
        <v>0</v>
      </c>
      <c r="G18" s="96">
        <f>[3]PSA!$HV$8</f>
        <v>0</v>
      </c>
      <c r="H18" s="88">
        <f>'[3]Atlantic Southeast'!$HV$8</f>
        <v>0</v>
      </c>
      <c r="I18" s="88">
        <f>'[3]Continental Express'!$HV$8</f>
        <v>0</v>
      </c>
      <c r="J18" s="96">
        <f>'[3]Go Jet_UA'!$HV$8</f>
        <v>0</v>
      </c>
      <c r="K18" s="13">
        <f>'[3]Go Jet'!$HV$8</f>
        <v>0</v>
      </c>
      <c r="L18" s="89">
        <f t="shared" si="6"/>
        <v>0</v>
      </c>
      <c r="O18" s="304"/>
    </row>
    <row r="19" spans="1:15" x14ac:dyDescent="0.2">
      <c r="A19" s="46" t="s">
        <v>57</v>
      </c>
      <c r="B19" s="97">
        <f>'[3]Shuttle America'!$HV$9</f>
        <v>0</v>
      </c>
      <c r="C19" s="97">
        <f>'[3]Shuttle America_Delta'!$HV$9</f>
        <v>0</v>
      </c>
      <c r="D19" s="97">
        <f>[3]Horizon_AS!$HV$9</f>
        <v>0</v>
      </c>
      <c r="E19" s="97">
        <f>'[3]Air Wisconsin'!$HV$9</f>
        <v>0</v>
      </c>
      <c r="F19" s="97">
        <f>[3]Jazz_AC!$HV$9</f>
        <v>0</v>
      </c>
      <c r="G19" s="97">
        <f>[3]PSA!$HV$9</f>
        <v>0</v>
      </c>
      <c r="H19" s="92">
        <f>'[3]Atlantic Southeast'!$HV$9</f>
        <v>0</v>
      </c>
      <c r="I19" s="92">
        <f>'[3]Continental Express'!$HV$9</f>
        <v>0</v>
      </c>
      <c r="J19" s="97">
        <f>'[3]Go Jet_UA'!$HV$9</f>
        <v>0</v>
      </c>
      <c r="K19" s="7">
        <f>'[3]Go Jet'!$HV$9</f>
        <v>0</v>
      </c>
      <c r="L19" s="93">
        <f t="shared" si="6"/>
        <v>0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0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6"/>
        <v>0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0</v>
      </c>
      <c r="F21" s="98">
        <f t="shared" si="14"/>
        <v>119</v>
      </c>
      <c r="G21" s="98">
        <f t="shared" si="13"/>
        <v>126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6"/>
        <v>245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America'!$HV$47</f>
        <v>0</v>
      </c>
      <c r="C25" s="96">
        <f>'[3]Shuttle America_Delta'!$HV$47</f>
        <v>0</v>
      </c>
      <c r="D25" s="96">
        <f>[3]Horizon_AS!$HV$47</f>
        <v>0</v>
      </c>
      <c r="E25" s="96">
        <f>'[3]Air Wisconsin'!$HV$47</f>
        <v>0</v>
      </c>
      <c r="F25" s="96">
        <f>[3]Jazz_AC!$HV$47</f>
        <v>811.7</v>
      </c>
      <c r="G25" s="96">
        <f>[3]PSA!$HV$47</f>
        <v>40</v>
      </c>
      <c r="H25" s="88">
        <f>'[3]Atlantic Southeast'!$HV$47</f>
        <v>0</v>
      </c>
      <c r="I25" s="88">
        <f>'[3]Continental Express'!$HV$47</f>
        <v>0</v>
      </c>
      <c r="J25" s="96">
        <f>'[3]Go Jet_UA'!$HV$47</f>
        <v>0</v>
      </c>
      <c r="K25" s="96">
        <f>'[3]Go Jet'!$HV$47</f>
        <v>0</v>
      </c>
      <c r="L25" s="89">
        <f>SUM(B25:K25)</f>
        <v>851.7</v>
      </c>
    </row>
    <row r="26" spans="1:15" x14ac:dyDescent="0.2">
      <c r="A26" s="46" t="s">
        <v>38</v>
      </c>
      <c r="B26" s="96">
        <f>'[3]Shuttle America'!$HV$48</f>
        <v>0</v>
      </c>
      <c r="C26" s="96">
        <f>'[3]Shuttle America_Delta'!$HV$48</f>
        <v>0</v>
      </c>
      <c r="D26" s="96">
        <f>[3]Horizon_AS!$HV$48</f>
        <v>0</v>
      </c>
      <c r="E26" s="96">
        <f>'[3]Air Wisconsin'!$HV$48</f>
        <v>0</v>
      </c>
      <c r="F26" s="96">
        <f>[3]Jazz_AC!$HV$48</f>
        <v>0</v>
      </c>
      <c r="G26" s="96">
        <f>[3]PSA!$HV$48</f>
        <v>0</v>
      </c>
      <c r="H26" s="88">
        <f>'[3]Atlantic Southeast'!$HV$48</f>
        <v>0</v>
      </c>
      <c r="I26" s="88">
        <f>'[3]Continental Express'!$HV$48</f>
        <v>0</v>
      </c>
      <c r="J26" s="96">
        <f>'[3]Go Jet_UA'!$HV$48</f>
        <v>0</v>
      </c>
      <c r="K26" s="96">
        <f>'[3]Go Jet'!$HV$48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811.7</v>
      </c>
      <c r="G27" s="106">
        <f t="shared" si="17"/>
        <v>40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851.7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America'!$HV$52</f>
        <v>0</v>
      </c>
      <c r="C30" s="96">
        <f>'[3]Shuttle America_Delta'!$HV$52</f>
        <v>0</v>
      </c>
      <c r="D30" s="96">
        <f>[3]Horizon_AS!$HV$52</f>
        <v>0</v>
      </c>
      <c r="E30" s="96">
        <f>'[3]Air Wisconsin'!$HV$52</f>
        <v>0</v>
      </c>
      <c r="F30" s="96">
        <f>[3]Jazz_AC!$HV$52</f>
        <v>836.1</v>
      </c>
      <c r="G30" s="96">
        <f>[3]PSA!$HV$52</f>
        <v>0</v>
      </c>
      <c r="H30" s="88">
        <f>'[3]Atlantic Southeast'!$HV$52</f>
        <v>0</v>
      </c>
      <c r="I30" s="88">
        <f>'[3]Continental Express'!$HV$52</f>
        <v>0</v>
      </c>
      <c r="J30" s="96">
        <f>'[3]Go Jet_UA'!$HV$52</f>
        <v>0</v>
      </c>
      <c r="K30" s="96">
        <f>'[3]Go Jet'!$HV$52</f>
        <v>0</v>
      </c>
      <c r="L30" s="89">
        <f>SUM(B30:K30)</f>
        <v>836.1</v>
      </c>
    </row>
    <row r="31" spans="1:15" x14ac:dyDescent="0.2">
      <c r="A31" s="46" t="s">
        <v>60</v>
      </c>
      <c r="B31" s="96">
        <f>'[3]Shuttle America'!$HV$53</f>
        <v>0</v>
      </c>
      <c r="C31" s="96">
        <f>'[3]Shuttle America_Delta'!$HV$53</f>
        <v>0</v>
      </c>
      <c r="D31" s="96">
        <f>[3]Horizon_AS!$HV$53</f>
        <v>0</v>
      </c>
      <c r="E31" s="96">
        <f>'[3]Air Wisconsin'!$HV$53</f>
        <v>0</v>
      </c>
      <c r="F31" s="96">
        <f>[3]Jazz_AC!$HV$53</f>
        <v>0</v>
      </c>
      <c r="G31" s="96">
        <f>[3]PSA!$HV$53</f>
        <v>0</v>
      </c>
      <c r="H31" s="88">
        <f>'[3]Atlantic Southeast'!$HV$53</f>
        <v>0</v>
      </c>
      <c r="I31" s="88">
        <f>'[3]Continental Express'!$HV$53</f>
        <v>0</v>
      </c>
      <c r="J31" s="96">
        <f>'[3]Go Jet_UA'!$HV$53</f>
        <v>0</v>
      </c>
      <c r="K31" s="96">
        <f>'[3]Go Jet'!$HV$53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836.1</v>
      </c>
      <c r="G32" s="106">
        <f t="shared" si="20"/>
        <v>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836.1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America'!$HV$57</f>
        <v>0</v>
      </c>
      <c r="C35" s="96">
        <f>'[3]Shuttle America_Delta'!$HV$57</f>
        <v>0</v>
      </c>
      <c r="D35" s="96">
        <f>[3]Horizon_AS!$HV$57</f>
        <v>0</v>
      </c>
      <c r="E35" s="96">
        <f>'[3]Air Wisconsin'!$HV$57</f>
        <v>0</v>
      </c>
      <c r="F35" s="96">
        <f>[3]Jazz_AC!$HV$57</f>
        <v>0</v>
      </c>
      <c r="G35" s="96">
        <f>[3]PSA!$HV$57</f>
        <v>0</v>
      </c>
      <c r="H35" s="88">
        <f>'[3]Atlantic Southeast'!$HV$57</f>
        <v>0</v>
      </c>
      <c r="I35" s="88">
        <f>'[3]Continental Express'!$HV$57</f>
        <v>0</v>
      </c>
      <c r="J35" s="96">
        <f>'[3]Go Jet_UA'!$AJ$57</f>
        <v>0</v>
      </c>
      <c r="K35" s="96">
        <f>'[3]Go Jet'!$HV$57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1647.8000000000002</v>
      </c>
      <c r="G40" s="96">
        <f t="shared" si="27"/>
        <v>40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1687.8000000000002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1647.8000000000002</v>
      </c>
      <c r="G42" s="109">
        <f t="shared" si="33"/>
        <v>40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1687.8000000000002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America_Delta'!$HV$70+'[3]Shuttle America_Delta'!$HV$73</f>
        <v>0</v>
      </c>
      <c r="D46" s="2"/>
      <c r="E46" s="2"/>
      <c r="H46" s="256">
        <f>'[3]Atlantic Southeast'!$HV$70+'[3]Atlantic Southeast'!$HV$73</f>
        <v>0</v>
      </c>
      <c r="K46" s="256">
        <f>'[3]Go Jet'!$HV$70+'[3]Go Jet'!$HV$73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America_Delta'!$HV$71+'[3]Shuttle America_Delta'!$HV$74</f>
        <v>0</v>
      </c>
      <c r="D47" s="2"/>
      <c r="E47" s="2"/>
      <c r="H47" s="256">
        <f>'[3]Atlantic Southeast'!$HV$71+'[3]Atlantic Southeast'!$HV$74</f>
        <v>0</v>
      </c>
      <c r="K47" s="256">
        <f>'[3]Go Jet'!$HV$71+'[3]Go Jet'!$HV$74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May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2" sqref="E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44682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Misc'!$HV$22</f>
        <v>73</v>
      </c>
      <c r="C5" s="152">
        <f>[3]Ryan!$HV$22</f>
        <v>0</v>
      </c>
      <c r="D5" s="152">
        <f>'[3]Charter Misc'!$HV$32</f>
        <v>0</v>
      </c>
      <c r="E5" s="152">
        <f>[3]Omni!$HV$32+[3]Omni!$HV$22</f>
        <v>0</v>
      </c>
      <c r="F5" s="152">
        <f>[3]Xtra!$HV$32+[3]Xtra!$HV$22</f>
        <v>0</v>
      </c>
      <c r="G5" s="273">
        <f>SUM(B5:F5)</f>
        <v>73</v>
      </c>
    </row>
    <row r="6" spans="1:17" x14ac:dyDescent="0.2">
      <c r="A6" s="46" t="s">
        <v>31</v>
      </c>
      <c r="B6" s="339">
        <f>'[3]Charter Misc'!$HV$23</f>
        <v>70</v>
      </c>
      <c r="C6" s="155">
        <f>[3]Ryan!$HV$23</f>
        <v>0</v>
      </c>
      <c r="D6" s="155">
        <f>'[3]Charter Misc'!$HV$33</f>
        <v>0</v>
      </c>
      <c r="E6" s="155">
        <f>[3]Omni!$HV$33+[3]Omni!$HV$23</f>
        <v>188</v>
      </c>
      <c r="F6" s="155">
        <f>[3]Xtra!$HV$33+[3]Xtra!$HV$23</f>
        <v>0</v>
      </c>
      <c r="G6" s="272">
        <f>SUM(B6:F6)</f>
        <v>258</v>
      </c>
    </row>
    <row r="7" spans="1:17" ht="15.75" thickBot="1" x14ac:dyDescent="0.3">
      <c r="A7" s="151" t="s">
        <v>7</v>
      </c>
      <c r="B7" s="340">
        <f>SUM(B5:B6)</f>
        <v>143</v>
      </c>
      <c r="C7" s="233">
        <f>SUM(C5:C6)</f>
        <v>0</v>
      </c>
      <c r="D7" s="233">
        <f>SUM(D5:D6)</f>
        <v>0</v>
      </c>
      <c r="E7" s="233">
        <f>SUM(E5:E6)</f>
        <v>188</v>
      </c>
      <c r="F7" s="233">
        <f>SUM(F5:F6)</f>
        <v>0</v>
      </c>
      <c r="G7" s="234">
        <f>SUM(B7:F7)</f>
        <v>331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Misc'!$HV$4</f>
        <v>1</v>
      </c>
      <c r="C10" s="152">
        <f>[3]Ryan!$HV$4</f>
        <v>0</v>
      </c>
      <c r="D10" s="152">
        <f>'[3]Charter Misc'!$HV$15</f>
        <v>0</v>
      </c>
      <c r="E10" s="152">
        <f>[3]Omni!$HV$15+[3]Omni!$HV$4</f>
        <v>1</v>
      </c>
      <c r="F10" s="152">
        <f>[3]Xtra!$HV$15+[3]Xtra!$HV$4</f>
        <v>0</v>
      </c>
      <c r="G10" s="272">
        <f>SUM(B10:F10)</f>
        <v>2</v>
      </c>
    </row>
    <row r="11" spans="1:17" x14ac:dyDescent="0.2">
      <c r="A11" s="150" t="s">
        <v>80</v>
      </c>
      <c r="B11" s="338">
        <f>'[3]Charter Misc'!$HV$5</f>
        <v>1</v>
      </c>
      <c r="C11" s="152">
        <f>[3]Ryan!$HV$5</f>
        <v>0</v>
      </c>
      <c r="D11" s="152">
        <f>'[3]Charter Misc'!$HV$16</f>
        <v>0</v>
      </c>
      <c r="E11" s="152">
        <f>[3]Omni!$HV$16+[3]Omni!$HV$5</f>
        <v>1</v>
      </c>
      <c r="F11" s="152">
        <f>[3]Xtra!$HV$16+[3]Xtra!$HV$5</f>
        <v>0</v>
      </c>
      <c r="G11" s="272">
        <f>SUM(B11:F11)</f>
        <v>2</v>
      </c>
    </row>
    <row r="12" spans="1:17" ht="15.75" thickBot="1" x14ac:dyDescent="0.3">
      <c r="A12" s="215" t="s">
        <v>28</v>
      </c>
      <c r="B12" s="342">
        <f>SUM(B10:B11)</f>
        <v>2</v>
      </c>
      <c r="C12" s="235">
        <f>SUM(C10:C11)</f>
        <v>0</v>
      </c>
      <c r="D12" s="235">
        <f>SUM(D10:D11)</f>
        <v>0</v>
      </c>
      <c r="E12" s="235">
        <f>SUM(E10:E11)</f>
        <v>2</v>
      </c>
      <c r="F12" s="235">
        <f>SUM(F10:F11)</f>
        <v>0</v>
      </c>
      <c r="G12" s="236">
        <f>SUM(B12:F12)</f>
        <v>4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3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4">L22-B22</f>
        <v>947971</v>
      </c>
      <c r="H22" s="437">
        <f t="shared" ref="H22" si="5">M22-C22</f>
        <v>977482</v>
      </c>
      <c r="I22" s="437">
        <f t="shared" ref="I22" si="6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>SUM(L22:M22)</f>
        <v>2095351</v>
      </c>
      <c r="O22" s="270">
        <f>[7]Charter!N22</f>
        <v>1122966</v>
      </c>
      <c r="P22" s="189">
        <f t="shared" ref="P22:P32" si="7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8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9">L23-B23</f>
        <v>1278578</v>
      </c>
      <c r="H23" s="437">
        <f t="shared" ref="H23" si="10">M23-C23</f>
        <v>1301724</v>
      </c>
      <c r="I23" s="437">
        <f t="shared" ref="I23" si="11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>SUM(L23:M23)</f>
        <v>2828968</v>
      </c>
      <c r="O23" s="270">
        <f>[9]Charter!N23</f>
        <v>1720895</v>
      </c>
      <c r="P23" s="189">
        <f t="shared" si="7"/>
        <v>0.64389343916973441</v>
      </c>
    </row>
    <row r="24" spans="1:16" ht="14.1" customHeight="1" x14ac:dyDescent="0.2">
      <c r="A24" s="188" t="s">
        <v>105</v>
      </c>
      <c r="B24" s="438">
        <f>+[2]Charter!B24</f>
        <v>82562</v>
      </c>
      <c r="C24" s="437">
        <f>+[2]Charter!C24</f>
        <v>71256</v>
      </c>
      <c r="D24" s="437">
        <f t="shared" ref="D24" si="12">SUM(B24:C24)</f>
        <v>153818</v>
      </c>
      <c r="E24" s="270">
        <f>[10]Charter!D24</f>
        <v>49936</v>
      </c>
      <c r="F24" s="189">
        <f t="shared" si="0"/>
        <v>2.0803027875680873</v>
      </c>
      <c r="G24" s="438">
        <f t="shared" ref="G24" si="13">L24-B24</f>
        <v>1258721</v>
      </c>
      <c r="H24" s="437">
        <f t="shared" ref="H24" si="14">M24-C24</f>
        <v>1186481</v>
      </c>
      <c r="I24" s="437">
        <f t="shared" ref="I24" si="15">SUM(G24:H24)</f>
        <v>2445202</v>
      </c>
      <c r="J24" s="270">
        <f>[10]Charter!I24</f>
        <v>1634797</v>
      </c>
      <c r="K24" s="190">
        <f t="shared" si="2"/>
        <v>0.49572209882939594</v>
      </c>
      <c r="L24" s="438">
        <f>+[2]Charter!L24</f>
        <v>1341283</v>
      </c>
      <c r="M24" s="437">
        <f>+[2]Charter!M24</f>
        <v>1257737</v>
      </c>
      <c r="N24" s="437">
        <f>SUM(L24:M24)</f>
        <v>2599020</v>
      </c>
      <c r="O24" s="270">
        <f>[10]Charter!N24</f>
        <v>1684733</v>
      </c>
      <c r="P24" s="189">
        <f t="shared" si="7"/>
        <v>0.54268955377498984</v>
      </c>
    </row>
    <row r="25" spans="1:16" ht="14.1" customHeight="1" x14ac:dyDescent="0.2">
      <c r="A25" s="175" t="s">
        <v>75</v>
      </c>
      <c r="B25" s="438">
        <f>+'Intl Detail'!$Q$4+'Intl Detail'!$Q$9</f>
        <v>57347</v>
      </c>
      <c r="C25" s="437">
        <f>+'Intl Detail'!$Q$5+'Intl Detail'!$Q$10</f>
        <v>73929</v>
      </c>
      <c r="D25" s="437">
        <f t="shared" ref="D25" si="16">SUM(B25:C25)</f>
        <v>131276</v>
      </c>
      <c r="E25" s="270">
        <f>[1]Charter!D25</f>
        <v>31864</v>
      </c>
      <c r="F25" s="178">
        <f t="shared" si="0"/>
        <v>3.1198845091639469</v>
      </c>
      <c r="G25" s="438">
        <f t="shared" ref="G25" si="17">L25-B25</f>
        <v>1304355</v>
      </c>
      <c r="H25" s="437">
        <f t="shared" ref="H25" si="18">M25-C25</f>
        <v>1261482</v>
      </c>
      <c r="I25" s="437">
        <f t="shared" ref="I25" si="19">SUM(G25:H25)</f>
        <v>2565837</v>
      </c>
      <c r="J25" s="270">
        <f>[1]Charter!I25</f>
        <v>2056407</v>
      </c>
      <c r="K25" s="184">
        <f t="shared" si="2"/>
        <v>0.24772819777407876</v>
      </c>
      <c r="L25" s="438">
        <f>+'Monthly Summary'!$B$11</f>
        <v>1361702</v>
      </c>
      <c r="M25" s="437">
        <f>+'Monthly Summary'!$C$11</f>
        <v>1335411</v>
      </c>
      <c r="N25" s="437">
        <f>SUM(L25:M25)</f>
        <v>2697113</v>
      </c>
      <c r="O25" s="270">
        <f>[1]Charter!N25</f>
        <v>2088271</v>
      </c>
      <c r="P25" s="178">
        <f t="shared" si="7"/>
        <v>0.29155315569674628</v>
      </c>
    </row>
    <row r="26" spans="1:16" ht="14.1" customHeight="1" x14ac:dyDescent="0.2">
      <c r="A26" s="188" t="s">
        <v>106</v>
      </c>
      <c r="B26" s="262"/>
      <c r="C26" s="264"/>
      <c r="D26" s="437"/>
      <c r="E26" s="270"/>
      <c r="F26" s="189" t="e">
        <f t="shared" si="0"/>
        <v>#DIV/0!</v>
      </c>
      <c r="G26" s="262"/>
      <c r="H26" s="264"/>
      <c r="I26" s="263"/>
      <c r="J26" s="270"/>
      <c r="K26" s="190" t="e">
        <f t="shared" si="2"/>
        <v>#DIV/0!</v>
      </c>
      <c r="L26" s="262"/>
      <c r="M26" s="264"/>
      <c r="N26" s="263"/>
      <c r="O26" s="270"/>
      <c r="P26" s="189" t="e">
        <f t="shared" si="7"/>
        <v>#DIV/0!</v>
      </c>
    </row>
    <row r="27" spans="1:16" ht="14.1" customHeight="1" x14ac:dyDescent="0.2">
      <c r="A27" s="175" t="s">
        <v>107</v>
      </c>
      <c r="B27" s="262"/>
      <c r="C27" s="264"/>
      <c r="D27" s="437"/>
      <c r="E27" s="270"/>
      <c r="F27" s="178" t="e">
        <f t="shared" si="0"/>
        <v>#DIV/0!</v>
      </c>
      <c r="G27" s="262"/>
      <c r="H27" s="264"/>
      <c r="I27" s="263"/>
      <c r="J27" s="270"/>
      <c r="K27" s="184" t="e">
        <f t="shared" si="2"/>
        <v>#DIV/0!</v>
      </c>
      <c r="L27" s="262"/>
      <c r="M27" s="264"/>
      <c r="N27" s="263"/>
      <c r="O27" s="270"/>
      <c r="P27" s="178" t="e">
        <f t="shared" si="7"/>
        <v>#DIV/0!</v>
      </c>
    </row>
    <row r="28" spans="1:16" ht="14.1" customHeight="1" x14ac:dyDescent="0.2">
      <c r="A28" s="188" t="s">
        <v>108</v>
      </c>
      <c r="B28" s="262"/>
      <c r="C28" s="264"/>
      <c r="D28" s="437"/>
      <c r="E28" s="270"/>
      <c r="F28" s="189" t="e">
        <f t="shared" si="0"/>
        <v>#DIV/0!</v>
      </c>
      <c r="G28" s="262"/>
      <c r="H28" s="264"/>
      <c r="I28" s="263"/>
      <c r="J28" s="270"/>
      <c r="K28" s="190" t="e">
        <f t="shared" si="2"/>
        <v>#DIV/0!</v>
      </c>
      <c r="L28" s="262"/>
      <c r="M28" s="264"/>
      <c r="N28" s="263"/>
      <c r="O28" s="270"/>
      <c r="P28" s="189" t="e">
        <f t="shared" si="7"/>
        <v>#DIV/0!</v>
      </c>
    </row>
    <row r="29" spans="1:16" ht="14.1" customHeight="1" x14ac:dyDescent="0.2">
      <c r="A29" s="175" t="s">
        <v>109</v>
      </c>
      <c r="B29" s="262"/>
      <c r="C29" s="264"/>
      <c r="D29" s="437"/>
      <c r="E29" s="270"/>
      <c r="F29" s="178" t="e">
        <f t="shared" si="0"/>
        <v>#DIV/0!</v>
      </c>
      <c r="G29" s="262"/>
      <c r="H29" s="264"/>
      <c r="I29" s="263"/>
      <c r="J29" s="270"/>
      <c r="K29" s="184" t="e">
        <f t="shared" si="2"/>
        <v>#DIV/0!</v>
      </c>
      <c r="L29" s="262"/>
      <c r="M29" s="264"/>
      <c r="N29" s="263"/>
      <c r="O29" s="270"/>
      <c r="P29" s="178" t="e">
        <f t="shared" si="7"/>
        <v>#DIV/0!</v>
      </c>
    </row>
    <row r="30" spans="1:16" ht="14.1" customHeight="1" x14ac:dyDescent="0.2">
      <c r="A30" s="188" t="s">
        <v>110</v>
      </c>
      <c r="B30" s="262"/>
      <c r="C30" s="264"/>
      <c r="D30" s="437"/>
      <c r="E30" s="270"/>
      <c r="F30" s="189" t="e">
        <f t="shared" si="0"/>
        <v>#DIV/0!</v>
      </c>
      <c r="G30" s="262"/>
      <c r="H30" s="264"/>
      <c r="I30" s="263"/>
      <c r="J30" s="270"/>
      <c r="K30" s="190" t="e">
        <f t="shared" si="2"/>
        <v>#DIV/0!</v>
      </c>
      <c r="L30" s="262"/>
      <c r="M30" s="264"/>
      <c r="N30" s="263"/>
      <c r="O30" s="270"/>
      <c r="P30" s="189" t="e">
        <f t="shared" si="7"/>
        <v>#DIV/0!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7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7"/>
        <v>#DIV/0!</v>
      </c>
    </row>
    <row r="33" spans="1:16" ht="13.5" thickBot="1" x14ac:dyDescent="0.25">
      <c r="A33" s="185" t="s">
        <v>76</v>
      </c>
      <c r="B33" s="195">
        <f>SUM(B21:B32)</f>
        <v>424176</v>
      </c>
      <c r="C33" s="196">
        <f>SUM(C21:C32)</f>
        <v>433796</v>
      </c>
      <c r="D33" s="196">
        <f>SUM(D21:D32)</f>
        <v>857972</v>
      </c>
      <c r="E33" s="197">
        <f>SUM(E21:E32)</f>
        <v>262673</v>
      </c>
      <c r="F33" s="180">
        <f>(D33-E33)/E33</f>
        <v>2.2663121066877827</v>
      </c>
      <c r="G33" s="198">
        <f>SUM(G21:G32)</f>
        <v>5704300</v>
      </c>
      <c r="H33" s="196">
        <f>SUM(H21:H32)</f>
        <v>5655002</v>
      </c>
      <c r="I33" s="196">
        <f>SUM(I21:I32)</f>
        <v>11359302</v>
      </c>
      <c r="J33" s="199">
        <f>SUM(J21:J32)</f>
        <v>7465029</v>
      </c>
      <c r="K33" s="181">
        <f>(I33-J33)/J33</f>
        <v>0.52166883745528647</v>
      </c>
      <c r="L33" s="198">
        <f>SUM(L21:L32)</f>
        <v>6128476</v>
      </c>
      <c r="M33" s="196">
        <f>SUM(M21:M32)</f>
        <v>6088798</v>
      </c>
      <c r="N33" s="196">
        <f>SUM(N21:N32)</f>
        <v>12217274</v>
      </c>
      <c r="O33" s="197">
        <f>SUM(O21:O32)</f>
        <v>7727702</v>
      </c>
      <c r="P33" s="179">
        <f>(N33-O33)/O33</f>
        <v>0.5809711606374055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May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S34" sqref="S34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44682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249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Air'!$HV$4</f>
        <v>30</v>
      </c>
      <c r="C4" s="133">
        <f>[3]DHL!$HV$4+[3]DHL_Atlas!$HV$4+[3]DHL_Atlas!$HV$8+[3]DHL_Atlas!$HV$15</f>
        <v>0</v>
      </c>
      <c r="D4" s="133">
        <f>[3]Airborne!$HV$4+[3]Airborne!$HV$15</f>
        <v>2</v>
      </c>
      <c r="E4" s="96">
        <f>[3]DHL_Bemidji!$HV$4</f>
        <v>36</v>
      </c>
      <c r="F4" s="96">
        <f>[3]Bemidji!$HV$4</f>
        <v>200</v>
      </c>
      <c r="G4" s="133">
        <f>[3]DHL_Encore!$HV$4+[3]DHL_Encore!$HV$15</f>
        <v>0</v>
      </c>
      <c r="H4" s="133">
        <f>[3]DHL_Mesa!$HV$4+[3]DHL_Mesa!$HV$15</f>
        <v>39</v>
      </c>
      <c r="I4" s="133">
        <f>[3]Encore!$HV$4+[3]Encore!$HV$15</f>
        <v>0</v>
      </c>
      <c r="J4" s="133">
        <f>[3]FedEx!$HV$4+[3]FedEx!$HV$15</f>
        <v>131</v>
      </c>
      <c r="K4" s="133">
        <f>[3]IFL!$HV$4+[3]IFL!$HV$15</f>
        <v>16</v>
      </c>
      <c r="L4" s="133">
        <f>[3]DHL_Kalitta!$HV$4+[3]DHL_Kalitta!$HV$15</f>
        <v>0</v>
      </c>
      <c r="M4" s="96">
        <f>'[3]Mountain Cargo'!$HV$4</f>
        <v>20</v>
      </c>
      <c r="N4" s="133">
        <f>[3]DHL_Southair!$HV$4+[3]DHL_Southair!$HV$15</f>
        <v>0</v>
      </c>
      <c r="O4" s="133">
        <f>[3]DHL_Swift!$HV$4+[3]DHL_Swift!$HV$15</f>
        <v>1</v>
      </c>
      <c r="P4" s="133">
        <f>+'[3]Sun Country Cargo'!$HV$4+'[3]Sun Country Cargo'!$HV$8+'[3]Sun Country Cargo'!$HV$15</f>
        <v>32</v>
      </c>
      <c r="Q4" s="133">
        <f>[3]UPS!$HV$4+[3]UPS!$HV$15</f>
        <v>134</v>
      </c>
      <c r="R4" s="96">
        <f>'[3]Misc Cargo'!$HV$4</f>
        <v>0</v>
      </c>
      <c r="S4" s="403">
        <f>SUM(B4:R4)</f>
        <v>641</v>
      </c>
      <c r="U4" s="370"/>
      <c r="V4" s="370"/>
      <c r="W4" s="231"/>
    </row>
    <row r="5" spans="1:23" x14ac:dyDescent="0.2">
      <c r="A5" s="38" t="s">
        <v>54</v>
      </c>
      <c r="B5" s="404">
        <f>'[3]Atlas Air'!$HV$5</f>
        <v>30</v>
      </c>
      <c r="C5" s="157">
        <f>[3]DHL!$HV$5+[3]DHL_Atlas!$HV$5+[3]DHL_Atlas!$HV$9+[3]DHL_Atlas!$HV$16</f>
        <v>0</v>
      </c>
      <c r="D5" s="157">
        <f>[3]Airborne!$HV$5</f>
        <v>2</v>
      </c>
      <c r="E5" s="97">
        <f>[3]DHL_Bemidji!$HV$5</f>
        <v>36</v>
      </c>
      <c r="F5" s="97">
        <f>[3]Bemidji!$HV$5</f>
        <v>200</v>
      </c>
      <c r="G5" s="157">
        <f>[3]DHL_Encore!$HV$5</f>
        <v>0</v>
      </c>
      <c r="H5" s="157">
        <f>[3]DHL_Mesa!$HV$5</f>
        <v>39</v>
      </c>
      <c r="I5" s="157">
        <f>[3]Encore!$HV$5</f>
        <v>0</v>
      </c>
      <c r="J5" s="157">
        <f>[3]FedEx!$HV$5</f>
        <v>131</v>
      </c>
      <c r="K5" s="157">
        <f>[3]IFL!$HV$5</f>
        <v>16</v>
      </c>
      <c r="L5" s="157">
        <f>[3]DHL_Kalitta!$HV$5</f>
        <v>0</v>
      </c>
      <c r="M5" s="97">
        <f>'[3]Mountain Cargo'!$HV$5</f>
        <v>20</v>
      </c>
      <c r="N5" s="157">
        <f>[3]DHL_Southair!$HV$5</f>
        <v>0</v>
      </c>
      <c r="O5" s="157">
        <f>[3]DHL_Swift!$HV$5</f>
        <v>1</v>
      </c>
      <c r="P5" s="157">
        <f>+'[3]Sun Country Cargo'!$HV$5+'[3]Sun Country Cargo'!$HV$9+'[3]Sun Country Cargo'!$HV$16</f>
        <v>32</v>
      </c>
      <c r="Q5" s="157">
        <f>[3]UPS!$HV$5+[3]UPS!$HV$16</f>
        <v>134</v>
      </c>
      <c r="R5" s="97">
        <f>'[3]Misc Cargo'!$HV$5</f>
        <v>0</v>
      </c>
      <c r="S5" s="403">
        <f>SUM(B5:R5)</f>
        <v>641</v>
      </c>
      <c r="U5" s="370"/>
      <c r="V5" s="370"/>
      <c r="W5" s="231"/>
    </row>
    <row r="6" spans="1:23" s="156" customFormat="1" x14ac:dyDescent="0.2">
      <c r="A6" s="160" t="s">
        <v>55</v>
      </c>
      <c r="B6" s="405">
        <f t="shared" ref="B6:R6" si="0">SUM(B4:B5)</f>
        <v>60</v>
      </c>
      <c r="C6" s="406">
        <f t="shared" si="0"/>
        <v>0</v>
      </c>
      <c r="D6" s="406">
        <f t="shared" ref="D6:E6" si="1">SUM(D4:D5)</f>
        <v>4</v>
      </c>
      <c r="E6" s="94">
        <f t="shared" si="1"/>
        <v>72</v>
      </c>
      <c r="F6" s="94">
        <f t="shared" si="0"/>
        <v>400</v>
      </c>
      <c r="G6" s="406">
        <f t="shared" si="0"/>
        <v>0</v>
      </c>
      <c r="H6" s="406">
        <f t="shared" ref="H6" si="2">SUM(H4:H5)</f>
        <v>78</v>
      </c>
      <c r="I6" s="406">
        <f t="shared" si="0"/>
        <v>0</v>
      </c>
      <c r="J6" s="406">
        <f t="shared" si="0"/>
        <v>262</v>
      </c>
      <c r="K6" s="406">
        <f t="shared" si="0"/>
        <v>32</v>
      </c>
      <c r="L6" s="406">
        <f t="shared" si="0"/>
        <v>0</v>
      </c>
      <c r="M6" s="94">
        <f t="shared" si="0"/>
        <v>40</v>
      </c>
      <c r="N6" s="406">
        <f t="shared" si="0"/>
        <v>0</v>
      </c>
      <c r="O6" s="406">
        <f t="shared" si="0"/>
        <v>2</v>
      </c>
      <c r="P6" s="406">
        <f t="shared" si="0"/>
        <v>64</v>
      </c>
      <c r="Q6" s="406">
        <f t="shared" si="0"/>
        <v>268</v>
      </c>
      <c r="R6" s="94">
        <f t="shared" si="0"/>
        <v>0</v>
      </c>
      <c r="S6" s="403">
        <f t="shared" ref="S6:S10" si="3">SUM(B6:R6)</f>
        <v>1282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Cargo'!$HV$8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Cargo'!$HV$9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60</v>
      </c>
      <c r="C12" s="162">
        <f t="shared" si="7"/>
        <v>0</v>
      </c>
      <c r="D12" s="162">
        <f t="shared" ref="D12:E12" si="8">D6+D10</f>
        <v>4</v>
      </c>
      <c r="E12" s="163">
        <f t="shared" si="8"/>
        <v>72</v>
      </c>
      <c r="F12" s="163">
        <f t="shared" si="7"/>
        <v>400</v>
      </c>
      <c r="G12" s="162">
        <f t="shared" si="7"/>
        <v>0</v>
      </c>
      <c r="H12" s="162">
        <f t="shared" ref="H12" si="9">H6+H10</f>
        <v>78</v>
      </c>
      <c r="I12" s="162">
        <f t="shared" si="7"/>
        <v>0</v>
      </c>
      <c r="J12" s="162">
        <f t="shared" si="7"/>
        <v>262</v>
      </c>
      <c r="K12" s="162">
        <f t="shared" si="7"/>
        <v>32</v>
      </c>
      <c r="L12" s="162">
        <f t="shared" si="7"/>
        <v>0</v>
      </c>
      <c r="M12" s="163">
        <f t="shared" si="7"/>
        <v>40</v>
      </c>
      <c r="N12" s="162">
        <f t="shared" si="7"/>
        <v>0</v>
      </c>
      <c r="O12" s="162">
        <f t="shared" si="7"/>
        <v>2</v>
      </c>
      <c r="P12" s="162">
        <f t="shared" si="7"/>
        <v>64</v>
      </c>
      <c r="Q12" s="162">
        <f t="shared" si="7"/>
        <v>268</v>
      </c>
      <c r="R12" s="163">
        <f t="shared" si="7"/>
        <v>0</v>
      </c>
      <c r="S12" s="409">
        <f>SUM(B12:R12)</f>
        <v>1282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Air'!$HV$47</f>
        <v>2146405</v>
      </c>
      <c r="C16" s="133">
        <f>[3]DHL!$HV$47+[3]DHL_Atlas!$HV$47</f>
        <v>0</v>
      </c>
      <c r="D16" s="133">
        <f>[3]Airborne!$HV$47</f>
        <v>63162</v>
      </c>
      <c r="E16" s="133">
        <f>[3]DHL_Bemidji!$HV$47</f>
        <v>50535</v>
      </c>
      <c r="F16" s="475" t="s">
        <v>86</v>
      </c>
      <c r="G16" s="133">
        <f>[3]DHL_Encore!$HV$47</f>
        <v>0</v>
      </c>
      <c r="H16" s="133">
        <f>[3]DHL_Mesa!$HV$47</f>
        <v>1051687</v>
      </c>
      <c r="I16" s="133">
        <f>[3]Encore!$HV$47</f>
        <v>0</v>
      </c>
      <c r="J16" s="133">
        <f>[3]FedEx!$HV$47</f>
        <v>6627436</v>
      </c>
      <c r="K16" s="133">
        <f>[3]IFL!$HV$47</f>
        <v>62139</v>
      </c>
      <c r="L16" s="133">
        <f>[3]DHL_Kalitta!$HV$47</f>
        <v>0</v>
      </c>
      <c r="M16" s="96">
        <f>'[3]Mountain Cargo'!$HV$47</f>
        <v>0</v>
      </c>
      <c r="N16" s="133">
        <f>[3]DHL_Southair!$HV$47</f>
        <v>0</v>
      </c>
      <c r="O16" s="133">
        <f>[3]DHL_Swift!$HV$47</f>
        <v>1051687</v>
      </c>
      <c r="P16" s="133">
        <f>+'[3]Sun Country Cargo'!$HV$47</f>
        <v>917986</v>
      </c>
      <c r="Q16" s="133">
        <f>[3]UPS!$HV$47</f>
        <v>341171</v>
      </c>
      <c r="R16" s="96">
        <f>'[3]Misc Cargo'!$HV$47</f>
        <v>0</v>
      </c>
      <c r="S16" s="403">
        <f>SUM(B16:E16)+SUM(G16:R16)</f>
        <v>12312208</v>
      </c>
      <c r="U16" s="370"/>
      <c r="V16" s="370"/>
      <c r="W16" s="231"/>
    </row>
    <row r="17" spans="1:23" x14ac:dyDescent="0.2">
      <c r="A17" s="38" t="s">
        <v>38</v>
      </c>
      <c r="B17" s="193">
        <f>'[3]Atlas Air'!$HV$48</f>
        <v>0</v>
      </c>
      <c r="C17" s="133">
        <f>[3]DHL!$HV$48</f>
        <v>0</v>
      </c>
      <c r="D17" s="133">
        <f>[3]Airborne!$HV$48</f>
        <v>0</v>
      </c>
      <c r="E17" s="133">
        <f>[3]DHL_Bemidji!$HV$48</f>
        <v>0</v>
      </c>
      <c r="F17" s="476"/>
      <c r="G17" s="133">
        <f>[3]DHL_Encore!$HV$48</f>
        <v>0</v>
      </c>
      <c r="H17" s="133">
        <f>[3]DHL_Mesa!$HV$48</f>
        <v>0</v>
      </c>
      <c r="I17" s="133">
        <f>[3]Encore!$HV$48</f>
        <v>0</v>
      </c>
      <c r="J17" s="133">
        <f>[3]FedEx!$HV$48</f>
        <v>0</v>
      </c>
      <c r="K17" s="133">
        <f>[3]IFL!$HV$48</f>
        <v>0</v>
      </c>
      <c r="L17" s="133">
        <f>[3]DHL_Kalitta!$HV$48</f>
        <v>0</v>
      </c>
      <c r="M17" s="96">
        <f>'[3]Mountain Cargo'!$HV$48</f>
        <v>50985</v>
      </c>
      <c r="N17" s="133">
        <f>[3]DHL_Southair!$HV$48</f>
        <v>0</v>
      </c>
      <c r="O17" s="133">
        <f>[3]DHL_Swift!$HV$48</f>
        <v>0</v>
      </c>
      <c r="P17" s="133">
        <f>+'[3]Sun Country Cargo'!$HV$48</f>
        <v>0</v>
      </c>
      <c r="Q17" s="133">
        <f>[3]UPS!$HV$48</f>
        <v>6381055</v>
      </c>
      <c r="R17" s="96">
        <f>'[3]Misc Cargo'!$HV$48</f>
        <v>0</v>
      </c>
      <c r="S17" s="403">
        <f>SUM(B17:E17)+SUM(G17:R17)</f>
        <v>6432040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2146405</v>
      </c>
      <c r="C18" s="237">
        <f>SUM(C16:C17)</f>
        <v>0</v>
      </c>
      <c r="D18" s="237">
        <f>SUM(D16:D17)</f>
        <v>63162</v>
      </c>
      <c r="E18" s="237">
        <f>SUM(E16:E17)</f>
        <v>50535</v>
      </c>
      <c r="F18" s="476"/>
      <c r="G18" s="237">
        <f>SUM(G16:G17)</f>
        <v>0</v>
      </c>
      <c r="H18" s="237">
        <f>SUM(H16:H17)</f>
        <v>1051687</v>
      </c>
      <c r="I18" s="237">
        <f>SUM(I16:I17)</f>
        <v>0</v>
      </c>
      <c r="J18" s="237">
        <f>SUM(J16:J17)</f>
        <v>6627436</v>
      </c>
      <c r="K18" s="237">
        <f>SUM(K16:K17)</f>
        <v>62139</v>
      </c>
      <c r="L18" s="237">
        <f t="shared" ref="L18:R18" si="10">SUM(L16:L17)</f>
        <v>0</v>
      </c>
      <c r="M18" s="238">
        <f t="shared" si="10"/>
        <v>50985</v>
      </c>
      <c r="N18" s="237">
        <f t="shared" si="10"/>
        <v>0</v>
      </c>
      <c r="O18" s="237">
        <f t="shared" si="10"/>
        <v>1051687</v>
      </c>
      <c r="P18" s="237">
        <f t="shared" si="10"/>
        <v>917986</v>
      </c>
      <c r="Q18" s="237">
        <f t="shared" si="10"/>
        <v>6722226</v>
      </c>
      <c r="R18" s="238">
        <f t="shared" si="10"/>
        <v>0</v>
      </c>
      <c r="S18" s="415">
        <f>SUM(B18:E18)+SUM(G18:R18)</f>
        <v>18744248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Air'!$HV$52</f>
        <v>822564</v>
      </c>
      <c r="C21" s="133">
        <f>[3]DHL!$HV$52+[3]DHL_Atlas!$HV$52</f>
        <v>0</v>
      </c>
      <c r="D21" s="133">
        <f>[3]Airborne!$HV$52</f>
        <v>68442</v>
      </c>
      <c r="E21" s="133">
        <f>[3]DHL_Bemidji!$HV$52</f>
        <v>48206</v>
      </c>
      <c r="F21" s="476"/>
      <c r="G21" s="133">
        <f>[3]DHL_Encore!$HV$52</f>
        <v>0</v>
      </c>
      <c r="H21" s="133">
        <f>[3]DHL_Mesa!$HV$52</f>
        <v>488407</v>
      </c>
      <c r="I21" s="133">
        <f>[3]Encore!$HV$52</f>
        <v>0</v>
      </c>
      <c r="J21" s="133">
        <f>[3]FedEx!$HV$52</f>
        <v>8016887</v>
      </c>
      <c r="K21" s="133">
        <f>[3]IFL!$HV$52</f>
        <v>0</v>
      </c>
      <c r="L21" s="133">
        <f>[3]DHL_Kalitta!$HV$52</f>
        <v>0</v>
      </c>
      <c r="M21" s="96">
        <f>'[3]Mountain Cargo'!$HV$52</f>
        <v>112373</v>
      </c>
      <c r="N21" s="133">
        <f>[3]DHL_Southair!$HV$52</f>
        <v>0</v>
      </c>
      <c r="O21" s="133">
        <f>[3]DHL_Swift!$HV$52</f>
        <v>488407</v>
      </c>
      <c r="P21" s="133">
        <f>+'[3]Sun Country Cargo'!$HV$52</f>
        <v>880597</v>
      </c>
      <c r="Q21" s="133">
        <f>[3]UPS!$HV$52</f>
        <v>623055</v>
      </c>
      <c r="R21" s="96">
        <f>'[3]Misc Cargo'!$HV$52</f>
        <v>0</v>
      </c>
      <c r="S21" s="403">
        <f>SUM(B21:E21)+SUM(G21:R21)</f>
        <v>11548938</v>
      </c>
      <c r="U21" s="370"/>
      <c r="V21" s="370"/>
      <c r="W21" s="231"/>
    </row>
    <row r="22" spans="1:23" x14ac:dyDescent="0.2">
      <c r="A22" s="38" t="s">
        <v>60</v>
      </c>
      <c r="B22" s="193">
        <f>'[3]Atlas Air'!$HV$53</f>
        <v>0</v>
      </c>
      <c r="C22" s="133">
        <f>[3]DHL!$HV$53</f>
        <v>0</v>
      </c>
      <c r="D22" s="133">
        <f>[3]Airborne!$HV$53</f>
        <v>0</v>
      </c>
      <c r="E22" s="133">
        <f>[3]DHL_Bemidji!$HV$53</f>
        <v>0</v>
      </c>
      <c r="F22" s="476"/>
      <c r="G22" s="133">
        <f>[3]DHL_Encore!$HV$53</f>
        <v>0</v>
      </c>
      <c r="H22" s="133">
        <f>[3]DHL_Mesa!$HV$53</f>
        <v>0</v>
      </c>
      <c r="I22" s="133">
        <f>[3]Encore!$HV$53</f>
        <v>0</v>
      </c>
      <c r="J22" s="133">
        <f>[3]FedEx!$HV$53</f>
        <v>0</v>
      </c>
      <c r="K22" s="133">
        <f>[3]IFL!$HV$53</f>
        <v>0</v>
      </c>
      <c r="L22" s="133">
        <f>[3]DHL_Kalitta!$HV$53</f>
        <v>0</v>
      </c>
      <c r="M22" s="96">
        <f>'[3]Mountain Cargo'!$HV$53</f>
        <v>106605</v>
      </c>
      <c r="N22" s="133">
        <f>[3]DHL_Southair!$HV$53</f>
        <v>0</v>
      </c>
      <c r="O22" s="133">
        <f>[3]DHL_Swift!$HV$53</f>
        <v>0</v>
      </c>
      <c r="P22" s="133">
        <f>+'[3]Sun Country Cargo'!$HV$53</f>
        <v>0</v>
      </c>
      <c r="Q22" s="133">
        <f>[3]UPS!$HV$53</f>
        <v>4790949</v>
      </c>
      <c r="R22" s="96">
        <f>'[3]Misc Cargo'!$HV$53</f>
        <v>0</v>
      </c>
      <c r="S22" s="403">
        <f>SUM(B22:E22)+SUM(G22:R22)</f>
        <v>4897554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822564</v>
      </c>
      <c r="C23" s="237">
        <f>SUM(C21:C22)</f>
        <v>0</v>
      </c>
      <c r="D23" s="237">
        <f t="shared" ref="D23:E23" si="11">SUM(D21:D22)</f>
        <v>68442</v>
      </c>
      <c r="E23" s="237">
        <f t="shared" si="11"/>
        <v>48206</v>
      </c>
      <c r="F23" s="476"/>
      <c r="G23" s="237">
        <f t="shared" ref="G23:R23" si="12">SUM(G21:G22)</f>
        <v>0</v>
      </c>
      <c r="H23" s="237">
        <f t="shared" ref="H23" si="13">SUM(H21:H22)</f>
        <v>488407</v>
      </c>
      <c r="I23" s="237">
        <f t="shared" si="12"/>
        <v>0</v>
      </c>
      <c r="J23" s="237">
        <f t="shared" si="12"/>
        <v>8016887</v>
      </c>
      <c r="K23" s="237">
        <f t="shared" si="12"/>
        <v>0</v>
      </c>
      <c r="L23" s="237">
        <f t="shared" si="12"/>
        <v>0</v>
      </c>
      <c r="M23" s="238">
        <f t="shared" si="12"/>
        <v>218978</v>
      </c>
      <c r="N23" s="237">
        <f t="shared" si="12"/>
        <v>0</v>
      </c>
      <c r="O23" s="237">
        <f t="shared" si="12"/>
        <v>488407</v>
      </c>
      <c r="P23" s="237">
        <f t="shared" si="12"/>
        <v>880597</v>
      </c>
      <c r="Q23" s="237">
        <f t="shared" si="12"/>
        <v>5414004</v>
      </c>
      <c r="R23" s="238">
        <f t="shared" si="12"/>
        <v>0</v>
      </c>
      <c r="S23" s="415">
        <f>SUM(B23:E23)+SUM(G23:R23)</f>
        <v>16446492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Air'!$HV$57</f>
        <v>0</v>
      </c>
      <c r="C26" s="133">
        <f>[3]DHL!$HV$57</f>
        <v>0</v>
      </c>
      <c r="D26" s="133">
        <f>[3]Airborne!$HV$57</f>
        <v>0</v>
      </c>
      <c r="E26" s="133">
        <f>[3]DHL_Bemidji!$HV$57</f>
        <v>0</v>
      </c>
      <c r="F26" s="476"/>
      <c r="G26" s="133">
        <f>[3]DHL_Encore!$HV$57</f>
        <v>0</v>
      </c>
      <c r="H26" s="133">
        <f>[3]DHL_Mesa!$HV$57</f>
        <v>0</v>
      </c>
      <c r="I26" s="133">
        <f>[3]Encore!$HV$57</f>
        <v>0</v>
      </c>
      <c r="J26" s="133">
        <f>[3]FedEx!$HV$57</f>
        <v>0</v>
      </c>
      <c r="K26" s="133">
        <f>[3]IFL!$HV$57</f>
        <v>0</v>
      </c>
      <c r="L26" s="133">
        <f>[3]DHL_Kalitta!$HV$57</f>
        <v>0</v>
      </c>
      <c r="M26" s="96">
        <f>'[3]Mountain Cargo'!$HV$57</f>
        <v>0</v>
      </c>
      <c r="N26" s="133">
        <f>[3]DHL_Southair!$HV$57</f>
        <v>0</v>
      </c>
      <c r="O26" s="133">
        <f>[3]DHL_Swift!$HV$57</f>
        <v>0</v>
      </c>
      <c r="P26" s="133">
        <f>+'[3]Sun Country Cargo'!$HV$57</f>
        <v>0</v>
      </c>
      <c r="Q26" s="133">
        <f>[3]UPS!$HV$57</f>
        <v>0</v>
      </c>
      <c r="R26" s="96">
        <f>'[3]Misc Cargo'!$HV$57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Air'!$HV$58</f>
        <v>0</v>
      </c>
      <c r="C27" s="133">
        <f>[3]DHL!$HV$58</f>
        <v>0</v>
      </c>
      <c r="D27" s="133">
        <f>[3]Airborne!$HV$58</f>
        <v>0</v>
      </c>
      <c r="E27" s="133">
        <f>[3]DHL_Bemidji!$HV$58</f>
        <v>0</v>
      </c>
      <c r="F27" s="476"/>
      <c r="G27" s="133">
        <f>[3]DHL_Encore!$HV$58</f>
        <v>0</v>
      </c>
      <c r="H27" s="133">
        <f>[3]DHL_Mesa!$HV$58</f>
        <v>0</v>
      </c>
      <c r="I27" s="133">
        <f>[3]Encore!$HV$58</f>
        <v>0</v>
      </c>
      <c r="J27" s="133">
        <f>[3]FedEx!$HV$58</f>
        <v>0</v>
      </c>
      <c r="K27" s="133">
        <f>[3]IFL!$HV$58</f>
        <v>0</v>
      </c>
      <c r="L27" s="133">
        <f>[3]DHL_Kalitta!$HV$58</f>
        <v>0</v>
      </c>
      <c r="M27" s="96">
        <f>'[3]Mountain Cargo'!$HV$58</f>
        <v>0</v>
      </c>
      <c r="N27" s="133">
        <f>[3]DHL_Southair!$HV$58</f>
        <v>0</v>
      </c>
      <c r="O27" s="133">
        <f>[3]DHL_Swift!$HV$58</f>
        <v>0</v>
      </c>
      <c r="P27" s="133">
        <f>+'[3]Sun Country Cargo'!$HV$58</f>
        <v>0</v>
      </c>
      <c r="Q27" s="133">
        <f>[3]UPS!$HV$58</f>
        <v>0</v>
      </c>
      <c r="R27" s="96">
        <f>'[3]Misc Cargo'!$HV$58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2968969</v>
      </c>
      <c r="C31" s="133">
        <f t="shared" ref="C31:R33" si="17">C26+C21+C16</f>
        <v>0</v>
      </c>
      <c r="D31" s="133">
        <f t="shared" si="17"/>
        <v>131604</v>
      </c>
      <c r="E31" s="133">
        <f t="shared" si="17"/>
        <v>98741</v>
      </c>
      <c r="F31" s="476"/>
      <c r="G31" s="133">
        <f t="shared" ref="G31:P33" si="18">G26+G21+G16</f>
        <v>0</v>
      </c>
      <c r="H31" s="133">
        <f t="shared" ref="H31" si="19">H26+H21+H16</f>
        <v>1540094</v>
      </c>
      <c r="I31" s="133">
        <f t="shared" si="18"/>
        <v>0</v>
      </c>
      <c r="J31" s="133">
        <f t="shared" si="18"/>
        <v>14644323</v>
      </c>
      <c r="K31" s="133">
        <f t="shared" si="18"/>
        <v>62139</v>
      </c>
      <c r="L31" s="133">
        <f t="shared" si="18"/>
        <v>0</v>
      </c>
      <c r="M31" s="96">
        <f>M26+M21+M16</f>
        <v>112373</v>
      </c>
      <c r="N31" s="133">
        <f t="shared" si="18"/>
        <v>0</v>
      </c>
      <c r="O31" s="133">
        <f t="shared" si="18"/>
        <v>1540094</v>
      </c>
      <c r="P31" s="133">
        <f t="shared" si="18"/>
        <v>1798583</v>
      </c>
      <c r="Q31" s="133">
        <f t="shared" si="17"/>
        <v>964226</v>
      </c>
      <c r="R31" s="96">
        <f>R26+R21+R16</f>
        <v>0</v>
      </c>
      <c r="S31" s="403">
        <f>SUM(B31:E31)+SUM(G31:R31)</f>
        <v>23861146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157590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11172004</v>
      </c>
      <c r="R32" s="96">
        <f>R27+R22+R17</f>
        <v>0</v>
      </c>
      <c r="S32" s="403">
        <f>SUM(B32:E32)+SUM(G32:R32)</f>
        <v>11329594</v>
      </c>
    </row>
    <row r="33" spans="1:19" ht="18" customHeight="1" thickBot="1" x14ac:dyDescent="0.25">
      <c r="A33" s="161" t="s">
        <v>46</v>
      </c>
      <c r="B33" s="408">
        <f>B28+B23+B18</f>
        <v>2968969</v>
      </c>
      <c r="C33" s="162">
        <f t="shared" ref="C33:I33" si="21">C28+C23+C18</f>
        <v>0</v>
      </c>
      <c r="D33" s="162">
        <f t="shared" si="21"/>
        <v>131604</v>
      </c>
      <c r="E33" s="162">
        <f t="shared" si="21"/>
        <v>98741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1540094</v>
      </c>
      <c r="I33" s="162">
        <f t="shared" si="21"/>
        <v>0</v>
      </c>
      <c r="J33" s="162">
        <f t="shared" si="18"/>
        <v>14644323</v>
      </c>
      <c r="K33" s="162">
        <f t="shared" si="18"/>
        <v>62139</v>
      </c>
      <c r="L33" s="162">
        <f t="shared" si="18"/>
        <v>0</v>
      </c>
      <c r="M33" s="163">
        <f>M28+M23+M18</f>
        <v>269963</v>
      </c>
      <c r="N33" s="162">
        <f t="shared" si="18"/>
        <v>0</v>
      </c>
      <c r="O33" s="162">
        <f t="shared" si="18"/>
        <v>1540094</v>
      </c>
      <c r="P33" s="162">
        <f t="shared" si="17"/>
        <v>1798583</v>
      </c>
      <c r="Q33" s="162">
        <f t="shared" si="17"/>
        <v>12136230</v>
      </c>
      <c r="R33" s="163">
        <f t="shared" si="17"/>
        <v>0</v>
      </c>
      <c r="S33" s="409">
        <f>SUM(B33:E33)+SUM(G33:R33)</f>
        <v>35190740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May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3" sqref="E2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44682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3240622</v>
      </c>
      <c r="C5" s="96">
        <f>'Regional Major'!M25</f>
        <v>5225.7</v>
      </c>
      <c r="D5" s="96">
        <f>Cargo!S16</f>
        <v>12312208</v>
      </c>
      <c r="E5" s="96">
        <f>SUM(B5:D5)</f>
        <v>15558055.699999999</v>
      </c>
      <c r="F5" s="96">
        <f>E5*0.00045359237</f>
        <v>7057.0153575550084</v>
      </c>
      <c r="G5" s="96">
        <f>'[1]Cargo Summary'!F5</f>
        <v>9447.0744306045799</v>
      </c>
      <c r="H5" s="78">
        <f>(F5-G5)/G5</f>
        <v>-0.25299462713099596</v>
      </c>
      <c r="I5" s="96">
        <f>+F5+'[2]Cargo Summary'!I5</f>
        <v>45676.855849167383</v>
      </c>
      <c r="J5" s="96">
        <f>+'[1]Cargo Summary'!I5</f>
        <v>43349.49394643175</v>
      </c>
      <c r="K5" s="66">
        <f>(I5-J5)/J5</f>
        <v>5.3688329225056758E-2</v>
      </c>
      <c r="M5" s="14"/>
      <c r="O5" s="446"/>
    </row>
    <row r="6" spans="1:18" x14ac:dyDescent="0.2">
      <c r="A6" s="46" t="s">
        <v>16</v>
      </c>
      <c r="B6" s="140">
        <f>'Major Airline Stats'!K29</f>
        <v>1818325</v>
      </c>
      <c r="C6" s="96">
        <f>'Regional Major'!M26</f>
        <v>0</v>
      </c>
      <c r="D6" s="96">
        <f>Cargo!S17</f>
        <v>6432040</v>
      </c>
      <c r="E6" s="96">
        <f>SUM(B6:D6)</f>
        <v>8250365</v>
      </c>
      <c r="F6" s="96">
        <f>E6*0.00045359237</f>
        <v>3742.30261371505</v>
      </c>
      <c r="G6" s="96">
        <f>'[1]Cargo Summary'!F6</f>
        <v>935.18635777720999</v>
      </c>
      <c r="H6" s="3">
        <f>(F6-G6)/G6</f>
        <v>3.0016651040653661</v>
      </c>
      <c r="I6" s="96">
        <f>+F6+'[2]Cargo Summary'!I6</f>
        <v>7976.8500176472799</v>
      </c>
      <c r="J6" s="96">
        <f>+'[1]Cargo Summary'!I6</f>
        <v>4378.6890800860892</v>
      </c>
      <c r="K6" s="66">
        <f>(I6-J6)/J6</f>
        <v>0.82174387624947498</v>
      </c>
      <c r="M6" s="14"/>
    </row>
    <row r="7" spans="1:18" ht="18" customHeight="1" thickBot="1" x14ac:dyDescent="0.25">
      <c r="A7" s="55" t="s">
        <v>71</v>
      </c>
      <c r="B7" s="142">
        <f>SUM(B5:B6)</f>
        <v>5058947</v>
      </c>
      <c r="C7" s="106">
        <f t="shared" ref="C7:J7" si="0">SUM(C5:C6)</f>
        <v>5225.7</v>
      </c>
      <c r="D7" s="106">
        <f t="shared" si="0"/>
        <v>18744248</v>
      </c>
      <c r="E7" s="106">
        <f t="shared" si="0"/>
        <v>23808420.699999999</v>
      </c>
      <c r="F7" s="106">
        <f t="shared" si="0"/>
        <v>10799.317971270058</v>
      </c>
      <c r="G7" s="106">
        <f t="shared" si="0"/>
        <v>10382.260788381789</v>
      </c>
      <c r="H7" s="29">
        <f>(F7-G7)/G7</f>
        <v>4.0170170195972625E-2</v>
      </c>
      <c r="I7" s="106">
        <f t="shared" si="0"/>
        <v>53653.705866814664</v>
      </c>
      <c r="J7" s="106">
        <f t="shared" si="0"/>
        <v>47728.183026517843</v>
      </c>
      <c r="K7" s="252">
        <f>(I7-J7)/J7</f>
        <v>0.12415144395931837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1981414</v>
      </c>
      <c r="C10" s="96">
        <f>'Regional Major'!M30</f>
        <v>3237.1</v>
      </c>
      <c r="D10" s="96">
        <f>Cargo!S21</f>
        <v>11548938</v>
      </c>
      <c r="E10" s="96">
        <f>SUM(B10:D10)</f>
        <v>13533589.1</v>
      </c>
      <c r="F10" s="96">
        <f>E10*0.00045359237</f>
        <v>6138.732754475167</v>
      </c>
      <c r="G10" s="96">
        <f>'[1]Cargo Summary'!F10</f>
        <v>7313.1681768191202</v>
      </c>
      <c r="H10" s="3">
        <f>(F10-G10)/G10</f>
        <v>-0.16059187946294115</v>
      </c>
      <c r="I10" s="96">
        <f>+F10+'[2]Cargo Summary'!I10</f>
        <v>34881.677860817552</v>
      </c>
      <c r="J10" s="96">
        <f>+'[1]Cargo Summary'!I10</f>
        <v>35738.184947920068</v>
      </c>
      <c r="K10" s="66">
        <f>(I10-J10)/J10</f>
        <v>-2.3966160798335797E-2</v>
      </c>
      <c r="M10" s="14"/>
      <c r="O10" s="446"/>
    </row>
    <row r="11" spans="1:18" x14ac:dyDescent="0.2">
      <c r="A11" s="46" t="s">
        <v>16</v>
      </c>
      <c r="B11" s="140">
        <f>'Major Airline Stats'!K34</f>
        <v>1699336</v>
      </c>
      <c r="C11" s="96">
        <f>'Regional Major'!M31</f>
        <v>0</v>
      </c>
      <c r="D11" s="96">
        <f>Cargo!S22</f>
        <v>4897554</v>
      </c>
      <c r="E11" s="96">
        <f>SUM(B11:D11)</f>
        <v>6596890</v>
      </c>
      <c r="F11" s="96">
        <f>E11*0.00045359237</f>
        <v>2992.2989697293001</v>
      </c>
      <c r="G11" s="96">
        <f>'[1]Cargo Summary'!F11</f>
        <v>1141.5150942656999</v>
      </c>
      <c r="H11" s="26">
        <f>(F11-G11)/G11</f>
        <v>1.6213398182475636</v>
      </c>
      <c r="I11" s="96">
        <f>+F11+'[2]Cargo Summary'!I11</f>
        <v>6527.7044957162507</v>
      </c>
      <c r="J11" s="96">
        <f>+'[1]Cargo Summary'!I11</f>
        <v>4721.1780813859195</v>
      </c>
      <c r="K11" s="66">
        <f>(I11-J11)/J11</f>
        <v>0.38264314185751253</v>
      </c>
      <c r="M11" s="14"/>
    </row>
    <row r="12" spans="1:18" ht="18" customHeight="1" thickBot="1" x14ac:dyDescent="0.25">
      <c r="A12" s="55" t="s">
        <v>72</v>
      </c>
      <c r="B12" s="142">
        <f>SUM(B10:B11)</f>
        <v>3680750</v>
      </c>
      <c r="C12" s="106">
        <f t="shared" ref="C12:J12" si="1">SUM(C10:C11)</f>
        <v>3237.1</v>
      </c>
      <c r="D12" s="106">
        <f t="shared" si="1"/>
        <v>16446492</v>
      </c>
      <c r="E12" s="106">
        <f t="shared" si="1"/>
        <v>20130479.100000001</v>
      </c>
      <c r="F12" s="106">
        <f t="shared" si="1"/>
        <v>9131.0317242044675</v>
      </c>
      <c r="G12" s="106">
        <f t="shared" si="1"/>
        <v>8454.6832710848194</v>
      </c>
      <c r="H12" s="29">
        <f>(F12-G12)/G12</f>
        <v>7.9996900112482394E-2</v>
      </c>
      <c r="I12" s="106">
        <f>SUM(I10:I11)</f>
        <v>41409.382356533803</v>
      </c>
      <c r="J12" s="106">
        <f t="shared" si="1"/>
        <v>40459.36302930599</v>
      </c>
      <c r="K12" s="252">
        <f>(I12-J12)/J12</f>
        <v>2.3480827578518305E-2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</v>
      </c>
      <c r="K15" s="66" t="e">
        <f>(I15-J15)/J15</f>
        <v>#DIV/0!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</v>
      </c>
      <c r="K17" s="252" t="e">
        <f>(I17-J17)/J17</f>
        <v>#DIV/0!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5222036</v>
      </c>
      <c r="C20" s="96">
        <f t="shared" ref="C20:D21" si="3">C15+C10+C5</f>
        <v>8462.7999999999993</v>
      </c>
      <c r="D20" s="96">
        <f t="shared" si="3"/>
        <v>23861146</v>
      </c>
      <c r="E20" s="96">
        <f>SUM(B20:D20)</f>
        <v>29091644.800000001</v>
      </c>
      <c r="F20" s="96">
        <f>E20*0.00045359237</f>
        <v>13195.748112030176</v>
      </c>
      <c r="G20" s="96">
        <f>'[1]Cargo Summary'!F20</f>
        <v>16760.242607423701</v>
      </c>
      <c r="H20" s="3">
        <f>(F20-G20)/G20</f>
        <v>-0.21267559061553706</v>
      </c>
      <c r="I20" s="96">
        <f>+F20+'[2]Cargo Summary'!I20</f>
        <v>80558.533709984957</v>
      </c>
      <c r="J20" s="96">
        <f>+'[1]Cargo Summary'!I20</f>
        <v>79087.678894351819</v>
      </c>
      <c r="K20" s="66">
        <f>(I20-J20)/J20</f>
        <v>1.8597774472531418E-2</v>
      </c>
      <c r="M20" s="14"/>
    </row>
    <row r="21" spans="1:13" x14ac:dyDescent="0.2">
      <c r="A21" s="46" t="s">
        <v>16</v>
      </c>
      <c r="B21" s="140">
        <f>B16+B11+B6</f>
        <v>3517661</v>
      </c>
      <c r="C21" s="97">
        <f t="shared" si="3"/>
        <v>0</v>
      </c>
      <c r="D21" s="97">
        <f t="shared" si="3"/>
        <v>11329594</v>
      </c>
      <c r="E21" s="96">
        <f>SUM(B21:D21)</f>
        <v>14847255</v>
      </c>
      <c r="F21" s="96">
        <f>E21*0.00045359237</f>
        <v>6734.6015834443497</v>
      </c>
      <c r="G21" s="96">
        <f>'[1]Cargo Summary'!F21</f>
        <v>2076.7014520429098</v>
      </c>
      <c r="H21" s="3">
        <f>(F21-G21)/G21</f>
        <v>2.2429319952655367</v>
      </c>
      <c r="I21" s="96">
        <f>+F21+'[2]Cargo Summary'!I21</f>
        <v>14504.55451336353</v>
      </c>
      <c r="J21" s="96">
        <f>+'[1]Cargo Summary'!I21</f>
        <v>9099.8671614720097</v>
      </c>
      <c r="K21" s="66">
        <f>(I21-J21)/J21</f>
        <v>0.59393035700284313</v>
      </c>
      <c r="M21" s="14"/>
    </row>
    <row r="22" spans="1:13" ht="18" customHeight="1" thickBot="1" x14ac:dyDescent="0.25">
      <c r="A22" s="68" t="s">
        <v>62</v>
      </c>
      <c r="B22" s="143">
        <f>SUM(B20:B21)</f>
        <v>8739697</v>
      </c>
      <c r="C22" s="144">
        <f t="shared" ref="C22:J22" si="4">SUM(C20:C21)</f>
        <v>8462.7999999999993</v>
      </c>
      <c r="D22" s="144">
        <f t="shared" si="4"/>
        <v>35190740</v>
      </c>
      <c r="E22" s="144">
        <f>SUM(E20:E21)</f>
        <v>43938899.799999997</v>
      </c>
      <c r="F22" s="144">
        <f t="shared" si="4"/>
        <v>19930.349695474528</v>
      </c>
      <c r="G22" s="144">
        <f t="shared" si="4"/>
        <v>18836.944059466612</v>
      </c>
      <c r="H22" s="258">
        <f>(F22-G22)/G22</f>
        <v>5.8045807884555385E-2</v>
      </c>
      <c r="I22" s="144">
        <f>SUM(I20:I21)</f>
        <v>95063.088223348488</v>
      </c>
      <c r="J22" s="144">
        <f t="shared" si="4"/>
        <v>88187.546055823826</v>
      </c>
      <c r="K22" s="259">
        <f>(I22-J22)/J22</f>
        <v>7.7965001579388057E-2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May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5"/>
  <sheetViews>
    <sheetView workbookViewId="0">
      <selection activeCell="L35" sqref="L35"/>
    </sheetView>
  </sheetViews>
  <sheetFormatPr defaultRowHeight="12.75" x14ac:dyDescent="0.2"/>
  <cols>
    <col min="2" max="2" width="11.42578125" bestFit="1" customWidth="1"/>
    <col min="11" max="11" width="11.42578125" bestFit="1" customWidth="1"/>
    <col min="12" max="12" width="15.7109375" bestFit="1" customWidth="1"/>
    <col min="13" max="13" width="10.140625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44682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44682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124</v>
      </c>
      <c r="D5" s="417">
        <f>SUM(D6:D7)</f>
        <v>189</v>
      </c>
      <c r="E5" s="418">
        <f>(C5-D5)/D5</f>
        <v>-0.3439153439153439</v>
      </c>
      <c r="F5" s="417">
        <f>SUM(F6:F7)</f>
        <v>803</v>
      </c>
      <c r="G5" s="417">
        <f>SUM(G6:G7)</f>
        <v>615</v>
      </c>
      <c r="H5" s="419">
        <f>(F5-G5)/G5</f>
        <v>0.30569105691056908</v>
      </c>
      <c r="I5" s="418">
        <f>+F5/$F$34</f>
        <v>0.12255799755799755</v>
      </c>
      <c r="J5" s="283" t="s">
        <v>210</v>
      </c>
      <c r="K5" s="40"/>
      <c r="L5" s="417">
        <f>SUM(L6:L7)</f>
        <v>4767552</v>
      </c>
      <c r="M5" s="417">
        <f>SUM(M6:M7)</f>
        <v>5281042</v>
      </c>
      <c r="N5" s="418">
        <f>(L5-M5)/M5</f>
        <v>-9.7232705212342563E-2</v>
      </c>
      <c r="O5" s="417">
        <f>SUM(O6:O7)</f>
        <v>27461594</v>
      </c>
      <c r="P5" s="417">
        <f>SUM(P6:P7)</f>
        <v>17504317</v>
      </c>
      <c r="Q5" s="419">
        <f>(O5-P5)/P5</f>
        <v>0.56884693073143044</v>
      </c>
      <c r="R5" s="418">
        <f>O5/$O$34</f>
        <v>0.15825587711988831</v>
      </c>
      <c r="T5" s="433"/>
    </row>
    <row r="6" spans="1:20" ht="14.1" customHeight="1" x14ac:dyDescent="0.2">
      <c r="A6" s="38"/>
      <c r="B6" s="343" t="s">
        <v>211</v>
      </c>
      <c r="C6" s="347">
        <f>+'[3]Atlas Air'!$HV$19</f>
        <v>60</v>
      </c>
      <c r="D6" s="231">
        <f>+'[3]Atlas Air'!$HH$19</f>
        <v>62</v>
      </c>
      <c r="E6" s="349">
        <f>(C6-D6)/D6</f>
        <v>-3.2258064516129031E-2</v>
      </c>
      <c r="F6" s="347">
        <f>+SUM('[3]Atlas Air'!$HR$19:$HV$19)</f>
        <v>298</v>
      </c>
      <c r="G6" s="231">
        <f>+SUM('[3]Atlas Air'!$HD$19:$HH$19)</f>
        <v>151</v>
      </c>
      <c r="H6" s="348">
        <f>(F6-G6)/G6</f>
        <v>0.97350993377483441</v>
      </c>
      <c r="I6" s="349">
        <f>+F6/$F$34</f>
        <v>4.548229548229548E-2</v>
      </c>
      <c r="J6" s="38"/>
      <c r="K6" s="343" t="s">
        <v>211</v>
      </c>
      <c r="L6" s="347">
        <f>+'[3]Atlas Air'!$HV$64</f>
        <v>2968969</v>
      </c>
      <c r="M6" s="231">
        <f>+'[3]Atlas Air'!$HH$64</f>
        <v>2303278</v>
      </c>
      <c r="N6" s="349">
        <f>(L6-M6)/M6</f>
        <v>0.28901895472452738</v>
      </c>
      <c r="O6" s="231">
        <f>+SUM('[3]Atlas Air'!$HR$64:$HV$64)</f>
        <v>14774868</v>
      </c>
      <c r="P6" s="231">
        <f>+SUM('[3]Atlas Air'!$HD$64:$HH$64)</f>
        <v>5287353</v>
      </c>
      <c r="Q6" s="348">
        <f>(O6-P6)/P6</f>
        <v>1.7943789642946102</v>
      </c>
      <c r="R6" s="349">
        <f>O6/$O$34</f>
        <v>8.51447186449035E-2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Cargo'!$HV$19</f>
        <v>64</v>
      </c>
      <c r="D7" s="231">
        <f>+'[3]Sun Country Cargo'!$HH$19</f>
        <v>127</v>
      </c>
      <c r="E7" s="349">
        <f>(C7-D7)/D7</f>
        <v>-0.49606299212598426</v>
      </c>
      <c r="F7" s="347">
        <f>+SUM('[3]Sun Country Cargo'!$HR$19:$HV$19)</f>
        <v>505</v>
      </c>
      <c r="G7" s="231">
        <f>+SUM('[3]Sun Country Cargo'!$HD$19:$HH$19)</f>
        <v>464</v>
      </c>
      <c r="H7" s="348">
        <f>(F7-G7)/G7</f>
        <v>8.8362068965517238E-2</v>
      </c>
      <c r="I7" s="349">
        <f>+F7/$F$34</f>
        <v>7.7075702075702079E-2</v>
      </c>
      <c r="J7" s="38"/>
      <c r="K7" s="343" t="s">
        <v>49</v>
      </c>
      <c r="L7" s="347">
        <f>+'[3]Sun Country Cargo'!$HV$64</f>
        <v>1798583</v>
      </c>
      <c r="M7" s="231">
        <f>+'[3]Sun Country Cargo'!$HH$64</f>
        <v>2977764</v>
      </c>
      <c r="N7" s="349">
        <f>(L7-M7)/M7</f>
        <v>-0.39599545162074629</v>
      </c>
      <c r="O7" s="231">
        <f>+SUM('[3]Sun Country Cargo'!$HR$64:$HV$64)</f>
        <v>12686726</v>
      </c>
      <c r="P7" s="231">
        <f>+SUM('[3]Sun Country Cargo'!$HD$64:$HH$64)</f>
        <v>12216964</v>
      </c>
      <c r="Q7" s="348">
        <f>(O7-P7)/P7</f>
        <v>3.8451615311299925E-2</v>
      </c>
      <c r="R7" s="349">
        <f>O7/$O$34</f>
        <v>7.3111158474984825E-2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156</v>
      </c>
      <c r="D9" s="417">
        <f>SUM(D10:D18)</f>
        <v>138</v>
      </c>
      <c r="E9" s="418">
        <f>(C9-D9)/D9</f>
        <v>0.13043478260869565</v>
      </c>
      <c r="F9" s="417">
        <f>SUM(F10:F18)</f>
        <v>734</v>
      </c>
      <c r="G9" s="417">
        <f>SUM(G10:G18)</f>
        <v>660</v>
      </c>
      <c r="H9" s="419">
        <f>(F9-G9)/G9</f>
        <v>0.11212121212121212</v>
      </c>
      <c r="I9" s="418">
        <f t="shared" ref="I9:I18" si="0">+F9/$F$34</f>
        <v>0.11202686202686203</v>
      </c>
      <c r="J9" s="283" t="s">
        <v>212</v>
      </c>
      <c r="K9" s="40"/>
      <c r="L9" s="417">
        <f>SUM(L10:L18)</f>
        <v>3310533</v>
      </c>
      <c r="M9" s="417">
        <f>SUM(M10:M18)</f>
        <v>1361269</v>
      </c>
      <c r="N9" s="418">
        <f t="shared" ref="N9:N18" si="1">(L9-M9)/M9</f>
        <v>1.431946220769003</v>
      </c>
      <c r="O9" s="417">
        <f>SUM(O10:O18)</f>
        <v>9505326</v>
      </c>
      <c r="P9" s="417">
        <f>SUM(P10:P18)</f>
        <v>6688722</v>
      </c>
      <c r="Q9" s="419">
        <f t="shared" ref="Q9:Q18" si="2">(O9-P9)/P9</f>
        <v>0.42109748319634155</v>
      </c>
      <c r="R9" s="418">
        <f t="shared" ref="R9:R18" si="3">O9/$O$34</f>
        <v>5.4777363012521396E-2</v>
      </c>
      <c r="T9" s="433"/>
    </row>
    <row r="10" spans="1:20" ht="14.1" customHeight="1" x14ac:dyDescent="0.2">
      <c r="A10" s="283"/>
      <c r="B10" s="343" t="s">
        <v>213</v>
      </c>
      <c r="C10" s="347">
        <f>+[3]Airborne!$HV$19</f>
        <v>4</v>
      </c>
      <c r="D10" s="231">
        <f>+[3]Airborne!$HH$19</f>
        <v>0</v>
      </c>
      <c r="E10" s="349" t="e">
        <f>(C10-D10)/D10</f>
        <v>#DIV/0!</v>
      </c>
      <c r="F10" s="347">
        <f>+SUM([3]Airborne!$HR$19:$HV$19)</f>
        <v>10</v>
      </c>
      <c r="G10" s="231">
        <f>+SUM([3]Airborne!$HD$19:$HH$19)</f>
        <v>0</v>
      </c>
      <c r="H10" s="348" t="e">
        <f>(F10-G10)/G10</f>
        <v>#DIV/0!</v>
      </c>
      <c r="I10" s="349">
        <f t="shared" si="0"/>
        <v>1.5262515262515263E-3</v>
      </c>
      <c r="J10" s="283"/>
      <c r="K10" s="343" t="s">
        <v>213</v>
      </c>
      <c r="L10" s="347">
        <f>+[3]Airborne!$HV$64</f>
        <v>131604</v>
      </c>
      <c r="M10" s="231">
        <f>+[3]Airborne!$HH$64</f>
        <v>0</v>
      </c>
      <c r="N10" s="349" t="e">
        <f t="shared" si="1"/>
        <v>#DIV/0!</v>
      </c>
      <c r="O10" s="347">
        <f>+SUM([3]Airborne!$HR$64:$HV$64)</f>
        <v>301038</v>
      </c>
      <c r="P10" s="231">
        <f>+SUM([3]Airborne!$HD$64:$HH$64)</f>
        <v>0</v>
      </c>
      <c r="Q10" s="348" t="e">
        <f t="shared" si="2"/>
        <v>#DIV/0!</v>
      </c>
      <c r="R10" s="349">
        <f t="shared" si="3"/>
        <v>1.7348240140909862E-3</v>
      </c>
      <c r="T10" s="433"/>
    </row>
    <row r="11" spans="1:20" ht="14.1" customHeight="1" x14ac:dyDescent="0.2">
      <c r="A11" s="283"/>
      <c r="B11" s="40" t="s">
        <v>211</v>
      </c>
      <c r="C11" s="347">
        <f>+[3]DHL_Atlas!$HV$19</f>
        <v>0</v>
      </c>
      <c r="D11" s="231">
        <f>+[3]DHL_Atlas!$HH$19</f>
        <v>0</v>
      </c>
      <c r="E11" s="349" t="e">
        <f t="shared" ref="E11:E18" si="4">(C11-D11)/D11</f>
        <v>#DIV/0!</v>
      </c>
      <c r="F11" s="347">
        <f>+SUM([3]DHL_Atlas!$HR$19:$HV$19)</f>
        <v>0</v>
      </c>
      <c r="G11" s="231">
        <f>+SUM([3]DHL_Atlas!$HD$19:$HH$19)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+[3]DHL_Atlas!$HV$64</f>
        <v>0</v>
      </c>
      <c r="M11" s="231">
        <f>+[3]DHL_Atlas!$HH$64</f>
        <v>0</v>
      </c>
      <c r="N11" s="349" t="e">
        <f t="shared" si="1"/>
        <v>#DIV/0!</v>
      </c>
      <c r="O11" s="347">
        <f>+SUM([3]DHL_Atlas!$HR$64:$HV$64)</f>
        <v>0</v>
      </c>
      <c r="P11" s="231">
        <f>+SUM([3]DHL_Atlas!$HD$64:$HH$64)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+[3]DHL!$HV$19</f>
        <v>0</v>
      </c>
      <c r="D12" s="231">
        <f>+[3]DHL!$HH$19</f>
        <v>0</v>
      </c>
      <c r="E12" s="349" t="e">
        <f t="shared" si="4"/>
        <v>#DIV/0!</v>
      </c>
      <c r="F12" s="347">
        <f>+SUM([3]DHL!$HR$19:$HV$19)</f>
        <v>0</v>
      </c>
      <c r="G12" s="231">
        <f>+SUM([3]DHL!$HD$19:$HH$19)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+[3]DHL!$HV$64</f>
        <v>0</v>
      </c>
      <c r="M12" s="231">
        <f>+[3]DHL!$HH$64</f>
        <v>0</v>
      </c>
      <c r="N12" s="349" t="e">
        <f t="shared" si="1"/>
        <v>#DIV/0!</v>
      </c>
      <c r="O12" s="347">
        <f>+SUM([3]DHL!$HR$64:$HV$64)</f>
        <v>0</v>
      </c>
      <c r="P12" s="231">
        <f>+SUM([3]DHL!$HD$64:$HH$64)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+[3]DHL_Bemidji!$HV$19</f>
        <v>72</v>
      </c>
      <c r="D13" s="231">
        <f>+[3]DHL_Bemidji!$HH$19</f>
        <v>0</v>
      </c>
      <c r="E13" s="349" t="e">
        <f>(C13-D13)/D13</f>
        <v>#DIV/0!</v>
      </c>
      <c r="F13" s="347">
        <f>+SUM([3]DHL_Bemidji!$HR$19:$HV$19)</f>
        <v>386</v>
      </c>
      <c r="G13" s="231">
        <f>+SUM([3]DHL_Bemidji!$HD$19:$HH$19)</f>
        <v>0</v>
      </c>
      <c r="H13" s="348" t="e">
        <f t="shared" si="5"/>
        <v>#DIV/0!</v>
      </c>
      <c r="I13" s="349">
        <f t="shared" si="0"/>
        <v>5.8913308913308912E-2</v>
      </c>
      <c r="J13" s="283"/>
      <c r="K13" s="343" t="s">
        <v>83</v>
      </c>
      <c r="L13" s="347">
        <f>+[3]DHL_Bemidji!$HV$64</f>
        <v>98741</v>
      </c>
      <c r="M13" s="231">
        <f>+[3]DHL_Bemidji!$HH$64</f>
        <v>0</v>
      </c>
      <c r="N13" s="349" t="e">
        <f t="shared" si="1"/>
        <v>#DIV/0!</v>
      </c>
      <c r="O13" s="347">
        <f>+SUM([3]DHL_Bemidji!$HR$64:$HV$64)</f>
        <v>546973</v>
      </c>
      <c r="P13" s="231">
        <f>+SUM([3]DHL_Bemidji!$HD$64:$HH$64)</f>
        <v>0</v>
      </c>
      <c r="Q13" s="348" t="e">
        <f t="shared" si="2"/>
        <v>#DIV/0!</v>
      </c>
      <c r="R13" s="349">
        <f t="shared" si="3"/>
        <v>3.1521000520179812E-3</v>
      </c>
      <c r="T13" s="433"/>
    </row>
    <row r="14" spans="1:20" ht="14.1" customHeight="1" x14ac:dyDescent="0.2">
      <c r="A14" s="283"/>
      <c r="B14" s="40" t="s">
        <v>201</v>
      </c>
      <c r="C14" s="347">
        <f>+[3]Encore!$HV$19+[3]DHL_Encore!$HV$12</f>
        <v>0</v>
      </c>
      <c r="D14" s="231">
        <f>+[3]Encore!$HH$19+[3]DHL_Encore!$HH$19</f>
        <v>86</v>
      </c>
      <c r="E14" s="349">
        <f t="shared" si="4"/>
        <v>-1</v>
      </c>
      <c r="F14" s="347">
        <f>+SUM([3]Encore!$HR$19:$HV$19)+SUM([3]DHL_Encore!$HR$19:$HV$19)</f>
        <v>0</v>
      </c>
      <c r="G14" s="231">
        <f>+SUM([3]Encore!$HD$19:$HH$19)+SUM([3]DHL_Encore!$HD$19:$HH$19)</f>
        <v>416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+[3]Encore!$HV$64+[3]DHL_Encore!$HV$64</f>
        <v>0</v>
      </c>
      <c r="M14" s="231">
        <f>+[3]Encore!$HEW$64+[3]DHL_Encore!$HH$64</f>
        <v>145075</v>
      </c>
      <c r="N14" s="349">
        <f>(L14-M14)/M14</f>
        <v>-1</v>
      </c>
      <c r="O14" s="347">
        <f>+SUM([3]Encore!$HR$64:$HV$64)+SUM([3]DHL_Encore!$HR$64:$HV$64)</f>
        <v>0</v>
      </c>
      <c r="P14" s="231">
        <f>+SUM([3]Encore!$HD$64:$HH$64)+SUM([3]DHL_Encore!$HD$64:$HH$64)</f>
        <v>724220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+[3]DHL_Kalitta!$HV$19</f>
        <v>0</v>
      </c>
      <c r="D15" s="231">
        <f>+[3]DHL_Kalitta!$HH$19</f>
        <v>0</v>
      </c>
      <c r="E15" s="349" t="e">
        <f t="shared" si="4"/>
        <v>#DIV/0!</v>
      </c>
      <c r="F15" s="347">
        <f>+SUM([3]DHL_Kalitta!$HR$19:$HV$19)</f>
        <v>2</v>
      </c>
      <c r="G15" s="231">
        <f>+SUM([3]DHL_Kalitta!$HD$19:$HH$19)</f>
        <v>68</v>
      </c>
      <c r="H15" s="348">
        <f t="shared" si="5"/>
        <v>-0.97058823529411764</v>
      </c>
      <c r="I15" s="349">
        <f t="shared" si="0"/>
        <v>3.0525030525030525E-4</v>
      </c>
      <c r="J15" s="283"/>
      <c r="K15" s="40" t="s">
        <v>215</v>
      </c>
      <c r="L15" s="347">
        <f>+[3]DHL_Kalitta!$HV$64</f>
        <v>0</v>
      </c>
      <c r="M15" s="231">
        <f>+[3]DHL_Kalitta!$HH$64</f>
        <v>0</v>
      </c>
      <c r="N15" s="349" t="e">
        <f t="shared" si="1"/>
        <v>#DIV/0!</v>
      </c>
      <c r="O15" s="347">
        <f>+SUM([3]DHL_Kalitta!$HR$64:$HV$64)</f>
        <v>43161</v>
      </c>
      <c r="P15" s="231">
        <f>+SUM([3]DHL_Kalitta!$HD$64:$HH$64)</f>
        <v>1764191</v>
      </c>
      <c r="Q15" s="348">
        <f t="shared" si="2"/>
        <v>-0.97553496191738875</v>
      </c>
      <c r="R15" s="349">
        <f t="shared" si="3"/>
        <v>2.4872853019280305E-4</v>
      </c>
      <c r="T15" s="433"/>
    </row>
    <row r="16" spans="1:20" ht="14.1" customHeight="1" x14ac:dyDescent="0.2">
      <c r="A16" s="283"/>
      <c r="B16" s="343" t="s">
        <v>51</v>
      </c>
      <c r="C16" s="347">
        <f>+[3]Encore!$HV$19+[3]DHL_Mesa!$HV$12</f>
        <v>78</v>
      </c>
      <c r="D16" s="231">
        <f>+[3]Encore!$HH$19+[3]DHL_Mesa!$HH$19</f>
        <v>0</v>
      </c>
      <c r="E16" s="349" t="e">
        <f t="shared" ref="E16" si="6">(C16-D16)/D16</f>
        <v>#DIV/0!</v>
      </c>
      <c r="F16" s="347">
        <f>+SUM([3]Encore!$HR$19:$HV$19)+SUM([3]DHL_Mesa!$HR$19:$HV$19)</f>
        <v>78</v>
      </c>
      <c r="G16" s="231">
        <f>+SUM([3]Encore!$HD$19:$HH$19)+SUM([3]DHL_Mesa!$HD$19:$HH$19)</f>
        <v>0</v>
      </c>
      <c r="H16" s="348" t="e">
        <f t="shared" ref="H16" si="7">(F16-G16)/G16</f>
        <v>#DIV/0!</v>
      </c>
      <c r="I16" s="349">
        <f t="shared" si="0"/>
        <v>1.1904761904761904E-2</v>
      </c>
      <c r="J16" s="283"/>
      <c r="K16" s="343" t="s">
        <v>51</v>
      </c>
      <c r="L16" s="347">
        <f>+[3]Encore!$HV$64+[3]DHL_Mesa!$HV$64</f>
        <v>1540094</v>
      </c>
      <c r="M16" s="231">
        <f>+[3]Encore!$HEW$64+[3]DHL_Mesa!$HH$64</f>
        <v>0</v>
      </c>
      <c r="N16" s="349" t="e">
        <f t="shared" ref="N16" si="8">(L16-M16)/M16</f>
        <v>#DIV/0!</v>
      </c>
      <c r="O16" s="347">
        <f>+SUM([3]Encore!$HR$64:$HV$64)+SUM([3]DHL_Mesa!$HR$64:$HV$64)</f>
        <v>1540094</v>
      </c>
      <c r="P16" s="231">
        <f>+SUM([3]Encore!$HD$64:$HH$64)+SUM([3]DHL_Mesa!$HD$64:$HH$64)</f>
        <v>0</v>
      </c>
      <c r="Q16" s="348" t="e">
        <f t="shared" ref="Q16" si="9">(O16-P16)/P16</f>
        <v>#DIV/0!</v>
      </c>
      <c r="R16" s="349">
        <f t="shared" si="3"/>
        <v>8.8752650999456648E-3</v>
      </c>
      <c r="T16" s="433"/>
    </row>
    <row r="17" spans="1:20" ht="14.1" customHeight="1" x14ac:dyDescent="0.2">
      <c r="A17" s="283"/>
      <c r="B17" s="40" t="s">
        <v>216</v>
      </c>
      <c r="C17" s="347">
        <f>+[3]DHL_Southair!$HV$19</f>
        <v>0</v>
      </c>
      <c r="D17" s="231">
        <f>+[3]DHL_Southair!$HH$19</f>
        <v>0</v>
      </c>
      <c r="E17" s="349" t="e">
        <f t="shared" si="4"/>
        <v>#DIV/0!</v>
      </c>
      <c r="F17" s="347">
        <f>+SUM([3]DHL_Southair!$HR$19:$HV$19)</f>
        <v>0</v>
      </c>
      <c r="G17" s="231">
        <f>+SUM([3]DHL_Southair!$HD$19:$HH$19)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+[3]DHL_Southair!$HV$64</f>
        <v>0</v>
      </c>
      <c r="M17" s="231">
        <f>+[3]DHL_Southair!$HH$64</f>
        <v>0</v>
      </c>
      <c r="N17" s="349" t="e">
        <f t="shared" si="1"/>
        <v>#DIV/0!</v>
      </c>
      <c r="O17" s="347">
        <f>+SUM([3]DHL_Southair!$HR$64:$HV$64)</f>
        <v>0</v>
      </c>
      <c r="P17" s="231">
        <f>+SUM([3]DHL_Southair!$HD$64:$HH$64)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+[3]DHL_Swift!$HV$19</f>
        <v>2</v>
      </c>
      <c r="D18" s="231">
        <f>+[3]DHL_Swift!$HH$19</f>
        <v>52</v>
      </c>
      <c r="E18" s="349">
        <f t="shared" si="4"/>
        <v>-0.96153846153846156</v>
      </c>
      <c r="F18" s="347">
        <f>+SUM([3]DHL_Swift!$HR$19:$HV$19)</f>
        <v>258</v>
      </c>
      <c r="G18" s="231">
        <f>+SUM([3]DHL_Swift!$HD$19:$HH$19)</f>
        <v>164</v>
      </c>
      <c r="H18" s="348">
        <f t="shared" si="5"/>
        <v>0.57317073170731703</v>
      </c>
      <c r="I18" s="349">
        <f t="shared" si="0"/>
        <v>3.9377289377289376E-2</v>
      </c>
      <c r="J18" s="283"/>
      <c r="K18" s="40" t="s">
        <v>217</v>
      </c>
      <c r="L18" s="347">
        <f>+[3]DHL_Swift!$HV$64</f>
        <v>1540094</v>
      </c>
      <c r="M18" s="231">
        <f>+[3]DHL_Swift!$HH$64</f>
        <v>1216194</v>
      </c>
      <c r="N18" s="349">
        <f t="shared" si="1"/>
        <v>0.266322642604716</v>
      </c>
      <c r="O18" s="347">
        <f>+SUM([3]DHL_Swift!$HR$64:$HV$64)</f>
        <v>7074060</v>
      </c>
      <c r="P18" s="231">
        <f>+SUM([3]DHL_Swift!$HD$64:$HH$64)</f>
        <v>3940741</v>
      </c>
      <c r="Q18" s="348">
        <f t="shared" si="2"/>
        <v>0.79510909242703343</v>
      </c>
      <c r="R18" s="349">
        <f t="shared" si="3"/>
        <v>4.0766445316273964E-2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334</v>
      </c>
      <c r="D20" s="417">
        <f>SUM(D21:D24)</f>
        <v>352</v>
      </c>
      <c r="E20" s="418">
        <f>(C20-D20)/D20</f>
        <v>-5.113636363636364E-2</v>
      </c>
      <c r="F20" s="421">
        <f>SUM(F21:F24)</f>
        <v>1646</v>
      </c>
      <c r="G20" s="417">
        <f>SUM(G21:G24)</f>
        <v>1778</v>
      </c>
      <c r="H20" s="419">
        <f t="shared" ref="H20:H21" si="10">(F20-G20)/G20</f>
        <v>-7.4240719910011244E-2</v>
      </c>
      <c r="I20" s="418">
        <f>+F20/$F$34</f>
        <v>0.25122100122100122</v>
      </c>
      <c r="J20" s="283"/>
      <c r="K20" s="40"/>
      <c r="L20" s="421">
        <f>SUM(L21:L24)</f>
        <v>14976425</v>
      </c>
      <c r="M20" s="417">
        <f>SUM(M21:M24)</f>
        <v>16499811</v>
      </c>
      <c r="N20" s="418">
        <f>(L20-M20)/M20</f>
        <v>-9.2327481811761355E-2</v>
      </c>
      <c r="O20" s="421">
        <f>SUM(O21:O24)</f>
        <v>74046964</v>
      </c>
      <c r="P20" s="417">
        <f>SUM(P21:P24)</f>
        <v>82478608</v>
      </c>
      <c r="Q20" s="419">
        <f t="shared" ref="Q20:Q22" si="11">(O20-P20)/P20</f>
        <v>-0.10222825293074782</v>
      </c>
      <c r="R20" s="418">
        <f>O20/$O$34</f>
        <v>0.4267183920891407</v>
      </c>
      <c r="T20" s="433"/>
    </row>
    <row r="21" spans="1:20" ht="14.1" customHeight="1" x14ac:dyDescent="0.2">
      <c r="A21" s="38"/>
      <c r="B21" s="343" t="s">
        <v>185</v>
      </c>
      <c r="C21" s="347">
        <f>+[3]FedEx!$HV$19</f>
        <v>262</v>
      </c>
      <c r="D21" s="231">
        <f>+[3]FedEx!$HH$19</f>
        <v>280</v>
      </c>
      <c r="E21" s="349">
        <f>(C21-D21)/D21</f>
        <v>-6.4285714285714279E-2</v>
      </c>
      <c r="F21" s="347">
        <f>+SUM([3]FedEx!$HR$19:$HV$19)</f>
        <v>1298</v>
      </c>
      <c r="G21" s="231">
        <f>+SUM([3]FedEx!$HD$19:$HH$19)</f>
        <v>1414</v>
      </c>
      <c r="H21" s="348">
        <f t="shared" si="10"/>
        <v>-8.2036775106082038E-2</v>
      </c>
      <c r="I21" s="349">
        <f>+F21/$F$34</f>
        <v>0.1981074481074481</v>
      </c>
      <c r="J21" s="399"/>
      <c r="K21" s="343" t="s">
        <v>185</v>
      </c>
      <c r="L21" s="347">
        <f>+[3]FedEx!$HV$64</f>
        <v>14644323</v>
      </c>
      <c r="M21" s="231">
        <f>+[3]FedEx!$HH$64</f>
        <v>16270353</v>
      </c>
      <c r="N21" s="349">
        <f>(L21-M21)/M21</f>
        <v>-9.9938212772642365E-2</v>
      </c>
      <c r="O21" s="347">
        <f>+SUM([3]FedEx!$HR$64:$HV$64)</f>
        <v>72998632</v>
      </c>
      <c r="P21" s="231">
        <f>+SUM([3]FedEx!$HD$64:$HH$64)</f>
        <v>81655820</v>
      </c>
      <c r="Q21" s="348">
        <f t="shared" si="11"/>
        <v>-0.10602046492215741</v>
      </c>
      <c r="R21" s="349">
        <f>O21/$O$34</f>
        <v>0.42067705668184985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Cargo'!$HV$19</f>
        <v>40</v>
      </c>
      <c r="D22" s="231">
        <f>+'[3]Mountain Cargo'!$HH$19</f>
        <v>42</v>
      </c>
      <c r="E22" s="349">
        <f>(C22-D22)/D22</f>
        <v>-4.7619047619047616E-2</v>
      </c>
      <c r="F22" s="347">
        <f>+SUM('[3]Mountain Cargo'!$HR$19:$HV$19)</f>
        <v>202</v>
      </c>
      <c r="G22" s="231">
        <f>+SUM('[3]Mountain Cargo'!$HD$19:$HH$19)</f>
        <v>212</v>
      </c>
      <c r="H22" s="348">
        <f>(F22-G22)/G22</f>
        <v>-4.716981132075472E-2</v>
      </c>
      <c r="I22" s="349">
        <f>+F22/$F$34</f>
        <v>3.0830280830280832E-2</v>
      </c>
      <c r="J22" s="399"/>
      <c r="K22" s="343" t="s">
        <v>218</v>
      </c>
      <c r="L22" s="347">
        <f>+'[3]Mountain Cargo'!$HV$64</f>
        <v>269963</v>
      </c>
      <c r="M22" s="231">
        <f>+'[3]Mountain Cargo'!$HH$64</f>
        <v>184077</v>
      </c>
      <c r="N22" s="349">
        <f>(L22-M22)/M22</f>
        <v>0.46657648701358673</v>
      </c>
      <c r="O22" s="347">
        <f>+SUM('[3]Mountain Cargo'!$HR$64:$HV$64)</f>
        <v>780125</v>
      </c>
      <c r="P22" s="231">
        <f>+SUM('[3]Mountain Cargo'!$HD$64:$HH$64)</f>
        <v>615083</v>
      </c>
      <c r="Q22" s="348">
        <f t="shared" si="11"/>
        <v>0.26832476267430572</v>
      </c>
      <c r="R22" s="349">
        <f>O22/$O$34</f>
        <v>4.4957101229503599E-3</v>
      </c>
      <c r="T22" s="433"/>
    </row>
    <row r="23" spans="1:20" ht="14.1" customHeight="1" x14ac:dyDescent="0.2">
      <c r="A23" s="38"/>
      <c r="B23" s="343" t="s">
        <v>177</v>
      </c>
      <c r="C23" s="347">
        <f>+[3]IFL!$HV$19</f>
        <v>32</v>
      </c>
      <c r="D23" s="231">
        <f>+[3]IFL!$HH$19</f>
        <v>30</v>
      </c>
      <c r="E23" s="349">
        <f>(C23-D23)/D23</f>
        <v>6.6666666666666666E-2</v>
      </c>
      <c r="F23" s="347">
        <f>+SUM([3]IFL!$HR$19:$HV$19)</f>
        <v>146</v>
      </c>
      <c r="G23" s="231">
        <f>+SUM([3]IFL!$HD$19:$HH$19)</f>
        <v>152</v>
      </c>
      <c r="H23" s="348">
        <f>(F23-G23)/G23</f>
        <v>-3.9473684210526314E-2</v>
      </c>
      <c r="I23" s="349">
        <f>+F23/$F$34</f>
        <v>2.2283272283272284E-2</v>
      </c>
      <c r="J23" s="283"/>
      <c r="K23" s="343" t="s">
        <v>177</v>
      </c>
      <c r="L23" s="347">
        <f>+[3]IFL!$HV$64</f>
        <v>62139</v>
      </c>
      <c r="M23" s="231">
        <f>+[3]IFL!$HH$64</f>
        <v>45381</v>
      </c>
      <c r="N23" s="349">
        <f>(L23-M23)/M23</f>
        <v>0.36927348449791764</v>
      </c>
      <c r="O23" s="347">
        <f>+SUM([3]IFL!$HR$64:$HV$64)</f>
        <v>268207</v>
      </c>
      <c r="P23" s="231">
        <f>+SUM([3]IFL!$HD$64:$HH$64)</f>
        <v>207705</v>
      </c>
      <c r="Q23" s="348">
        <f>(O23-P23)/P23</f>
        <v>0.2912881249849546</v>
      </c>
      <c r="R23" s="349">
        <f>O23/$O$34</f>
        <v>1.5456252843405189E-3</v>
      </c>
      <c r="T23" s="433"/>
    </row>
    <row r="24" spans="1:20" ht="14.1" customHeight="1" x14ac:dyDescent="0.2">
      <c r="A24" s="283"/>
      <c r="B24" s="343" t="s">
        <v>84</v>
      </c>
      <c r="C24" s="347">
        <f>+'[3]CSA Air'!$HV$19</f>
        <v>0</v>
      </c>
      <c r="D24" s="231">
        <f>+'[3]CSA Air'!$HH$19</f>
        <v>0</v>
      </c>
      <c r="E24" s="349" t="e">
        <f>(C24-D24)/D24</f>
        <v>#DIV/0!</v>
      </c>
      <c r="F24" s="347">
        <f>+SUM('[3]CSA Air'!$HR$19:$HV$19)</f>
        <v>0</v>
      </c>
      <c r="G24" s="231">
        <f>+SUM('[3]CSA Air'!$HD$19:$HH$19)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Air'!$HV$64</f>
        <v>0</v>
      </c>
      <c r="M24" s="231">
        <f>+'[3]CSA Air'!$HH$64</f>
        <v>0</v>
      </c>
      <c r="N24" s="349" t="e">
        <f>(L24-M24)/M24</f>
        <v>#DIV/0!</v>
      </c>
      <c r="O24" s="347">
        <f>+SUM('[3]CSA Air'!$HR$64:$HV$64)</f>
        <v>0</v>
      </c>
      <c r="P24" s="231">
        <f>+SUM('[3]CSA Air'!$HD$64:$HH$64)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668</v>
      </c>
      <c r="D26" s="417">
        <f>SUM(D27:D28)</f>
        <v>698</v>
      </c>
      <c r="E26" s="418">
        <f>(C26-D26)/D26</f>
        <v>-4.2979942693409739E-2</v>
      </c>
      <c r="F26" s="417">
        <f>SUM(F27:F28)</f>
        <v>3367</v>
      </c>
      <c r="G26" s="417">
        <f>SUM(G27:G28)</f>
        <v>3546</v>
      </c>
      <c r="H26" s="419">
        <f>(F26-G26)/G26</f>
        <v>-5.0479413423575863E-2</v>
      </c>
      <c r="I26" s="418">
        <f>+F26/$F$34</f>
        <v>0.51388888888888884</v>
      </c>
      <c r="J26" s="283" t="s">
        <v>82</v>
      </c>
      <c r="K26" s="40"/>
      <c r="L26" s="417">
        <f>SUM(L27:L28)</f>
        <v>12136230</v>
      </c>
      <c r="M26" s="417">
        <f>SUM(M27:M28)</f>
        <v>13074677</v>
      </c>
      <c r="N26" s="418">
        <f>(L26-M26)/M26</f>
        <v>-7.1775922265613135E-2</v>
      </c>
      <c r="O26" s="417">
        <f>SUM(O27:O28)</f>
        <v>62512651</v>
      </c>
      <c r="P26" s="417">
        <f>SUM(P27:P28)</f>
        <v>67178368</v>
      </c>
      <c r="Q26" s="419">
        <f>(O26-P26)/P26</f>
        <v>-6.9452669645085757E-2</v>
      </c>
      <c r="R26" s="418">
        <f>O26/$O$34</f>
        <v>0.36024836777844954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+[3]UPS!$HV$19</f>
        <v>268</v>
      </c>
      <c r="D27" s="231">
        <f>+[3]UPS!$HH$19</f>
        <v>304</v>
      </c>
      <c r="E27" s="349">
        <f>(C27-D27)/D27</f>
        <v>-0.11842105263157894</v>
      </c>
      <c r="F27" s="347">
        <f>+SUM([3]UPS!$HR$19:$HV$19)</f>
        <v>1419</v>
      </c>
      <c r="G27" s="231">
        <f>+SUM([3]UPS!$HD$19:$HH$19)</f>
        <v>1520</v>
      </c>
      <c r="H27" s="348">
        <f>(F27-G27)/G27</f>
        <v>-6.644736842105263E-2</v>
      </c>
      <c r="I27" s="349">
        <f>+F27/$F$34</f>
        <v>0.21657509157509158</v>
      </c>
      <c r="J27" s="283"/>
      <c r="K27" s="343" t="s">
        <v>82</v>
      </c>
      <c r="L27" s="347">
        <f>+[3]UPS!$HV$64</f>
        <v>12136230</v>
      </c>
      <c r="M27" s="231">
        <f>+[3]UPS!$HH$64</f>
        <v>13074677</v>
      </c>
      <c r="N27" s="349">
        <f>(L27-M27)/M27</f>
        <v>-7.1775922265613135E-2</v>
      </c>
      <c r="O27" s="347">
        <f>+SUM([3]UPS!$HR$64:$HV$64)</f>
        <v>62512651</v>
      </c>
      <c r="P27" s="231">
        <f>+SUM([3]UPS!$HD$64:$HH$64)</f>
        <v>67178368</v>
      </c>
      <c r="Q27" s="348">
        <f>(O27-P27)/P27</f>
        <v>-6.9452669645085757E-2</v>
      </c>
      <c r="R27" s="349">
        <f>O27/$O$34</f>
        <v>0.36024836777844954</v>
      </c>
      <c r="S27" s="370"/>
      <c r="T27" s="435"/>
    </row>
    <row r="28" spans="1:20" x14ac:dyDescent="0.2">
      <c r="A28" s="283"/>
      <c r="B28" s="343" t="s">
        <v>83</v>
      </c>
      <c r="C28" s="347">
        <f>+[3]Bemidji!$HV$19</f>
        <v>400</v>
      </c>
      <c r="D28" s="231">
        <f>+[3]Bemidji!$HH$19</f>
        <v>394</v>
      </c>
      <c r="E28" s="349">
        <f>(C28-D28)/D28</f>
        <v>1.5228426395939087E-2</v>
      </c>
      <c r="F28" s="347">
        <f>+SUM([3]Bemidji!$HR$19:$HV$19)</f>
        <v>1948</v>
      </c>
      <c r="G28" s="231">
        <f>+SUM([3]Bemidji!$HD$19:$HH$19)</f>
        <v>2026</v>
      </c>
      <c r="H28" s="348">
        <f t="shared" ref="H28" si="14">(F28-G28)/G28</f>
        <v>-3.8499506416584402E-2</v>
      </c>
      <c r="I28" s="349">
        <f>+F28/$F$34</f>
        <v>0.29731379731379731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Cargo'!$HV$19</f>
        <v>0</v>
      </c>
      <c r="D30" s="417">
        <f>+'[3]Misc Cargo'!$HH$19</f>
        <v>0</v>
      </c>
      <c r="E30" s="418" t="e">
        <f>(C30-D30)/D30</f>
        <v>#DIV/0!</v>
      </c>
      <c r="F30" s="421">
        <f>+SUM('[3]Misc Cargo'!$HR$19:$HV$19)</f>
        <v>2</v>
      </c>
      <c r="G30" s="417">
        <f>+SUM('[3]Misc Cargo'!$HD$19:$HH$19)</f>
        <v>4</v>
      </c>
      <c r="H30" s="419">
        <f>(F30-G30)/G30</f>
        <v>-0.5</v>
      </c>
      <c r="I30" s="418">
        <f>+F30/$F$34</f>
        <v>3.0525030525030525E-4</v>
      </c>
      <c r="J30" s="283" t="s">
        <v>127</v>
      </c>
      <c r="K30" s="40"/>
      <c r="L30" s="421">
        <f>+'[3]Misc Cargo'!$HV$64</f>
        <v>0</v>
      </c>
      <c r="M30" s="417">
        <f>+'[3]Misc Cargo'!$HH$64</f>
        <v>0</v>
      </c>
      <c r="N30" s="418" t="e">
        <f>(L30-M30)/M30</f>
        <v>#DIV/0!</v>
      </c>
      <c r="O30" s="421">
        <f>+SUM('[3]Misc Cargo'!$HR$64:$HV$64)</f>
        <v>0</v>
      </c>
      <c r="P30" s="417">
        <f>+SUM('[3]Misc Cargo'!$HD$64:$HH$64)</f>
        <v>4526</v>
      </c>
      <c r="Q30" s="419">
        <f>(O30-P30)/P30</f>
        <v>-1</v>
      </c>
      <c r="R30" s="418">
        <f>O30/$O$34</f>
        <v>0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1282</v>
      </c>
      <c r="D34" s="374">
        <f>+D30+D26+D20+D9+D5</f>
        <v>1377</v>
      </c>
      <c r="E34" s="375">
        <f>(C34-D34)/D34</f>
        <v>-6.8990559186637615E-2</v>
      </c>
      <c r="F34" s="374">
        <f>+F30+F26+F20+F9+F5</f>
        <v>6552</v>
      </c>
      <c r="G34" s="374">
        <f>+G30+G26+G20+G9+G5</f>
        <v>6603</v>
      </c>
      <c r="H34" s="376">
        <f>(F34-G34)/G34</f>
        <v>-7.7237619263970918E-3</v>
      </c>
      <c r="I34" s="385"/>
      <c r="K34" s="40"/>
      <c r="L34" s="374">
        <f>+L30+L26+L20+L9+L5</f>
        <v>35190740</v>
      </c>
      <c r="M34" s="374">
        <f>+M30+M26+M20+M9+M5</f>
        <v>36216799</v>
      </c>
      <c r="N34" s="377">
        <f>(L34-M34)/M34</f>
        <v>-2.8331023953828718E-2</v>
      </c>
      <c r="O34" s="374">
        <f>+O30+O26+O20+O9+O5</f>
        <v>173526535</v>
      </c>
      <c r="P34" s="374">
        <f>+P30+P26+P20+P9+P5</f>
        <v>173854541</v>
      </c>
      <c r="Q34" s="376">
        <f t="shared" ref="Q34" si="15">(O34-P34)/P34</f>
        <v>-1.8866691552221232E-3</v>
      </c>
      <c r="R34" s="385"/>
      <c r="T34" s="433"/>
    </row>
    <row r="35" spans="2:20" x14ac:dyDescent="0.2">
      <c r="L35" s="282"/>
      <c r="T35" s="433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2023-01-26T18:20:35Z</dcterms:modified>
</cp:coreProperties>
</file>