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0AA68818-C6A7-41D3-ACD8-AC58BBC35DA8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Activity'!$A$1:$AA$74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" l="1"/>
  <c r="E10" i="7"/>
  <c r="J36" i="16" l="1"/>
  <c r="J35" i="16"/>
  <c r="J29" i="16"/>
  <c r="J28" i="16"/>
  <c r="J23" i="16"/>
  <c r="J22" i="16"/>
  <c r="J18" i="16"/>
  <c r="J17" i="16"/>
  <c r="J10" i="16"/>
  <c r="J9" i="16"/>
  <c r="J5" i="16"/>
  <c r="J4" i="16"/>
  <c r="F16" i="2"/>
  <c r="F15" i="2"/>
  <c r="F10" i="2"/>
  <c r="F9" i="2"/>
  <c r="F5" i="2"/>
  <c r="F4" i="2"/>
  <c r="Y68" i="9" l="1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59" i="9"/>
  <c r="V59" i="9"/>
  <c r="P59" i="9"/>
  <c r="M59" i="9"/>
  <c r="G59" i="9"/>
  <c r="D59" i="9"/>
  <c r="Y57" i="9"/>
  <c r="V57" i="9"/>
  <c r="P57" i="9"/>
  <c r="M57" i="9"/>
  <c r="G57" i="9"/>
  <c r="D57" i="9"/>
  <c r="Y55" i="9"/>
  <c r="V55" i="9"/>
  <c r="P55" i="9"/>
  <c r="M55" i="9"/>
  <c r="G55" i="9"/>
  <c r="D55" i="9"/>
  <c r="Y53" i="9"/>
  <c r="V53" i="9"/>
  <c r="P53" i="9"/>
  <c r="M53" i="9"/>
  <c r="G53" i="9"/>
  <c r="D53" i="9"/>
  <c r="Y51" i="9"/>
  <c r="V51" i="9"/>
  <c r="P51" i="9"/>
  <c r="M51" i="9"/>
  <c r="G51" i="9"/>
  <c r="D51" i="9"/>
  <c r="Y49" i="9"/>
  <c r="V49" i="9"/>
  <c r="P49" i="9"/>
  <c r="M49" i="9"/>
  <c r="G49" i="9"/>
  <c r="D49" i="9"/>
  <c r="Y47" i="9"/>
  <c r="V47" i="9"/>
  <c r="P47" i="9"/>
  <c r="M47" i="9"/>
  <c r="G47" i="9"/>
  <c r="D47" i="9"/>
  <c r="Y45" i="9"/>
  <c r="V45" i="9"/>
  <c r="P45" i="9"/>
  <c r="M45" i="9"/>
  <c r="G45" i="9"/>
  <c r="D45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6" i="9"/>
  <c r="V36" i="9"/>
  <c r="P36" i="9"/>
  <c r="M36" i="9"/>
  <c r="G36" i="9"/>
  <c r="D36" i="9"/>
  <c r="Y34" i="9"/>
  <c r="V34" i="9"/>
  <c r="P34" i="9"/>
  <c r="M34" i="9"/>
  <c r="G34" i="9"/>
  <c r="D34" i="9"/>
  <c r="Y32" i="9"/>
  <c r="V32" i="9"/>
  <c r="P32" i="9"/>
  <c r="M32" i="9"/>
  <c r="G32" i="9"/>
  <c r="D32" i="9"/>
  <c r="Y30" i="9"/>
  <c r="V30" i="9"/>
  <c r="P30" i="9"/>
  <c r="M30" i="9"/>
  <c r="G30" i="9"/>
  <c r="D30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59" i="9"/>
  <c r="U59" i="9"/>
  <c r="O59" i="9"/>
  <c r="L59" i="9"/>
  <c r="F59" i="9"/>
  <c r="C59" i="9"/>
  <c r="X57" i="9"/>
  <c r="U57" i="9"/>
  <c r="O57" i="9"/>
  <c r="L57" i="9"/>
  <c r="F57" i="9"/>
  <c r="C57" i="9"/>
  <c r="X55" i="9"/>
  <c r="U55" i="9"/>
  <c r="O55" i="9"/>
  <c r="L55" i="9"/>
  <c r="F55" i="9"/>
  <c r="C55" i="9"/>
  <c r="X53" i="9"/>
  <c r="U53" i="9"/>
  <c r="O53" i="9"/>
  <c r="L53" i="9"/>
  <c r="F53" i="9"/>
  <c r="C53" i="9"/>
  <c r="X51" i="9"/>
  <c r="U51" i="9"/>
  <c r="O51" i="9"/>
  <c r="L51" i="9"/>
  <c r="F51" i="9"/>
  <c r="C51" i="9"/>
  <c r="X49" i="9"/>
  <c r="U49" i="9"/>
  <c r="O49" i="9"/>
  <c r="L49" i="9"/>
  <c r="F49" i="9"/>
  <c r="C49" i="9"/>
  <c r="X47" i="9"/>
  <c r="U47" i="9"/>
  <c r="O47" i="9"/>
  <c r="L47" i="9"/>
  <c r="F47" i="9"/>
  <c r="C47" i="9"/>
  <c r="X45" i="9"/>
  <c r="U45" i="9"/>
  <c r="O45" i="9"/>
  <c r="L45" i="9"/>
  <c r="F45" i="9"/>
  <c r="C45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6" i="9"/>
  <c r="U36" i="9"/>
  <c r="O36" i="9"/>
  <c r="L36" i="9"/>
  <c r="F36" i="9"/>
  <c r="C36" i="9"/>
  <c r="X34" i="9"/>
  <c r="U34" i="9"/>
  <c r="O34" i="9"/>
  <c r="L34" i="9"/>
  <c r="F34" i="9"/>
  <c r="C34" i="9"/>
  <c r="X32" i="9"/>
  <c r="U32" i="9"/>
  <c r="O32" i="9"/>
  <c r="L32" i="9"/>
  <c r="F32" i="9"/>
  <c r="C32" i="9"/>
  <c r="X30" i="9"/>
  <c r="U30" i="9"/>
  <c r="O30" i="9"/>
  <c r="L30" i="9"/>
  <c r="F30" i="9"/>
  <c r="C30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5" i="7"/>
  <c r="J25" i="7"/>
  <c r="E25" i="7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E16" i="2"/>
  <c r="D16" i="2"/>
  <c r="C16" i="2"/>
  <c r="B16" i="2"/>
  <c r="I15" i="2"/>
  <c r="H15" i="2"/>
  <c r="G15" i="2"/>
  <c r="E15" i="2"/>
  <c r="D15" i="2"/>
  <c r="C15" i="2"/>
  <c r="B15" i="2"/>
  <c r="I10" i="2"/>
  <c r="H10" i="2"/>
  <c r="G10" i="2"/>
  <c r="E10" i="2"/>
  <c r="D10" i="2"/>
  <c r="C10" i="2"/>
  <c r="B10" i="2"/>
  <c r="I9" i="2"/>
  <c r="H9" i="2"/>
  <c r="G9" i="2"/>
  <c r="E9" i="2"/>
  <c r="D9" i="2"/>
  <c r="C9" i="2"/>
  <c r="B9" i="2"/>
  <c r="I5" i="2"/>
  <c r="H5" i="2"/>
  <c r="G5" i="2"/>
  <c r="E5" i="2"/>
  <c r="D5" i="2"/>
  <c r="C5" i="2"/>
  <c r="B5" i="2"/>
  <c r="I4" i="2"/>
  <c r="H4" i="2"/>
  <c r="G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4" i="7" l="1"/>
  <c r="M23" i="7"/>
  <c r="L23" i="7"/>
  <c r="J24" i="7"/>
  <c r="B23" i="7"/>
  <c r="C23" i="7"/>
  <c r="E24" i="7"/>
  <c r="G23" i="7" l="1"/>
  <c r="H23" i="7"/>
  <c r="O23" i="7"/>
  <c r="M22" i="7"/>
  <c r="L22" i="7"/>
  <c r="J23" i="7"/>
  <c r="E23" i="7"/>
  <c r="C22" i="7"/>
  <c r="B22" i="7"/>
  <c r="G9" i="17"/>
  <c r="N22" i="7" l="1"/>
  <c r="D22" i="7"/>
  <c r="N67" i="9"/>
  <c r="N65" i="9"/>
  <c r="W64" i="9"/>
  <c r="Z51" i="9"/>
  <c r="E49" i="9"/>
  <c r="H47" i="9"/>
  <c r="N45" i="9"/>
  <c r="W30" i="9"/>
  <c r="N30" i="9"/>
  <c r="N29" i="9"/>
  <c r="E28" i="9"/>
  <c r="N25" i="9"/>
  <c r="E20" i="9"/>
  <c r="L18" i="9"/>
  <c r="W16" i="9"/>
  <c r="N14" i="9"/>
  <c r="W12" i="9"/>
  <c r="H12" i="9"/>
  <c r="W9" i="9"/>
  <c r="E9" i="9"/>
  <c r="N8" i="9"/>
  <c r="W7" i="9"/>
  <c r="J2" i="9"/>
  <c r="S2" i="9" s="1"/>
  <c r="L38" i="16"/>
  <c r="D38" i="16"/>
  <c r="G38" i="9" l="1"/>
  <c r="Z10" i="9"/>
  <c r="Q16" i="9"/>
  <c r="Q68" i="9"/>
  <c r="Q4" i="9"/>
  <c r="Z65" i="9"/>
  <c r="Q65" i="9"/>
  <c r="N7" i="9"/>
  <c r="N16" i="9"/>
  <c r="E19" i="9"/>
  <c r="N68" i="9"/>
  <c r="N4" i="9"/>
  <c r="L6" i="9"/>
  <c r="H8" i="9"/>
  <c r="Q26" i="9"/>
  <c r="Z29" i="9"/>
  <c r="Z32" i="9"/>
  <c r="H44" i="9"/>
  <c r="Z59" i="9"/>
  <c r="H63" i="9"/>
  <c r="P38" i="16"/>
  <c r="Q8" i="9"/>
  <c r="V18" i="9"/>
  <c r="E45" i="9"/>
  <c r="C6" i="9"/>
  <c r="H38" i="16"/>
  <c r="E4" i="9"/>
  <c r="H20" i="9"/>
  <c r="X18" i="9"/>
  <c r="Z24" i="9"/>
  <c r="Z26" i="9"/>
  <c r="Q32" i="9"/>
  <c r="Z34" i="9"/>
  <c r="H41" i="9"/>
  <c r="Z43" i="9"/>
  <c r="Q44" i="9"/>
  <c r="Q47" i="9"/>
  <c r="C38" i="16"/>
  <c r="K38" i="16"/>
  <c r="Z4" i="9"/>
  <c r="W8" i="9"/>
  <c r="E10" i="9"/>
  <c r="D18" i="9"/>
  <c r="N28" i="9"/>
  <c r="W29" i="9"/>
  <c r="W47" i="9"/>
  <c r="N49" i="9"/>
  <c r="E51" i="9"/>
  <c r="W55" i="9"/>
  <c r="E65" i="9"/>
  <c r="W65" i="9"/>
  <c r="Z57" i="9"/>
  <c r="E40" i="9"/>
  <c r="E8" i="9"/>
  <c r="H29" i="9"/>
  <c r="E63" i="9"/>
  <c r="X6" i="9"/>
  <c r="V6" i="9"/>
  <c r="N12" i="9"/>
  <c r="E14" i="9"/>
  <c r="N36" i="9"/>
  <c r="Z67" i="9"/>
  <c r="Q57" i="9"/>
  <c r="O38" i="16"/>
  <c r="D6" i="9"/>
  <c r="N55" i="9"/>
  <c r="H59" i="9"/>
  <c r="N64" i="9"/>
  <c r="G38" i="16"/>
  <c r="Z19" i="9"/>
  <c r="N20" i="9"/>
  <c r="W21" i="9"/>
  <c r="P23" i="9"/>
  <c r="N41" i="9"/>
  <c r="E42" i="9"/>
  <c r="W42" i="9"/>
  <c r="H53" i="9"/>
  <c r="N59" i="9"/>
  <c r="E62" i="9"/>
  <c r="N38" i="16"/>
  <c r="M23" i="9"/>
  <c r="J38" i="16"/>
  <c r="E12" i="9"/>
  <c r="Q29" i="9"/>
  <c r="Q59" i="9"/>
  <c r="V61" i="9"/>
  <c r="F38" i="16"/>
  <c r="F23" i="9"/>
  <c r="Q43" i="9"/>
  <c r="G61" i="9"/>
  <c r="Y61" i="9"/>
  <c r="G6" i="9"/>
  <c r="L61" i="9"/>
  <c r="W20" i="9"/>
  <c r="N21" i="9"/>
  <c r="W41" i="9"/>
  <c r="Q53" i="9"/>
  <c r="H55" i="9"/>
  <c r="E59" i="9"/>
  <c r="H66" i="9"/>
  <c r="E38" i="16"/>
  <c r="M38" i="16"/>
  <c r="E7" i="9"/>
  <c r="P18" i="9"/>
  <c r="M18" i="9"/>
  <c r="N18" i="9" s="1"/>
  <c r="W25" i="9"/>
  <c r="N26" i="9"/>
  <c r="E30" i="9"/>
  <c r="E36" i="9"/>
  <c r="W36" i="9"/>
  <c r="Y38" i="9"/>
  <c r="N42" i="9"/>
  <c r="E43" i="9"/>
  <c r="W43" i="9"/>
  <c r="W51" i="9"/>
  <c r="H57" i="9"/>
  <c r="N62" i="9"/>
  <c r="Q63" i="9"/>
  <c r="E66" i="9"/>
  <c r="W66" i="9"/>
  <c r="W14" i="9"/>
  <c r="Z16" i="9"/>
  <c r="W19" i="9"/>
  <c r="E27" i="9"/>
  <c r="N32" i="9"/>
  <c r="P38" i="9"/>
  <c r="N44" i="9"/>
  <c r="Z47" i="9"/>
  <c r="N53" i="9"/>
  <c r="E55" i="9"/>
  <c r="Y6" i="9"/>
  <c r="N10" i="9"/>
  <c r="C23" i="9"/>
  <c r="E29" i="9"/>
  <c r="E34" i="9"/>
  <c r="W34" i="9"/>
  <c r="M38" i="9"/>
  <c r="W40" i="9"/>
  <c r="H43" i="9"/>
  <c r="W45" i="9"/>
  <c r="N47" i="9"/>
  <c r="N57" i="9"/>
  <c r="Q62" i="9"/>
  <c r="U61" i="9"/>
  <c r="Z66" i="9"/>
  <c r="U6" i="9"/>
  <c r="W6" i="9" s="1"/>
  <c r="P61" i="9"/>
  <c r="U72" i="9"/>
  <c r="I38" i="16"/>
  <c r="Q36" i="16"/>
  <c r="G18" i="9"/>
  <c r="Y18" i="9"/>
  <c r="H24" i="9"/>
  <c r="E26" i="9"/>
  <c r="H34" i="9"/>
  <c r="N43" i="9"/>
  <c r="Z45" i="9"/>
  <c r="W49" i="9"/>
  <c r="N51" i="9"/>
  <c r="E53" i="9"/>
  <c r="W62" i="9"/>
  <c r="N66" i="9"/>
  <c r="Q35" i="16"/>
  <c r="W4" i="9"/>
  <c r="P6" i="9"/>
  <c r="E16" i="9"/>
  <c r="U18" i="9"/>
  <c r="W18" i="9" s="1"/>
  <c r="N19" i="9"/>
  <c r="Q20" i="9"/>
  <c r="W26" i="9"/>
  <c r="E32" i="9"/>
  <c r="W32" i="9"/>
  <c r="C38" i="9"/>
  <c r="Q41" i="9"/>
  <c r="E44" i="9"/>
  <c r="W44" i="9"/>
  <c r="W53" i="9"/>
  <c r="W59" i="9"/>
  <c r="H65" i="9"/>
  <c r="D61" i="9"/>
  <c r="W67" i="9"/>
  <c r="W10" i="9"/>
  <c r="Z12" i="9"/>
  <c r="N24" i="9"/>
  <c r="W28" i="9"/>
  <c r="N34" i="9"/>
  <c r="D38" i="9"/>
  <c r="N40" i="9"/>
  <c r="E41" i="9"/>
  <c r="E47" i="9"/>
  <c r="Q51" i="9"/>
  <c r="E57" i="9"/>
  <c r="W57" i="9"/>
  <c r="N63" i="9"/>
  <c r="E64" i="9"/>
  <c r="M6" i="9"/>
  <c r="L23" i="9"/>
  <c r="N27" i="9"/>
  <c r="N39" i="9"/>
  <c r="L38" i="9"/>
  <c r="P72" i="9"/>
  <c r="C72" i="9"/>
  <c r="Q40" i="9"/>
  <c r="O72" i="9"/>
  <c r="H4" i="9"/>
  <c r="Q7" i="9"/>
  <c r="O6" i="9"/>
  <c r="N9" i="9"/>
  <c r="Q10" i="9"/>
  <c r="Z14" i="9"/>
  <c r="H26" i="9"/>
  <c r="G23" i="9"/>
  <c r="D72" i="9"/>
  <c r="D23" i="9"/>
  <c r="E25" i="9"/>
  <c r="E21" i="9"/>
  <c r="C18" i="9"/>
  <c r="H32" i="9"/>
  <c r="G72" i="9"/>
  <c r="V72" i="9"/>
  <c r="Q19" i="9"/>
  <c r="O18" i="9"/>
  <c r="W24" i="9"/>
  <c r="U23" i="9"/>
  <c r="X23" i="9"/>
  <c r="Z25" i="9"/>
  <c r="Y23" i="9"/>
  <c r="Z28" i="9"/>
  <c r="Z40" i="9"/>
  <c r="Y72" i="9"/>
  <c r="L72" i="9"/>
  <c r="X72" i="9"/>
  <c r="Q28" i="9"/>
  <c r="Z36" i="9"/>
  <c r="Z7" i="9"/>
  <c r="H10" i="9"/>
  <c r="F6" i="9"/>
  <c r="H16" i="9"/>
  <c r="V23" i="9"/>
  <c r="W27" i="9"/>
  <c r="V38" i="9"/>
  <c r="W39" i="9"/>
  <c r="M72" i="9"/>
  <c r="C61" i="9"/>
  <c r="M61" i="9"/>
  <c r="Z62" i="9"/>
  <c r="E67" i="9"/>
  <c r="H68" i="9"/>
  <c r="F72" i="9"/>
  <c r="U38" i="9"/>
  <c r="H7" i="9"/>
  <c r="Z9" i="9"/>
  <c r="Q14" i="9"/>
  <c r="H19" i="9"/>
  <c r="Z21" i="9"/>
  <c r="Q25" i="9"/>
  <c r="H28" i="9"/>
  <c r="Z30" i="9"/>
  <c r="Q36" i="9"/>
  <c r="E39" i="9"/>
  <c r="H40" i="9"/>
  <c r="Z42" i="9"/>
  <c r="Q45" i="9"/>
  <c r="H51" i="9"/>
  <c r="Z55" i="9"/>
  <c r="O61" i="9"/>
  <c r="H62" i="9"/>
  <c r="W63" i="9"/>
  <c r="Z64" i="9"/>
  <c r="Q67" i="9"/>
  <c r="X61" i="9"/>
  <c r="Q9" i="9"/>
  <c r="H14" i="9"/>
  <c r="F18" i="9"/>
  <c r="Q21" i="9"/>
  <c r="E24" i="9"/>
  <c r="H25" i="9"/>
  <c r="Z27" i="9"/>
  <c r="Q30" i="9"/>
  <c r="H36" i="9"/>
  <c r="Z39" i="9"/>
  <c r="Q42" i="9"/>
  <c r="H45" i="9"/>
  <c r="Z49" i="9"/>
  <c r="Q55" i="9"/>
  <c r="F61" i="9"/>
  <c r="Q64" i="9"/>
  <c r="H67" i="9"/>
  <c r="W68" i="9"/>
  <c r="H9" i="9"/>
  <c r="H21" i="9"/>
  <c r="Q27" i="9"/>
  <c r="H30" i="9"/>
  <c r="X38" i="9"/>
  <c r="Q39" i="9"/>
  <c r="H42" i="9"/>
  <c r="Z44" i="9"/>
  <c r="Q49" i="9"/>
  <c r="H64" i="9"/>
  <c r="Z8" i="9"/>
  <c r="Q12" i="9"/>
  <c r="Z20" i="9"/>
  <c r="Q24" i="9"/>
  <c r="H27" i="9"/>
  <c r="Q34" i="9"/>
  <c r="O38" i="9"/>
  <c r="H39" i="9"/>
  <c r="Z41" i="9"/>
  <c r="H49" i="9"/>
  <c r="Z53" i="9"/>
  <c r="Z63" i="9"/>
  <c r="Q66" i="9"/>
  <c r="E68" i="9"/>
  <c r="O23" i="9"/>
  <c r="F38" i="9"/>
  <c r="Z68" i="9"/>
  <c r="B38" i="16"/>
  <c r="N38" i="9" l="1"/>
  <c r="N6" i="9"/>
  <c r="Z18" i="9"/>
  <c r="E6" i="9"/>
  <c r="Z6" i="9"/>
  <c r="N23" i="9"/>
  <c r="V73" i="9"/>
  <c r="V71" i="9" s="1"/>
  <c r="E18" i="9"/>
  <c r="E38" i="9"/>
  <c r="P73" i="9"/>
  <c r="P71" i="9" s="1"/>
  <c r="E23" i="9"/>
  <c r="W61" i="9"/>
  <c r="D73" i="9"/>
  <c r="D71" i="9" s="1"/>
  <c r="N61" i="9"/>
  <c r="Y73" i="9"/>
  <c r="Y71" i="9" s="1"/>
  <c r="G73" i="9"/>
  <c r="G71" i="9" s="1"/>
  <c r="W72" i="9"/>
  <c r="Q38" i="16"/>
  <c r="N72" i="9"/>
  <c r="W23" i="9"/>
  <c r="M73" i="9"/>
  <c r="M71" i="9" s="1"/>
  <c r="L73" i="9"/>
  <c r="Q72" i="9"/>
  <c r="H23" i="9"/>
  <c r="X73" i="9"/>
  <c r="AA72" i="9" s="1"/>
  <c r="Z61" i="9"/>
  <c r="O73" i="9"/>
  <c r="R6" i="9" s="1"/>
  <c r="Q61" i="9"/>
  <c r="Q6" i="9"/>
  <c r="F73" i="9"/>
  <c r="I61" i="9" s="1"/>
  <c r="H61" i="9"/>
  <c r="Z72" i="9"/>
  <c r="Q38" i="9"/>
  <c r="C73" i="9"/>
  <c r="E61" i="9"/>
  <c r="Z23" i="9"/>
  <c r="Z38" i="9"/>
  <c r="H38" i="9"/>
  <c r="Q18" i="9"/>
  <c r="E72" i="9"/>
  <c r="H72" i="9"/>
  <c r="Q23" i="9"/>
  <c r="H6" i="9"/>
  <c r="H18" i="9"/>
  <c r="W38" i="9"/>
  <c r="U73" i="9"/>
  <c r="R38" i="9" l="1"/>
  <c r="R61" i="9"/>
  <c r="R18" i="9"/>
  <c r="R23" i="9"/>
  <c r="R72" i="9"/>
  <c r="AA29" i="9"/>
  <c r="AA40" i="9"/>
  <c r="Z73" i="9"/>
  <c r="AA73" i="9" s="1"/>
  <c r="AA66" i="9"/>
  <c r="AA34" i="9"/>
  <c r="AA12" i="9"/>
  <c r="AA62" i="9"/>
  <c r="AA51" i="9"/>
  <c r="AA28" i="9"/>
  <c r="AA19" i="9"/>
  <c r="AA58" i="9"/>
  <c r="X71" i="9"/>
  <c r="AA7" i="9"/>
  <c r="AA65" i="9"/>
  <c r="AA57" i="9"/>
  <c r="AA43" i="9"/>
  <c r="AA68" i="9"/>
  <c r="AA59" i="9"/>
  <c r="AA47" i="9"/>
  <c r="AA4" i="9"/>
  <c r="AA26" i="9"/>
  <c r="AA16" i="9"/>
  <c r="AA64" i="9"/>
  <c r="AA14" i="9"/>
  <c r="AA44" i="9"/>
  <c r="AA49" i="9"/>
  <c r="AA63" i="9"/>
  <c r="AA21" i="9"/>
  <c r="AA24" i="9"/>
  <c r="AA9" i="9"/>
  <c r="AA6" i="9"/>
  <c r="AA25" i="9"/>
  <c r="AA41" i="9"/>
  <c r="AA39" i="9"/>
  <c r="AA32" i="9"/>
  <c r="AA30" i="9"/>
  <c r="AA20" i="9"/>
  <c r="AA55" i="9"/>
  <c r="AA53" i="9"/>
  <c r="AA67" i="9"/>
  <c r="AA8" i="9"/>
  <c r="AA27" i="9"/>
  <c r="AA18" i="9"/>
  <c r="AA10" i="9"/>
  <c r="AA42" i="9"/>
  <c r="AA45" i="9"/>
  <c r="AA23" i="9"/>
  <c r="I6" i="9"/>
  <c r="AA61" i="9"/>
  <c r="I55" i="9"/>
  <c r="I68" i="9"/>
  <c r="I59" i="9"/>
  <c r="I16" i="9"/>
  <c r="F71" i="9"/>
  <c r="I7" i="9"/>
  <c r="I26" i="9"/>
  <c r="I47" i="9"/>
  <c r="I4" i="9"/>
  <c r="I63" i="9"/>
  <c r="I53" i="9"/>
  <c r="I41" i="9"/>
  <c r="I29" i="9"/>
  <c r="H73" i="9"/>
  <c r="I73" i="9" s="1"/>
  <c r="I66" i="9"/>
  <c r="I44" i="9"/>
  <c r="I12" i="9"/>
  <c r="I34" i="9"/>
  <c r="I24" i="9"/>
  <c r="I39" i="9"/>
  <c r="I67" i="9"/>
  <c r="I14" i="9"/>
  <c r="I10" i="9"/>
  <c r="I32" i="9"/>
  <c r="I62" i="9"/>
  <c r="I64" i="9"/>
  <c r="I45" i="9"/>
  <c r="I40" i="9"/>
  <c r="I65" i="9"/>
  <c r="I57" i="9"/>
  <c r="I43" i="9"/>
  <c r="I27" i="9"/>
  <c r="I19" i="9"/>
  <c r="I25" i="9"/>
  <c r="I51" i="9"/>
  <c r="I42" i="9"/>
  <c r="I49" i="9"/>
  <c r="I23" i="9"/>
  <c r="I28" i="9"/>
  <c r="I20" i="9"/>
  <c r="I8" i="9"/>
  <c r="I30" i="9"/>
  <c r="I9" i="9"/>
  <c r="I36" i="9"/>
  <c r="I21" i="9"/>
  <c r="I18" i="9"/>
  <c r="E73" i="9"/>
  <c r="C71" i="9"/>
  <c r="E71" i="9" s="1"/>
  <c r="I38" i="9"/>
  <c r="U71" i="9"/>
  <c r="W71" i="9" s="1"/>
  <c r="W73" i="9"/>
  <c r="AA38" i="9"/>
  <c r="I72" i="9"/>
  <c r="Q73" i="9"/>
  <c r="R73" i="9" s="1"/>
  <c r="R44" i="9"/>
  <c r="R57" i="9"/>
  <c r="R43" i="9"/>
  <c r="R32" i="9"/>
  <c r="R10" i="9"/>
  <c r="R65" i="9"/>
  <c r="R58" i="9"/>
  <c r="O71" i="9"/>
  <c r="R68" i="9"/>
  <c r="R59" i="9"/>
  <c r="R47" i="9"/>
  <c r="R26" i="9"/>
  <c r="R63" i="9"/>
  <c r="R53" i="9"/>
  <c r="R41" i="9"/>
  <c r="R29" i="9"/>
  <c r="R20" i="9"/>
  <c r="R8" i="9"/>
  <c r="R39" i="9"/>
  <c r="R36" i="9"/>
  <c r="R19" i="9"/>
  <c r="R55" i="9"/>
  <c r="R51" i="9"/>
  <c r="R24" i="9"/>
  <c r="R28" i="9"/>
  <c r="R25" i="9"/>
  <c r="R16" i="9"/>
  <c r="R7" i="9"/>
  <c r="R21" i="9"/>
  <c r="R67" i="9"/>
  <c r="R27" i="9"/>
  <c r="R62" i="9"/>
  <c r="R66" i="9"/>
  <c r="R12" i="9"/>
  <c r="R34" i="9"/>
  <c r="R40" i="9"/>
  <c r="R45" i="9"/>
  <c r="R9" i="9"/>
  <c r="R4" i="9"/>
  <c r="R42" i="9"/>
  <c r="R64" i="9"/>
  <c r="R14" i="9"/>
  <c r="R49" i="9"/>
  <c r="R30" i="9"/>
  <c r="N73" i="9"/>
  <c r="L71" i="9"/>
  <c r="N71" i="9" s="1"/>
  <c r="I71" i="9" l="1"/>
  <c r="H71" i="9"/>
  <c r="R71" i="9"/>
  <c r="Q71" i="9"/>
  <c r="AA71" i="9"/>
  <c r="Z71" i="9"/>
  <c r="AA36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B25" i="7" l="1"/>
  <c r="C25" i="7"/>
  <c r="H18" i="8"/>
  <c r="H31" i="8"/>
  <c r="H32" i="8"/>
  <c r="H28" i="8"/>
  <c r="D25" i="7" l="1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16" i="3" l="1"/>
  <c r="K17" i="3"/>
  <c r="K20" i="3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F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G10" i="7"/>
  <c r="B18" i="1" s="1"/>
  <c r="C37" i="4"/>
  <c r="I43" i="3"/>
  <c r="I30" i="3"/>
  <c r="B33" i="1" l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G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F22" i="7" l="1"/>
  <c r="F32" i="7"/>
  <c r="F30" i="7"/>
  <c r="F29" i="7"/>
  <c r="F28" i="7"/>
  <c r="K23" i="3"/>
  <c r="F27" i="7"/>
  <c r="F26" i="7"/>
  <c r="F25" i="7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10" i="1"/>
  <c r="D21" i="7"/>
  <c r="F21" i="7" s="1"/>
  <c r="F19" i="1"/>
  <c r="J45" i="2"/>
  <c r="K45" i="2" s="1"/>
  <c r="K45" i="3"/>
  <c r="F7" i="1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F5" i="5" s="1"/>
  <c r="C33" i="1" l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C11" i="1"/>
  <c r="B11" i="1"/>
  <c r="L25" i="7" s="1"/>
  <c r="D28" i="1"/>
  <c r="B22" i="1"/>
  <c r="B29" i="1"/>
  <c r="C12" i="5"/>
  <c r="C21" i="5"/>
  <c r="E11" i="5"/>
  <c r="F11" i="5" s="1"/>
  <c r="C29" i="1"/>
  <c r="F16" i="1"/>
  <c r="D22" i="1"/>
  <c r="D22" i="5"/>
  <c r="F15" i="5"/>
  <c r="E17" i="5"/>
  <c r="D27" i="1" s="1"/>
  <c r="F17" i="1"/>
  <c r="F22" i="1" l="1"/>
  <c r="M22" i="1"/>
  <c r="M25" i="7"/>
  <c r="G25" i="7"/>
  <c r="H22" i="7"/>
  <c r="N23" i="7"/>
  <c r="G22" i="7"/>
  <c r="N21" i="7"/>
  <c r="P31" i="7"/>
  <c r="P29" i="7"/>
  <c r="P27" i="7"/>
  <c r="P26" i="7"/>
  <c r="B22" i="5"/>
  <c r="C32" i="1"/>
  <c r="H6" i="5"/>
  <c r="F28" i="1"/>
  <c r="F10" i="1"/>
  <c r="E7" i="5"/>
  <c r="E21" i="5"/>
  <c r="F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H25" i="7" l="1"/>
  <c r="I25" i="7" s="1"/>
  <c r="K25" i="7" s="1"/>
  <c r="N25" i="7"/>
  <c r="P25" i="7" s="1"/>
  <c r="I22" i="7"/>
  <c r="K22" i="7" s="1"/>
  <c r="K31" i="7"/>
  <c r="P32" i="7"/>
  <c r="K30" i="7"/>
  <c r="P30" i="7"/>
  <c r="K29" i="7"/>
  <c r="K28" i="7"/>
  <c r="P28" i="7"/>
  <c r="K27" i="7"/>
  <c r="K26" i="7"/>
  <c r="P22" i="7"/>
  <c r="P23" i="7"/>
  <c r="H21" i="5"/>
  <c r="E22" i="5"/>
  <c r="F22" i="5"/>
  <c r="H22" i="5" s="1"/>
  <c r="H20" i="5"/>
  <c r="K32" i="7" l="1"/>
  <c r="I21" i="7" l="1"/>
  <c r="P21" i="7"/>
  <c r="K21" i="7" l="1"/>
  <c r="D23" i="7"/>
  <c r="I23" i="7" l="1"/>
  <c r="F23" i="7"/>
  <c r="K23" i="7" l="1"/>
  <c r="C24" i="7" l="1"/>
  <c r="C33" i="7" s="1"/>
  <c r="B24" i="7"/>
  <c r="D24" i="7" s="1"/>
  <c r="B33" i="7" l="1"/>
  <c r="F24" i="7"/>
  <c r="D33" i="7"/>
  <c r="F33" i="7" s="1"/>
  <c r="G20" i="1" l="1"/>
  <c r="G21" i="1"/>
  <c r="I21" i="1" l="1"/>
  <c r="I20" i="1"/>
  <c r="D33" i="1"/>
  <c r="G7" i="1"/>
  <c r="G18" i="1"/>
  <c r="G19" i="1"/>
  <c r="I16" i="5"/>
  <c r="I18" i="1" l="1"/>
  <c r="I7" i="1"/>
  <c r="I19" i="1"/>
  <c r="G5" i="1"/>
  <c r="G6" i="1"/>
  <c r="G17" i="1"/>
  <c r="G16" i="1"/>
  <c r="I5" i="5"/>
  <c r="I17" i="1" l="1"/>
  <c r="I6" i="1"/>
  <c r="G22" i="1"/>
  <c r="I22" i="1" s="1"/>
  <c r="I16" i="1"/>
  <c r="G8" i="1"/>
  <c r="I5" i="1"/>
  <c r="K5" i="5"/>
  <c r="D32" i="1"/>
  <c r="G10" i="1"/>
  <c r="I6" i="5"/>
  <c r="I10" i="5"/>
  <c r="G28" i="1"/>
  <c r="I11" i="5"/>
  <c r="I15" i="5"/>
  <c r="G27" i="1"/>
  <c r="I28" i="1" l="1"/>
  <c r="I10" i="1"/>
  <c r="L24" i="7"/>
  <c r="K11" i="5"/>
  <c r="K6" i="5"/>
  <c r="G29" i="1"/>
  <c r="I29" i="1" s="1"/>
  <c r="I27" i="1"/>
  <c r="I17" i="5"/>
  <c r="K17" i="5" s="1"/>
  <c r="K15" i="5"/>
  <c r="D34" i="1"/>
  <c r="E33" i="1" s="1"/>
  <c r="I12" i="5"/>
  <c r="K12" i="5" s="1"/>
  <c r="K10" i="5"/>
  <c r="L33" i="7"/>
  <c r="I7" i="5"/>
  <c r="K7" i="5" s="1"/>
  <c r="M24" i="7"/>
  <c r="I8" i="1"/>
  <c r="G11" i="1"/>
  <c r="I11" i="1" s="1"/>
  <c r="I21" i="5"/>
  <c r="I20" i="5"/>
  <c r="N24" i="7" l="1"/>
  <c r="N33" i="7" s="1"/>
  <c r="P33" i="7" s="1"/>
  <c r="G24" i="7"/>
  <c r="K21" i="5"/>
  <c r="H24" i="7"/>
  <c r="H33" i="7" s="1"/>
  <c r="M33" i="7"/>
  <c r="E32" i="1"/>
  <c r="I22" i="5"/>
  <c r="K22" i="5" s="1"/>
  <c r="K20" i="5"/>
  <c r="P24" i="7" l="1"/>
  <c r="I24" i="7"/>
  <c r="G33" i="7"/>
  <c r="K24" i="7"/>
  <c r="I33" i="7"/>
  <c r="K33" i="7" s="1"/>
</calcChain>
</file>

<file path=xl/sharedStrings.xml><?xml version="1.0" encoding="utf-8"?>
<sst xmlns="http://schemas.openxmlformats.org/spreadsheetml/2006/main" count="701" uniqueCount="254">
  <si>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</si>
  <si>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</si>
  <si>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</si>
  <si>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</si>
  <si>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</si>
  <si>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</si>
  <si>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</si>
  <si>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</si>
  <si>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</si>
  <si>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</si>
  <si>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</si>
  <si>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</si>
  <si>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</si>
  <si>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</si>
  <si>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</si>
  <si>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</si>
  <si>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</si>
  <si>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</si>
  <si>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</si>
  <si>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</si>
  <si>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</si>
  <si>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</si>
  <si>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</si>
  <si>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</si>
  <si>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</si>
  <si>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</si>
  <si>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</si>
  <si>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</si>
  <si>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</si>
  <si>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</si>
  <si>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</si>
  <si>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</si>
  <si>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</si>
  <si>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</si>
  <si>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</si>
  <si>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</si>
  <si>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</si>
  <si>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</si>
  <si>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</si>
  <si>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</si>
  <si>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</si>
  <si>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</si>
  <si>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</si>
  <si>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</si>
  <si>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</si>
  <si>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</si>
  <si>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</si>
  <si>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</si>
  <si>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</si>
  <si>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</si>
  <si>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</si>
  <si>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</si>
  <si>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</si>
  <si>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</si>
  <si>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</si>
  <si>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</si>
  <si>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</si>
  <si>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</si>
  <si>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</si>
  <si>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</si>
  <si>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</si>
  <si>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</si>
  <si>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</si>
  <si>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</si>
  <si>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</si>
  <si>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</si>
  <si>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</si>
  <si>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</si>
  <si>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</si>
  <si>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</si>
  <si>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</si>
  <si>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</si>
  <si>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</si>
  <si>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</si>
  <si>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</si>
  <si>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</si>
  <si>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</si>
  <si>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</si>
  <si>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</si>
  <si>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</si>
  <si>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</si>
  <si>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</si>
  <si>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</si>
  <si>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</si>
  <si>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</si>
  <si>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</si>
  <si>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</si>
  <si>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</si>
  <si>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</si>
  <si>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</si>
  <si>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</si>
  <si>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</si>
  <si>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</si>
  <si>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</si>
  <si>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</si>
  <si>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</si>
  <si>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</si>
  <si>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</si>
  <si>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</si>
  <si>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</si>
  <si>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</si>
  <si>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</si>
  <si>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</si>
  <si>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</si>
  <si>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</si>
  <si>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</si>
  <si>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</si>
  <si>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</si>
  <si>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</si>
  <si>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</si>
  <si>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</si>
  <si>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</si>
  <si>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</si>
  <si>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</si>
  <si>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</si>
  <si>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</si>
  <si>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</si>
  <si>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</si>
  <si>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</si>
  <si>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</si>
  <si>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</si>
  <si>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</si>
  <si>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</si>
  <si>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</si>
  <si>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</si>
  <si>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</si>
  <si>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</si>
  <si>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</si>
  <si>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</si>
  <si>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</si>
  <si>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</si>
  <si>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</si>
  <si>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</si>
  <si>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</si>
  <si>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</si>
  <si>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</si>
  <si>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</si>
  <si>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</si>
  <si>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</si>
  <si>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</si>
  <si>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</si>
  <si>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</si>
  <si>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</si>
  <si>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</si>
  <si>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</si>
  <si>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</si>
  <si>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</si>
  <si>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</si>
  <si>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</si>
  <si>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</si>
  <si>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</si>
  <si>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</si>
  <si>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</si>
  <si>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</si>
  <si>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</si>
  <si>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</si>
  <si>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</si>
  <si>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</si>
  <si>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</si>
  <si>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</si>
  <si>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</si>
  <si>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</si>
  <si>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</si>
  <si>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</si>
  <si>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</si>
  <si>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</si>
  <si>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</si>
  <si>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</si>
  <si>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</si>
  <si>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</si>
  <si>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</si>
  <si>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</si>
  <si>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</si>
  <si>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</si>
  <si>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</si>
  <si>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</si>
  <si>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</si>
  <si>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</si>
  <si>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</si>
  <si>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</si>
  <si>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</si>
  <si>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</si>
  <si>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</si>
  <si>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</si>
  <si>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</si>
  <si>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</si>
  <si>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</si>
  <si>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</si>
  <si>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</si>
  <si>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</si>
  <si>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</si>
  <si>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</si>
  <si>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</si>
  <si>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</si>
  <si>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</si>
  <si>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</si>
  <si>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</si>
  <si>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</si>
  <si>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</si>
  <si>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</si>
  <si>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</si>
  <si>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</si>
  <si>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</si>
  <si>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</si>
  <si>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</si>
  <si>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</si>
  <si>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</si>
  <si>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</si>
  <si>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</si>
  <si>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</si>
  <si>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</si>
  <si>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</si>
  <si>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</si>
  <si>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</si>
  <si>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</si>
  <si>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</si>
  <si>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</si>
  <si>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</si>
  <si>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</si>
  <si>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</si>
  <si>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</si>
  <si>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</si>
  <si>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</si>
  <si>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</si>
  <si>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</si>
  <si>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</si>
  <si>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</si>
  <si>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</si>
  <si>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</si>
  <si>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</si>
  <si>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</si>
  <si>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</si>
  <si>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</si>
  <si>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</si>
  <si>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</si>
  <si>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</si>
  <si>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</si>
  <si>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</si>
  <si>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</si>
  <si>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</si>
  <si>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</si>
  <si>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</si>
  <si>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</si>
  <si>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</si>
  <si>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</si>
  <si>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</si>
  <si>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</si>
  <si>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</si>
  <si>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</si>
  <si>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</si>
  <si>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</si>
  <si>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</si>
  <si>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May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</si>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</sst>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2077152</v>
          </cell>
          <cell r="G5">
            <v>9781326</v>
          </cell>
        </row>
        <row r="6">
          <cell r="D6">
            <v>545873</v>
          </cell>
          <cell r="G6">
            <v>2093617</v>
          </cell>
        </row>
        <row r="7">
          <cell r="D7">
            <v>331</v>
          </cell>
          <cell r="G7">
            <v>4412</v>
          </cell>
        </row>
        <row r="10">
          <cell r="D10">
            <v>73757</v>
          </cell>
          <cell r="G10">
            <v>337919</v>
          </cell>
        </row>
        <row r="16">
          <cell r="D16">
            <v>14331</v>
          </cell>
          <cell r="G16">
            <v>72126</v>
          </cell>
        </row>
        <row r="17">
          <cell r="D17">
            <v>8957</v>
          </cell>
          <cell r="G17">
            <v>41367</v>
          </cell>
        </row>
        <row r="18">
          <cell r="D18">
            <v>4</v>
          </cell>
          <cell r="G18">
            <v>43</v>
          </cell>
        </row>
        <row r="19">
          <cell r="D19">
            <v>1282</v>
          </cell>
          <cell r="G19">
            <v>6552</v>
          </cell>
        </row>
        <row r="20">
          <cell r="D20">
            <v>1649</v>
          </cell>
          <cell r="G20">
            <v>6590</v>
          </cell>
        </row>
        <row r="21">
          <cell r="D21">
            <v>77</v>
          </cell>
          <cell r="G21">
            <v>393</v>
          </cell>
        </row>
        <row r="27">
          <cell r="D27">
            <v>13195.748112030175</v>
          </cell>
          <cell r="G27">
            <v>80558.533709984942</v>
          </cell>
        </row>
        <row r="28">
          <cell r="D28">
            <v>6734.6015834443497</v>
          </cell>
          <cell r="G28">
            <v>14504.55451336353</v>
          </cell>
        </row>
        <row r="32">
          <cell r="B32">
            <v>854927</v>
          </cell>
          <cell r="D32">
            <v>4135999</v>
          </cell>
        </row>
        <row r="33">
          <cell r="B33">
            <v>443415</v>
          </cell>
          <cell r="D33">
            <v>1783597</v>
          </cell>
        </row>
      </sheetData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>
        <row r="5">
          <cell r="F5">
            <v>7057.0153575550084</v>
          </cell>
          <cell r="I5">
            <v>45676.855849167383</v>
          </cell>
        </row>
        <row r="6">
          <cell r="F6">
            <v>3742.30261371505</v>
          </cell>
          <cell r="I6">
            <v>7976.8500176472799</v>
          </cell>
        </row>
        <row r="10">
          <cell r="F10">
            <v>6138.732754475167</v>
          </cell>
          <cell r="I10">
            <v>34881.677860817552</v>
          </cell>
        </row>
        <row r="11">
          <cell r="F11">
            <v>2992.2989697293001</v>
          </cell>
          <cell r="I11">
            <v>6527.7044957162507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13195.748112030176</v>
          </cell>
          <cell r="I20">
            <v>80558.533709984957</v>
          </cell>
        </row>
        <row r="21">
          <cell r="F21">
            <v>6734.6015834443497</v>
          </cell>
          <cell r="I21">
            <v>14504.55451336353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8905261</v>
          </cell>
        </row>
        <row r="6">
          <cell r="G6">
            <v>1258141</v>
          </cell>
        </row>
        <row r="7">
          <cell r="G7">
            <v>728</v>
          </cell>
        </row>
        <row r="10">
          <cell r="G10">
            <v>307098</v>
          </cell>
        </row>
        <row r="16">
          <cell r="G16">
            <v>65846</v>
          </cell>
        </row>
        <row r="17">
          <cell r="G17">
            <v>24343</v>
          </cell>
        </row>
        <row r="18">
          <cell r="G18">
            <v>13</v>
          </cell>
        </row>
        <row r="19">
          <cell r="G19">
            <v>4636</v>
          </cell>
        </row>
        <row r="20">
          <cell r="G20">
            <v>5220</v>
          </cell>
        </row>
        <row r="21">
          <cell r="G21">
            <v>233</v>
          </cell>
        </row>
        <row r="27">
          <cell r="G27">
            <v>62053.336359797169</v>
          </cell>
        </row>
        <row r="28">
          <cell r="G28">
            <v>5067.8337821965706</v>
          </cell>
        </row>
        <row r="32">
          <cell r="D32">
            <v>3625117</v>
          </cell>
        </row>
        <row r="33">
          <cell r="D33">
            <v>1444783</v>
          </cell>
        </row>
      </sheetData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>
        <row r="5">
          <cell r="I5">
            <v>33683.187618626238</v>
          </cell>
        </row>
        <row r="6">
          <cell r="I6">
            <v>2572.8720842224402</v>
          </cell>
        </row>
        <row r="10">
          <cell r="I10">
            <v>28370.148741170924</v>
          </cell>
        </row>
        <row r="11">
          <cell r="I11">
            <v>2494.9616979741299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62053.336359797162</v>
          </cell>
        </row>
        <row r="21">
          <cell r="I21">
            <v>5067.8337821965706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</row>
      </sheetData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">
        <row r="4">
          <cell r="IJ4">
            <v>33</v>
          </cell>
        </row>
        <row r="5">
          <cell r="IJ5">
            <v>33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</row>
        <row r="22">
          <cell r="IJ22">
            <v>4715</v>
          </cell>
        </row>
        <row r="23">
          <cell r="IJ23">
            <v>4052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6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7">
        <row r="4">
          <cell r="IJ4">
            <v>75</v>
          </cell>
        </row>
        <row r="5">
          <cell r="IJ5">
            <v>75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</row>
        <row r="22">
          <cell r="IJ22">
            <v>11710</v>
          </cell>
        </row>
        <row r="23">
          <cell r="IJ23">
            <v>11861</v>
          </cell>
        </row>
        <row r="27">
          <cell r="IJ27">
            <v>301</v>
          </cell>
        </row>
        <row r="28">
          <cell r="IJ28">
            <v>282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</row>
        <row r="47">
          <cell r="IJ47">
            <v>22678</v>
          </cell>
        </row>
        <row r="52">
          <cell r="IJ52">
            <v>15511</v>
          </cell>
        </row>
        <row r="53">
          <cell r="IJ53">
            <v>107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</row>
      </sheetData>
      <sheetData sheetId="8"/>
      <sheetData sheetId="9">
        <row r="4">
          <cell r="IJ4">
            <v>319</v>
          </cell>
        </row>
        <row r="5">
          <cell r="IJ5">
            <v>318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</row>
        <row r="22">
          <cell r="IJ22">
            <v>48921</v>
          </cell>
        </row>
        <row r="23">
          <cell r="IJ23">
            <v>43018</v>
          </cell>
        </row>
        <row r="27">
          <cell r="IJ27">
            <v>1771</v>
          </cell>
        </row>
        <row r="28">
          <cell r="IJ28">
            <v>2068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</row>
        <row r="47">
          <cell r="IJ47">
            <v>21829</v>
          </cell>
        </row>
        <row r="48">
          <cell r="IJ48">
            <v>18847</v>
          </cell>
        </row>
        <row r="52">
          <cell r="IJ52">
            <v>3488</v>
          </cell>
        </row>
        <row r="53">
          <cell r="IJ53">
            <v>11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</row>
      </sheetData>
      <sheetData sheetId="10"/>
      <sheetData sheetId="1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12">
        <row r="15">
          <cell r="IJ15">
            <v>3</v>
          </cell>
        </row>
        <row r="16">
          <cell r="IJ16">
            <v>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</row>
        <row r="32">
          <cell r="IJ32">
            <v>608</v>
          </cell>
        </row>
        <row r="33">
          <cell r="IJ33">
            <v>760</v>
          </cell>
        </row>
        <row r="37">
          <cell r="IJ37">
            <v>2</v>
          </cell>
        </row>
        <row r="38">
          <cell r="IJ38">
            <v>1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</row>
        <row r="47">
          <cell r="IJ47">
            <v>27311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</row>
      </sheetData>
      <sheetData sheetId="13">
        <row r="4">
          <cell r="IJ4">
            <v>5577</v>
          </cell>
        </row>
        <row r="5">
          <cell r="IJ5">
            <v>5577</v>
          </cell>
        </row>
        <row r="8">
          <cell r="IJ8">
            <v>3</v>
          </cell>
        </row>
        <row r="9">
          <cell r="IJ9">
            <v>6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</row>
        <row r="22">
          <cell r="IJ22">
            <v>788506</v>
          </cell>
        </row>
        <row r="23">
          <cell r="IJ23">
            <v>755680</v>
          </cell>
        </row>
        <row r="27">
          <cell r="IJ27">
            <v>24353</v>
          </cell>
        </row>
        <row r="28">
          <cell r="IJ28">
            <v>24203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</row>
        <row r="47">
          <cell r="IJ47">
            <v>3161698</v>
          </cell>
        </row>
        <row r="48">
          <cell r="IJ48">
            <v>516368</v>
          </cell>
        </row>
        <row r="52">
          <cell r="IJ52">
            <v>2036132</v>
          </cell>
        </row>
        <row r="53">
          <cell r="IJ53">
            <v>412202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</row>
        <row r="70">
          <cell r="IJ70">
            <v>414321</v>
          </cell>
        </row>
        <row r="71">
          <cell r="IJ71">
            <v>341359</v>
          </cell>
        </row>
        <row r="73">
          <cell r="IJ73">
            <v>43881</v>
          </cell>
        </row>
        <row r="74">
          <cell r="IJ74">
            <v>36153</v>
          </cell>
        </row>
      </sheetData>
      <sheetData sheetId="14">
        <row r="4">
          <cell r="IJ4">
            <v>80</v>
          </cell>
        </row>
        <row r="5">
          <cell r="IJ5">
            <v>80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</row>
        <row r="22">
          <cell r="IJ22">
            <v>707</v>
          </cell>
        </row>
        <row r="23">
          <cell r="IJ23">
            <v>781</v>
          </cell>
        </row>
        <row r="27">
          <cell r="IJ27">
            <v>42</v>
          </cell>
        </row>
        <row r="28">
          <cell r="IJ28">
            <v>45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15">
        <row r="4">
          <cell r="IJ4">
            <v>59</v>
          </cell>
        </row>
        <row r="5">
          <cell r="IJ5">
            <v>58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</row>
        <row r="22">
          <cell r="IJ22">
            <v>10401</v>
          </cell>
        </row>
        <row r="23">
          <cell r="IJ23">
            <v>9642</v>
          </cell>
        </row>
        <row r="27">
          <cell r="IJ27">
            <v>56</v>
          </cell>
        </row>
        <row r="28">
          <cell r="IJ28">
            <v>64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</row>
        <row r="37">
          <cell r="IH37">
            <v>14</v>
          </cell>
          <cell r="II37">
            <v>27</v>
          </cell>
          <cell r="IJ37">
            <v>22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</row>
        <row r="47">
          <cell r="IJ47">
            <v>317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</row>
      </sheetData>
      <sheetData sheetId="17">
        <row r="4">
          <cell r="IJ4">
            <v>57</v>
          </cell>
        </row>
        <row r="5">
          <cell r="IJ5">
            <v>56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</row>
        <row r="22">
          <cell r="IJ22">
            <v>6293</v>
          </cell>
        </row>
        <row r="23">
          <cell r="IJ23">
            <v>6493</v>
          </cell>
        </row>
        <row r="27">
          <cell r="IJ27">
            <v>132</v>
          </cell>
        </row>
        <row r="28">
          <cell r="IJ28">
            <v>117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</row>
        <row r="47">
          <cell r="IJ47">
            <v>170842</v>
          </cell>
        </row>
        <row r="52">
          <cell r="IJ52">
            <v>87225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</row>
      </sheetData>
      <sheetData sheetId="19"/>
      <sheetData sheetId="20"/>
      <sheetData sheetId="21"/>
      <sheetData sheetId="22">
        <row r="4">
          <cell r="IJ4">
            <v>632</v>
          </cell>
        </row>
        <row r="5">
          <cell r="IJ5">
            <v>630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</row>
        <row r="22">
          <cell r="IJ22">
            <v>72274</v>
          </cell>
        </row>
        <row r="23">
          <cell r="IJ23">
            <v>67305</v>
          </cell>
        </row>
        <row r="27">
          <cell r="IJ27">
            <v>1520</v>
          </cell>
        </row>
        <row r="28">
          <cell r="IJ28">
            <v>1511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</row>
        <row r="47">
          <cell r="IJ47">
            <v>199162</v>
          </cell>
        </row>
        <row r="52">
          <cell r="IJ52">
            <v>49102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</row>
        <row r="70">
          <cell r="IJ70">
            <v>66567</v>
          </cell>
        </row>
        <row r="71">
          <cell r="IJ71">
            <v>738</v>
          </cell>
        </row>
      </sheetData>
      <sheetData sheetId="23">
        <row r="4">
          <cell r="IJ4">
            <v>124</v>
          </cell>
        </row>
        <row r="5">
          <cell r="IJ5">
            <v>123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</row>
        <row r="22">
          <cell r="IJ22">
            <v>18777</v>
          </cell>
        </row>
        <row r="23">
          <cell r="IJ23">
            <v>16714</v>
          </cell>
        </row>
        <row r="27">
          <cell r="IJ27">
            <v>158</v>
          </cell>
        </row>
        <row r="28">
          <cell r="IJ28">
            <v>157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24">
        <row r="4">
          <cell r="IJ4">
            <v>780</v>
          </cell>
        </row>
        <row r="5">
          <cell r="IJ5">
            <v>789</v>
          </cell>
        </row>
        <row r="8">
          <cell r="IJ8">
            <v>62</v>
          </cell>
        </row>
        <row r="9">
          <cell r="IJ9">
            <v>62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</row>
        <row r="22">
          <cell r="IJ22">
            <v>123635</v>
          </cell>
        </row>
        <row r="23">
          <cell r="IJ23">
            <v>118519</v>
          </cell>
        </row>
        <row r="27">
          <cell r="IJ27">
            <v>2754</v>
          </cell>
        </row>
        <row r="28">
          <cell r="IJ28">
            <v>2863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</row>
        <row r="70">
          <cell r="IJ70">
            <v>118519</v>
          </cell>
        </row>
        <row r="73">
          <cell r="IJ73">
            <v>2697</v>
          </cell>
        </row>
      </sheetData>
      <sheetData sheetId="25"/>
      <sheetData sheetId="26"/>
      <sheetData sheetId="27">
        <row r="4">
          <cell r="IJ4">
            <v>474</v>
          </cell>
        </row>
        <row r="5">
          <cell r="IJ5">
            <v>473</v>
          </cell>
        </row>
        <row r="8">
          <cell r="IJ8">
            <v>1</v>
          </cell>
        </row>
        <row r="9">
          <cell r="IJ9">
            <v>3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</row>
        <row r="22">
          <cell r="IJ22">
            <v>65904</v>
          </cell>
        </row>
        <row r="23">
          <cell r="IJ23">
            <v>61603</v>
          </cell>
        </row>
        <row r="27">
          <cell r="IJ27">
            <v>2237</v>
          </cell>
        </row>
        <row r="28">
          <cell r="IJ28">
            <v>2345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</row>
        <row r="47">
          <cell r="IJ47">
            <v>56022</v>
          </cell>
        </row>
        <row r="48">
          <cell r="IJ48">
            <v>31539</v>
          </cell>
        </row>
        <row r="52">
          <cell r="IJ52">
            <v>17176</v>
          </cell>
        </row>
        <row r="53">
          <cell r="IJ53">
            <v>35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</row>
      </sheetData>
      <sheetData sheetId="28"/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0">
        <row r="4">
          <cell r="IJ4">
            <v>103</v>
          </cell>
        </row>
        <row r="5">
          <cell r="IJ5">
            <v>103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</row>
        <row r="22">
          <cell r="IJ22">
            <v>6380</v>
          </cell>
        </row>
        <row r="23">
          <cell r="IJ23">
            <v>6404</v>
          </cell>
        </row>
        <row r="27">
          <cell r="IJ27">
            <v>275</v>
          </cell>
        </row>
        <row r="28">
          <cell r="IJ28">
            <v>288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</row>
        <row r="47">
          <cell r="IJ47">
            <v>822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</row>
      </sheetData>
      <sheetData sheetId="31">
        <row r="4">
          <cell r="IJ4">
            <v>12</v>
          </cell>
        </row>
        <row r="5">
          <cell r="IJ5">
            <v>12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</row>
        <row r="22">
          <cell r="IJ22">
            <v>543</v>
          </cell>
        </row>
        <row r="23">
          <cell r="IJ23">
            <v>424</v>
          </cell>
        </row>
        <row r="27">
          <cell r="IJ27">
            <v>21</v>
          </cell>
        </row>
        <row r="28">
          <cell r="IJ28">
            <v>30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40"/>
      <sheetData sheetId="4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43">
        <row r="4">
          <cell r="IJ4">
            <v>1</v>
          </cell>
        </row>
        <row r="5">
          <cell r="IJ5">
            <v>1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</row>
        <row r="22">
          <cell r="IJ22">
            <v>74</v>
          </cell>
        </row>
        <row r="23">
          <cell r="IJ23">
            <v>73</v>
          </cell>
        </row>
        <row r="27">
          <cell r="IJ27">
            <v>2</v>
          </cell>
        </row>
        <row r="28">
          <cell r="IJ28">
            <v>3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</row>
        <row r="47">
          <cell r="IJ47">
            <v>22553.599999999999</v>
          </cell>
        </row>
        <row r="52">
          <cell r="IJ52">
            <v>22617.4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</row>
      </sheetData>
      <sheetData sheetId="45">
        <row r="4">
          <cell r="IJ4">
            <v>34</v>
          </cell>
        </row>
        <row r="5">
          <cell r="IJ5">
            <v>34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</row>
        <row r="22">
          <cell r="IJ22">
            <v>2137</v>
          </cell>
        </row>
        <row r="23">
          <cell r="IJ23">
            <v>2153</v>
          </cell>
        </row>
        <row r="27">
          <cell r="IJ27">
            <v>80</v>
          </cell>
        </row>
        <row r="28">
          <cell r="IJ28">
            <v>90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46"/>
      <sheetData sheetId="47"/>
      <sheetData sheetId="48">
        <row r="4">
          <cell r="IJ4">
            <v>624</v>
          </cell>
        </row>
        <row r="5">
          <cell r="IJ5">
            <v>624</v>
          </cell>
        </row>
        <row r="15">
          <cell r="IF15">
            <v>1</v>
          </cell>
          <cell r="IH15">
            <v>23</v>
          </cell>
          <cell r="II15">
            <v>9</v>
          </cell>
        </row>
        <row r="16">
          <cell r="IF16">
            <v>1</v>
          </cell>
          <cell r="IH16">
            <v>23</v>
          </cell>
          <cell r="II16">
            <v>10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</row>
        <row r="22">
          <cell r="IJ22">
            <v>40585</v>
          </cell>
        </row>
        <row r="23">
          <cell r="IJ23">
            <v>40753</v>
          </cell>
        </row>
        <row r="27">
          <cell r="IJ27">
            <v>1216</v>
          </cell>
        </row>
        <row r="28">
          <cell r="IJ28">
            <v>1129</v>
          </cell>
        </row>
        <row r="32">
          <cell r="IH32">
            <v>1240</v>
          </cell>
          <cell r="II32">
            <v>622</v>
          </cell>
        </row>
        <row r="33">
          <cell r="IH33">
            <v>1517</v>
          </cell>
          <cell r="II33">
            <v>473</v>
          </cell>
        </row>
        <row r="37">
          <cell r="IH37">
            <v>20</v>
          </cell>
          <cell r="II37">
            <v>4</v>
          </cell>
        </row>
        <row r="38">
          <cell r="IH38">
            <v>25</v>
          </cell>
          <cell r="II38">
            <v>5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  <row r="70">
          <cell r="IJ70">
            <v>14366</v>
          </cell>
        </row>
        <row r="71">
          <cell r="IJ71">
            <v>26387</v>
          </cell>
        </row>
      </sheetData>
      <sheetData sheetId="49">
        <row r="4">
          <cell r="IJ4">
            <v>4</v>
          </cell>
        </row>
        <row r="5">
          <cell r="IJ5">
            <v>4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</row>
        <row r="22">
          <cell r="IJ22">
            <v>209</v>
          </cell>
        </row>
        <row r="23">
          <cell r="IJ23">
            <v>142</v>
          </cell>
        </row>
        <row r="27">
          <cell r="IJ27">
            <v>4</v>
          </cell>
        </row>
        <row r="28">
          <cell r="IJ28">
            <v>2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0">
        <row r="4">
          <cell r="IJ4">
            <v>120</v>
          </cell>
        </row>
        <row r="5">
          <cell r="IJ5">
            <v>120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</row>
        <row r="22">
          <cell r="IJ22">
            <v>7506</v>
          </cell>
        </row>
        <row r="23">
          <cell r="IJ23">
            <v>8150</v>
          </cell>
        </row>
        <row r="27">
          <cell r="IJ27">
            <v>308</v>
          </cell>
        </row>
        <row r="28">
          <cell r="IJ28">
            <v>298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</row>
        <row r="47">
          <cell r="IJ47">
            <v>1594</v>
          </cell>
        </row>
        <row r="52">
          <cell r="IJ52">
            <v>91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</row>
      </sheetData>
      <sheetData sheetId="51">
        <row r="4">
          <cell r="IJ4">
            <v>28</v>
          </cell>
        </row>
        <row r="5">
          <cell r="IJ5">
            <v>28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</row>
        <row r="22">
          <cell r="IJ22">
            <v>1871</v>
          </cell>
        </row>
        <row r="23">
          <cell r="IJ23">
            <v>1866</v>
          </cell>
        </row>
        <row r="27">
          <cell r="IJ27">
            <v>41</v>
          </cell>
        </row>
        <row r="28">
          <cell r="IJ28">
            <v>26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3">
        <row r="4">
          <cell r="IJ4">
            <v>2032</v>
          </cell>
        </row>
        <row r="5">
          <cell r="IJ5">
            <v>2029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</row>
        <row r="22">
          <cell r="IJ22">
            <v>101717</v>
          </cell>
        </row>
        <row r="23">
          <cell r="IJ23">
            <v>103537</v>
          </cell>
        </row>
        <row r="27">
          <cell r="IJ27">
            <v>2943</v>
          </cell>
        </row>
        <row r="28">
          <cell r="IJ28">
            <v>2942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  <row r="70">
          <cell r="IJ70">
            <v>31944</v>
          </cell>
        </row>
        <row r="71">
          <cell r="IJ71">
            <v>71593</v>
          </cell>
        </row>
        <row r="73">
          <cell r="IJ73">
            <v>2414</v>
          </cell>
        </row>
        <row r="74">
          <cell r="IJ74">
            <v>5409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7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8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8">
          <cell r="IJ8">
            <v>2</v>
          </cell>
        </row>
        <row r="9">
          <cell r="IJ9">
            <v>2</v>
          </cell>
        </row>
        <row r="15">
          <cell r="IG15">
            <v>2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</row>
        <row r="32">
          <cell r="IF32">
            <v>65</v>
          </cell>
          <cell r="IG32">
            <v>55</v>
          </cell>
        </row>
      </sheetData>
      <sheetData sheetId="67">
        <row r="4">
          <cell r="IJ4">
            <v>31</v>
          </cell>
        </row>
        <row r="5">
          <cell r="IJ5">
            <v>31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</row>
        <row r="47">
          <cell r="IJ47">
            <v>1967356</v>
          </cell>
        </row>
        <row r="52">
          <cell r="IJ52">
            <v>1153155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</row>
      </sheetData>
      <sheetData sheetId="68">
        <row r="4">
          <cell r="IJ4">
            <v>62</v>
          </cell>
        </row>
        <row r="5">
          <cell r="IJ5">
            <v>62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</row>
        <row r="47">
          <cell r="IJ47">
            <v>1675431</v>
          </cell>
        </row>
        <row r="52">
          <cell r="IJ52">
            <v>1150091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</row>
      </sheetData>
      <sheetData sheetId="69">
        <row r="4">
          <cell r="IJ4">
            <v>4</v>
          </cell>
        </row>
        <row r="5">
          <cell r="IJ5">
            <v>4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</row>
        <row r="47">
          <cell r="IJ47">
            <v>125007</v>
          </cell>
        </row>
        <row r="52">
          <cell r="IJ52">
            <v>123222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</row>
      </sheetData>
      <sheetData sheetId="70">
        <row r="4">
          <cell r="IJ4">
            <v>1</v>
          </cell>
        </row>
        <row r="5">
          <cell r="IJ5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</row>
        <row r="47">
          <cell r="IJ47">
            <v>27368</v>
          </cell>
        </row>
        <row r="52">
          <cell r="IJ52">
            <v>1506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72">
        <row r="4">
          <cell r="IJ4">
            <v>3</v>
          </cell>
        </row>
        <row r="5">
          <cell r="IJ5">
            <v>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</row>
        <row r="47">
          <cell r="IJ47">
            <v>135133</v>
          </cell>
        </row>
        <row r="52">
          <cell r="IJ52">
            <v>48620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</row>
      </sheetData>
      <sheetData sheetId="73">
        <row r="4">
          <cell r="IJ4">
            <v>41</v>
          </cell>
        </row>
        <row r="5">
          <cell r="IJ5">
            <v>41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</row>
        <row r="47">
          <cell r="IJ47">
            <v>44706</v>
          </cell>
        </row>
        <row r="52">
          <cell r="IJ52">
            <v>50748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</row>
      </sheetData>
      <sheetData sheetId="74">
        <row r="12">
          <cell r="IJ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76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</row>
      </sheetData>
      <sheetData sheetId="77"/>
      <sheetData sheetId="78">
        <row r="4">
          <cell r="IJ4">
            <v>34</v>
          </cell>
        </row>
        <row r="5">
          <cell r="IJ5">
            <v>34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</row>
        <row r="47">
          <cell r="IJ47">
            <v>767377</v>
          </cell>
        </row>
        <row r="52">
          <cell r="IJ52">
            <v>316554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80"/>
      <sheetData sheetId="81">
        <row r="4">
          <cell r="IJ4">
            <v>87</v>
          </cell>
        </row>
        <row r="5">
          <cell r="IJ5">
            <v>87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</row>
        <row r="47">
          <cell r="IJ47">
            <v>5881124</v>
          </cell>
        </row>
        <row r="52">
          <cell r="IJ52">
            <v>6502767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</row>
      </sheetData>
      <sheetData sheetId="82">
        <row r="4">
          <cell r="IJ4">
            <v>21</v>
          </cell>
        </row>
        <row r="5">
          <cell r="IJ5">
            <v>21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</row>
        <row r="48">
          <cell r="IJ48">
            <v>56840</v>
          </cell>
        </row>
        <row r="53">
          <cell r="IJ53">
            <v>108131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</row>
      </sheetData>
      <sheetData sheetId="83">
        <row r="4">
          <cell r="IJ4">
            <v>17</v>
          </cell>
        </row>
        <row r="5">
          <cell r="IJ5">
            <v>17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</row>
        <row r="47">
          <cell r="IJ47">
            <v>59282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</row>
      </sheetData>
      <sheetData sheetId="84">
        <row r="4">
          <cell r="IJ4">
            <v>125</v>
          </cell>
        </row>
        <row r="5">
          <cell r="IJ5">
            <v>125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</row>
        <row r="47">
          <cell r="IJ47">
            <v>5582395</v>
          </cell>
        </row>
        <row r="48">
          <cell r="IJ48">
            <v>532430</v>
          </cell>
        </row>
        <row r="52">
          <cell r="IJ52">
            <v>4508364</v>
          </cell>
        </row>
        <row r="53">
          <cell r="IJ53">
            <v>326735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</row>
      </sheetData>
      <sheetData sheetId="85"/>
      <sheetData sheetId="86"/>
      <sheetData sheetId="87"/>
      <sheetData sheetId="88">
        <row r="4">
          <cell r="IJ4">
            <v>183</v>
          </cell>
        </row>
        <row r="5">
          <cell r="IJ5">
            <v>183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91">
        <row r="4">
          <cell r="IJ4">
            <v>19</v>
          </cell>
        </row>
        <row r="5">
          <cell r="IJ5">
            <v>20</v>
          </cell>
        </row>
      </sheetData>
      <sheetData sheetId="92">
        <row r="4">
          <cell r="IJ4">
            <v>760</v>
          </cell>
        </row>
        <row r="5">
          <cell r="IJ5">
            <v>759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M22" sqref="M22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45047</v>
      </c>
      <c r="B2" s="10"/>
      <c r="C2" s="10"/>
      <c r="D2" s="440" t="s">
        <v>234</v>
      </c>
      <c r="E2" s="440" t="s">
        <v>226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1"/>
      <c r="E3" s="442"/>
      <c r="F3" s="5" t="s">
        <v>2</v>
      </c>
      <c r="G3" s="5" t="s">
        <v>235</v>
      </c>
      <c r="H3" s="5" t="s">
        <v>227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1236832</v>
      </c>
      <c r="C5" s="10">
        <f>'Major Airline Stats'!K5</f>
        <v>1187831</v>
      </c>
      <c r="D5" s="2">
        <f>'Major Airline Stats'!K6</f>
        <v>2424663</v>
      </c>
      <c r="E5" s="2">
        <f>'[1]Monthly Summary'!D5</f>
        <v>2077152</v>
      </c>
      <c r="F5" s="3">
        <f>(D5-E5)/E5</f>
        <v>0.16730167074917965</v>
      </c>
      <c r="G5" s="2">
        <f>+D5+'[2]Monthly Summary'!G5</f>
        <v>11329924</v>
      </c>
      <c r="H5" s="2">
        <f>'[1]Monthly Summary'!G5</f>
        <v>9781326</v>
      </c>
      <c r="I5" s="65">
        <f>(G5-H5)/H5</f>
        <v>0.15832188805485065</v>
      </c>
      <c r="J5" s="2"/>
    </row>
    <row r="6" spans="1:14" x14ac:dyDescent="0.2">
      <c r="A6" s="50" t="s">
        <v>5</v>
      </c>
      <c r="B6" s="217">
        <f>'Regional Major'!M5</f>
        <v>175763</v>
      </c>
      <c r="C6" s="217">
        <f>'Regional Major'!M6</f>
        <v>179950</v>
      </c>
      <c r="D6" s="2">
        <f>B6+C6</f>
        <v>355713</v>
      </c>
      <c r="E6" s="2">
        <f>'[1]Monthly Summary'!D6</f>
        <v>545873</v>
      </c>
      <c r="F6" s="3">
        <f>(D6-E6)/E6</f>
        <v>-0.34835941693397549</v>
      </c>
      <c r="G6" s="2">
        <f>+D6+'[2]Monthly Summary'!G6</f>
        <v>1613854</v>
      </c>
      <c r="H6" s="2">
        <f>'[1]Monthly Summary'!G6</f>
        <v>2093617</v>
      </c>
      <c r="I6" s="65">
        <f>(G6-H6)/H6</f>
        <v>-0.22915509379222657</v>
      </c>
      <c r="K6" s="2"/>
    </row>
    <row r="7" spans="1:14" x14ac:dyDescent="0.2">
      <c r="A7" s="50" t="s">
        <v>6</v>
      </c>
      <c r="B7" s="2">
        <f>Charter!G5</f>
        <v>551</v>
      </c>
      <c r="C7" s="217">
        <f>Charter!G6</f>
        <v>0</v>
      </c>
      <c r="D7" s="2">
        <f>B7+C7</f>
        <v>551</v>
      </c>
      <c r="E7" s="2">
        <f>'[1]Monthly Summary'!D7</f>
        <v>331</v>
      </c>
      <c r="F7" s="3">
        <f>(D7-E7)/E7</f>
        <v>0.66465256797583083</v>
      </c>
      <c r="G7" s="2">
        <f>+D7+'[2]Monthly Summary'!G7</f>
        <v>1279</v>
      </c>
      <c r="H7" s="2">
        <f>'[1]Monthly Summary'!G7</f>
        <v>4412</v>
      </c>
      <c r="I7" s="65">
        <f>(G7-H7)/H7</f>
        <v>-0.71010879419764283</v>
      </c>
      <c r="K7" s="2"/>
    </row>
    <row r="8" spans="1:14" x14ac:dyDescent="0.2">
      <c r="A8" s="52" t="s">
        <v>7</v>
      </c>
      <c r="B8" s="119">
        <f>SUM(B5:B7)</f>
        <v>1413146</v>
      </c>
      <c r="C8" s="119">
        <f>SUM(C5:C7)</f>
        <v>1367781</v>
      </c>
      <c r="D8" s="119">
        <f>SUM(D5:D7)</f>
        <v>2780927</v>
      </c>
      <c r="E8" s="119">
        <f>SUM(E5:E7)</f>
        <v>2623356</v>
      </c>
      <c r="F8" s="71">
        <f>(D8-E8)/E8</f>
        <v>6.006466526083383E-2</v>
      </c>
      <c r="G8" s="119">
        <f>SUM(G5:G7)</f>
        <v>12945057</v>
      </c>
      <c r="H8" s="119">
        <f>SUM(H5:H7)</f>
        <v>11879355</v>
      </c>
      <c r="I8" s="70">
        <f>(G8-H8)/H8</f>
        <v>8.9710426197381926E-2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40890</v>
      </c>
      <c r="C10" s="218">
        <f>'Major Airline Stats'!K10+'Regional Major'!M11</f>
        <v>41137</v>
      </c>
      <c r="D10" s="96">
        <f>SUM(B10:C10)</f>
        <v>82027</v>
      </c>
      <c r="E10" s="402">
        <f>'[1]Monthly Summary'!D10</f>
        <v>73757</v>
      </c>
      <c r="F10" s="72">
        <f>(D10-E10)/E10</f>
        <v>0.11212495085212251</v>
      </c>
      <c r="G10" s="402">
        <f>+D10+'[2]Monthly Summary'!G10</f>
        <v>389125</v>
      </c>
      <c r="H10" s="402">
        <f>'[1]Monthly Summary'!G10</f>
        <v>337919</v>
      </c>
      <c r="I10" s="75">
        <f>(G10-H10)/H10</f>
        <v>0.15153335562664424</v>
      </c>
      <c r="J10" s="169"/>
    </row>
    <row r="11" spans="1:14" ht="15.75" thickBot="1" x14ac:dyDescent="0.3">
      <c r="A11" s="51" t="s">
        <v>13</v>
      </c>
      <c r="B11" s="197">
        <f>B10+B8</f>
        <v>1454036</v>
      </c>
      <c r="C11" s="197">
        <f>C10+C8</f>
        <v>1408918</v>
      </c>
      <c r="D11" s="197">
        <f>D10+D8</f>
        <v>2862954</v>
      </c>
      <c r="E11" s="197">
        <f>E10+E8</f>
        <v>2697113</v>
      </c>
      <c r="F11" s="73">
        <f>(D11-E11)/E11</f>
        <v>6.1488339569013235E-2</v>
      </c>
      <c r="G11" s="197">
        <f>G8+G10</f>
        <v>13334182</v>
      </c>
      <c r="H11" s="197">
        <f>H8+H10</f>
        <v>12217274</v>
      </c>
      <c r="I11" s="76">
        <f>(G11-H11)/H11</f>
        <v>9.142039378015096E-2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0" t="s">
        <v>234</v>
      </c>
      <c r="E13" s="440" t="s">
        <v>226</v>
      </c>
      <c r="F13" s="5"/>
      <c r="G13" s="5"/>
      <c r="H13" s="5"/>
      <c r="I13" s="5"/>
    </row>
    <row r="14" spans="1:14" ht="13.5" thickBot="1" x14ac:dyDescent="0.25">
      <c r="A14" s="9"/>
      <c r="B14" s="5" t="s">
        <v>188</v>
      </c>
      <c r="C14" s="5" t="s">
        <v>189</v>
      </c>
      <c r="D14" s="441"/>
      <c r="E14" s="442"/>
      <c r="F14" s="5" t="s">
        <v>2</v>
      </c>
      <c r="G14" s="5" t="s">
        <v>235</v>
      </c>
      <c r="H14" s="5" t="s">
        <v>227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8790</v>
      </c>
      <c r="C16" s="226">
        <f>'Major Airline Stats'!K16+'Major Airline Stats'!K20</f>
        <v>8798</v>
      </c>
      <c r="D16" s="31">
        <f t="shared" ref="D16:D21" si="0">SUM(B16:C16)</f>
        <v>17588</v>
      </c>
      <c r="E16" s="2">
        <f>'[1]Monthly Summary'!D16</f>
        <v>14331</v>
      </c>
      <c r="F16" s="74">
        <f t="shared" ref="F16:F22" si="1">(D16-E16)/E16</f>
        <v>0.22726955550903635</v>
      </c>
      <c r="G16" s="2">
        <f>+D16+'[2]Monthly Summary'!G16</f>
        <v>83434</v>
      </c>
      <c r="H16" s="2">
        <f>'[1]Monthly Summary'!G16</f>
        <v>72126</v>
      </c>
      <c r="I16" s="192">
        <f t="shared" ref="I16:I22" si="2">(G16-H16)/H16</f>
        <v>0.15678118847572303</v>
      </c>
      <c r="N16" s="95"/>
    </row>
    <row r="17" spans="1:13" x14ac:dyDescent="0.2">
      <c r="A17" s="50" t="s">
        <v>5</v>
      </c>
      <c r="B17" s="31">
        <f>'Regional Major'!M15+'Regional Major'!M18</f>
        <v>3199</v>
      </c>
      <c r="C17" s="31">
        <f>'Regional Major'!M16+'Regional Major'!M19</f>
        <v>3197</v>
      </c>
      <c r="D17" s="31">
        <f>SUM(B17:C17)</f>
        <v>6396</v>
      </c>
      <c r="E17" s="2">
        <f>'[1]Monthly Summary'!D17</f>
        <v>8957</v>
      </c>
      <c r="F17" s="74">
        <f t="shared" si="1"/>
        <v>-0.28592162554426703</v>
      </c>
      <c r="G17" s="2">
        <f>+D17+'[2]Monthly Summary'!G17</f>
        <v>30739</v>
      </c>
      <c r="H17" s="2">
        <f>'[1]Monthly Summary'!G17</f>
        <v>41367</v>
      </c>
      <c r="I17" s="192">
        <f t="shared" si="2"/>
        <v>-0.25691976696400515</v>
      </c>
      <c r="L17" s="2"/>
      <c r="M17" s="2"/>
    </row>
    <row r="18" spans="1:13" x14ac:dyDescent="0.2">
      <c r="A18" s="50" t="s">
        <v>10</v>
      </c>
      <c r="B18" s="31">
        <f>Charter!G10</f>
        <v>2</v>
      </c>
      <c r="C18" s="31">
        <f>Charter!G11</f>
        <v>2</v>
      </c>
      <c r="D18" s="31">
        <f t="shared" si="0"/>
        <v>4</v>
      </c>
      <c r="E18" s="2">
        <f>'[1]Monthly Summary'!D18</f>
        <v>4</v>
      </c>
      <c r="F18" s="74">
        <f t="shared" si="1"/>
        <v>0</v>
      </c>
      <c r="G18" s="2">
        <f>+D18+'[2]Monthly Summary'!G18</f>
        <v>17</v>
      </c>
      <c r="H18" s="2">
        <f>'[1]Monthly Summary'!G18</f>
        <v>43</v>
      </c>
      <c r="I18" s="192">
        <f t="shared" si="2"/>
        <v>-0.60465116279069764</v>
      </c>
    </row>
    <row r="19" spans="1:13" x14ac:dyDescent="0.2">
      <c r="A19" s="50" t="s">
        <v>11</v>
      </c>
      <c r="B19" s="31">
        <f>Cargo!S4+Cargo!S8</f>
        <v>609</v>
      </c>
      <c r="C19" s="31">
        <f>Cargo!S5+Cargo!S9</f>
        <v>609</v>
      </c>
      <c r="D19" s="31">
        <f t="shared" si="0"/>
        <v>1218</v>
      </c>
      <c r="E19" s="2">
        <f>'[1]Monthly Summary'!D19</f>
        <v>1282</v>
      </c>
      <c r="F19" s="74">
        <f t="shared" si="1"/>
        <v>-4.9921996879875197E-2</v>
      </c>
      <c r="G19" s="2">
        <f>+D19+'[2]Monthly Summary'!G19</f>
        <v>5854</v>
      </c>
      <c r="H19" s="2">
        <f>'[1]Monthly Summary'!G19</f>
        <v>6552</v>
      </c>
      <c r="I19" s="192">
        <f t="shared" si="2"/>
        <v>-0.10653235653235653</v>
      </c>
    </row>
    <row r="20" spans="1:13" x14ac:dyDescent="0.2">
      <c r="A20" s="50" t="s">
        <v>148</v>
      </c>
      <c r="B20" s="31">
        <f>'[3]General Avation'!$IJ$4</f>
        <v>760</v>
      </c>
      <c r="C20" s="31">
        <f>'[3]General Avation'!$IJ$5</f>
        <v>759</v>
      </c>
      <c r="D20" s="31">
        <f t="shared" si="0"/>
        <v>1519</v>
      </c>
      <c r="E20" s="2">
        <f>'[1]Monthly Summary'!D20</f>
        <v>1649</v>
      </c>
      <c r="F20" s="74">
        <f t="shared" si="1"/>
        <v>-7.8835657974530016E-2</v>
      </c>
      <c r="G20" s="2">
        <f>+D20+'[2]Monthly Summary'!G20</f>
        <v>6739</v>
      </c>
      <c r="H20" s="2">
        <f>'[1]Monthly Summary'!G20</f>
        <v>6590</v>
      </c>
      <c r="I20" s="192">
        <f t="shared" si="2"/>
        <v>2.261001517450683E-2</v>
      </c>
    </row>
    <row r="21" spans="1:13" ht="12.75" customHeight="1" x14ac:dyDescent="0.2">
      <c r="A21" s="50" t="s">
        <v>12</v>
      </c>
      <c r="B21" s="11">
        <f>'[3]Military '!$IJ$4</f>
        <v>19</v>
      </c>
      <c r="C21" s="11">
        <f>'[3]Military '!$IJ$5</f>
        <v>20</v>
      </c>
      <c r="D21" s="11">
        <f t="shared" si="0"/>
        <v>39</v>
      </c>
      <c r="E21" s="402">
        <f>'[1]Monthly Summary'!D21</f>
        <v>77</v>
      </c>
      <c r="F21" s="190">
        <f t="shared" si="1"/>
        <v>-0.4935064935064935</v>
      </c>
      <c r="G21" s="402">
        <f>+D21+'[2]Monthly Summary'!G21</f>
        <v>272</v>
      </c>
      <c r="H21" s="402">
        <f>'[1]Monthly Summary'!G21</f>
        <v>393</v>
      </c>
      <c r="I21" s="193">
        <f t="shared" si="2"/>
        <v>-0.30788804071246817</v>
      </c>
      <c r="K21" s="95"/>
    </row>
    <row r="22" spans="1:13" ht="15.75" thickBot="1" x14ac:dyDescent="0.3">
      <c r="A22" s="51" t="s">
        <v>28</v>
      </c>
      <c r="B22" s="198">
        <f>SUM(B16:B21)</f>
        <v>13379</v>
      </c>
      <c r="C22" s="198">
        <f>SUM(C16:C21)</f>
        <v>13385</v>
      </c>
      <c r="D22" s="198">
        <f>SUM(D16:D21)</f>
        <v>26764</v>
      </c>
      <c r="E22" s="198">
        <f>SUM(E16:E21)</f>
        <v>26300</v>
      </c>
      <c r="F22" s="195">
        <f t="shared" si="1"/>
        <v>1.7642585551330799E-2</v>
      </c>
      <c r="G22" s="198">
        <f>SUM(G16:G21)</f>
        <v>127055</v>
      </c>
      <c r="H22" s="198">
        <f>SUM(H16:H21)</f>
        <v>127071</v>
      </c>
      <c r="I22" s="196">
        <f t="shared" si="2"/>
        <v>-1.2591385918108775E-4</v>
      </c>
      <c r="M22" s="95">
        <f>26764-D22</f>
        <v>0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0" t="s">
        <v>234</v>
      </c>
      <c r="E24" s="440" t="s">
        <v>226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1"/>
      <c r="E25" s="442"/>
      <c r="F25" s="5" t="s">
        <v>2</v>
      </c>
      <c r="G25" s="5" t="s">
        <v>235</v>
      </c>
      <c r="H25" s="5" t="s">
        <v>227</v>
      </c>
      <c r="I25" s="5" t="s">
        <v>2</v>
      </c>
    </row>
    <row r="26" spans="1:13" ht="15" x14ac:dyDescent="0.25">
      <c r="A26" s="48" t="s">
        <v>126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9049.1712288020117</v>
      </c>
      <c r="C27" s="13">
        <f>(Cargo!S21+'Major Airline Stats'!K33+'Regional Major'!M30)*0.00045359237</f>
        <v>7296.654420841478</v>
      </c>
      <c r="D27" s="13">
        <f>(SUM(B27:C27)+('Cargo Summary'!E17*0.00045359237))</f>
        <v>16345.82564964349</v>
      </c>
      <c r="E27" s="2">
        <f>'[1]Monthly Summary'!D27</f>
        <v>13195.748112030175</v>
      </c>
      <c r="F27" s="77">
        <f>(D27-E27)/E27</f>
        <v>0.23871913216814758</v>
      </c>
      <c r="G27" s="2">
        <f>+D27+'[2]Monthly Summary'!G27</f>
        <v>78399.162009440653</v>
      </c>
      <c r="H27" s="2">
        <f>'[1]Monthly Summary'!G27</f>
        <v>80558.533709984942</v>
      </c>
      <c r="I27" s="79">
        <f>(G27-H27)/H27</f>
        <v>-2.6805002537883111E-2</v>
      </c>
    </row>
    <row r="28" spans="1:13" x14ac:dyDescent="0.2">
      <c r="A28" s="45" t="s">
        <v>16</v>
      </c>
      <c r="B28" s="13">
        <f>(Cargo!S17+'Major Airline Stats'!K29+'Regional Major'!M26)*0.00045359237</f>
        <v>524.36366593688001</v>
      </c>
      <c r="C28" s="13">
        <f>(Cargo!S22+'Major Airline Stats'!K34+'Regional Major'!M31)*0.00045359237</f>
        <v>384.29298130376998</v>
      </c>
      <c r="D28" s="13">
        <f>SUM(B28:C28)</f>
        <v>908.65664724065005</v>
      </c>
      <c r="E28" s="2">
        <f>'[1]Monthly Summary'!D28</f>
        <v>6734.6015834443497</v>
      </c>
      <c r="F28" s="77">
        <f>(D28-E28)/E28</f>
        <v>-0.86507640637949568</v>
      </c>
      <c r="G28" s="2">
        <f>+D28+'[2]Monthly Summary'!G28</f>
        <v>5976.4904294372209</v>
      </c>
      <c r="H28" s="2">
        <f>'[1]Monthly Summary'!G28</f>
        <v>14504.55451336353</v>
      </c>
      <c r="I28" s="79">
        <f>(G28-H28)/H28</f>
        <v>-0.5879576705419749</v>
      </c>
    </row>
    <row r="29" spans="1:13" ht="15.75" thickBot="1" x14ac:dyDescent="0.3">
      <c r="A29" s="46" t="s">
        <v>62</v>
      </c>
      <c r="B29" s="38">
        <f>SUM(B27:B28)</f>
        <v>9573.534894738892</v>
      </c>
      <c r="C29" s="38">
        <f>SUM(C27:C28)</f>
        <v>7680.9474021452479</v>
      </c>
      <c r="D29" s="38">
        <f>SUM(D27:D28)</f>
        <v>17254.48229688414</v>
      </c>
      <c r="E29" s="38">
        <f>SUM(E27:E28)</f>
        <v>19930.349695474524</v>
      </c>
      <c r="F29" s="78">
        <f>(D29-E29)/E29</f>
        <v>-0.13426093568232669</v>
      </c>
      <c r="G29" s="38">
        <f>SUM(G27:G28)</f>
        <v>84375.652438877878</v>
      </c>
      <c r="H29" s="38">
        <f>SUM(H27:H28)</f>
        <v>95063.088223348474</v>
      </c>
      <c r="I29" s="80">
        <f>(G29-H29)/H29</f>
        <v>-0.11242466433828363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39" t="s">
        <v>144</v>
      </c>
      <c r="C31" s="438"/>
      <c r="D31" s="439" t="s">
        <v>151</v>
      </c>
      <c r="E31" s="438"/>
      <c r="F31" s="308"/>
      <c r="G31" s="309"/>
    </row>
    <row r="32" spans="1:13" x14ac:dyDescent="0.2">
      <c r="A32" s="290" t="s">
        <v>145</v>
      </c>
      <c r="B32" s="291">
        <f>C8-B33</f>
        <v>886142</v>
      </c>
      <c r="C32" s="292">
        <f>B32/C8</f>
        <v>0.64786833564730029</v>
      </c>
      <c r="D32" s="293">
        <f>+B32+'[2]Monthly Summary'!$D$32</f>
        <v>4511259</v>
      </c>
      <c r="E32" s="294">
        <f>+D32/D34</f>
        <v>0.70075839421058606</v>
      </c>
      <c r="G32" s="2"/>
      <c r="I32" s="307"/>
    </row>
    <row r="33" spans="1:14" ht="13.5" thickBot="1" x14ac:dyDescent="0.25">
      <c r="A33" s="295" t="s">
        <v>146</v>
      </c>
      <c r="B33" s="296">
        <f>'Major Airline Stats'!K51+'Regional Major'!M45</f>
        <v>481639</v>
      </c>
      <c r="C33" s="297">
        <f>+B33/C8</f>
        <v>0.35213166435269971</v>
      </c>
      <c r="D33" s="298">
        <f>+B33+'[2]Monthly Summary'!$D$33</f>
        <v>1926422</v>
      </c>
      <c r="E33" s="299">
        <f>+D33/D34</f>
        <v>0.29924160578941394</v>
      </c>
      <c r="I33" s="307"/>
    </row>
    <row r="34" spans="1:14" ht="13.5" thickBot="1" x14ac:dyDescent="0.25">
      <c r="B34" s="230"/>
      <c r="D34" s="300">
        <f>SUM(D32:D33)</f>
        <v>6437681</v>
      </c>
    </row>
    <row r="35" spans="1:14" ht="13.5" thickBot="1" x14ac:dyDescent="0.25">
      <c r="B35" s="437" t="s">
        <v>252</v>
      </c>
      <c r="C35" s="438"/>
      <c r="D35" s="439" t="s">
        <v>236</v>
      </c>
      <c r="E35" s="438"/>
    </row>
    <row r="36" spans="1:14" x14ac:dyDescent="0.2">
      <c r="A36" s="290" t="s">
        <v>145</v>
      </c>
      <c r="B36" s="291">
        <f>'[1]Monthly Summary'!$B$32</f>
        <v>854927</v>
      </c>
      <c r="C36" s="292">
        <f>+B36/B38</f>
        <v>0.65847596396018926</v>
      </c>
      <c r="D36" s="293">
        <f>'[1]Monthly Summary'!$D$32</f>
        <v>4135999</v>
      </c>
      <c r="E36" s="294">
        <f>+D36/D38</f>
        <v>0.69869616102179943</v>
      </c>
    </row>
    <row r="37" spans="1:14" ht="13.5" thickBot="1" x14ac:dyDescent="0.25">
      <c r="A37" s="295" t="s">
        <v>146</v>
      </c>
      <c r="B37" s="296">
        <f>'[1]Monthly Summary'!$B$33</f>
        <v>443415</v>
      </c>
      <c r="C37" s="299">
        <f>+B37/B38</f>
        <v>0.3415240360398108</v>
      </c>
      <c r="D37" s="298">
        <f>'[1]Monthly Summary'!$D$33</f>
        <v>1783597</v>
      </c>
      <c r="E37" s="299">
        <f>+D37/D38</f>
        <v>0.30130383897820057</v>
      </c>
      <c r="M37" s="1"/>
    </row>
    <row r="38" spans="1:14" x14ac:dyDescent="0.2">
      <c r="B38" s="312">
        <f>+SUM(B36:B37)</f>
        <v>1298342</v>
      </c>
      <c r="D38" s="300">
        <f>SUM(D36:D37)</f>
        <v>5919596</v>
      </c>
      <c r="K38" s="305"/>
    </row>
    <row r="39" spans="1:14" x14ac:dyDescent="0.2">
      <c r="A39" s="304" t="s">
        <v>147</v>
      </c>
    </row>
    <row r="40" spans="1:14" x14ac:dyDescent="0.2">
      <c r="A40" s="170" t="s">
        <v>149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2023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Q11" activeCellId="1" sqref="Q6 Q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396">
        <v>45047</v>
      </c>
      <c r="B1" s="326" t="s">
        <v>18</v>
      </c>
      <c r="C1" s="325" t="s">
        <v>193</v>
      </c>
      <c r="D1" s="364" t="s">
        <v>157</v>
      </c>
      <c r="E1" s="325" t="s">
        <v>163</v>
      </c>
      <c r="F1" s="325" t="s">
        <v>162</v>
      </c>
      <c r="G1" s="325" t="s">
        <v>49</v>
      </c>
      <c r="H1" s="325" t="s">
        <v>113</v>
      </c>
      <c r="I1" s="325" t="s">
        <v>192</v>
      </c>
      <c r="J1" s="325" t="s">
        <v>253</v>
      </c>
      <c r="K1" s="325" t="s">
        <v>194</v>
      </c>
      <c r="L1" s="325" t="s">
        <v>161</v>
      </c>
      <c r="M1" s="325" t="s">
        <v>201</v>
      </c>
      <c r="N1" s="325" t="s">
        <v>156</v>
      </c>
      <c r="O1" s="325" t="s">
        <v>47</v>
      </c>
      <c r="P1" s="325" t="s">
        <v>139</v>
      </c>
      <c r="Q1" s="325" t="s">
        <v>21</v>
      </c>
    </row>
    <row r="2" spans="1:17" ht="15" x14ac:dyDescent="0.25">
      <c r="A2" s="473" t="s">
        <v>140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5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[3]Delta!$IJ$32</f>
        <v>73856</v>
      </c>
      <c r="C4" s="12">
        <f>'[3]Atlantic Southeast'!$IJ$32</f>
        <v>0</v>
      </c>
      <c r="D4" s="12">
        <f>[3]Pinnacle!$IJ$32</f>
        <v>0</v>
      </c>
      <c r="E4" s="12">
        <f>'[3]Sky West'!$IJ$32</f>
        <v>7071</v>
      </c>
      <c r="F4" s="12">
        <f>'[3]Go Jet'!$IJ$32</f>
        <v>0</v>
      </c>
      <c r="G4" s="12">
        <f>'[3]Sun Country'!$IJ$32</f>
        <v>3047</v>
      </c>
      <c r="H4" s="12">
        <f>[3]Icelandair!$IJ$32</f>
        <v>3400</v>
      </c>
      <c r="I4" s="12">
        <f>[3]KLM!$IJ$32</f>
        <v>4078</v>
      </c>
      <c r="J4" s="12">
        <f>[3]Jazz_AC!$IJ$32</f>
        <v>7670</v>
      </c>
      <c r="K4" s="12">
        <f>'[3]Sky Regional'!$IJ$32</f>
        <v>0</v>
      </c>
      <c r="L4" s="12">
        <f>[3]Condor!$IJ$32</f>
        <v>608</v>
      </c>
      <c r="M4" s="12">
        <f>'[3]Aer Lingus'!$IJ$32</f>
        <v>0</v>
      </c>
      <c r="N4" s="12">
        <f>'[3]Air France'!$IJ$32</f>
        <v>0</v>
      </c>
      <c r="O4" s="12">
        <f>[3]Frontier!$IJ$32</f>
        <v>0</v>
      </c>
      <c r="P4" s="12">
        <f>'[3]Charter Misc'!$IJ$32+[3]Ryan!$IJ$32+[3]Omni!$IJ$32</f>
        <v>551</v>
      </c>
      <c r="Q4" s="205">
        <f>SUM(B4:P4)</f>
        <v>100281</v>
      </c>
    </row>
    <row r="5" spans="1:17" x14ac:dyDescent="0.2">
      <c r="A5" s="45" t="s">
        <v>31</v>
      </c>
      <c r="B5" s="7">
        <f>[3]Delta!$IJ$33</f>
        <v>80034</v>
      </c>
      <c r="C5" s="7">
        <f>'[3]Atlantic Southeast'!$IJ$33</f>
        <v>0</v>
      </c>
      <c r="D5" s="7">
        <f>[3]Pinnacle!$IJ$33</f>
        <v>0</v>
      </c>
      <c r="E5" s="7">
        <f>'[3]Sky West'!$IJ$33</f>
        <v>7823</v>
      </c>
      <c r="F5" s="7">
        <f>'[3]Go Jet'!$IJ$33</f>
        <v>0</v>
      </c>
      <c r="G5" s="7">
        <f>'[3]Sun Country'!$IJ$33</f>
        <v>2697</v>
      </c>
      <c r="H5" s="7">
        <f>[3]Icelandair!$IJ$33</f>
        <v>4303</v>
      </c>
      <c r="I5" s="7">
        <f>[3]KLM!$IJ$33</f>
        <v>4369</v>
      </c>
      <c r="J5" s="7">
        <f>[3]Jazz_AC!$IJ$33</f>
        <v>8625</v>
      </c>
      <c r="K5" s="7">
        <f>'[3]Sky Regional'!$IJ$33</f>
        <v>0</v>
      </c>
      <c r="L5" s="7">
        <f>[3]Condor!$IJ$33</f>
        <v>760</v>
      </c>
      <c r="M5" s="7">
        <f>'[3]Aer Lingus'!$IJ$33</f>
        <v>0</v>
      </c>
      <c r="N5" s="7">
        <f>'[3]Air France'!$IJ$33</f>
        <v>0</v>
      </c>
      <c r="O5" s="7">
        <f>[3]Frontier!$IJ$33</f>
        <v>0</v>
      </c>
      <c r="P5" s="7">
        <f>'[3]Charter Misc'!$IJ$33++[3]Ryan!$IJ$33+[3]Omni!$IJ$33</f>
        <v>0</v>
      </c>
      <c r="Q5" s="206">
        <f>SUM(B5:P5)</f>
        <v>108611</v>
      </c>
    </row>
    <row r="6" spans="1:17" ht="15" x14ac:dyDescent="0.25">
      <c r="A6" s="43" t="s">
        <v>7</v>
      </c>
      <c r="B6" s="24">
        <f t="shared" ref="B6:P6" si="0">SUM(B4:B5)</f>
        <v>153890</v>
      </c>
      <c r="C6" s="24">
        <f t="shared" si="0"/>
        <v>0</v>
      </c>
      <c r="D6" s="24">
        <f t="shared" si="0"/>
        <v>0</v>
      </c>
      <c r="E6" s="24">
        <f t="shared" si="0"/>
        <v>14894</v>
      </c>
      <c r="F6" s="24">
        <f t="shared" ref="F6" si="1">SUM(F4:F5)</f>
        <v>0</v>
      </c>
      <c r="G6" s="24">
        <f t="shared" si="0"/>
        <v>5744</v>
      </c>
      <c r="H6" s="24">
        <f t="shared" si="0"/>
        <v>7703</v>
      </c>
      <c r="I6" s="24">
        <f t="shared" ref="I6" si="2">SUM(I4:I5)</f>
        <v>8447</v>
      </c>
      <c r="J6" s="24">
        <f t="shared" si="0"/>
        <v>16295</v>
      </c>
      <c r="K6" s="24">
        <f t="shared" ref="K6" si="3">SUM(K4:K5)</f>
        <v>0</v>
      </c>
      <c r="L6" s="24">
        <f t="shared" ref="L6:M6" si="4">SUM(L4:L5)</f>
        <v>1368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551</v>
      </c>
      <c r="Q6" s="207">
        <f>SUM(B6:P6)</f>
        <v>208892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[3]Delta!$IJ$37</f>
        <v>2344</v>
      </c>
      <c r="C9" s="12">
        <f>'[3]Atlantic Southeast'!$IJ$37</f>
        <v>0</v>
      </c>
      <c r="D9" s="12">
        <f>[3]Pinnacle!$IJ$37</f>
        <v>0</v>
      </c>
      <c r="E9" s="12">
        <f>'[3]Sky West'!$IJ$37</f>
        <v>133</v>
      </c>
      <c r="F9" s="12">
        <f>'[3]Go Jet'!$IJ$37</f>
        <v>0</v>
      </c>
      <c r="G9" s="12">
        <f>'[3]Sun Country'!$IJ$37</f>
        <v>77</v>
      </c>
      <c r="H9" s="12">
        <f>[3]Icelandair!$IJ$37</f>
        <v>22</v>
      </c>
      <c r="I9" s="12">
        <f>[3]KLM!$IJ$37</f>
        <v>13</v>
      </c>
      <c r="J9" s="12">
        <f>[3]Jazz_AC!$IJ$37</f>
        <v>85</v>
      </c>
      <c r="K9" s="12">
        <f>'[3]Sky Regional'!$IJ$37</f>
        <v>0</v>
      </c>
      <c r="L9" s="12">
        <f>[3]Condor!$IJ$37</f>
        <v>2</v>
      </c>
      <c r="M9" s="12">
        <f>'[3]Aer Lingus'!$IJ$37</f>
        <v>0</v>
      </c>
      <c r="N9" s="12">
        <f>'[3]Air France'!$IJ$37</f>
        <v>0</v>
      </c>
      <c r="O9" s="12">
        <f>[3]Frontier!$IJ$37</f>
        <v>0</v>
      </c>
      <c r="P9" s="12">
        <f>'[3]Charter Misc'!$IJ$37+[3]Ryan!$IJ$37+[3]Omni!$IJ$37</f>
        <v>0</v>
      </c>
      <c r="Q9" s="205">
        <f>SUM(B9:P9)</f>
        <v>2676</v>
      </c>
    </row>
    <row r="10" spans="1:17" x14ac:dyDescent="0.2">
      <c r="A10" s="45" t="s">
        <v>33</v>
      </c>
      <c r="B10" s="7">
        <f>[3]Delta!$IJ$38</f>
        <v>2339</v>
      </c>
      <c r="C10" s="7">
        <f>'[3]Atlantic Southeast'!$IJ$38</f>
        <v>0</v>
      </c>
      <c r="D10" s="7">
        <f>[3]Pinnacle!$IJ$38</f>
        <v>0</v>
      </c>
      <c r="E10" s="7">
        <f>'[3]Sky West'!$IJ$38</f>
        <v>138</v>
      </c>
      <c r="F10" s="7">
        <f>'[3]Go Jet'!$IJ$38</f>
        <v>0</v>
      </c>
      <c r="G10" s="7">
        <f>'[3]Sun Country'!$IJ$38</f>
        <v>62</v>
      </c>
      <c r="H10" s="7">
        <f>[3]Icelandair!$IJ$38</f>
        <v>29</v>
      </c>
      <c r="I10" s="7">
        <f>[3]KLM!$IJ$38</f>
        <v>0</v>
      </c>
      <c r="J10" s="7">
        <f>[3]Jazz_AC!$IJ$38</f>
        <v>105</v>
      </c>
      <c r="K10" s="7">
        <f>'[3]Sky Regional'!$IJ$38</f>
        <v>0</v>
      </c>
      <c r="L10" s="7">
        <f>[3]Condor!$IJ$38</f>
        <v>1</v>
      </c>
      <c r="M10" s="7">
        <f>'[3]Aer Lingus'!$IJ$38</f>
        <v>0</v>
      </c>
      <c r="N10" s="7">
        <f>'[3]Air France'!$IJ$38</f>
        <v>0</v>
      </c>
      <c r="O10" s="7">
        <f>[3]Frontier!$IJ$38</f>
        <v>0</v>
      </c>
      <c r="P10" s="7">
        <f>'[3]Charter Misc'!$IJ$38+[3]Ryan!$IJ$38+[3]Omni!$IJ$38</f>
        <v>0</v>
      </c>
      <c r="Q10" s="206">
        <f>SUM(B10:P10)</f>
        <v>2674</v>
      </c>
    </row>
    <row r="11" spans="1:17" ht="15.75" thickBot="1" x14ac:dyDescent="0.3">
      <c r="A11" s="46" t="s">
        <v>34</v>
      </c>
      <c r="B11" s="208">
        <f t="shared" ref="B11:G11" si="5">SUM(B9:B10)</f>
        <v>4683</v>
      </c>
      <c r="C11" s="208">
        <f t="shared" si="5"/>
        <v>0</v>
      </c>
      <c r="D11" s="208">
        <f t="shared" si="5"/>
        <v>0</v>
      </c>
      <c r="E11" s="208">
        <f t="shared" si="5"/>
        <v>271</v>
      </c>
      <c r="F11" s="208">
        <f t="shared" ref="F11" si="6">SUM(F9:F10)</f>
        <v>0</v>
      </c>
      <c r="G11" s="208">
        <f t="shared" si="5"/>
        <v>139</v>
      </c>
      <c r="H11" s="208">
        <f t="shared" ref="H11:P11" si="7">SUM(H9:H10)</f>
        <v>51</v>
      </c>
      <c r="I11" s="208">
        <f t="shared" ref="I11" si="8">SUM(I9:I10)</f>
        <v>13</v>
      </c>
      <c r="J11" s="208">
        <f t="shared" si="7"/>
        <v>190</v>
      </c>
      <c r="K11" s="208">
        <f t="shared" ref="K11" si="9">SUM(K9:K10)</f>
        <v>0</v>
      </c>
      <c r="L11" s="208">
        <f t="shared" si="7"/>
        <v>3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5350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193</v>
      </c>
      <c r="D13" s="364" t="s">
        <v>157</v>
      </c>
      <c r="E13" s="325" t="s">
        <v>163</v>
      </c>
      <c r="F13" s="325" t="s">
        <v>162</v>
      </c>
      <c r="G13" s="325" t="s">
        <v>49</v>
      </c>
      <c r="H13" s="325" t="s">
        <v>113</v>
      </c>
      <c r="I13" s="325" t="s">
        <v>192</v>
      </c>
      <c r="J13" s="325" t="s">
        <v>253</v>
      </c>
      <c r="K13" s="325" t="s">
        <v>194</v>
      </c>
      <c r="L13" s="325" t="s">
        <v>161</v>
      </c>
      <c r="M13" s="325" t="s">
        <v>201</v>
      </c>
      <c r="N13" s="325" t="s">
        <v>156</v>
      </c>
      <c r="O13" s="325" t="s">
        <v>47</v>
      </c>
      <c r="P13" s="325" t="s">
        <v>139</v>
      </c>
      <c r="Q13" s="325" t="s">
        <v>21</v>
      </c>
    </row>
    <row r="14" spans="1:17" ht="15" x14ac:dyDescent="0.25">
      <c r="A14" s="476" t="s">
        <v>141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8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SUM([3]Delta!$IF$32:$IJ$32)</f>
        <v>429566</v>
      </c>
      <c r="C17" s="12">
        <f>SUM('[3]Atlantic Southeast'!$IF$32:$IJ$32)</f>
        <v>0</v>
      </c>
      <c r="D17" s="12">
        <f>SUM([3]Pinnacle!$IF$32:$IJ$32)</f>
        <v>1862</v>
      </c>
      <c r="E17" s="12">
        <f>SUM('[3]Sky West'!$IF$32:$IJ$32)</f>
        <v>23214</v>
      </c>
      <c r="F17" s="12">
        <f>SUM('[3]Go Jet'!$IF$32:$IJ$32)</f>
        <v>0</v>
      </c>
      <c r="G17" s="12">
        <f>SUM('[3]Sun Country'!$IF$32:$IJ$32)</f>
        <v>140780</v>
      </c>
      <c r="H17" s="12">
        <f>SUM([3]Icelandair!$IF$32:$IJ$32)</f>
        <v>6791</v>
      </c>
      <c r="I17" s="12">
        <f>SUM([3]KLM!$IF$32:$IJ$32)</f>
        <v>18992</v>
      </c>
      <c r="J17" s="12">
        <f>SUM([3]Jazz_AC!$IF$32:$IJ$32)</f>
        <v>23058</v>
      </c>
      <c r="K17" s="12">
        <f>SUM('[3]Sky Regional'!$IF$32:$IJ$32)</f>
        <v>0</v>
      </c>
      <c r="L17" s="12">
        <f>SUM([3]Condor!$IF$32:$IJ$32)</f>
        <v>608</v>
      </c>
      <c r="M17" s="12">
        <f>SUM('[3]Aer Lingus'!$IF$32:$IJ$32)</f>
        <v>0</v>
      </c>
      <c r="N17" s="12">
        <f>SUM('[3]Air France'!$IF$32:$IJ$32)</f>
        <v>0</v>
      </c>
      <c r="O17" s="12">
        <f>SUM([3]Frontier!$IF$32:$IJ$32)</f>
        <v>0</v>
      </c>
      <c r="P17" s="12">
        <f>SUM('[3]Charter Misc'!$IF$32:$IJ$32)+SUM([3]Ryan!$IF$32:$IJ$32)+SUM([3]Omni!$IF$32:$IJ$32)</f>
        <v>887</v>
      </c>
      <c r="Q17" s="205">
        <f>SUM(B17:P17)</f>
        <v>645758</v>
      </c>
    </row>
    <row r="18" spans="1:20" x14ac:dyDescent="0.2">
      <c r="A18" s="45" t="s">
        <v>31</v>
      </c>
      <c r="B18" s="7">
        <f>SUM([3]Delta!$IF$33:$IJ$33)</f>
        <v>423795</v>
      </c>
      <c r="C18" s="7">
        <f>SUM('[3]Atlantic Southeast'!$IF$33:$IJ$33)</f>
        <v>0</v>
      </c>
      <c r="D18" s="7">
        <f>SUM([3]Pinnacle!$IF$33:$IJ$33)</f>
        <v>1990</v>
      </c>
      <c r="E18" s="7">
        <f>SUM('[3]Sky West'!$IF$33:$IJ$33)</f>
        <v>24817</v>
      </c>
      <c r="F18" s="7">
        <f>SUM('[3]Go Jet'!$IF$33:$IJ$33)</f>
        <v>0</v>
      </c>
      <c r="G18" s="7">
        <f>SUM('[3]Sun Country'!$IF$33:$IJ$33)</f>
        <v>136443</v>
      </c>
      <c r="H18" s="7">
        <f>SUM([3]Icelandair!$IF$33:$IJ$33)</f>
        <v>7957</v>
      </c>
      <c r="I18" s="7">
        <f>SUM([3]KLM!$IF$33:$IJ$33)</f>
        <v>16934</v>
      </c>
      <c r="J18" s="7">
        <f>SUM([3]Jazz_AC!$IF$33:$IJ$33)</f>
        <v>23779</v>
      </c>
      <c r="K18" s="7">
        <f>SUM('[3]Sky Regional'!$IF$33:$IJ$33)</f>
        <v>0</v>
      </c>
      <c r="L18" s="7">
        <f>SUM([3]Condor!$IF$33:$IJ$33)</f>
        <v>760</v>
      </c>
      <c r="M18" s="7">
        <f>SUM('[3]Aer Lingus'!$IF$33:$IJ$33)</f>
        <v>0</v>
      </c>
      <c r="N18" s="7">
        <f>SUM('[3]Air France'!$IF$33:$IJ$33)</f>
        <v>0</v>
      </c>
      <c r="O18" s="7">
        <f>SUM([3]Frontier!$IF$33:$IJ$33)</f>
        <v>0</v>
      </c>
      <c r="P18" s="7">
        <f>SUM('[3]Charter Misc'!$IF$33:$IJ$33)++SUM([3]Ryan!$IF$33:$IJ$33)+SUM([3]Omni!$IF$33:$IJ$33)</f>
        <v>332</v>
      </c>
      <c r="Q18" s="206">
        <f>SUM(B18:P18)</f>
        <v>636807</v>
      </c>
    </row>
    <row r="19" spans="1:20" ht="15" x14ac:dyDescent="0.25">
      <c r="A19" s="43" t="s">
        <v>7</v>
      </c>
      <c r="B19" s="24">
        <f t="shared" ref="B19:P19" si="11">SUM(B17:B18)</f>
        <v>853361</v>
      </c>
      <c r="C19" s="24">
        <f t="shared" si="11"/>
        <v>0</v>
      </c>
      <c r="D19" s="24">
        <f t="shared" si="11"/>
        <v>3852</v>
      </c>
      <c r="E19" s="24">
        <f t="shared" si="11"/>
        <v>48031</v>
      </c>
      <c r="F19" s="24">
        <f t="shared" ref="F19" si="12">SUM(F17:F18)</f>
        <v>0</v>
      </c>
      <c r="G19" s="24">
        <f t="shared" si="11"/>
        <v>277223</v>
      </c>
      <c r="H19" s="24">
        <f t="shared" si="11"/>
        <v>14748</v>
      </c>
      <c r="I19" s="24">
        <f t="shared" ref="I19" si="13">SUM(I17:I18)</f>
        <v>35926</v>
      </c>
      <c r="J19" s="24">
        <f t="shared" si="11"/>
        <v>46837</v>
      </c>
      <c r="K19" s="24">
        <f t="shared" ref="K19" si="14">SUM(K17:K18)</f>
        <v>0</v>
      </c>
      <c r="L19" s="24">
        <f t="shared" ref="L19:M19" si="15">SUM(L17:L18)</f>
        <v>1368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1219</v>
      </c>
      <c r="Q19" s="207">
        <f>SUM(B19:P19)</f>
        <v>1282565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SUM([3]Delta!$IF$37:$IJ$37)</f>
        <v>11952</v>
      </c>
      <c r="C22" s="12">
        <f>SUM('[3]Atlantic Southeast'!$IF$37:$IJ$37)</f>
        <v>0</v>
      </c>
      <c r="D22" s="12">
        <f>SUM([3]Pinnacle!$IF$37:$IJ$37)</f>
        <v>24</v>
      </c>
      <c r="E22" s="12">
        <f>SUM('[3]Sky West'!$IF$37:$IJ$37)</f>
        <v>459</v>
      </c>
      <c r="F22" s="12">
        <f>SUM('[3]Go Jet'!$IF$37:$IJ$37)</f>
        <v>0</v>
      </c>
      <c r="G22" s="12">
        <f>SUM('[3]Sun Country'!$IF$37:$IJ$37)</f>
        <v>1825</v>
      </c>
      <c r="H22" s="12">
        <f>SUM([3]Icelandair!$IF$37:$IJ$37)</f>
        <v>63</v>
      </c>
      <c r="I22" s="12">
        <f>SUM([3]KLM!$IF$37:$IJ$37)</f>
        <v>45</v>
      </c>
      <c r="J22" s="12">
        <f>SUM([3]Jazz_AC!$IF$37:$IJ$37)</f>
        <v>290</v>
      </c>
      <c r="K22" s="12">
        <f>SUM('[3]Sky Regional'!$IF$37:$IJ$37)</f>
        <v>0</v>
      </c>
      <c r="L22" s="12">
        <f>SUM([3]Condor!$IF$37:$IJ$37)</f>
        <v>2</v>
      </c>
      <c r="M22" s="12">
        <f>SUM('[3]Aer Lingus'!$IF$37:$IJ$37)</f>
        <v>0</v>
      </c>
      <c r="N22" s="12">
        <f>SUM('[3]Air France'!$IF$37:$IJ$37)</f>
        <v>0</v>
      </c>
      <c r="O22" s="12">
        <f>SUM([3]Frontier!$IF$37:$IJ$37)</f>
        <v>0</v>
      </c>
      <c r="P22" s="12">
        <f>SUM('[3]Charter Misc'!$IF$37:$IJ$37)++SUM([3]Ryan!$IF$37:$IJ$37)+SUM([3]Omni!$IF$37:$IJ$37)</f>
        <v>0</v>
      </c>
      <c r="Q22" s="205">
        <f>SUM(B22:P22)</f>
        <v>14660</v>
      </c>
    </row>
    <row r="23" spans="1:20" x14ac:dyDescent="0.2">
      <c r="A23" s="45" t="s">
        <v>33</v>
      </c>
      <c r="B23" s="7">
        <f>SUM([3]Delta!$IF$38:$IJ$38)</f>
        <v>12337</v>
      </c>
      <c r="C23" s="7">
        <f>SUM('[3]Atlantic Southeast'!$IF$38:$IJ$38)</f>
        <v>0</v>
      </c>
      <c r="D23" s="7">
        <f>SUM([3]Pinnacle!$IF$38:$IJ$38)</f>
        <v>30</v>
      </c>
      <c r="E23" s="7">
        <f>SUM('[3]Sky West'!$IF$38:$IJ$38)</f>
        <v>425</v>
      </c>
      <c r="F23" s="7">
        <f>SUM('[3]Go Jet'!$IF$38:$IJ$38)</f>
        <v>0</v>
      </c>
      <c r="G23" s="7">
        <f>SUM('[3]Sun Country'!$IF$38:$IJ$38)</f>
        <v>1894</v>
      </c>
      <c r="H23" s="7">
        <f>SUM([3]Icelandair!$IF$38:$IJ$38)</f>
        <v>79</v>
      </c>
      <c r="I23" s="7">
        <f>SUM([3]KLM!$IF$38:$IJ$38)</f>
        <v>3</v>
      </c>
      <c r="J23" s="7">
        <f>SUM([3]Jazz_AC!$IF$38:$IJ$38)</f>
        <v>344</v>
      </c>
      <c r="K23" s="7">
        <f>SUM('[3]Sky Regional'!$IF$38:$IJ$38)</f>
        <v>0</v>
      </c>
      <c r="L23" s="7">
        <f>SUM([3]Condor!$IF$38:$IJ$38)</f>
        <v>1</v>
      </c>
      <c r="M23" s="7">
        <f>SUM('[3]Aer Lingus'!$IF$38:$IJ$38)</f>
        <v>0</v>
      </c>
      <c r="N23" s="7">
        <f>SUM('[3]Air France'!$IF$38:$IJ$38)</f>
        <v>0</v>
      </c>
      <c r="O23" s="7">
        <f>SUM([3]Frontier!$IF$38:$IJ$38)</f>
        <v>0</v>
      </c>
      <c r="P23" s="7">
        <f>SUM('[3]Charter Misc'!$IF$38:$IJ$38)++SUM([3]Ryan!$IF$38:$IJ$38)+SUM([3]Omni!$IF$38:$IJ$38)</f>
        <v>0</v>
      </c>
      <c r="Q23" s="206">
        <f>SUM(B23:P23)</f>
        <v>15113</v>
      </c>
    </row>
    <row r="24" spans="1:20" ht="15.75" thickBot="1" x14ac:dyDescent="0.3">
      <c r="A24" s="46" t="s">
        <v>34</v>
      </c>
      <c r="B24" s="208">
        <f t="shared" ref="B24:P24" si="16">SUM(B22:B23)</f>
        <v>24289</v>
      </c>
      <c r="C24" s="208">
        <f t="shared" si="16"/>
        <v>0</v>
      </c>
      <c r="D24" s="208">
        <f t="shared" si="16"/>
        <v>54</v>
      </c>
      <c r="E24" s="208">
        <f t="shared" si="16"/>
        <v>884</v>
      </c>
      <c r="F24" s="208">
        <f t="shared" ref="F24" si="17">SUM(F22:F23)</f>
        <v>0</v>
      </c>
      <c r="G24" s="208">
        <f t="shared" si="16"/>
        <v>3719</v>
      </c>
      <c r="H24" s="208">
        <f t="shared" si="16"/>
        <v>142</v>
      </c>
      <c r="I24" s="208">
        <f t="shared" ref="I24" si="18">SUM(I22:I23)</f>
        <v>48</v>
      </c>
      <c r="J24" s="208">
        <f t="shared" si="16"/>
        <v>634</v>
      </c>
      <c r="K24" s="208">
        <f t="shared" ref="K24" si="19">SUM(K22:K23)</f>
        <v>0</v>
      </c>
      <c r="L24" s="208">
        <f t="shared" ref="L24:M24" si="20">SUM(L22:L23)</f>
        <v>3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29773</v>
      </c>
    </row>
    <row r="26" spans="1:20" ht="39" thickBot="1" x14ac:dyDescent="0.25">
      <c r="B26" s="326" t="s">
        <v>18</v>
      </c>
      <c r="C26" s="325" t="s">
        <v>193</v>
      </c>
      <c r="D26" s="364" t="s">
        <v>157</v>
      </c>
      <c r="E26" s="325" t="s">
        <v>163</v>
      </c>
      <c r="F26" s="325" t="s">
        <v>162</v>
      </c>
      <c r="G26" s="325" t="s">
        <v>49</v>
      </c>
      <c r="H26" s="325" t="s">
        <v>113</v>
      </c>
      <c r="I26" s="325" t="s">
        <v>192</v>
      </c>
      <c r="J26" s="325" t="s">
        <v>253</v>
      </c>
      <c r="K26" s="325" t="s">
        <v>194</v>
      </c>
      <c r="L26" s="325" t="s">
        <v>161</v>
      </c>
      <c r="M26" s="325" t="s">
        <v>201</v>
      </c>
      <c r="N26" s="325" t="s">
        <v>156</v>
      </c>
      <c r="O26" s="325" t="s">
        <v>47</v>
      </c>
      <c r="P26" s="325" t="s">
        <v>139</v>
      </c>
      <c r="Q26" s="325" t="s">
        <v>21</v>
      </c>
    </row>
    <row r="27" spans="1:20" ht="15" x14ac:dyDescent="0.25">
      <c r="A27" s="479" t="s">
        <v>142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1"/>
    </row>
    <row r="28" spans="1:20" x14ac:dyDescent="0.2">
      <c r="A28" s="45" t="s">
        <v>22</v>
      </c>
      <c r="B28" s="12">
        <f>[3]Delta!$IJ$15</f>
        <v>409</v>
      </c>
      <c r="C28" s="12">
        <f>'[3]Atlantic Southeast'!$IJ$15</f>
        <v>0</v>
      </c>
      <c r="D28" s="12">
        <f>[3]Pinnacle!$IJ$15</f>
        <v>0</v>
      </c>
      <c r="E28" s="12">
        <f>'[3]Sky West'!$IJ$15</f>
        <v>119</v>
      </c>
      <c r="F28" s="12">
        <f>'[3]Go Jet'!$IJ$15</f>
        <v>0</v>
      </c>
      <c r="G28" s="12">
        <f>'[3]Sun Country'!$IJ$15</f>
        <v>59</v>
      </c>
      <c r="H28" s="12">
        <f>[3]Icelandair!$IJ$15</f>
        <v>26</v>
      </c>
      <c r="I28" s="12">
        <f>[3]KLM!$IJ$15</f>
        <v>17</v>
      </c>
      <c r="J28" s="12">
        <f>[3]Jazz_AC!$IJ$15</f>
        <v>122</v>
      </c>
      <c r="K28" s="12">
        <f>'[3]Sky Regional'!$IJ$15</f>
        <v>0</v>
      </c>
      <c r="L28" s="12">
        <f>[3]Condor!$IJ$15</f>
        <v>3</v>
      </c>
      <c r="M28" s="12">
        <f>'[3]Aer Lingus'!$IJ$15</f>
        <v>0</v>
      </c>
      <c r="N28" s="12">
        <f>'[3]Air France'!$IJ$15</f>
        <v>0</v>
      </c>
      <c r="O28" s="12">
        <f>[3]Frontier!$IJ$15</f>
        <v>0</v>
      </c>
      <c r="P28" s="12">
        <f>'[3]Charter Misc'!$IJ$15+[3]Ryan!$IJ$15+[3]Omni!$IJ$15</f>
        <v>0</v>
      </c>
      <c r="Q28" s="205">
        <f>SUM(B28:P28)</f>
        <v>755</v>
      </c>
    </row>
    <row r="29" spans="1:20" x14ac:dyDescent="0.2">
      <c r="A29" s="45" t="s">
        <v>23</v>
      </c>
      <c r="B29" s="12">
        <f>[3]Delta!$IJ$16</f>
        <v>411</v>
      </c>
      <c r="C29" s="12">
        <f>'[3]Atlantic Southeast'!$IJ$16</f>
        <v>0</v>
      </c>
      <c r="D29" s="12">
        <f>[3]Pinnacle!$IJ$16</f>
        <v>0</v>
      </c>
      <c r="E29" s="12">
        <f>'[3]Sky West'!$IJ$16</f>
        <v>119</v>
      </c>
      <c r="F29" s="12">
        <f>'[3]Go Jet'!$IJ$16</f>
        <v>0</v>
      </c>
      <c r="G29" s="12">
        <f>'[3]Sun Country'!$IJ$16</f>
        <v>58</v>
      </c>
      <c r="H29" s="12">
        <f>[3]Icelandair!$IJ$16</f>
        <v>26</v>
      </c>
      <c r="I29" s="12">
        <f>[3]KLM!$IJ$16</f>
        <v>17</v>
      </c>
      <c r="J29" s="12">
        <f>[3]Jazz_AC!$IJ$16</f>
        <v>123</v>
      </c>
      <c r="K29" s="12">
        <f>'[3]Sky Regional'!$IJ$16</f>
        <v>0</v>
      </c>
      <c r="L29" s="12">
        <f>[3]Condor!$IJ$16</f>
        <v>3</v>
      </c>
      <c r="M29" s="12">
        <f>'[3]Aer Lingus'!$IJ$16</f>
        <v>0</v>
      </c>
      <c r="N29" s="12">
        <f>'[3]Air France'!$IJ$16</f>
        <v>0</v>
      </c>
      <c r="O29" s="12">
        <f>[3]Frontier!$IJ$16</f>
        <v>0</v>
      </c>
      <c r="P29" s="12">
        <f>'[3]Charter Misc'!$IJ$16+[3]Ryan!$IJ$16+[3]Omni!$IJ$16</f>
        <v>0</v>
      </c>
      <c r="Q29" s="205">
        <f>SUM(B29:P29)</f>
        <v>757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820</v>
      </c>
      <c r="C31" s="282">
        <f t="shared" si="21"/>
        <v>0</v>
      </c>
      <c r="D31" s="282">
        <f t="shared" si="21"/>
        <v>0</v>
      </c>
      <c r="E31" s="282">
        <f>SUM(E28:E29)</f>
        <v>238</v>
      </c>
      <c r="F31" s="282">
        <f>SUM(F28:F29)</f>
        <v>0</v>
      </c>
      <c r="G31" s="282">
        <f t="shared" si="21"/>
        <v>117</v>
      </c>
      <c r="H31" s="282">
        <f t="shared" si="21"/>
        <v>52</v>
      </c>
      <c r="I31" s="282">
        <f t="shared" ref="I31" si="22">SUM(I28:I29)</f>
        <v>34</v>
      </c>
      <c r="J31" s="282">
        <f t="shared" si="21"/>
        <v>245</v>
      </c>
      <c r="K31" s="282">
        <f t="shared" ref="K31" si="23">SUM(K28:K29)</f>
        <v>0</v>
      </c>
      <c r="L31" s="282">
        <f>SUM(L28:L29)</f>
        <v>6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0</v>
      </c>
      <c r="Q31" s="283">
        <f>SUM(B31:P31)</f>
        <v>1512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193</v>
      </c>
      <c r="D33" s="364" t="s">
        <v>157</v>
      </c>
      <c r="E33" s="325" t="s">
        <v>163</v>
      </c>
      <c r="F33" s="325" t="s">
        <v>162</v>
      </c>
      <c r="G33" s="325" t="s">
        <v>49</v>
      </c>
      <c r="H33" s="325" t="s">
        <v>113</v>
      </c>
      <c r="I33" s="325" t="s">
        <v>192</v>
      </c>
      <c r="J33" s="325" t="s">
        <v>253</v>
      </c>
      <c r="K33" s="325" t="s">
        <v>194</v>
      </c>
      <c r="L33" s="325" t="s">
        <v>161</v>
      </c>
      <c r="M33" s="325" t="s">
        <v>201</v>
      </c>
      <c r="N33" s="325" t="s">
        <v>156</v>
      </c>
      <c r="O33" s="325" t="s">
        <v>47</v>
      </c>
      <c r="P33" s="325" t="s">
        <v>139</v>
      </c>
      <c r="Q33" s="325" t="s">
        <v>21</v>
      </c>
    </row>
    <row r="34" spans="1:17" ht="15" x14ac:dyDescent="0.25">
      <c r="A34" s="482" t="s">
        <v>143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4"/>
    </row>
    <row r="35" spans="1:17" x14ac:dyDescent="0.2">
      <c r="A35" s="45" t="s">
        <v>22</v>
      </c>
      <c r="B35" s="12">
        <f>SUM([3]Delta!$IF$15:$IJ$15)</f>
        <v>2539</v>
      </c>
      <c r="C35" s="12">
        <f>SUM('[3]Atlantic Southeast'!$IF$15:$IJ$15)</f>
        <v>0</v>
      </c>
      <c r="D35" s="12">
        <f>SUM([3]Pinnacle!$IF$15:$IJ$15)</f>
        <v>33</v>
      </c>
      <c r="E35" s="12">
        <f>SUM('[3]Sky West'!$IF$15:$IJ$15)</f>
        <v>418</v>
      </c>
      <c r="F35" s="12">
        <f>SUM('[3]Go Jet'!$IF$15:$IJ$15)</f>
        <v>0</v>
      </c>
      <c r="G35" s="12">
        <f>SUM('[3]Sun Country'!$IF$15:$IJ$15)</f>
        <v>922</v>
      </c>
      <c r="H35" s="12">
        <f>SUM([3]Icelandair!$IF$15:$IJ$15)</f>
        <v>54</v>
      </c>
      <c r="I35" s="12">
        <f>SUM([3]KLM!$IF$15:$IJ$15)</f>
        <v>84</v>
      </c>
      <c r="J35" s="12">
        <f>SUM([3]Jazz_AC!$IF$15:$IJ$15)</f>
        <v>441</v>
      </c>
      <c r="K35" s="12">
        <f>SUM('[3]Sky Regional'!$IF$15:$IJ$15)</f>
        <v>0</v>
      </c>
      <c r="L35" s="12">
        <f>SUM([3]Condor!$IF$15:$IJ$15)</f>
        <v>3</v>
      </c>
      <c r="M35" s="12">
        <f>SUM('[3]Aer Lingus'!$IF$15:$IJ$15)</f>
        <v>0</v>
      </c>
      <c r="N35" s="12">
        <f>SUM('[3]Air France'!$IF$15:$IJ$15)</f>
        <v>0</v>
      </c>
      <c r="O35" s="12">
        <f>SUM([3]Frontier!$IF$15:$IJ$15)</f>
        <v>0</v>
      </c>
      <c r="P35" s="12">
        <f>SUM('[3]Charter Misc'!$IF$15:$IJ$15)+SUM([3]Ryan!$IF$15:$IJ$15)+SUM([3]Omni!$IF$15:$IJ$15)</f>
        <v>5</v>
      </c>
      <c r="Q35" s="205">
        <f>SUM(B35:P35)</f>
        <v>4499</v>
      </c>
    </row>
    <row r="36" spans="1:17" x14ac:dyDescent="0.2">
      <c r="A36" s="45" t="s">
        <v>23</v>
      </c>
      <c r="B36" s="12">
        <f>SUM([3]Delta!$IF$16:$IJ$16)</f>
        <v>2556</v>
      </c>
      <c r="C36" s="12">
        <f>SUM('[3]Atlantic Southeast'!$IF$16:$IJ$16)</f>
        <v>0</v>
      </c>
      <c r="D36" s="12">
        <f>SUM([3]Pinnacle!$IF$16:$IJ$16)</f>
        <v>34</v>
      </c>
      <c r="E36" s="12">
        <f>SUM('[3]Sky West'!$IF$16:$IJ$16)</f>
        <v>418</v>
      </c>
      <c r="F36" s="12">
        <f>SUM('[3]Go Jet'!$IF$16:$IJ$16)</f>
        <v>0</v>
      </c>
      <c r="G36" s="12">
        <f>SUM('[3]Sun Country'!$IF$16:$IJ$16)</f>
        <v>924</v>
      </c>
      <c r="H36" s="12">
        <f>SUM([3]Icelandair!$IF$16:$IJ$16)</f>
        <v>54</v>
      </c>
      <c r="I36" s="12">
        <f>SUM([3]KLM!$IF$16:$IJ$16)</f>
        <v>84</v>
      </c>
      <c r="J36" s="12">
        <f>SUM([3]Jazz_AC!$IF$16:$IJ$16)</f>
        <v>373</v>
      </c>
      <c r="K36" s="12">
        <f>SUM('[3]Sky Regional'!$IF$16:$IJ$16)</f>
        <v>0</v>
      </c>
      <c r="L36" s="12">
        <f>SUM([3]Condor!$IF$16:$IJ$16)</f>
        <v>3</v>
      </c>
      <c r="M36" s="12">
        <f>SUM('[3]Aer Lingus'!$IF$16:$IJ$16)</f>
        <v>0</v>
      </c>
      <c r="N36" s="12">
        <f>SUM('[3]Air France'!$IF$16:$IJ$16)</f>
        <v>0</v>
      </c>
      <c r="O36" s="12">
        <f>SUM([3]Frontier!$IF$16:$IJ$16)</f>
        <v>0</v>
      </c>
      <c r="P36" s="12">
        <f>SUM('[3]Charter Misc'!$IF$16:$IJ$16)+SUM([3]Ryan!$IF$16:$IJ$16)+SUM([3]Omni!$IF$16:$IJ$16)</f>
        <v>2</v>
      </c>
      <c r="Q36" s="205">
        <f>SUM(B36:P36)</f>
        <v>4448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5095</v>
      </c>
      <c r="C38" s="282">
        <f t="shared" si="25"/>
        <v>0</v>
      </c>
      <c r="D38" s="282">
        <f t="shared" si="25"/>
        <v>67</v>
      </c>
      <c r="E38" s="282">
        <f>+SUM(E35:E36)</f>
        <v>836</v>
      </c>
      <c r="F38" s="282">
        <f>+SUM(F35:F36)</f>
        <v>0</v>
      </c>
      <c r="G38" s="282">
        <f t="shared" si="25"/>
        <v>1846</v>
      </c>
      <c r="H38" s="282">
        <f t="shared" si="25"/>
        <v>108</v>
      </c>
      <c r="I38" s="282">
        <f t="shared" ref="I38" si="26">+SUM(I35:I36)</f>
        <v>168</v>
      </c>
      <c r="J38" s="282">
        <f t="shared" si="25"/>
        <v>814</v>
      </c>
      <c r="K38" s="282">
        <f t="shared" ref="K38" si="27">+SUM(K35:K36)</f>
        <v>0</v>
      </c>
      <c r="L38" s="282">
        <f>+SUM(L35:L36)</f>
        <v>6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7</v>
      </c>
      <c r="Q38" s="283">
        <f>SUM(B38:P38)</f>
        <v>8947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&amp;"Arial,Bold"May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selection sqref="A1:XFD1048576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" bestFit="1" customWidth="1"/>
    <col min="22" max="22" width="10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3" t="s">
        <v>132</v>
      </c>
      <c r="B1" s="494"/>
      <c r="C1" s="407" t="s">
        <v>237</v>
      </c>
      <c r="D1" s="407" t="s">
        <v>230</v>
      </c>
      <c r="E1" s="406" t="s">
        <v>95</v>
      </c>
      <c r="F1" s="408" t="s">
        <v>238</v>
      </c>
      <c r="G1" s="407" t="s">
        <v>231</v>
      </c>
      <c r="H1" s="409" t="s">
        <v>96</v>
      </c>
      <c r="I1" s="406" t="s">
        <v>239</v>
      </c>
      <c r="J1" s="497" t="s">
        <v>136</v>
      </c>
      <c r="K1" s="498"/>
      <c r="L1" s="410" t="s">
        <v>240</v>
      </c>
      <c r="M1" s="410" t="s">
        <v>232</v>
      </c>
      <c r="N1" s="411" t="s">
        <v>96</v>
      </c>
      <c r="O1" s="412" t="s">
        <v>241</v>
      </c>
      <c r="P1" s="412" t="s">
        <v>233</v>
      </c>
      <c r="Q1" s="413" t="s">
        <v>96</v>
      </c>
      <c r="R1" s="414" t="s">
        <v>239</v>
      </c>
      <c r="S1" s="485" t="s">
        <v>215</v>
      </c>
      <c r="T1" s="486"/>
      <c r="U1" s="415" t="s">
        <v>240</v>
      </c>
      <c r="V1" s="415" t="s">
        <v>232</v>
      </c>
      <c r="W1" s="416" t="s">
        <v>96</v>
      </c>
      <c r="X1" s="417" t="s">
        <v>241</v>
      </c>
      <c r="Y1" s="417" t="s">
        <v>233</v>
      </c>
      <c r="Z1" s="418" t="s">
        <v>96</v>
      </c>
      <c r="AA1" s="419" t="s">
        <v>239</v>
      </c>
    </row>
    <row r="2" spans="1:27" s="9" customFormat="1" ht="13.5" customHeight="1" thickBot="1" x14ac:dyDescent="0.25">
      <c r="A2" s="468">
        <v>45047</v>
      </c>
      <c r="B2" s="469"/>
      <c r="C2" s="495" t="s">
        <v>9</v>
      </c>
      <c r="D2" s="496"/>
      <c r="E2" s="496"/>
      <c r="F2" s="496"/>
      <c r="G2" s="496"/>
      <c r="H2" s="496"/>
      <c r="I2" s="332"/>
      <c r="J2" s="468">
        <f>+A2</f>
        <v>45047</v>
      </c>
      <c r="K2" s="469"/>
      <c r="L2" s="490" t="s">
        <v>138</v>
      </c>
      <c r="M2" s="491"/>
      <c r="N2" s="491"/>
      <c r="O2" s="491"/>
      <c r="P2" s="491"/>
      <c r="Q2" s="491"/>
      <c r="R2" s="492"/>
      <c r="S2" s="468">
        <f>+J2</f>
        <v>45047</v>
      </c>
      <c r="T2" s="469"/>
      <c r="U2" s="487" t="s">
        <v>216</v>
      </c>
      <c r="V2" s="488"/>
      <c r="W2" s="488"/>
      <c r="X2" s="488"/>
      <c r="Y2" s="488"/>
      <c r="Z2" s="488"/>
      <c r="AA2" s="489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x14ac:dyDescent="0.2">
      <c r="A4" s="258" t="s">
        <v>201</v>
      </c>
      <c r="B4" s="39"/>
      <c r="C4" s="259">
        <f>'[3]Aer Lingus'!$IJ$19</f>
        <v>0</v>
      </c>
      <c r="D4" s="261">
        <f>'[3]Aer Lingus'!$HV$19</f>
        <v>0</v>
      </c>
      <c r="E4" s="262" t="e">
        <f>(C4-D4)/D4</f>
        <v>#DIV/0!</v>
      </c>
      <c r="F4" s="261">
        <f>SUM('[3]Aer Lingus'!$IF$19:$IJ$19)</f>
        <v>0</v>
      </c>
      <c r="G4" s="261">
        <f>SUM('[3]Aer Lingus'!$HR$19:$HV$19)</f>
        <v>0</v>
      </c>
      <c r="H4" s="260" t="e">
        <f>(F4-G4)/G4</f>
        <v>#DIV/0!</v>
      </c>
      <c r="I4" s="262">
        <f>F4/$F$73</f>
        <v>0</v>
      </c>
      <c r="J4" s="258" t="s">
        <v>201</v>
      </c>
      <c r="K4" s="39"/>
      <c r="L4" s="259">
        <f>'[3]Aer Lingus'!$IJ$41</f>
        <v>0</v>
      </c>
      <c r="M4" s="261">
        <f>'[3]Aer Lingus'!$HV$41</f>
        <v>0</v>
      </c>
      <c r="N4" s="262" t="e">
        <f>(L4-M4)/M4</f>
        <v>#DIV/0!</v>
      </c>
      <c r="O4" s="259">
        <f>SUM('[3]Aer Lingus'!$IF$41:$IJ$41)</f>
        <v>0</v>
      </c>
      <c r="P4" s="261">
        <f>SUM('[3]Aer Lingus'!$HR$41:$HV$41)</f>
        <v>0</v>
      </c>
      <c r="Q4" s="260" t="e">
        <f>(O4-P4)/P4</f>
        <v>#DIV/0!</v>
      </c>
      <c r="R4" s="262">
        <f>O4/$O$73</f>
        <v>0</v>
      </c>
      <c r="S4" s="258" t="s">
        <v>201</v>
      </c>
      <c r="T4" s="39"/>
      <c r="U4" s="259">
        <f>'[3]Aer Lingus'!$IJ$64</f>
        <v>0</v>
      </c>
      <c r="V4" s="261">
        <f>'[3]Aer Lingus'!$HV$64</f>
        <v>0</v>
      </c>
      <c r="W4" s="262" t="e">
        <f>(U4-V4)/V4</f>
        <v>#DIV/0!</v>
      </c>
      <c r="X4" s="259">
        <f>SUM('[3]Aer Lingus'!$IF$64:$IJ$64)</f>
        <v>0</v>
      </c>
      <c r="Y4" s="261">
        <f>SUM('[3]Aer Lingus'!$HR$64:$HV$64)</f>
        <v>0</v>
      </c>
      <c r="Z4" s="260" t="e">
        <f>(X4-Y4)/Y4</f>
        <v>#DIV/0!</v>
      </c>
      <c r="AA4" s="262">
        <f>X4/$X$73</f>
        <v>0</v>
      </c>
    </row>
    <row r="5" spans="1:27" x14ac:dyDescent="0.2">
      <c r="A5" s="37"/>
      <c r="B5" s="39"/>
      <c r="C5" s="263"/>
      <c r="E5" s="65"/>
      <c r="F5" s="171"/>
      <c r="I5" s="65"/>
      <c r="J5" s="363"/>
      <c r="K5" s="39"/>
      <c r="L5" s="263"/>
      <c r="N5" s="65"/>
      <c r="O5" s="37"/>
      <c r="R5" s="39"/>
      <c r="S5" s="363"/>
      <c r="T5" s="39"/>
      <c r="U5" s="263"/>
      <c r="V5" s="2"/>
      <c r="W5" s="65"/>
      <c r="X5" s="37"/>
      <c r="AA5" s="39"/>
    </row>
    <row r="6" spans="1:27" ht="14.1" customHeight="1" x14ac:dyDescent="0.2">
      <c r="A6" s="258" t="s">
        <v>98</v>
      </c>
      <c r="B6" s="39"/>
      <c r="C6" s="259">
        <f>SUM(C7:C10)</f>
        <v>245</v>
      </c>
      <c r="D6" s="261">
        <f>SUM(D7:D10)</f>
        <v>119</v>
      </c>
      <c r="E6" s="262">
        <f>(C6-D6)/D6</f>
        <v>1.0588235294117647</v>
      </c>
      <c r="F6" s="259">
        <f>SUM(F7:F10)</f>
        <v>814</v>
      </c>
      <c r="G6" s="261">
        <f>SUM(G7:G10)</f>
        <v>449</v>
      </c>
      <c r="H6" s="260">
        <f>(F6-G6)/G6</f>
        <v>0.81291759465478841</v>
      </c>
      <c r="I6" s="262">
        <f>F6/$F$73</f>
        <v>7.1295315004423114E-3</v>
      </c>
      <c r="J6" s="258" t="s">
        <v>98</v>
      </c>
      <c r="K6" s="39"/>
      <c r="L6" s="259">
        <f>SUM(L7:L10)</f>
        <v>16295</v>
      </c>
      <c r="M6" s="261">
        <f>SUM(M7:M10)</f>
        <v>7170</v>
      </c>
      <c r="N6" s="262">
        <f>(L6-M6)/M6</f>
        <v>1.2726638772663876</v>
      </c>
      <c r="O6" s="259">
        <f>SUM(O7:O10)</f>
        <v>46837</v>
      </c>
      <c r="P6" s="261">
        <f>SUM(P7:P10)</f>
        <v>20206</v>
      </c>
      <c r="Q6" s="260">
        <f>(O6-P6)/P6</f>
        <v>1.3179748589527862</v>
      </c>
      <c r="R6" s="262">
        <f>O6/$O$73</f>
        <v>3.6184953110289745E-3</v>
      </c>
      <c r="S6" s="258" t="s">
        <v>98</v>
      </c>
      <c r="T6" s="39"/>
      <c r="U6" s="259">
        <f>SUM(U7:U10)</f>
        <v>45171</v>
      </c>
      <c r="V6" s="261">
        <f>SUM(V7:V10)</f>
        <v>1647.8000000000002</v>
      </c>
      <c r="W6" s="262">
        <f>(U6-V6)/V6</f>
        <v>26.412914188615119</v>
      </c>
      <c r="X6" s="259">
        <f>SUM(X7:X10)</f>
        <v>53294.1</v>
      </c>
      <c r="Y6" s="261">
        <f>SUM(Y7:Y10)</f>
        <v>10148.799999999999</v>
      </c>
      <c r="Z6" s="260">
        <f>(X6-Y6)/Y6</f>
        <v>4.2512710862367973</v>
      </c>
      <c r="AA6" s="262">
        <f>X6/$X$73</f>
        <v>1.518394806872717E-3</v>
      </c>
    </row>
    <row r="7" spans="1:27" ht="14.1" customHeight="1" x14ac:dyDescent="0.2">
      <c r="A7" s="258"/>
      <c r="B7" s="318" t="s">
        <v>98</v>
      </c>
      <c r="C7" s="263">
        <f>+[3]AirCanada!$IJ$19</f>
        <v>0</v>
      </c>
      <c r="D7" s="2">
        <f>+[3]AirCanada!$HV$19</f>
        <v>0</v>
      </c>
      <c r="E7" s="65" t="e">
        <f>(C7-D7)/D7</f>
        <v>#DIV/0!</v>
      </c>
      <c r="F7" s="217">
        <f>SUM([3]AirCanada!$IF$19:$IJ$19)</f>
        <v>0</v>
      </c>
      <c r="G7" s="217">
        <f>SUM([3]AirCanada!$HR$19:$HV$19)</f>
        <v>0</v>
      </c>
      <c r="H7" s="323" t="e">
        <f>(F7-G7)/G7</f>
        <v>#DIV/0!</v>
      </c>
      <c r="I7" s="65">
        <f>F7/$F$73</f>
        <v>0</v>
      </c>
      <c r="J7" s="258"/>
      <c r="K7" s="318" t="s">
        <v>98</v>
      </c>
      <c r="L7" s="322">
        <f>+[3]AirCanada!$IJ$41</f>
        <v>0</v>
      </c>
      <c r="M7" s="217">
        <f>+[3]AirCanada!$HV$41</f>
        <v>0</v>
      </c>
      <c r="N7" s="324" t="e">
        <f>(L7-M7)/M7</f>
        <v>#DIV/0!</v>
      </c>
      <c r="O7" s="322">
        <f>SUM([3]AirCanada!$IF$41:$IJ$41)</f>
        <v>0</v>
      </c>
      <c r="P7" s="217">
        <f>SUM([3]AirCanada!$HR$41:$HV$41)</f>
        <v>0</v>
      </c>
      <c r="Q7" s="323" t="e">
        <f>(O7-P7)/P7</f>
        <v>#DIV/0!</v>
      </c>
      <c r="R7" s="324">
        <f>O7/$O$73</f>
        <v>0</v>
      </c>
      <c r="S7" s="258"/>
      <c r="T7" s="318" t="s">
        <v>98</v>
      </c>
      <c r="U7" s="322">
        <f>+[3]AirCanada!$IJ$64</f>
        <v>0</v>
      </c>
      <c r="V7" s="217">
        <f>+[3]AirCanada!$HV$64</f>
        <v>0</v>
      </c>
      <c r="W7" s="324" t="e">
        <f>(U7-V7)/V7</f>
        <v>#DIV/0!</v>
      </c>
      <c r="X7" s="322">
        <f>SUM([3]AirCanada!$IF$64:$IJ$64)</f>
        <v>0</v>
      </c>
      <c r="Y7" s="217">
        <f>SUM([3]AirCanada!$HR$64:$HV$64)</f>
        <v>0</v>
      </c>
      <c r="Z7" s="323" t="e">
        <f>(X7-Y7)/Y7</f>
        <v>#DIV/0!</v>
      </c>
      <c r="AA7" s="324">
        <f>X7/$X$73</f>
        <v>0</v>
      </c>
    </row>
    <row r="8" spans="1:27" ht="14.1" customHeight="1" x14ac:dyDescent="0.2">
      <c r="A8" s="258"/>
      <c r="B8" s="318" t="s">
        <v>164</v>
      </c>
      <c r="C8" s="263">
        <f>'[3]Air Georgian'!$IJ$19</f>
        <v>0</v>
      </c>
      <c r="D8" s="2">
        <f>'[3]Air Georgian'!$HV$19</f>
        <v>0</v>
      </c>
      <c r="E8" s="65" t="e">
        <f>(C8-D8)/D8</f>
        <v>#DIV/0!</v>
      </c>
      <c r="F8" s="217">
        <f>SUM('[3]Air Georgian'!$IF$19:$IJ$19)</f>
        <v>0</v>
      </c>
      <c r="G8" s="217">
        <f>SUM('[3]Air Georgian'!$HR$19:$HV$19)</f>
        <v>0</v>
      </c>
      <c r="H8" s="323" t="e">
        <f>(F8-G8)/G8</f>
        <v>#DIV/0!</v>
      </c>
      <c r="I8" s="65">
        <f>F8/$F$73</f>
        <v>0</v>
      </c>
      <c r="J8" s="258"/>
      <c r="K8" s="318" t="s">
        <v>164</v>
      </c>
      <c r="L8" s="263">
        <f>'[3]Air Georgian'!$IJ$41</f>
        <v>0</v>
      </c>
      <c r="M8" s="2">
        <f>'[3]Air Georgian'!$HV$41</f>
        <v>0</v>
      </c>
      <c r="N8" s="65" t="e">
        <f>(L8-M8)/M8</f>
        <v>#DIV/0!</v>
      </c>
      <c r="O8" s="263">
        <f>SUM('[3]Air Georgian'!$IF$41:$IJ$41)</f>
        <v>0</v>
      </c>
      <c r="P8" s="2">
        <f>SUM('[3]Air Georgian'!$HR$41:$HV$41)</f>
        <v>0</v>
      </c>
      <c r="Q8" s="3" t="e">
        <f>(O8-P8)/P8</f>
        <v>#DIV/0!</v>
      </c>
      <c r="R8" s="65">
        <f>O8/$O$73</f>
        <v>0</v>
      </c>
      <c r="S8" s="258"/>
      <c r="T8" s="318" t="s">
        <v>164</v>
      </c>
      <c r="U8" s="263">
        <f>'[3]Air Georgian'!$IJ$64</f>
        <v>0</v>
      </c>
      <c r="V8" s="2">
        <f>'[3]Air Georgian'!$HV$64</f>
        <v>0</v>
      </c>
      <c r="W8" s="65" t="e">
        <f>(U8-V8)/V8</f>
        <v>#DIV/0!</v>
      </c>
      <c r="X8" s="263">
        <f>SUM('[3]Air Georgian'!$IF$64:$IJ$64)</f>
        <v>0</v>
      </c>
      <c r="Y8" s="2">
        <f>SUM('[3]Air Georgian'!$HR$64:$HV$64)</f>
        <v>0</v>
      </c>
      <c r="Z8" s="3" t="e">
        <f>(X8-Y8)/Y8</f>
        <v>#DIV/0!</v>
      </c>
      <c r="AA8" s="65">
        <f>X8/$X$73</f>
        <v>0</v>
      </c>
    </row>
    <row r="9" spans="1:27" ht="14.1" customHeight="1" x14ac:dyDescent="0.2">
      <c r="A9" s="258"/>
      <c r="B9" s="318" t="s">
        <v>224</v>
      </c>
      <c r="C9" s="263">
        <f>[3]Jazz_AC!$IJ$19</f>
        <v>245</v>
      </c>
      <c r="D9" s="2">
        <f>[3]Jazz_AC!$HV$19</f>
        <v>119</v>
      </c>
      <c r="E9" s="65">
        <f t="shared" ref="E9" si="0">(C9-D9)/D9</f>
        <v>1.0588235294117647</v>
      </c>
      <c r="F9" s="2">
        <f>SUM([3]Jazz_AC!$IF$19:$IJ$19)</f>
        <v>814</v>
      </c>
      <c r="G9" s="2">
        <f>SUM([3]Jazz_AC!$HR$19:$HV$19)</f>
        <v>449</v>
      </c>
      <c r="H9" s="3">
        <f t="shared" ref="H9" si="1">(F9-G9)/G9</f>
        <v>0.81291759465478841</v>
      </c>
      <c r="I9" s="65">
        <f t="shared" ref="I9" si="2">F9/$F$73</f>
        <v>7.1295315004423114E-3</v>
      </c>
      <c r="J9" s="258"/>
      <c r="K9" s="318" t="s">
        <v>224</v>
      </c>
      <c r="L9" s="263">
        <f>[3]Jazz_AC!$IJ$41</f>
        <v>16295</v>
      </c>
      <c r="M9" s="2">
        <f>[3]Jazz_AC!$HV$41</f>
        <v>7170</v>
      </c>
      <c r="N9" s="65">
        <f t="shared" ref="N9" si="3">(L9-M9)/M9</f>
        <v>1.2726638772663876</v>
      </c>
      <c r="O9" s="263">
        <f>SUM([3]Jazz_AC!$IF$41:$IJ$41)</f>
        <v>46837</v>
      </c>
      <c r="P9" s="2">
        <f>SUM([3]Jazz_AC!$HR$41:$HV$41)</f>
        <v>20206</v>
      </c>
      <c r="Q9" s="3">
        <f t="shared" ref="Q9" si="4">(O9-P9)/P9</f>
        <v>1.3179748589527862</v>
      </c>
      <c r="R9" s="65">
        <f t="shared" ref="R9" si="5">O9/$O$73</f>
        <v>3.6184953110289745E-3</v>
      </c>
      <c r="S9" s="258"/>
      <c r="T9" s="318" t="s">
        <v>224</v>
      </c>
      <c r="U9" s="263">
        <f>[3]Jazz_AC!$IJ$64</f>
        <v>45171</v>
      </c>
      <c r="V9" s="2">
        <f>[3]Jazz_AC!$HV$64</f>
        <v>1647.8000000000002</v>
      </c>
      <c r="W9" s="65">
        <f t="shared" ref="W9" si="6">(U9-V9)/V9</f>
        <v>26.412914188615119</v>
      </c>
      <c r="X9" s="263">
        <f>SUM([3]Jazz_AC!$IF$64:$IJ$64)</f>
        <v>53294.1</v>
      </c>
      <c r="Y9" s="2">
        <f>SUM([3]Jazz_AC!$HR$64:$HV$64)</f>
        <v>10148.799999999999</v>
      </c>
      <c r="Z9" s="3">
        <f t="shared" ref="Z9" si="7">(X9-Y9)/Y9</f>
        <v>4.2512710862367973</v>
      </c>
      <c r="AA9" s="65">
        <f t="shared" ref="AA9" si="8">X9/$X$73</f>
        <v>1.518394806872717E-3</v>
      </c>
    </row>
    <row r="10" spans="1:27" ht="14.1" customHeight="1" x14ac:dyDescent="0.2">
      <c r="A10" s="258"/>
      <c r="B10" s="318" t="s">
        <v>190</v>
      </c>
      <c r="C10" s="263">
        <f>'[3]Sky Regional'!$IJ$19</f>
        <v>0</v>
      </c>
      <c r="D10" s="2">
        <f>'[3]Sky Regional'!$HV$19</f>
        <v>0</v>
      </c>
      <c r="E10" s="65" t="e">
        <f>(C10-D10)/D10</f>
        <v>#DIV/0!</v>
      </c>
      <c r="F10" s="217">
        <f>SUM('[3]Sky Regional'!$IF$19:$IJ$19)</f>
        <v>0</v>
      </c>
      <c r="G10" s="217">
        <f>SUM('[3]Sky Regional'!$HR$19:$HV$19)</f>
        <v>0</v>
      </c>
      <c r="H10" s="323" t="e">
        <f>(F10-G10)/G10</f>
        <v>#DIV/0!</v>
      </c>
      <c r="I10" s="65">
        <f>F10/$F$73</f>
        <v>0</v>
      </c>
      <c r="J10" s="258"/>
      <c r="K10" s="318" t="s">
        <v>190</v>
      </c>
      <c r="L10" s="263">
        <f>'[3]Sky Regional'!$IJ$41</f>
        <v>0</v>
      </c>
      <c r="M10" s="2">
        <f>'[3]Sky Regional'!$HV$41</f>
        <v>0</v>
      </c>
      <c r="N10" s="65" t="e">
        <f>(L10-M10)/M10</f>
        <v>#DIV/0!</v>
      </c>
      <c r="O10" s="263">
        <f>SUM('[3]Sky Regional'!$IF$41:$IJ$41)</f>
        <v>0</v>
      </c>
      <c r="P10" s="2">
        <f>SUM('[3]Sky Regional'!$HR$41:$HV$41)</f>
        <v>0</v>
      </c>
      <c r="Q10" s="3" t="e">
        <f>(O10-P10)/P10</f>
        <v>#DIV/0!</v>
      </c>
      <c r="R10" s="65">
        <f>O10/$O$73</f>
        <v>0</v>
      </c>
      <c r="S10" s="258"/>
      <c r="T10" s="318" t="s">
        <v>190</v>
      </c>
      <c r="U10" s="263">
        <f>'[3]Sky Regional'!$IJ$64</f>
        <v>0</v>
      </c>
      <c r="V10" s="2">
        <f>'[3]Sky Regional'!$HV$64</f>
        <v>0</v>
      </c>
      <c r="W10" s="65" t="e">
        <f>(U10-V10)/V10</f>
        <v>#DIV/0!</v>
      </c>
      <c r="X10" s="263">
        <f>SUM('[3]Sky Regional'!$IF$64:$IJ$64)</f>
        <v>0</v>
      </c>
      <c r="Y10" s="2">
        <f>SUM('[3]Sky Regional'!$HR$64:$HV$64)</f>
        <v>0</v>
      </c>
      <c r="Z10" s="3" t="e">
        <f>(X10-Y10)/Y10</f>
        <v>#DIV/0!</v>
      </c>
      <c r="AA10" s="65">
        <f>X10/$X$73</f>
        <v>0</v>
      </c>
    </row>
    <row r="11" spans="1:27" ht="14.1" customHeight="1" x14ac:dyDescent="0.2">
      <c r="A11" s="258"/>
      <c r="B11" s="39"/>
      <c r="C11" s="259"/>
      <c r="D11" s="261"/>
      <c r="E11" s="262"/>
      <c r="F11" s="261"/>
      <c r="G11" s="261"/>
      <c r="H11" s="260"/>
      <c r="I11" s="262"/>
      <c r="J11" s="258"/>
      <c r="K11" s="39"/>
      <c r="L11" s="263"/>
      <c r="N11" s="65"/>
      <c r="O11" s="263"/>
      <c r="P11" s="2"/>
      <c r="Q11" s="3"/>
      <c r="R11" s="65"/>
      <c r="S11" s="258"/>
      <c r="T11" s="39"/>
      <c r="U11" s="263"/>
      <c r="V11" s="2"/>
      <c r="W11" s="65"/>
      <c r="X11" s="263"/>
      <c r="Y11" s="2"/>
      <c r="Z11" s="3"/>
      <c r="AA11" s="65"/>
    </row>
    <row r="12" spans="1:27" ht="14.1" customHeight="1" x14ac:dyDescent="0.2">
      <c r="A12" s="258" t="s">
        <v>177</v>
      </c>
      <c r="B12" s="39"/>
      <c r="C12" s="259">
        <f>'[3]Air Choice One'!$IJ$19</f>
        <v>0</v>
      </c>
      <c r="D12" s="261">
        <f>'[3]Air Choice One'!$HV$19</f>
        <v>0</v>
      </c>
      <c r="E12" s="262" t="e">
        <f>(C12-D12)/D12</f>
        <v>#DIV/0!</v>
      </c>
      <c r="F12" s="261">
        <f>SUM('[3]Air Choice One'!$IF$19:$IJ$19)</f>
        <v>0</v>
      </c>
      <c r="G12" s="261">
        <f>SUM('[3]Air Choice One'!$HR$19:$HV$19)</f>
        <v>0</v>
      </c>
      <c r="H12" s="260" t="e">
        <f>(F12-G12)/G12</f>
        <v>#DIV/0!</v>
      </c>
      <c r="I12" s="262">
        <f>F12/$F$73</f>
        <v>0</v>
      </c>
      <c r="J12" s="258" t="s">
        <v>177</v>
      </c>
      <c r="K12" s="39"/>
      <c r="L12" s="259">
        <f>'[3]Air Choice One'!$IJ$41</f>
        <v>0</v>
      </c>
      <c r="M12" s="261">
        <f>'[3]Air Choice One'!$HV$41</f>
        <v>0</v>
      </c>
      <c r="N12" s="262" t="e">
        <f>(L12-M12)/M12</f>
        <v>#DIV/0!</v>
      </c>
      <c r="O12" s="259">
        <f>SUM('[3]Air Choice One'!$IF$41:$IJ$41)</f>
        <v>0</v>
      </c>
      <c r="P12" s="261">
        <f>SUM('[3]Air Choice One'!$HR$41:$HV$41)</f>
        <v>0</v>
      </c>
      <c r="Q12" s="260" t="e">
        <f>(O12-P12)/P12</f>
        <v>#DIV/0!</v>
      </c>
      <c r="R12" s="262">
        <f>O12/$O$73</f>
        <v>0</v>
      </c>
      <c r="S12" s="258" t="s">
        <v>177</v>
      </c>
      <c r="T12" s="39"/>
      <c r="U12" s="259">
        <f>'[3]Air Choice One'!$IJ$64</f>
        <v>0</v>
      </c>
      <c r="V12" s="261">
        <f>'[3]Air Choice One'!$HV$64</f>
        <v>0</v>
      </c>
      <c r="W12" s="262" t="e">
        <f>(U12-V12)/V12</f>
        <v>#DIV/0!</v>
      </c>
      <c r="X12" s="259">
        <f>SUM('[3]Air Choice One'!$IF$64:$IJ$64)</f>
        <v>0</v>
      </c>
      <c r="Y12" s="261">
        <f>SUM('[3]Air Choice One'!$HR$64:$HV$64)</f>
        <v>0</v>
      </c>
      <c r="Z12" s="260" t="e">
        <f>(X12-Y12)/Y12</f>
        <v>#DIV/0!</v>
      </c>
      <c r="AA12" s="262">
        <f>X12/$X$73</f>
        <v>0</v>
      </c>
    </row>
    <row r="13" spans="1:27" ht="14.1" customHeight="1" x14ac:dyDescent="0.2">
      <c r="A13" s="258"/>
      <c r="B13" s="39"/>
      <c r="C13" s="259"/>
      <c r="D13" s="261"/>
      <c r="E13" s="262"/>
      <c r="F13" s="261"/>
      <c r="G13" s="261"/>
      <c r="H13" s="260"/>
      <c r="I13" s="262"/>
      <c r="J13" s="258"/>
      <c r="K13" s="39"/>
      <c r="L13" s="263"/>
      <c r="N13" s="65"/>
      <c r="O13" s="263"/>
      <c r="P13" s="2"/>
      <c r="Q13" s="3"/>
      <c r="R13" s="65"/>
      <c r="S13" s="258"/>
      <c r="T13" s="39"/>
      <c r="U13" s="263"/>
      <c r="V13" s="2"/>
      <c r="W13" s="65"/>
      <c r="X13" s="263"/>
      <c r="Y13" s="2"/>
      <c r="Z13" s="3"/>
      <c r="AA13" s="65"/>
    </row>
    <row r="14" spans="1:27" ht="14.1" customHeight="1" x14ac:dyDescent="0.2">
      <c r="A14" s="258" t="s">
        <v>156</v>
      </c>
      <c r="B14" s="39"/>
      <c r="C14" s="259">
        <f>'[3]Air France'!$IJ$19</f>
        <v>0</v>
      </c>
      <c r="D14" s="261">
        <f>'[3]Air France'!$HV$19</f>
        <v>32</v>
      </c>
      <c r="E14" s="262">
        <f>(C14-D14)/D14</f>
        <v>-1</v>
      </c>
      <c r="F14" s="261">
        <f>SUM('[3]Air France'!$IF$19:$IJ$19)</f>
        <v>0</v>
      </c>
      <c r="G14" s="261">
        <f>SUM('[3]Air France'!$HR$19:$HV$19)</f>
        <v>32</v>
      </c>
      <c r="H14" s="260">
        <f>(F14-G14)/G14</f>
        <v>-1</v>
      </c>
      <c r="I14" s="262">
        <f>F14/$F$73</f>
        <v>0</v>
      </c>
      <c r="J14" s="258" t="s">
        <v>156</v>
      </c>
      <c r="K14" s="39"/>
      <c r="L14" s="259">
        <f>'[3]Air France'!$IJ$41</f>
        <v>0</v>
      </c>
      <c r="M14" s="261">
        <f>'[3]Air France'!$HV$41</f>
        <v>6942</v>
      </c>
      <c r="N14" s="262">
        <f>(L14-M14)/M14</f>
        <v>-1</v>
      </c>
      <c r="O14" s="259">
        <f>SUM('[3]Air France'!$IF$41:$IJ$41)</f>
        <v>0</v>
      </c>
      <c r="P14" s="261">
        <f>SUM('[3]Air France'!$HR$41:$HV$41)</f>
        <v>6942</v>
      </c>
      <c r="Q14" s="260">
        <f>(O14-P14)/P14</f>
        <v>-1</v>
      </c>
      <c r="R14" s="262">
        <f>O14/$O$73</f>
        <v>0</v>
      </c>
      <c r="S14" s="258" t="s">
        <v>156</v>
      </c>
      <c r="T14" s="39"/>
      <c r="U14" s="259">
        <f>'[3]Air France'!$IJ$64</f>
        <v>0</v>
      </c>
      <c r="V14" s="261">
        <f>'[3]Air France'!$HV$64</f>
        <v>334678</v>
      </c>
      <c r="W14" s="262">
        <f>(U14-V14)/V14</f>
        <v>-1</v>
      </c>
      <c r="X14" s="259">
        <f>SUM('[3]Air France'!$IF$64:$IJ$64)</f>
        <v>0</v>
      </c>
      <c r="Y14" s="261">
        <f>SUM('[3]Air France'!$HR$64:$HV$64)</f>
        <v>334678</v>
      </c>
      <c r="Z14" s="260">
        <f>(X14-Y14)/Y14</f>
        <v>-1</v>
      </c>
      <c r="AA14" s="262">
        <f>X14/$X$73</f>
        <v>0</v>
      </c>
    </row>
    <row r="15" spans="1:27" ht="14.1" customHeight="1" x14ac:dyDescent="0.2">
      <c r="A15" s="258"/>
      <c r="B15" s="39"/>
      <c r="C15" s="259"/>
      <c r="D15" s="261"/>
      <c r="E15" s="262"/>
      <c r="F15" s="261"/>
      <c r="G15" s="261"/>
      <c r="H15" s="260"/>
      <c r="I15" s="262"/>
      <c r="J15" s="258"/>
      <c r="K15" s="39"/>
      <c r="L15" s="263"/>
      <c r="N15" s="65"/>
      <c r="O15" s="263"/>
      <c r="P15" s="2"/>
      <c r="Q15" s="3"/>
      <c r="R15" s="65"/>
      <c r="S15" s="258"/>
      <c r="T15" s="39"/>
      <c r="U15" s="263"/>
      <c r="V15" s="2"/>
      <c r="W15" s="65"/>
      <c r="X15" s="263"/>
      <c r="Y15" s="2"/>
      <c r="Z15" s="3"/>
      <c r="AA15" s="65"/>
    </row>
    <row r="16" spans="1:27" ht="14.1" customHeight="1" x14ac:dyDescent="0.2">
      <c r="A16" s="258" t="s">
        <v>225</v>
      </c>
      <c r="B16" s="39"/>
      <c r="C16" s="263">
        <f>'[3]Allegiant '!$IJ$19</f>
        <v>66</v>
      </c>
      <c r="D16" s="2">
        <f>'[3]Allegiant '!$HV$19</f>
        <v>76</v>
      </c>
      <c r="E16" s="65">
        <f t="shared" ref="E16" si="9">(C16-D16)/D16</f>
        <v>-0.13157894736842105</v>
      </c>
      <c r="F16" s="2">
        <f>SUM('[3]Allegiant '!$IF$19:$IJ$19)</f>
        <v>472</v>
      </c>
      <c r="G16" s="2">
        <f>SUM('[3]Allegiant '!$HR$19:$HV$19)</f>
        <v>456</v>
      </c>
      <c r="H16" s="3">
        <f t="shared" ref="H16" si="10">(F16-G16)/G16</f>
        <v>3.5087719298245612E-2</v>
      </c>
      <c r="I16" s="65">
        <f t="shared" ref="I16" si="11">F16/$F$73</f>
        <v>4.1340772336717086E-3</v>
      </c>
      <c r="J16" s="258" t="s">
        <v>225</v>
      </c>
      <c r="K16" s="39"/>
      <c r="L16" s="263">
        <f>'[3]Allegiant '!$IJ$41</f>
        <v>8767</v>
      </c>
      <c r="M16" s="2">
        <f>'[3]Allegiant '!$HV$41</f>
        <v>10830</v>
      </c>
      <c r="N16" s="65">
        <f t="shared" ref="N16" si="12">(L16-M16)/M16</f>
        <v>-0.19048938134810711</v>
      </c>
      <c r="O16" s="263">
        <f>SUM('[3]Allegiant '!$IF$41:$IJ$41)</f>
        <v>69712</v>
      </c>
      <c r="P16" s="2">
        <f>SUM('[3]Allegiant '!$HR$41:$HV$41)</f>
        <v>59290</v>
      </c>
      <c r="Q16" s="3">
        <f t="shared" ref="Q16" si="13">(O16-P16)/P16</f>
        <v>0.1757800640917524</v>
      </c>
      <c r="R16" s="65">
        <f t="shared" ref="R16" si="14">O16/$O$73</f>
        <v>5.3857536802624393E-3</v>
      </c>
      <c r="S16" s="258" t="s">
        <v>225</v>
      </c>
      <c r="T16" s="39"/>
      <c r="U16" s="263">
        <f>'[3]Allegiant '!$IJ$64</f>
        <v>0</v>
      </c>
      <c r="V16" s="2">
        <f>'[3]Allegiant '!$HV$64</f>
        <v>0</v>
      </c>
      <c r="W16" s="65" t="e">
        <f t="shared" ref="W16" si="15">(U16-V16)/V16</f>
        <v>#DIV/0!</v>
      </c>
      <c r="X16" s="263">
        <f>SUM('[3]Allegiant '!$IF$64:$IJ$64)</f>
        <v>0</v>
      </c>
      <c r="Y16" s="2">
        <f>SUM('[3]Allegiant '!$HR$64:$HV$64)</f>
        <v>0</v>
      </c>
      <c r="Z16" s="3" t="e">
        <f t="shared" ref="Z16" si="16">(X16-Y16)/Y16</f>
        <v>#DIV/0!</v>
      </c>
      <c r="AA16" s="65">
        <f t="shared" ref="AA16" si="17">X16/$X$73</f>
        <v>0</v>
      </c>
    </row>
    <row r="17" spans="1:27" ht="14.1" customHeight="1" x14ac:dyDescent="0.2">
      <c r="A17" s="258"/>
      <c r="B17" s="39"/>
      <c r="C17" s="259"/>
      <c r="D17" s="261"/>
      <c r="E17" s="262"/>
      <c r="F17" s="261"/>
      <c r="G17" s="261"/>
      <c r="H17" s="260"/>
      <c r="I17" s="262"/>
      <c r="J17" s="258"/>
      <c r="K17" s="39"/>
      <c r="L17" s="263"/>
      <c r="N17" s="65"/>
      <c r="O17" s="263"/>
      <c r="P17" s="2"/>
      <c r="Q17" s="3"/>
      <c r="R17" s="65"/>
      <c r="S17" s="258"/>
      <c r="T17" s="39"/>
      <c r="U17" s="263"/>
      <c r="V17" s="2"/>
      <c r="W17" s="65"/>
      <c r="X17" s="263"/>
      <c r="Y17" s="2"/>
      <c r="Z17" s="3"/>
      <c r="AA17" s="65"/>
    </row>
    <row r="18" spans="1:27" ht="14.1" customHeight="1" x14ac:dyDescent="0.2">
      <c r="A18" s="258" t="s">
        <v>128</v>
      </c>
      <c r="B18" s="39"/>
      <c r="C18" s="259">
        <f>SUM(C19:C21)</f>
        <v>150</v>
      </c>
      <c r="D18" s="261">
        <f>SUM(D19:D21)</f>
        <v>161</v>
      </c>
      <c r="E18" s="262">
        <f>(C18-D18)/D18</f>
        <v>-6.8322981366459631E-2</v>
      </c>
      <c r="F18" s="261">
        <f>SUM(F19:F21)</f>
        <v>570</v>
      </c>
      <c r="G18" s="261">
        <f>SUM(G19:G21)</f>
        <v>683</v>
      </c>
      <c r="H18" s="260">
        <f>(F18-G18)/G18</f>
        <v>-0.16544655929721816</v>
      </c>
      <c r="I18" s="262">
        <f>F18/$F$73</f>
        <v>4.9924237779510041E-3</v>
      </c>
      <c r="J18" s="258" t="s">
        <v>128</v>
      </c>
      <c r="K18" s="39"/>
      <c r="L18" s="259">
        <f>SUM(L19:L21)</f>
        <v>23571</v>
      </c>
      <c r="M18" s="261">
        <f>SUM(M19:M21)</f>
        <v>23340</v>
      </c>
      <c r="N18" s="262">
        <f>(L18-M18)/M18</f>
        <v>9.8971722365038556E-3</v>
      </c>
      <c r="O18" s="259">
        <f>SUM(O19:O21)</f>
        <v>83180</v>
      </c>
      <c r="P18" s="261">
        <f>SUM(P19:P21)</f>
        <v>82515</v>
      </c>
      <c r="Q18" s="260">
        <f>(O18-P18)/P18</f>
        <v>8.0591407622856454E-3</v>
      </c>
      <c r="R18" s="262">
        <f>O18/$O$73</f>
        <v>6.4262536023099283E-3</v>
      </c>
      <c r="S18" s="258" t="s">
        <v>128</v>
      </c>
      <c r="T18" s="39"/>
      <c r="U18" s="259">
        <f>SUM(U19:U21)</f>
        <v>38296</v>
      </c>
      <c r="V18" s="261">
        <f>SUM(V19:V21)</f>
        <v>24971</v>
      </c>
      <c r="W18" s="262">
        <f>(U18-V18)/V18</f>
        <v>0.53361899803772372</v>
      </c>
      <c r="X18" s="259">
        <f>SUM(X19:X21)</f>
        <v>143804</v>
      </c>
      <c r="Y18" s="261">
        <f>SUM(Y19:Y21)</f>
        <v>109352</v>
      </c>
      <c r="Z18" s="260">
        <f>(X18-Y18)/Y18</f>
        <v>0.31505596605457603</v>
      </c>
      <c r="AA18" s="262">
        <f>X18/$X$73</f>
        <v>4.0970998066863721E-3</v>
      </c>
    </row>
    <row r="19" spans="1:27" ht="14.1" customHeight="1" x14ac:dyDescent="0.2">
      <c r="A19" s="258"/>
      <c r="B19" s="318" t="s">
        <v>128</v>
      </c>
      <c r="C19" s="322">
        <f>[3]Alaska!$IJ$19</f>
        <v>150</v>
      </c>
      <c r="D19" s="217">
        <f>[3]Alaska!$HV$19</f>
        <v>161</v>
      </c>
      <c r="E19" s="324">
        <f>(C19-D19)/D19</f>
        <v>-6.8322981366459631E-2</v>
      </c>
      <c r="F19" s="217">
        <f>SUM([3]Alaska!$IF$19:$IJ$19)</f>
        <v>570</v>
      </c>
      <c r="G19" s="217">
        <f>SUM([3]Alaska!$HR$19:$HV$19)</f>
        <v>591</v>
      </c>
      <c r="H19" s="323">
        <f>(F19-G19)/G19</f>
        <v>-3.553299492385787E-2</v>
      </c>
      <c r="I19" s="324">
        <f>F19/$F$73</f>
        <v>4.9924237779510041E-3</v>
      </c>
      <c r="J19" s="258"/>
      <c r="K19" s="318" t="s">
        <v>128</v>
      </c>
      <c r="L19" s="322">
        <f>[3]Alaska!$IJ$41</f>
        <v>23571</v>
      </c>
      <c r="M19" s="217">
        <f>[3]Alaska!$HV$41</f>
        <v>23340</v>
      </c>
      <c r="N19" s="324">
        <f>(L19-M19)/M19</f>
        <v>9.8971722365038556E-3</v>
      </c>
      <c r="O19" s="322">
        <f>SUM([3]Alaska!$IF$41:$IJ$41)</f>
        <v>83180</v>
      </c>
      <c r="P19" s="217">
        <f>SUM([3]Alaska!$HR$41:$HV$41)</f>
        <v>77144</v>
      </c>
      <c r="Q19" s="323">
        <f>(O19-P19)/P19</f>
        <v>7.8243285284662456E-2</v>
      </c>
      <c r="R19" s="324">
        <f>O19/$O$73</f>
        <v>6.4262536023099283E-3</v>
      </c>
      <c r="S19" s="258"/>
      <c r="T19" s="318" t="s">
        <v>128</v>
      </c>
      <c r="U19" s="322">
        <f>[3]Alaska!$IJ$64</f>
        <v>38296</v>
      </c>
      <c r="V19" s="217">
        <f>[3]Alaska!$HV$64</f>
        <v>24971</v>
      </c>
      <c r="W19" s="324">
        <f>(U19-V19)/V19</f>
        <v>0.53361899803772372</v>
      </c>
      <c r="X19" s="322">
        <f>SUM([3]Alaska!$IF$64:$IJ$64)</f>
        <v>143804</v>
      </c>
      <c r="Y19" s="217">
        <f>SUM([3]Alaska!$HR$64:$HV$64)</f>
        <v>101753</v>
      </c>
      <c r="Z19" s="323">
        <f>(X19-Y19)/Y19</f>
        <v>0.41326545654673574</v>
      </c>
      <c r="AA19" s="324">
        <f>X19/$X$73</f>
        <v>4.0970998066863721E-3</v>
      </c>
    </row>
    <row r="20" spans="1:27" ht="14.1" customHeight="1" x14ac:dyDescent="0.2">
      <c r="A20" s="258"/>
      <c r="B20" s="318" t="s">
        <v>97</v>
      </c>
      <c r="C20" s="263">
        <f>'[3]Sky West_AS'!$IJ$19</f>
        <v>0</v>
      </c>
      <c r="D20" s="2">
        <f>'[3]Sky West_AS'!$HV$19</f>
        <v>0</v>
      </c>
      <c r="E20" s="65" t="e">
        <f>(C20-D20)/D20</f>
        <v>#DIV/0!</v>
      </c>
      <c r="F20" s="2">
        <f>SUM('[3]Sky West_AS'!$IF$19:$IJ$19)</f>
        <v>0</v>
      </c>
      <c r="G20" s="2">
        <f>SUM('[3]Sky West_AS'!$HR$19:$HV$19)</f>
        <v>54</v>
      </c>
      <c r="H20" s="3">
        <f>(F20-G20)/G20</f>
        <v>-1</v>
      </c>
      <c r="I20" s="65">
        <f>F20/$F$73</f>
        <v>0</v>
      </c>
      <c r="J20" s="258"/>
      <c r="K20" s="318" t="s">
        <v>97</v>
      </c>
      <c r="L20" s="263">
        <f>'[3]Sky West_AS'!$IJ$41</f>
        <v>0</v>
      </c>
      <c r="M20" s="2">
        <f>'[3]Sky West_AS'!$HV$41</f>
        <v>0</v>
      </c>
      <c r="N20" s="65" t="e">
        <f>(L20-M20)/M20</f>
        <v>#DIV/0!</v>
      </c>
      <c r="O20" s="263">
        <f>SUM('[3]Sky West_AS'!$IF$41:$IJ$41)</f>
        <v>0</v>
      </c>
      <c r="P20" s="2">
        <f>SUM('[3]Sky West_AS'!$HR$41:$HV$41)</f>
        <v>2767</v>
      </c>
      <c r="Q20" s="3">
        <f>(O20-P20)/P20</f>
        <v>-1</v>
      </c>
      <c r="R20" s="324">
        <f>O20/$O$73</f>
        <v>0</v>
      </c>
      <c r="S20" s="258"/>
      <c r="T20" s="318" t="s">
        <v>97</v>
      </c>
      <c r="U20" s="263">
        <f>'[3]Sky West_AS'!$IJ$64</f>
        <v>0</v>
      </c>
      <c r="V20" s="2">
        <f>'[3]Sky West_AS'!$HV$64</f>
        <v>0</v>
      </c>
      <c r="W20" s="65" t="e">
        <f>(U20-V20)/V20</f>
        <v>#DIV/0!</v>
      </c>
      <c r="X20" s="263">
        <f>SUM('[3]Sky West_AS'!$IF$64:$IJ$64)</f>
        <v>0</v>
      </c>
      <c r="Y20" s="2">
        <f>SUM('[3]Sky West_AS'!$HR$64:$HV$64)</f>
        <v>4924</v>
      </c>
      <c r="Z20" s="3">
        <f>(X20-Y20)/Y20</f>
        <v>-1</v>
      </c>
      <c r="AA20" s="324">
        <f>X20/$X$73</f>
        <v>0</v>
      </c>
    </row>
    <row r="21" spans="1:27" ht="14.1" customHeight="1" x14ac:dyDescent="0.2">
      <c r="A21" s="258"/>
      <c r="B21" s="318" t="s">
        <v>191</v>
      </c>
      <c r="C21" s="263">
        <f>[3]Horizon_AS!$IJ$19</f>
        <v>0</v>
      </c>
      <c r="D21" s="2">
        <f>[3]Horizon_AS!$HV$19</f>
        <v>0</v>
      </c>
      <c r="E21" s="65" t="e">
        <f>(C21-D21)/D21</f>
        <v>#DIV/0!</v>
      </c>
      <c r="F21" s="2">
        <f>SUM([3]Horizon_AS!$IF$19:$IJ$19)</f>
        <v>0</v>
      </c>
      <c r="G21" s="2">
        <f>SUM([3]Horizon_AS!$HR$19:$HV$19)</f>
        <v>38</v>
      </c>
      <c r="H21" s="3">
        <f>(F21-G21)/G21</f>
        <v>-1</v>
      </c>
      <c r="I21" s="65">
        <f>F21/$F$73</f>
        <v>0</v>
      </c>
      <c r="J21" s="258"/>
      <c r="K21" s="318" t="s">
        <v>191</v>
      </c>
      <c r="L21" s="263">
        <f>[3]Horizon_AS!$IJ$41</f>
        <v>0</v>
      </c>
      <c r="M21" s="2">
        <f>[3]Horizon_AS!$HV$41</f>
        <v>0</v>
      </c>
      <c r="N21" s="65" t="e">
        <f>(L21-M21)/M21</f>
        <v>#DIV/0!</v>
      </c>
      <c r="O21" s="263">
        <f>SUM([3]Horizon_AS!$IF$41:$IJ$41)</f>
        <v>0</v>
      </c>
      <c r="P21" s="2">
        <f>SUM([3]Horizon_AS!$HR$41:$HV$41)</f>
        <v>2604</v>
      </c>
      <c r="Q21" s="3">
        <f>(O21-P21)/P21</f>
        <v>-1</v>
      </c>
      <c r="R21" s="324">
        <f>O21/$O$73</f>
        <v>0</v>
      </c>
      <c r="S21" s="258"/>
      <c r="T21" s="318" t="s">
        <v>191</v>
      </c>
      <c r="U21" s="263">
        <f>[3]Horizon_AS!$IJ$64</f>
        <v>0</v>
      </c>
      <c r="V21" s="2">
        <f>[3]Horizon_AS!$HV$64</f>
        <v>0</v>
      </c>
      <c r="W21" s="65" t="e">
        <f>(U21-V21)/V21</f>
        <v>#DIV/0!</v>
      </c>
      <c r="X21" s="263">
        <f>SUM([3]Horizon_AS!$IF$64:$IJ$64)</f>
        <v>0</v>
      </c>
      <c r="Y21" s="2">
        <f>SUM([3]Horizon_AS!$HR$64:$HV$64)</f>
        <v>2675</v>
      </c>
      <c r="Z21" s="3">
        <f>(X21-Y21)/Y21</f>
        <v>-1</v>
      </c>
      <c r="AA21" s="324">
        <f>X21/$X$73</f>
        <v>0</v>
      </c>
    </row>
    <row r="22" spans="1:27" ht="14.1" customHeight="1" x14ac:dyDescent="0.2">
      <c r="A22" s="258"/>
      <c r="B22" s="39"/>
      <c r="C22" s="259"/>
      <c r="D22" s="264"/>
      <c r="E22" s="262"/>
      <c r="F22" s="264"/>
      <c r="G22" s="264"/>
      <c r="H22" s="260"/>
      <c r="I22" s="262"/>
      <c r="J22" s="258"/>
      <c r="K22" s="39"/>
      <c r="L22" s="139"/>
      <c r="M22" s="95"/>
      <c r="N22" s="65"/>
      <c r="O22" s="139"/>
      <c r="P22" s="95"/>
      <c r="Q22" s="3"/>
      <c r="R22" s="65"/>
      <c r="S22" s="258"/>
      <c r="T22" s="39"/>
      <c r="U22" s="139"/>
      <c r="V22" s="95"/>
      <c r="W22" s="65"/>
      <c r="X22" s="139"/>
      <c r="Y22" s="95"/>
      <c r="Z22" s="3"/>
      <c r="AA22" s="65"/>
    </row>
    <row r="23" spans="1:27" ht="14.1" customHeight="1" x14ac:dyDescent="0.2">
      <c r="A23" s="258" t="s">
        <v>17</v>
      </c>
      <c r="B23" s="265"/>
      <c r="C23" s="259">
        <f>SUM(C24:C30)</f>
        <v>1115</v>
      </c>
      <c r="D23" s="261">
        <f>SUM(D24:D30)</f>
        <v>1085</v>
      </c>
      <c r="E23" s="262">
        <f t="shared" ref="E23:E30" si="18">(C23-D23)/D23</f>
        <v>2.7649769585253458E-2</v>
      </c>
      <c r="F23" s="259">
        <f>SUM(F24:F30)</f>
        <v>5217</v>
      </c>
      <c r="G23" s="261">
        <f>SUM(G24:G30)</f>
        <v>5182</v>
      </c>
      <c r="H23" s="260">
        <f t="shared" ref="H23:H30" si="19">(F23-G23)/G23</f>
        <v>6.7541489772288688E-3</v>
      </c>
      <c r="I23" s="262">
        <f t="shared" ref="I23:I30" si="20">F23/$F$73</f>
        <v>4.5693815525562086E-2</v>
      </c>
      <c r="J23" s="258" t="s">
        <v>17</v>
      </c>
      <c r="K23" s="265"/>
      <c r="L23" s="259">
        <f>SUM(L24:L30)</f>
        <v>121697</v>
      </c>
      <c r="M23" s="261">
        <f>SUM(M24:M30)</f>
        <v>116845</v>
      </c>
      <c r="N23" s="262">
        <f t="shared" ref="N23:N30" si="21">(L23-M23)/M23</f>
        <v>4.1525097351191753E-2</v>
      </c>
      <c r="O23" s="259">
        <f>SUM(O24:O30)</f>
        <v>585022</v>
      </c>
      <c r="P23" s="261">
        <f>SUM(P24:P30)</f>
        <v>547367</v>
      </c>
      <c r="Q23" s="260">
        <f t="shared" ref="Q23:Q30" si="22">(O23-P23)/P23</f>
        <v>6.8792967058664473E-2</v>
      </c>
      <c r="R23" s="262">
        <f t="shared" ref="R23:R30" si="23">O23/$O$73</f>
        <v>4.519715959281749E-2</v>
      </c>
      <c r="S23" s="258" t="s">
        <v>17</v>
      </c>
      <c r="T23" s="265"/>
      <c r="U23" s="259">
        <f>SUM(U24:U30)</f>
        <v>46682</v>
      </c>
      <c r="V23" s="261">
        <f>SUM(V24:V30)</f>
        <v>124302</v>
      </c>
      <c r="W23" s="262">
        <f t="shared" ref="W23:W27" si="24">(U23-V23)/V23</f>
        <v>-0.62444691155411824</v>
      </c>
      <c r="X23" s="259">
        <f>SUM(X24:X30)</f>
        <v>270787</v>
      </c>
      <c r="Y23" s="261">
        <f>SUM(Y24:Y30)</f>
        <v>706806</v>
      </c>
      <c r="Z23" s="260">
        <f t="shared" ref="Z23:Z27" si="25">(X23-Y23)/Y23</f>
        <v>-0.61688638749529578</v>
      </c>
      <c r="AA23" s="262">
        <f t="shared" ref="AA23:AA30" si="26">X23/$X$73</f>
        <v>7.7149548368138764E-3</v>
      </c>
    </row>
    <row r="24" spans="1:27" ht="14.1" customHeight="1" x14ac:dyDescent="0.2">
      <c r="A24" s="37"/>
      <c r="B24" s="39" t="s">
        <v>17</v>
      </c>
      <c r="C24" s="263">
        <f>[3]American!$IJ$19</f>
        <v>637</v>
      </c>
      <c r="D24" s="2">
        <f>[3]American!$HV$19</f>
        <v>494</v>
      </c>
      <c r="E24" s="65">
        <f t="shared" si="18"/>
        <v>0.28947368421052633</v>
      </c>
      <c r="F24" s="2">
        <f>SUM([3]American!$IF$19:$IJ$19)</f>
        <v>3232</v>
      </c>
      <c r="G24" s="2">
        <f>SUM([3]American!$HR$19:$HV$19)</f>
        <v>2804</v>
      </c>
      <c r="H24" s="3">
        <f t="shared" si="19"/>
        <v>0.15263908701854492</v>
      </c>
      <c r="I24" s="65">
        <f t="shared" si="20"/>
        <v>2.8307918684802886E-2</v>
      </c>
      <c r="J24" s="37"/>
      <c r="K24" s="39" t="s">
        <v>17</v>
      </c>
      <c r="L24" s="263">
        <f>[3]American!$IJ$41</f>
        <v>91939</v>
      </c>
      <c r="M24" s="2">
        <f>[3]American!$HV$41</f>
        <v>78357</v>
      </c>
      <c r="N24" s="65">
        <f t="shared" si="21"/>
        <v>0.17333486478553289</v>
      </c>
      <c r="O24" s="263">
        <f>SUM([3]American!$IF$41:$IJ$41)</f>
        <v>471040</v>
      </c>
      <c r="P24" s="2">
        <f>SUM([3]American!$HR$41:$HV$41)</f>
        <v>414100</v>
      </c>
      <c r="Q24" s="3">
        <f t="shared" si="22"/>
        <v>0.13750301859454239</v>
      </c>
      <c r="R24" s="65">
        <f t="shared" si="23"/>
        <v>3.6391229824862571E-2</v>
      </c>
      <c r="S24" s="37"/>
      <c r="T24" s="39" t="s">
        <v>17</v>
      </c>
      <c r="U24" s="263">
        <f>[3]American!$IJ$64</f>
        <v>44175</v>
      </c>
      <c r="V24" s="2">
        <f>[3]American!$HV$64</f>
        <v>117487</v>
      </c>
      <c r="W24" s="65">
        <f t="shared" si="24"/>
        <v>-0.62400095329696048</v>
      </c>
      <c r="X24" s="263">
        <f>SUM([3]American!$IF$64:$IJ$64)</f>
        <v>254230</v>
      </c>
      <c r="Y24" s="2">
        <f>SUM([3]American!$HR$64:$HV$64)</f>
        <v>689066</v>
      </c>
      <c r="Z24" s="3">
        <f t="shared" si="25"/>
        <v>-0.63105130713168256</v>
      </c>
      <c r="AA24" s="65">
        <f t="shared" si="26"/>
        <v>7.2432316476167312E-3</v>
      </c>
    </row>
    <row r="25" spans="1:27" ht="14.1" customHeight="1" x14ac:dyDescent="0.2">
      <c r="A25" s="37"/>
      <c r="B25" s="318" t="s">
        <v>165</v>
      </c>
      <c r="C25" s="263">
        <f>'[3]American Eagle'!$IJ$19</f>
        <v>206</v>
      </c>
      <c r="D25" s="2">
        <f>'[3]American Eagle'!$HV$19</f>
        <v>227</v>
      </c>
      <c r="E25" s="65">
        <f t="shared" si="18"/>
        <v>-9.2511013215859028E-2</v>
      </c>
      <c r="F25" s="2">
        <f>SUM('[3]American Eagle'!$IF$19:$IJ$19)</f>
        <v>443</v>
      </c>
      <c r="G25" s="2">
        <f>SUM('[3]American Eagle'!$HR$19:$HV$19)</f>
        <v>389</v>
      </c>
      <c r="H25" s="3">
        <f t="shared" si="19"/>
        <v>0.13881748071979436</v>
      </c>
      <c r="I25" s="65">
        <f t="shared" si="20"/>
        <v>3.8800767256706929E-3</v>
      </c>
      <c r="J25" s="37"/>
      <c r="K25" s="318" t="s">
        <v>165</v>
      </c>
      <c r="L25" s="263">
        <f>'[3]American Eagle'!$IJ$41</f>
        <v>12784</v>
      </c>
      <c r="M25" s="2">
        <f>'[3]American Eagle'!$HV$41</f>
        <v>13456</v>
      </c>
      <c r="N25" s="65">
        <f t="shared" si="21"/>
        <v>-4.9940546967895363E-2</v>
      </c>
      <c r="O25" s="263">
        <f>SUM('[3]American Eagle'!$IF$41:$IJ$41)</f>
        <v>25733</v>
      </c>
      <c r="P25" s="2">
        <f>SUM('[3]American Eagle'!$HR$41:$HV$41)</f>
        <v>20102</v>
      </c>
      <c r="Q25" s="3">
        <f t="shared" si="22"/>
        <v>0.28012138095711869</v>
      </c>
      <c r="R25" s="65">
        <f t="shared" si="23"/>
        <v>1.9880594367425028E-3</v>
      </c>
      <c r="S25" s="37"/>
      <c r="T25" s="318" t="s">
        <v>165</v>
      </c>
      <c r="U25" s="263">
        <f>'[3]American Eagle'!$IJ$64</f>
        <v>822</v>
      </c>
      <c r="V25" s="2">
        <f>'[3]American Eagle'!$HV$64</f>
        <v>5310</v>
      </c>
      <c r="W25" s="65">
        <f t="shared" si="24"/>
        <v>-0.84519774011299431</v>
      </c>
      <c r="X25" s="263">
        <f>SUM('[3]American Eagle'!$IF$64:$IJ$64)</f>
        <v>4059</v>
      </c>
      <c r="Y25" s="2">
        <f>SUM('[3]American Eagle'!$HR$64:$HV$64)</f>
        <v>11230</v>
      </c>
      <c r="Z25" s="3">
        <f t="shared" si="25"/>
        <v>-0.63855743544078358</v>
      </c>
      <c r="AA25" s="65">
        <f t="shared" si="26"/>
        <v>1.1564440568648985E-4</v>
      </c>
    </row>
    <row r="26" spans="1:27" ht="14.1" customHeight="1" x14ac:dyDescent="0.2">
      <c r="A26" s="37"/>
      <c r="B26" s="318" t="s">
        <v>52</v>
      </c>
      <c r="C26" s="263">
        <f>[3]Republic!$IJ$19</f>
        <v>240</v>
      </c>
      <c r="D26" s="2">
        <f>[3]Republic!$HV$19</f>
        <v>230</v>
      </c>
      <c r="E26" s="65">
        <f t="shared" si="18"/>
        <v>4.3478260869565216E-2</v>
      </c>
      <c r="F26" s="2">
        <f>SUM([3]Republic!$IF$19:$IJ$19)</f>
        <v>1132</v>
      </c>
      <c r="G26" s="2">
        <f>SUM([3]Republic!$HR$19:$HV$19)</f>
        <v>957</v>
      </c>
      <c r="H26" s="3">
        <f t="shared" si="19"/>
        <v>0.18286311389759666</v>
      </c>
      <c r="I26" s="65">
        <f t="shared" si="20"/>
        <v>9.9147784502465561E-3</v>
      </c>
      <c r="J26" s="37"/>
      <c r="K26" s="266" t="s">
        <v>52</v>
      </c>
      <c r="L26" s="263">
        <f>[3]Republic!$IJ$41</f>
        <v>15656</v>
      </c>
      <c r="M26" s="2">
        <f>[3]Republic!$HV$41</f>
        <v>15891</v>
      </c>
      <c r="N26" s="65">
        <f t="shared" si="21"/>
        <v>-1.4788244918507332E-2</v>
      </c>
      <c r="O26" s="263">
        <f>SUM([3]Republic!$IF$41:$IJ$41)</f>
        <v>68222</v>
      </c>
      <c r="P26" s="2">
        <f>SUM([3]Republic!$HR$41:$HV$41)</f>
        <v>51945</v>
      </c>
      <c r="Q26" s="3">
        <f t="shared" si="22"/>
        <v>0.3133506593512369</v>
      </c>
      <c r="R26" s="65">
        <f t="shared" si="23"/>
        <v>5.2706404575232979E-3</v>
      </c>
      <c r="S26" s="37"/>
      <c r="T26" s="266" t="s">
        <v>52</v>
      </c>
      <c r="U26" s="263">
        <f>[3]Republic!$IJ$64</f>
        <v>1685</v>
      </c>
      <c r="V26" s="2">
        <f>[3]Republic!$HV$64</f>
        <v>1098</v>
      </c>
      <c r="W26" s="65">
        <f t="shared" si="24"/>
        <v>0.53460837887067392</v>
      </c>
      <c r="X26" s="263">
        <f>SUM([3]Republic!$IF$64:$IJ$64)</f>
        <v>12458</v>
      </c>
      <c r="Y26" s="2">
        <f>SUM([3]Republic!$HR$64:$HV$64)</f>
        <v>3538</v>
      </c>
      <c r="Z26" s="3">
        <f t="shared" si="25"/>
        <v>2.5211984171848503</v>
      </c>
      <c r="AA26" s="65">
        <f t="shared" si="26"/>
        <v>3.5493914906190949E-4</v>
      </c>
    </row>
    <row r="27" spans="1:27" ht="14.1" customHeight="1" x14ac:dyDescent="0.2">
      <c r="A27" s="37"/>
      <c r="B27" s="318" t="s">
        <v>181</v>
      </c>
      <c r="C27" s="263">
        <f>[3]PSA!$IJ$19</f>
        <v>8</v>
      </c>
      <c r="D27" s="2">
        <f>[3]PSA!$HV$19</f>
        <v>126</v>
      </c>
      <c r="E27" s="65">
        <f t="shared" si="18"/>
        <v>-0.93650793650793651</v>
      </c>
      <c r="F27" s="2">
        <f>SUM([3]PSA!$IF$19:$IJ$19)</f>
        <v>384</v>
      </c>
      <c r="G27" s="2">
        <f>SUM([3]PSA!$HR$19:$HV$19)</f>
        <v>642</v>
      </c>
      <c r="H27" s="3">
        <f t="shared" si="19"/>
        <v>-0.40186915887850466</v>
      </c>
      <c r="I27" s="65">
        <f t="shared" si="20"/>
        <v>3.3633170714617291E-3</v>
      </c>
      <c r="J27" s="37"/>
      <c r="K27" s="318" t="s">
        <v>181</v>
      </c>
      <c r="L27" s="263">
        <f>[3]PSA!$IJ$41</f>
        <v>351</v>
      </c>
      <c r="M27" s="2">
        <f>[3]PSA!$HV$41</f>
        <v>8660</v>
      </c>
      <c r="N27" s="65">
        <f t="shared" si="21"/>
        <v>-0.95946882217090068</v>
      </c>
      <c r="O27" s="263">
        <f>SUM([3]PSA!$IF$41:$IJ$41)</f>
        <v>19025</v>
      </c>
      <c r="P27" s="2">
        <f>SUM([3]PSA!$HR$41:$HV$41)</f>
        <v>39366</v>
      </c>
      <c r="Q27" s="3">
        <f t="shared" si="22"/>
        <v>-0.51671493166692073</v>
      </c>
      <c r="R27" s="65">
        <f t="shared" si="23"/>
        <v>1.4698181628269582E-3</v>
      </c>
      <c r="S27" s="37"/>
      <c r="T27" s="318" t="s">
        <v>181</v>
      </c>
      <c r="U27" s="263">
        <f>[3]PSA!$IJ$64</f>
        <v>0</v>
      </c>
      <c r="V27" s="2">
        <f>[3]PSA!$HV$64</f>
        <v>40</v>
      </c>
      <c r="W27" s="65">
        <f t="shared" si="24"/>
        <v>-1</v>
      </c>
      <c r="X27" s="263">
        <f>SUM([3]PSA!$IF$64:$IJ$64)</f>
        <v>40</v>
      </c>
      <c r="Y27" s="2">
        <f>SUM([3]PSA!$HR$64:$HV$64)</f>
        <v>1042</v>
      </c>
      <c r="Z27" s="3">
        <f t="shared" si="25"/>
        <v>-0.96161228406909793</v>
      </c>
      <c r="AA27" s="65">
        <f t="shared" si="26"/>
        <v>1.1396344487458965E-6</v>
      </c>
    </row>
    <row r="28" spans="1:27" ht="14.1" customHeight="1" x14ac:dyDescent="0.2">
      <c r="A28" s="37"/>
      <c r="B28" s="318" t="s">
        <v>97</v>
      </c>
      <c r="C28" s="263">
        <f>'[3]Sky West_AA'!$IJ$19</f>
        <v>0</v>
      </c>
      <c r="D28" s="2">
        <f>'[3]Sky West_AA'!$HV$19</f>
        <v>8</v>
      </c>
      <c r="E28" s="65">
        <f>(C28-D28)/D28</f>
        <v>-1</v>
      </c>
      <c r="F28" s="2">
        <f>SUM('[3]Sky West_AA'!$IF$19:$IJ$19)</f>
        <v>0</v>
      </c>
      <c r="G28" s="2">
        <f>SUM('[3]Sky West_AA'!$HR$19:$HV$19)</f>
        <v>390</v>
      </c>
      <c r="H28" s="3">
        <f>(F28-G28)/G28</f>
        <v>-1</v>
      </c>
      <c r="I28" s="65">
        <f t="shared" si="20"/>
        <v>0</v>
      </c>
      <c r="J28" s="37"/>
      <c r="K28" s="318" t="s">
        <v>97</v>
      </c>
      <c r="L28" s="263">
        <f>'[3]Sky West_AA'!$IJ$41</f>
        <v>0</v>
      </c>
      <c r="M28" s="2">
        <f>'[3]Sky West_AA'!$HV$41</f>
        <v>481</v>
      </c>
      <c r="N28" s="65">
        <f>(L28-M28)/M28</f>
        <v>-1</v>
      </c>
      <c r="O28" s="263">
        <f>SUM('[3]Sky West_AA'!$IF$41:$IJ$41)</f>
        <v>0</v>
      </c>
      <c r="P28" s="2">
        <f>SUM('[3]Sky West_AA'!$HR$41:$HV$41)</f>
        <v>21854</v>
      </c>
      <c r="Q28" s="3">
        <f>(O28-P28)/P28</f>
        <v>-1</v>
      </c>
      <c r="R28" s="324">
        <f t="shared" si="23"/>
        <v>0</v>
      </c>
      <c r="S28" s="37"/>
      <c r="T28" s="318" t="s">
        <v>97</v>
      </c>
      <c r="U28" s="263">
        <f>'[3]Sky West_AA'!$IJ$64</f>
        <v>0</v>
      </c>
      <c r="V28" s="2">
        <f>'[3]Sky West_AA'!$HV$64</f>
        <v>367</v>
      </c>
      <c r="W28" s="65">
        <f>(U28-V28)/V28</f>
        <v>-1</v>
      </c>
      <c r="X28" s="263">
        <f>SUM('[3]Sky West_AA'!$IF$64:$IJ$64)</f>
        <v>0</v>
      </c>
      <c r="Y28" s="2">
        <f>SUM('[3]Sky West_AA'!$HR$64:$HV$64)</f>
        <v>1930</v>
      </c>
      <c r="Z28" s="3">
        <f>(X28-Y28)/Y28</f>
        <v>-1</v>
      </c>
      <c r="AA28" s="324">
        <f t="shared" si="26"/>
        <v>0</v>
      </c>
    </row>
    <row r="29" spans="1:27" ht="14.1" customHeight="1" x14ac:dyDescent="0.2">
      <c r="A29" s="37"/>
      <c r="B29" s="318" t="s">
        <v>51</v>
      </c>
      <c r="C29" s="263">
        <f>[3]MESA!$IJ$19</f>
        <v>0</v>
      </c>
      <c r="D29" s="2">
        <f>[3]MESA!$HV$19</f>
        <v>0</v>
      </c>
      <c r="E29" s="65" t="e">
        <f t="shared" si="18"/>
        <v>#DIV/0!</v>
      </c>
      <c r="F29" s="2">
        <f>SUM([3]MESA!$IF$19:$IJ$19)</f>
        <v>0</v>
      </c>
      <c r="G29" s="2">
        <f>SUM([3]MESA!$HR$19:$HV$19)</f>
        <v>0</v>
      </c>
      <c r="H29" s="3" t="e">
        <f t="shared" si="19"/>
        <v>#DIV/0!</v>
      </c>
      <c r="I29" s="65">
        <f t="shared" si="20"/>
        <v>0</v>
      </c>
      <c r="J29" s="37"/>
      <c r="K29" s="318" t="s">
        <v>51</v>
      </c>
      <c r="L29" s="263">
        <f>[3]MESA!$IJ$41</f>
        <v>0</v>
      </c>
      <c r="M29" s="2">
        <f>[3]MESA!$HV$41</f>
        <v>0</v>
      </c>
      <c r="N29" s="65" t="e">
        <f t="shared" si="21"/>
        <v>#DIV/0!</v>
      </c>
      <c r="O29" s="263">
        <f>SUM([3]MESA!$IF$41:$IJ$41)</f>
        <v>0</v>
      </c>
      <c r="P29" s="2">
        <f>SUM([3]MESA!$HR$41:$HV$41)</f>
        <v>0</v>
      </c>
      <c r="Q29" s="3" t="e">
        <f t="shared" si="22"/>
        <v>#DIV/0!</v>
      </c>
      <c r="R29" s="65">
        <f t="shared" si="23"/>
        <v>0</v>
      </c>
      <c r="S29" s="37"/>
      <c r="T29" s="318" t="s">
        <v>51</v>
      </c>
      <c r="U29" s="263">
        <f>[3]MESA!$IJ$64</f>
        <v>0</v>
      </c>
      <c r="V29" s="2">
        <f>[3]MESA!$HV$64</f>
        <v>0</v>
      </c>
      <c r="W29" s="65" t="e">
        <f t="shared" ref="W29:W30" si="27">(U29-V29)/V29</f>
        <v>#DIV/0!</v>
      </c>
      <c r="X29" s="263">
        <f>SUM([3]MESA!$IF$64:$IJ$64)</f>
        <v>0</v>
      </c>
      <c r="Y29" s="2">
        <f>SUM([3]MESA!$HR$64:$HV$64)</f>
        <v>0</v>
      </c>
      <c r="Z29" s="3" t="e">
        <f t="shared" ref="Z29:Z30" si="28">(X29-Y29)/Y29</f>
        <v>#DIV/0!</v>
      </c>
      <c r="AA29" s="65">
        <f t="shared" si="26"/>
        <v>0</v>
      </c>
    </row>
    <row r="30" spans="1:27" ht="14.1" customHeight="1" x14ac:dyDescent="0.2">
      <c r="A30" s="37"/>
      <c r="B30" s="318" t="s">
        <v>50</v>
      </c>
      <c r="C30" s="263">
        <f>'[3]Air Wisconsin'!$IJ$19</f>
        <v>24</v>
      </c>
      <c r="D30" s="2">
        <f>'[3]Air Wisconsin'!$HV$19</f>
        <v>0</v>
      </c>
      <c r="E30" s="65" t="e">
        <f t="shared" si="18"/>
        <v>#DIV/0!</v>
      </c>
      <c r="F30" s="2">
        <f>SUM('[3]Air Wisconsin'!$IF$19:$IJ$19)</f>
        <v>26</v>
      </c>
      <c r="G30" s="2">
        <f>SUM('[3]Air Wisconsin'!$HR$19:$HV$19)</f>
        <v>0</v>
      </c>
      <c r="H30" s="349" t="e">
        <f t="shared" si="19"/>
        <v>#DIV/0!</v>
      </c>
      <c r="I30" s="65">
        <f t="shared" si="20"/>
        <v>2.2772459338022124E-4</v>
      </c>
      <c r="J30" s="37"/>
      <c r="K30" s="266" t="s">
        <v>50</v>
      </c>
      <c r="L30" s="263">
        <f>'[3]Air Wisconsin'!$IJ$41</f>
        <v>967</v>
      </c>
      <c r="M30" s="2">
        <f>'[3]Air Wisconsin'!$HV$41</f>
        <v>0</v>
      </c>
      <c r="N30" s="65" t="e">
        <f t="shared" si="21"/>
        <v>#DIV/0!</v>
      </c>
      <c r="O30" s="263">
        <f>SUM('[3]Air Wisconsin'!$IF$41:$IJ$41)</f>
        <v>1002</v>
      </c>
      <c r="P30" s="2">
        <f>SUM('[3]Air Wisconsin'!$HR$41:$HV$41)</f>
        <v>0</v>
      </c>
      <c r="Q30" s="3" t="e">
        <f t="shared" si="22"/>
        <v>#DIV/0!</v>
      </c>
      <c r="R30" s="65">
        <f t="shared" si="23"/>
        <v>7.7411710862160959E-5</v>
      </c>
      <c r="S30" s="37"/>
      <c r="T30" s="266" t="s">
        <v>50</v>
      </c>
      <c r="U30" s="263">
        <f>'[3]Air Wisconsin'!$IJ$64</f>
        <v>0</v>
      </c>
      <c r="V30" s="2">
        <f>'[3]Air Wisconsin'!$HV$64</f>
        <v>0</v>
      </c>
      <c r="W30" s="65" t="e">
        <f t="shared" si="27"/>
        <v>#DIV/0!</v>
      </c>
      <c r="X30" s="263">
        <f>SUM('[3]Air Wisconsin'!$IF$64:$IJ$64)</f>
        <v>0</v>
      </c>
      <c r="Y30" s="2">
        <f>SUM('[3]Air Wisconsin'!$HR$64:$HV$64)</f>
        <v>0</v>
      </c>
      <c r="Z30" s="3" t="e">
        <f t="shared" si="28"/>
        <v>#DIV/0!</v>
      </c>
      <c r="AA30" s="65">
        <f t="shared" si="26"/>
        <v>0</v>
      </c>
    </row>
    <row r="31" spans="1:27" ht="14.1" customHeight="1" x14ac:dyDescent="0.2">
      <c r="A31" s="37"/>
      <c r="B31" s="39"/>
      <c r="C31" s="263"/>
      <c r="E31" s="65"/>
      <c r="F31" s="2"/>
      <c r="I31" s="65"/>
      <c r="J31" s="37"/>
      <c r="K31" s="39"/>
      <c r="L31" s="263"/>
      <c r="N31" s="65"/>
      <c r="O31" s="263"/>
      <c r="P31" s="2"/>
      <c r="Q31" s="3"/>
      <c r="R31" s="65"/>
      <c r="S31" s="37"/>
      <c r="T31" s="39"/>
      <c r="U31" s="263"/>
      <c r="V31" s="2"/>
      <c r="W31" s="65"/>
      <c r="X31" s="263"/>
      <c r="Y31" s="2"/>
      <c r="Z31" s="3"/>
      <c r="AA31" s="65"/>
    </row>
    <row r="32" spans="1:27" ht="14.1" customHeight="1" x14ac:dyDescent="0.2">
      <c r="A32" s="258" t="s">
        <v>178</v>
      </c>
      <c r="B32" s="39"/>
      <c r="C32" s="259">
        <f>'[3]Boutique Air'!$IJ$19</f>
        <v>0</v>
      </c>
      <c r="D32" s="261">
        <f>'[3]Boutique Air'!$HV$19</f>
        <v>0</v>
      </c>
      <c r="E32" s="262" t="e">
        <f>(C32-D32)/D32</f>
        <v>#DIV/0!</v>
      </c>
      <c r="F32" s="261">
        <f>SUM('[3]Boutique Air'!$IF$19:$IJ$19)</f>
        <v>0</v>
      </c>
      <c r="G32" s="261">
        <f>SUM('[3]Boutique Air'!$HR$19:$HV$19)</f>
        <v>0</v>
      </c>
      <c r="H32" s="260" t="e">
        <f>(F32-G32)/G32</f>
        <v>#DIV/0!</v>
      </c>
      <c r="I32" s="262">
        <f>F32/$F$73</f>
        <v>0</v>
      </c>
      <c r="J32" s="258" t="s">
        <v>178</v>
      </c>
      <c r="K32" s="39"/>
      <c r="L32" s="259">
        <f>'[3]Boutique Air'!$IJ$41</f>
        <v>0</v>
      </c>
      <c r="M32" s="261">
        <f>'[3]Boutique Air'!$HV$41</f>
        <v>0</v>
      </c>
      <c r="N32" s="262" t="e">
        <f>(L32-M32)/M32</f>
        <v>#DIV/0!</v>
      </c>
      <c r="O32" s="259">
        <f>SUM('[3]Boutique Air'!$IF$41:$IJ$41)</f>
        <v>0</v>
      </c>
      <c r="P32" s="261">
        <f>SUM('[3]Boutique Air'!$HR$41:$HV$41)</f>
        <v>0</v>
      </c>
      <c r="Q32" s="260" t="e">
        <f>(O32-P32)/P32</f>
        <v>#DIV/0!</v>
      </c>
      <c r="R32" s="262">
        <f>O32/$O$73</f>
        <v>0</v>
      </c>
      <c r="S32" s="258" t="s">
        <v>178</v>
      </c>
      <c r="T32" s="39"/>
      <c r="U32" s="259">
        <f>'[3]Boutique Air'!$IJ$64</f>
        <v>0</v>
      </c>
      <c r="V32" s="261">
        <f>'[3]Boutique Air'!$HV$64</f>
        <v>0</v>
      </c>
      <c r="W32" s="262" t="e">
        <f>(U32-V32)/V32</f>
        <v>#DIV/0!</v>
      </c>
      <c r="X32" s="259">
        <f>SUM('[3]Boutique Air'!$IF$64:$IJ$64)</f>
        <v>0</v>
      </c>
      <c r="Y32" s="261">
        <f>SUM('[3]Boutique Air'!$HR$64:$HV$64)</f>
        <v>0</v>
      </c>
      <c r="Z32" s="260" t="e">
        <f>(X32-Y32)/Y32</f>
        <v>#DIV/0!</v>
      </c>
      <c r="AA32" s="262">
        <f>X32/$X$73</f>
        <v>0</v>
      </c>
    </row>
    <row r="33" spans="1:27" ht="14.1" customHeight="1" x14ac:dyDescent="0.2">
      <c r="A33" s="37"/>
      <c r="B33" s="39"/>
      <c r="C33" s="263"/>
      <c r="E33" s="65"/>
      <c r="F33" s="2"/>
      <c r="I33" s="65"/>
      <c r="J33" s="37"/>
      <c r="K33" s="39"/>
      <c r="L33" s="263"/>
      <c r="N33" s="65"/>
      <c r="O33" s="263"/>
      <c r="P33" s="2"/>
      <c r="Q33" s="3"/>
      <c r="R33" s="65"/>
      <c r="S33" s="37"/>
      <c r="T33" s="39"/>
      <c r="U33" s="263"/>
      <c r="V33" s="2"/>
      <c r="W33" s="65"/>
      <c r="X33" s="263"/>
      <c r="Y33" s="2"/>
      <c r="Z33" s="3"/>
      <c r="AA33" s="65"/>
    </row>
    <row r="34" spans="1:27" ht="14.1" customHeight="1" x14ac:dyDescent="0.2">
      <c r="A34" s="258" t="s">
        <v>161</v>
      </c>
      <c r="B34" s="39"/>
      <c r="C34" s="259">
        <f>[3]Condor!$IJ$19</f>
        <v>6</v>
      </c>
      <c r="D34" s="261">
        <f>[3]Condor!$HV$19</f>
        <v>2</v>
      </c>
      <c r="E34" s="262">
        <f>(C34-D34)/D34</f>
        <v>2</v>
      </c>
      <c r="F34" s="261">
        <f>SUM([3]Condor!$IF$19:$IJ$19)</f>
        <v>6</v>
      </c>
      <c r="G34" s="261">
        <f>SUM([3]Condor!$HR$19:$HV$19)</f>
        <v>2</v>
      </c>
      <c r="H34" s="260">
        <f>(F34-G34)/G34</f>
        <v>2</v>
      </c>
      <c r="I34" s="262">
        <f>F34/$F$73</f>
        <v>5.2551829241589517E-5</v>
      </c>
      <c r="J34" s="258" t="s">
        <v>161</v>
      </c>
      <c r="K34" s="39"/>
      <c r="L34" s="259">
        <f>[3]Condor!$IJ$41</f>
        <v>1368</v>
      </c>
      <c r="M34" s="261">
        <f>[3]Condor!$HV$41</f>
        <v>395</v>
      </c>
      <c r="N34" s="262">
        <f>(L34-M34)/M34</f>
        <v>2.4632911392405061</v>
      </c>
      <c r="O34" s="259">
        <f>SUM([3]Condor!$IF$41:$IJ$41)</f>
        <v>1368</v>
      </c>
      <c r="P34" s="261">
        <f>SUM([3]Condor!$HR$41:$HV$41)</f>
        <v>395</v>
      </c>
      <c r="Q34" s="260">
        <f>(O34-P34)/P34</f>
        <v>2.4632911392405061</v>
      </c>
      <c r="R34" s="262">
        <f>O34/$O$73</f>
        <v>1.0568784476989639E-4</v>
      </c>
      <c r="S34" s="258" t="s">
        <v>161</v>
      </c>
      <c r="T34" s="39"/>
      <c r="U34" s="259">
        <f>[3]Condor!$IJ$64</f>
        <v>27311</v>
      </c>
      <c r="V34" s="261">
        <f>[3]Condor!$HV$64</f>
        <v>0</v>
      </c>
      <c r="W34" s="262" t="e">
        <f>(U34-V34)/V34</f>
        <v>#DIV/0!</v>
      </c>
      <c r="X34" s="259">
        <f>SUM([3]Condor!$IF$64:$IJ$64)</f>
        <v>27311</v>
      </c>
      <c r="Y34" s="261">
        <f>SUM([3]Condor!$HR$64:$HV$64)</f>
        <v>0</v>
      </c>
      <c r="Z34" s="260" t="e">
        <f>(X34-Y34)/Y34</f>
        <v>#DIV/0!</v>
      </c>
      <c r="AA34" s="262">
        <f>X34/$X$73</f>
        <v>7.7811391074247946E-4</v>
      </c>
    </row>
    <row r="35" spans="1:27" ht="14.1" customHeight="1" x14ac:dyDescent="0.2">
      <c r="A35" s="37"/>
      <c r="B35" s="39"/>
      <c r="C35" s="263"/>
      <c r="E35" s="65"/>
      <c r="F35" s="2"/>
      <c r="I35" s="65"/>
      <c r="J35" s="37"/>
      <c r="K35" s="39"/>
      <c r="L35" s="263"/>
      <c r="N35" s="65"/>
      <c r="O35" s="263"/>
      <c r="P35" s="2"/>
      <c r="Q35" s="3"/>
      <c r="R35" s="65"/>
      <c r="S35" s="37"/>
      <c r="T35" s="39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217</v>
      </c>
      <c r="B36" s="39"/>
      <c r="C36" s="259">
        <f>'[3]Denver Air'!$IJ$19</f>
        <v>160</v>
      </c>
      <c r="D36" s="261">
        <f>'[3]Denver Air'!$HV$19</f>
        <v>162</v>
      </c>
      <c r="E36" s="262">
        <f>(C36-D36)/D36</f>
        <v>-1.2345679012345678E-2</v>
      </c>
      <c r="F36" s="261">
        <f>SUM('[3]Denver Air'!$IF$19:$IJ$19)</f>
        <v>764</v>
      </c>
      <c r="G36" s="261">
        <f>SUM('[3]Denver Air'!$HR$19:$HV$19)</f>
        <v>784</v>
      </c>
      <c r="H36" s="260">
        <f>(F36-G36)/G36</f>
        <v>-2.5510204081632654E-2</v>
      </c>
      <c r="I36" s="262">
        <f>F36/$F$73</f>
        <v>6.6915995900957322E-3</v>
      </c>
      <c r="J36" s="258" t="s">
        <v>217</v>
      </c>
      <c r="K36" s="39"/>
      <c r="L36" s="259">
        <f>'[3]Denver Air'!$IJ$41</f>
        <v>1488</v>
      </c>
      <c r="M36" s="261">
        <f>'[3]Denver Air'!$HV$41</f>
        <v>1736</v>
      </c>
      <c r="N36" s="262">
        <f>(L36-M36)/M36</f>
        <v>-0.14285714285714285</v>
      </c>
      <c r="O36" s="259">
        <f>SUM('[3]Denver Air'!$IF$41:$IJ$41)</f>
        <v>7321</v>
      </c>
      <c r="P36" s="261">
        <f>SUM('[3]Denver Air'!$HR$41:$HV$41)</f>
        <v>7894</v>
      </c>
      <c r="Q36" s="260">
        <f>(O36-P36)/P36</f>
        <v>-7.258677476564479E-2</v>
      </c>
      <c r="R36" s="262">
        <f>O36/$O$73</f>
        <v>5.6559993535117798E-4</v>
      </c>
      <c r="S36" s="258" t="s">
        <v>217</v>
      </c>
      <c r="T36" s="39"/>
      <c r="U36" s="259">
        <f>'[3]Denver Air'!$IJ$64</f>
        <v>0</v>
      </c>
      <c r="V36" s="261">
        <f>'[3]Denver Air'!$HV$64</f>
        <v>0</v>
      </c>
      <c r="W36" s="262" t="e">
        <f>(U36-V36)/V36</f>
        <v>#DIV/0!</v>
      </c>
      <c r="X36" s="259">
        <f>SUM('[3]Denver Air'!$IF$64:$IJ$64)</f>
        <v>0</v>
      </c>
      <c r="Y36" s="261">
        <f>SUM('[3]Denver Air'!$HR$64:$HV$64)</f>
        <v>0</v>
      </c>
      <c r="Z36" s="260" t="e">
        <f>(X36-Y36)/Y36</f>
        <v>#DIV/0!</v>
      </c>
      <c r="AA36" s="262">
        <f>X36/$X$71</f>
        <v>0</v>
      </c>
    </row>
    <row r="37" spans="1:27" ht="14.1" customHeight="1" x14ac:dyDescent="0.2">
      <c r="A37" s="37"/>
      <c r="B37" s="39"/>
      <c r="C37" s="263"/>
      <c r="E37" s="65"/>
      <c r="F37" s="2"/>
      <c r="I37" s="65"/>
      <c r="J37" s="37"/>
      <c r="K37" s="39"/>
      <c r="L37" s="263"/>
      <c r="N37" s="65"/>
      <c r="O37" s="263"/>
      <c r="P37" s="2"/>
      <c r="Q37" s="3"/>
      <c r="R37" s="65"/>
      <c r="S37" s="37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18</v>
      </c>
      <c r="B38" s="265"/>
      <c r="C38" s="259">
        <f>SUM(C39:C45)</f>
        <v>17530</v>
      </c>
      <c r="D38" s="261">
        <f>SUM(D39:D45)</f>
        <v>17829</v>
      </c>
      <c r="E38" s="262">
        <f t="shared" ref="E38:E45" si="29">(C38-D38)/D38</f>
        <v>-1.6770430197992035E-2</v>
      </c>
      <c r="F38" s="264">
        <f>SUM(F39:F45)</f>
        <v>83200</v>
      </c>
      <c r="G38" s="264">
        <f>SUM(G39:G45)</f>
        <v>85079</v>
      </c>
      <c r="H38" s="260">
        <f>(F38-G38)/G38</f>
        <v>-2.2085355963281185E-2</v>
      </c>
      <c r="I38" s="262">
        <f t="shared" ref="I38:I45" si="30">F38/$F$73</f>
        <v>0.72871869881670803</v>
      </c>
      <c r="J38" s="258" t="s">
        <v>18</v>
      </c>
      <c r="K38" s="265"/>
      <c r="L38" s="259">
        <f>SUM(L39:L45)</f>
        <v>1999562</v>
      </c>
      <c r="M38" s="261">
        <f>SUM(M39:M45)</f>
        <v>1943040</v>
      </c>
      <c r="N38" s="262">
        <f t="shared" ref="N38:N45" si="31">(L38-M38)/M38</f>
        <v>2.9089468050065875E-2</v>
      </c>
      <c r="O38" s="259">
        <f>SUM(O39:O45)</f>
        <v>9086245</v>
      </c>
      <c r="P38" s="261">
        <f>SUM(P39:P45)</f>
        <v>8478084</v>
      </c>
      <c r="Q38" s="260">
        <f t="shared" ref="Q38:Q45" si="32">(O38-P38)/P38</f>
        <v>7.1733306723547441E-2</v>
      </c>
      <c r="R38" s="262">
        <f t="shared" ref="R38:R45" si="33">O38/$O$73</f>
        <v>0.70197781513249069</v>
      </c>
      <c r="S38" s="258" t="s">
        <v>18</v>
      </c>
      <c r="T38" s="265"/>
      <c r="U38" s="259">
        <f>SUM(U39:U45)</f>
        <v>6126400</v>
      </c>
      <c r="V38" s="261">
        <f>SUM(V39:V45)</f>
        <v>7154590</v>
      </c>
      <c r="W38" s="262">
        <f t="shared" ref="W38:W45" si="34">(U38-V38)/V38</f>
        <v>-0.14371054106524622</v>
      </c>
      <c r="X38" s="259">
        <f>SUM(X39:X45)</f>
        <v>30767594</v>
      </c>
      <c r="Y38" s="261">
        <f>SUM(Y39:Y45)</f>
        <v>29314607</v>
      </c>
      <c r="Z38" s="260">
        <f t="shared" ref="Z38:Z41" si="35">(X38-Y38)/Y38</f>
        <v>4.9565290095821515E-2</v>
      </c>
      <c r="AA38" s="262">
        <f t="shared" ref="AA38:AA45" si="36">X38/$X$73</f>
        <v>0.87659525068568878</v>
      </c>
    </row>
    <row r="39" spans="1:27" ht="14.1" customHeight="1" x14ac:dyDescent="0.2">
      <c r="A39" s="37"/>
      <c r="B39" s="39" t="s">
        <v>18</v>
      </c>
      <c r="C39" s="263">
        <f>[3]Delta!$IJ$19</f>
        <v>11983</v>
      </c>
      <c r="D39" s="2">
        <f>[3]Delta!$HV$19</f>
        <v>9901</v>
      </c>
      <c r="E39" s="65">
        <f t="shared" si="29"/>
        <v>0.21028178971821029</v>
      </c>
      <c r="F39" s="2">
        <f>SUM([3]Delta!$IF$19:$IJ$19)</f>
        <v>55884</v>
      </c>
      <c r="G39" s="2">
        <f>SUM([3]Delta!$HR$19:$HV$19)</f>
        <v>48170</v>
      </c>
      <c r="H39" s="3">
        <f t="shared" ref="H39:H45" si="37">(F39-G39)/G39</f>
        <v>0.16014116670126635</v>
      </c>
      <c r="I39" s="65">
        <f t="shared" si="30"/>
        <v>0.48946773755616479</v>
      </c>
      <c r="J39" s="37"/>
      <c r="K39" s="39" t="s">
        <v>18</v>
      </c>
      <c r="L39" s="263">
        <f>[3]Delta!$IJ$41</f>
        <v>1698076</v>
      </c>
      <c r="M39" s="2">
        <f>[3]Delta!$HV$41</f>
        <v>1464455</v>
      </c>
      <c r="N39" s="65">
        <f t="shared" si="31"/>
        <v>0.15952760583288664</v>
      </c>
      <c r="O39" s="263">
        <f>SUM([3]Delta!$IF$41:$IJ$41)</f>
        <v>7673052</v>
      </c>
      <c r="P39" s="2">
        <f>SUM([3]Delta!$HR$41:$HV$41)</f>
        <v>6640096</v>
      </c>
      <c r="Q39" s="3">
        <f t="shared" si="32"/>
        <v>0.15556341354100905</v>
      </c>
      <c r="R39" s="65">
        <f t="shared" si="33"/>
        <v>0.59279848588256068</v>
      </c>
      <c r="S39" s="37"/>
      <c r="T39" s="39" t="s">
        <v>18</v>
      </c>
      <c r="U39" s="263">
        <f>[3]Delta!$IJ$64</f>
        <v>6126400</v>
      </c>
      <c r="V39" s="2">
        <f>[3]Delta!$HV$64</f>
        <v>7154590</v>
      </c>
      <c r="W39" s="65">
        <f t="shared" si="34"/>
        <v>-0.14371054106524622</v>
      </c>
      <c r="X39" s="263">
        <f>SUM([3]Delta!$IF$64:$IJ$64)</f>
        <v>30767594</v>
      </c>
      <c r="Y39" s="2">
        <f>SUM([3]Delta!$HR$64:$HV$64)</f>
        <v>29314607</v>
      </c>
      <c r="Z39" s="3">
        <f t="shared" si="35"/>
        <v>4.9565290095821515E-2</v>
      </c>
      <c r="AA39" s="65">
        <f t="shared" si="36"/>
        <v>0.87659525068568878</v>
      </c>
    </row>
    <row r="40" spans="1:27" ht="14.1" customHeight="1" x14ac:dyDescent="0.2">
      <c r="A40" s="37"/>
      <c r="B40" s="266" t="s">
        <v>117</v>
      </c>
      <c r="C40" s="263">
        <f>[3]Compass!$IJ$19</f>
        <v>0</v>
      </c>
      <c r="D40" s="2">
        <f>[3]Compass!$HV$19</f>
        <v>0</v>
      </c>
      <c r="E40" s="65" t="e">
        <f t="shared" si="29"/>
        <v>#DIV/0!</v>
      </c>
      <c r="F40" s="2">
        <f>SUM([3]Compass!$IF$19:$IJ$19)</f>
        <v>0</v>
      </c>
      <c r="G40" s="2">
        <f>SUM([3]Compass!$HR$19:$HV$19)</f>
        <v>0</v>
      </c>
      <c r="H40" s="3" t="e">
        <f t="shared" si="37"/>
        <v>#DIV/0!</v>
      </c>
      <c r="I40" s="65">
        <f t="shared" si="30"/>
        <v>0</v>
      </c>
      <c r="J40" s="37"/>
      <c r="K40" s="266" t="s">
        <v>117</v>
      </c>
      <c r="L40" s="263">
        <f>[3]Compass!$IJ$41</f>
        <v>0</v>
      </c>
      <c r="M40" s="2">
        <f>[3]Compass!$HV$41</f>
        <v>0</v>
      </c>
      <c r="N40" s="65" t="e">
        <f t="shared" si="31"/>
        <v>#DIV/0!</v>
      </c>
      <c r="O40" s="263">
        <f>SUM([3]Compass!$IF$41:$IJ$41)</f>
        <v>0</v>
      </c>
      <c r="P40" s="2">
        <f>SUM([3]Compass!$HR$41:$HV$41)</f>
        <v>0</v>
      </c>
      <c r="Q40" s="3" t="e">
        <f t="shared" si="32"/>
        <v>#DIV/0!</v>
      </c>
      <c r="R40" s="65">
        <f t="shared" si="33"/>
        <v>0</v>
      </c>
      <c r="S40" s="37"/>
      <c r="T40" s="266" t="s">
        <v>117</v>
      </c>
      <c r="U40" s="263">
        <f>[3]Compass!$IJ$64</f>
        <v>0</v>
      </c>
      <c r="V40" s="2">
        <f>[3]Compass!$HV$64</f>
        <v>0</v>
      </c>
      <c r="W40" s="65" t="e">
        <f t="shared" si="34"/>
        <v>#DIV/0!</v>
      </c>
      <c r="X40" s="263">
        <f>SUM([3]Compass!$IF$64:$IJ$64)</f>
        <v>0</v>
      </c>
      <c r="Y40" s="2">
        <f>SUM([3]Compass!$HR$64:$HV$64)</f>
        <v>0</v>
      </c>
      <c r="Z40" s="3" t="e">
        <f t="shared" si="35"/>
        <v>#DIV/0!</v>
      </c>
      <c r="AA40" s="65">
        <f t="shared" si="36"/>
        <v>0</v>
      </c>
    </row>
    <row r="41" spans="1:27" ht="14.1" customHeight="1" x14ac:dyDescent="0.2">
      <c r="A41" s="37"/>
      <c r="B41" s="39" t="s">
        <v>158</v>
      </c>
      <c r="C41" s="263">
        <f>[3]Pinnacle!$IJ$19</f>
        <v>1248</v>
      </c>
      <c r="D41" s="2">
        <f>[3]Pinnacle!$HV$19</f>
        <v>1538</v>
      </c>
      <c r="E41" s="65">
        <f t="shared" si="29"/>
        <v>-0.18855656697009102</v>
      </c>
      <c r="F41" s="2">
        <f>SUM([3]Pinnacle!$IF$19:$IJ$19)</f>
        <v>6794</v>
      </c>
      <c r="G41" s="2">
        <f>SUM([3]Pinnacle!$HR$19:$HV$19)</f>
        <v>8283</v>
      </c>
      <c r="H41" s="3">
        <f t="shared" si="37"/>
        <v>-0.17976578534347459</v>
      </c>
      <c r="I41" s="65">
        <f t="shared" si="30"/>
        <v>5.9506187977893199E-2</v>
      </c>
      <c r="J41" s="37"/>
      <c r="K41" s="39" t="s">
        <v>158</v>
      </c>
      <c r="L41" s="263">
        <f>[3]Pinnacle!$IJ$41</f>
        <v>81338</v>
      </c>
      <c r="M41" s="2">
        <f>[3]Pinnacle!$HV$41</f>
        <v>81438</v>
      </c>
      <c r="N41" s="65">
        <f t="shared" si="31"/>
        <v>-1.227927994302414E-3</v>
      </c>
      <c r="O41" s="263">
        <f>SUM([3]Pinnacle!$IF$41:$IJ$41)</f>
        <v>401223</v>
      </c>
      <c r="P41" s="2">
        <f>SUM([3]Pinnacle!$HR$41:$HV$41)</f>
        <v>388418</v>
      </c>
      <c r="Q41" s="3">
        <f t="shared" si="32"/>
        <v>3.2967061258747023E-2</v>
      </c>
      <c r="R41" s="65">
        <f t="shared" si="33"/>
        <v>3.0997364138970862E-2</v>
      </c>
      <c r="S41" s="37"/>
      <c r="T41" s="39" t="s">
        <v>158</v>
      </c>
      <c r="U41" s="263">
        <f>[3]Pinnacle!$IJ$64</f>
        <v>0</v>
      </c>
      <c r="V41" s="2">
        <f>[3]Pinnacle!$HV$64</f>
        <v>0</v>
      </c>
      <c r="W41" s="65" t="e">
        <f t="shared" si="34"/>
        <v>#DIV/0!</v>
      </c>
      <c r="X41" s="263">
        <f>SUM([3]Pinnacle!$IF$64:$IJ$64)</f>
        <v>0</v>
      </c>
      <c r="Y41" s="2">
        <f>SUM([3]Pinnacle!$HR$64:$HV$64)</f>
        <v>0</v>
      </c>
      <c r="Z41" s="3" t="e">
        <f t="shared" si="35"/>
        <v>#DIV/0!</v>
      </c>
      <c r="AA41" s="65">
        <f t="shared" si="36"/>
        <v>0</v>
      </c>
    </row>
    <row r="42" spans="1:27" ht="14.1" customHeight="1" x14ac:dyDescent="0.2">
      <c r="A42" s="37"/>
      <c r="B42" s="39" t="s">
        <v>154</v>
      </c>
      <c r="C42" s="263">
        <f>'[3]Go Jet'!$IJ$19</f>
        <v>0</v>
      </c>
      <c r="D42" s="2">
        <f>'[3]Go Jet'!$HV$19</f>
        <v>0</v>
      </c>
      <c r="E42" s="65" t="e">
        <f t="shared" si="29"/>
        <v>#DIV/0!</v>
      </c>
      <c r="F42" s="2">
        <f>SUM('[3]Go Jet'!$IF$19:$IJ$19)</f>
        <v>0</v>
      </c>
      <c r="G42" s="2">
        <f>SUM('[3]Go Jet'!$HR$19:$HV$19)</f>
        <v>0</v>
      </c>
      <c r="H42" s="3" t="e">
        <f>(F42-G42)/G42</f>
        <v>#DIV/0!</v>
      </c>
      <c r="I42" s="65">
        <f t="shared" si="30"/>
        <v>0</v>
      </c>
      <c r="J42" s="37"/>
      <c r="K42" s="39" t="s">
        <v>154</v>
      </c>
      <c r="L42" s="263">
        <f>'[3]Go Jet'!$IJ$41</f>
        <v>0</v>
      </c>
      <c r="M42" s="2">
        <f>'[3]Go Jet'!$HV$41</f>
        <v>0</v>
      </c>
      <c r="N42" s="65" t="e">
        <f t="shared" si="31"/>
        <v>#DIV/0!</v>
      </c>
      <c r="O42" s="263">
        <f>SUM('[3]Go Jet'!$IF$41:$IJ$41)</f>
        <v>0</v>
      </c>
      <c r="P42" s="2">
        <f>SUM('[3]Go Jet'!$HR$41:$HV$41)</f>
        <v>0</v>
      </c>
      <c r="Q42" s="3" t="e">
        <f>(O42-P42)/P42</f>
        <v>#DIV/0!</v>
      </c>
      <c r="R42" s="65">
        <f t="shared" si="33"/>
        <v>0</v>
      </c>
      <c r="S42" s="37"/>
      <c r="T42" s="39" t="s">
        <v>154</v>
      </c>
      <c r="U42" s="263">
        <f>'[3]Go Jet'!$IJ$64</f>
        <v>0</v>
      </c>
      <c r="V42" s="2">
        <f>'[3]Go Jet'!$HV$64</f>
        <v>0</v>
      </c>
      <c r="W42" s="65" t="e">
        <f t="shared" si="34"/>
        <v>#DIV/0!</v>
      </c>
      <c r="X42" s="263">
        <f>SUM('[3]Go Jet'!$IF$64:$IJ$64)</f>
        <v>0</v>
      </c>
      <c r="Y42" s="2">
        <f>SUM('[3]Go Jet'!$HR$64:$HV$64)</f>
        <v>0</v>
      </c>
      <c r="Z42" s="3" t="e">
        <f>(X42-Y42)/Y42</f>
        <v>#DIV/0!</v>
      </c>
      <c r="AA42" s="65">
        <f t="shared" si="36"/>
        <v>0</v>
      </c>
    </row>
    <row r="43" spans="1:27" ht="14.1" customHeight="1" x14ac:dyDescent="0.2">
      <c r="A43" s="37"/>
      <c r="B43" s="39" t="s">
        <v>97</v>
      </c>
      <c r="C43" s="263">
        <f>'[3]Sky West'!$IJ$19</f>
        <v>4299</v>
      </c>
      <c r="D43" s="2">
        <f>'[3]Sky West'!$HV$19</f>
        <v>6390</v>
      </c>
      <c r="E43" s="65">
        <f t="shared" si="29"/>
        <v>-0.32723004694835683</v>
      </c>
      <c r="F43" s="2">
        <f>SUM('[3]Sky West'!$IF$19:$IJ$19)</f>
        <v>20522</v>
      </c>
      <c r="G43" s="2">
        <f>SUM('[3]Sky West'!$HR$19:$HV$19)</f>
        <v>28626</v>
      </c>
      <c r="H43" s="3">
        <f t="shared" si="37"/>
        <v>-0.28309928037448473</v>
      </c>
      <c r="I43" s="65">
        <f t="shared" si="30"/>
        <v>0.17974477328265001</v>
      </c>
      <c r="J43" s="37"/>
      <c r="K43" s="39" t="s">
        <v>97</v>
      </c>
      <c r="L43" s="263">
        <f>'[3]Sky West'!$IJ$41</f>
        <v>220148</v>
      </c>
      <c r="M43" s="2">
        <f>'[3]Sky West'!$HV$41</f>
        <v>397147</v>
      </c>
      <c r="N43" s="65">
        <f t="shared" si="31"/>
        <v>-0.44567628611068444</v>
      </c>
      <c r="O43" s="263">
        <f>SUM('[3]Sky West'!$IF$41:$IJ$41)</f>
        <v>1011970</v>
      </c>
      <c r="P43" s="2">
        <f>SUM('[3]Sky West'!$HR$41:$HV$41)</f>
        <v>1449570</v>
      </c>
      <c r="Q43" s="3">
        <f t="shared" si="32"/>
        <v>-0.30188262726187765</v>
      </c>
      <c r="R43" s="65">
        <f t="shared" si="33"/>
        <v>7.8181965110959109E-2</v>
      </c>
      <c r="S43" s="37"/>
      <c r="T43" s="39" t="s">
        <v>97</v>
      </c>
      <c r="U43" s="263">
        <f>'[3]Sky West'!$IJ$64</f>
        <v>0</v>
      </c>
      <c r="V43" s="2">
        <f>'[3]Sky West'!$HV$64</f>
        <v>0</v>
      </c>
      <c r="W43" s="65" t="e">
        <f t="shared" si="34"/>
        <v>#DIV/0!</v>
      </c>
      <c r="X43" s="263">
        <f>SUM('[3]Sky West'!$IF$64:$IJ$64)</f>
        <v>0</v>
      </c>
      <c r="Y43" s="2">
        <f>SUM('[3]Sky West'!$HR$64:$HV$64)</f>
        <v>0</v>
      </c>
      <c r="Z43" s="3" t="e">
        <f t="shared" ref="Z43:Z45" si="38">(X43-Y43)/Y43</f>
        <v>#DIV/0!</v>
      </c>
      <c r="AA43" s="65">
        <f t="shared" si="36"/>
        <v>0</v>
      </c>
    </row>
    <row r="44" spans="1:27" ht="14.1" customHeight="1" x14ac:dyDescent="0.2">
      <c r="A44" s="37"/>
      <c r="B44" s="39" t="s">
        <v>131</v>
      </c>
      <c r="C44" s="263">
        <f>'[3]Shuttle America_Delta'!$IJ$19</f>
        <v>0</v>
      </c>
      <c r="D44" s="2">
        <f>'[3]Shuttle America_Delta'!$HV$19</f>
        <v>0</v>
      </c>
      <c r="E44" s="65" t="e">
        <f t="shared" si="29"/>
        <v>#DIV/0!</v>
      </c>
      <c r="F44" s="2">
        <f>SUM('[3]Shuttle America_Delta'!$IF$19:$IJ$19)</f>
        <v>0</v>
      </c>
      <c r="G44" s="2">
        <f>SUM('[3]Shuttle America_Delta'!$HR$19:$HV$19)</f>
        <v>0</v>
      </c>
      <c r="H44" s="3" t="e">
        <f t="shared" si="37"/>
        <v>#DIV/0!</v>
      </c>
      <c r="I44" s="65">
        <f t="shared" si="30"/>
        <v>0</v>
      </c>
      <c r="J44" s="37"/>
      <c r="K44" s="39" t="s">
        <v>131</v>
      </c>
      <c r="L44" s="263">
        <f>'[3]Shuttle America_Delta'!$IJ$41</f>
        <v>0</v>
      </c>
      <c r="M44" s="2">
        <f>'[3]Shuttle America_Delta'!$HV$41</f>
        <v>0</v>
      </c>
      <c r="N44" s="65" t="e">
        <f t="shared" si="31"/>
        <v>#DIV/0!</v>
      </c>
      <c r="O44" s="263">
        <f>SUM('[3]Shuttle America_Delta'!$IF$41:$IJ$41)</f>
        <v>0</v>
      </c>
      <c r="P44" s="2">
        <f>SUM('[3]Shuttle America_Delta'!$HR$41:$HV$41)</f>
        <v>0</v>
      </c>
      <c r="Q44" s="3" t="e">
        <f t="shared" si="32"/>
        <v>#DIV/0!</v>
      </c>
      <c r="R44" s="65">
        <f t="shared" si="33"/>
        <v>0</v>
      </c>
      <c r="S44" s="37"/>
      <c r="T44" s="39" t="s">
        <v>131</v>
      </c>
      <c r="U44" s="263">
        <f>'[3]Shuttle America_Delta'!$IJ$64</f>
        <v>0</v>
      </c>
      <c r="V44" s="2">
        <f>'[3]Shuttle America_Delta'!$HV$64</f>
        <v>0</v>
      </c>
      <c r="W44" s="65" t="e">
        <f t="shared" si="34"/>
        <v>#DIV/0!</v>
      </c>
      <c r="X44" s="263">
        <f>SUM('[3]Shuttle America_Delta'!$IF$64:$IJ$64)</f>
        <v>0</v>
      </c>
      <c r="Y44" s="2">
        <f>SUM('[3]Shuttle America_Delta'!$HR$64:$HV$64)</f>
        <v>0</v>
      </c>
      <c r="Z44" s="3" t="e">
        <f t="shared" si="38"/>
        <v>#DIV/0!</v>
      </c>
      <c r="AA44" s="65">
        <f t="shared" si="36"/>
        <v>0</v>
      </c>
    </row>
    <row r="45" spans="1:27" ht="14.1" customHeight="1" x14ac:dyDescent="0.2">
      <c r="A45" s="37"/>
      <c r="B45" s="318" t="s">
        <v>166</v>
      </c>
      <c r="C45" s="263">
        <f>'[3]Atlantic Southeast'!$IJ$19</f>
        <v>0</v>
      </c>
      <c r="D45" s="2">
        <f>'[3]Atlantic Southeast'!$HV$19</f>
        <v>0</v>
      </c>
      <c r="E45" s="65" t="e">
        <f t="shared" si="29"/>
        <v>#DIV/0!</v>
      </c>
      <c r="F45" s="2">
        <f>SUM('[3]Atlantic Southeast'!$IF$19:$IJ$19)</f>
        <v>0</v>
      </c>
      <c r="G45" s="2">
        <f>SUM('[3]Atlantic Southeast'!$HR$19:$HV$19)</f>
        <v>0</v>
      </c>
      <c r="H45" s="3" t="e">
        <f t="shared" si="37"/>
        <v>#DIV/0!</v>
      </c>
      <c r="I45" s="65">
        <f t="shared" si="30"/>
        <v>0</v>
      </c>
      <c r="J45" s="37"/>
      <c r="K45" s="318" t="s">
        <v>166</v>
      </c>
      <c r="L45" s="263">
        <f>'[3]Atlantic Southeast'!$IJ$41</f>
        <v>0</v>
      </c>
      <c r="M45" s="2">
        <f>'[3]Atlantic Southeast'!$HV$41</f>
        <v>0</v>
      </c>
      <c r="N45" s="65" t="e">
        <f t="shared" si="31"/>
        <v>#DIV/0!</v>
      </c>
      <c r="O45" s="263">
        <f>SUM('[3]Atlantic Southeast'!$IF$41:$IJ$41)</f>
        <v>0</v>
      </c>
      <c r="P45" s="2">
        <f>SUM('[3]Atlantic Southeast'!$HR$41:$HV$41)</f>
        <v>0</v>
      </c>
      <c r="Q45" s="3" t="e">
        <f t="shared" si="32"/>
        <v>#DIV/0!</v>
      </c>
      <c r="R45" s="65">
        <f t="shared" si="33"/>
        <v>0</v>
      </c>
      <c r="S45" s="37"/>
      <c r="T45" s="318" t="s">
        <v>166</v>
      </c>
      <c r="U45" s="263">
        <f>'[3]Atlantic Southeast'!$IJ$64</f>
        <v>0</v>
      </c>
      <c r="V45" s="2">
        <f>'[3]Atlantic Southeast'!$HV$64</f>
        <v>0</v>
      </c>
      <c r="W45" s="65" t="e">
        <f t="shared" si="34"/>
        <v>#DIV/0!</v>
      </c>
      <c r="X45" s="263">
        <f>SUM('[3]Atlantic Southeast'!$IF$64:$IJ$64)</f>
        <v>0</v>
      </c>
      <c r="Y45" s="2">
        <f>SUM('[3]Atlantic Southeast'!$HR$64:$HV$64)</f>
        <v>0</v>
      </c>
      <c r="Z45" s="3" t="e">
        <f t="shared" si="38"/>
        <v>#DIV/0!</v>
      </c>
      <c r="AA45" s="65">
        <f t="shared" si="36"/>
        <v>0</v>
      </c>
    </row>
    <row r="46" spans="1:27" ht="14.1" customHeight="1" x14ac:dyDescent="0.2">
      <c r="A46" s="37"/>
      <c r="B46" s="318"/>
      <c r="C46" s="263"/>
      <c r="E46" s="65"/>
      <c r="F46" s="2"/>
      <c r="I46" s="65"/>
      <c r="J46" s="37"/>
      <c r="K46" s="318"/>
      <c r="L46" s="263"/>
      <c r="N46" s="65"/>
      <c r="O46" s="263"/>
      <c r="P46" s="2"/>
      <c r="Q46" s="3"/>
      <c r="R46" s="65"/>
      <c r="S46" s="37"/>
      <c r="T46" s="318"/>
      <c r="U46" s="263"/>
      <c r="V46" s="2"/>
      <c r="W46" s="65"/>
      <c r="X46" s="263"/>
      <c r="Y46" s="2"/>
      <c r="Z46" s="3"/>
      <c r="AA46" s="65"/>
    </row>
    <row r="47" spans="1:27" ht="14.1" customHeight="1" x14ac:dyDescent="0.2">
      <c r="A47" s="258" t="s">
        <v>47</v>
      </c>
      <c r="B47" s="39"/>
      <c r="C47" s="259">
        <f>[3]Frontier!$IJ$19</f>
        <v>117</v>
      </c>
      <c r="D47" s="261">
        <f>[3]Frontier!$HV$19</f>
        <v>64</v>
      </c>
      <c r="E47" s="262">
        <f>(C47-D47)/D47</f>
        <v>0.828125</v>
      </c>
      <c r="F47" s="261">
        <f>SUM([3]Frontier!$IF$19:$IJ$19)</f>
        <v>570</v>
      </c>
      <c r="G47" s="261">
        <f>SUM([3]Frontier!$HR$19:$HV$19)</f>
        <v>688</v>
      </c>
      <c r="H47" s="260">
        <f>(F47-G47)/G47</f>
        <v>-0.17151162790697674</v>
      </c>
      <c r="I47" s="262">
        <f>F47/$F$73</f>
        <v>4.9924237779510041E-3</v>
      </c>
      <c r="J47" s="258" t="s">
        <v>47</v>
      </c>
      <c r="K47" s="39"/>
      <c r="L47" s="259">
        <f>[3]Frontier!$IJ$41</f>
        <v>20043</v>
      </c>
      <c r="M47" s="261">
        <f>[3]Frontier!$HV$41</f>
        <v>10152</v>
      </c>
      <c r="N47" s="262">
        <f>(L47-M47)/M47</f>
        <v>0.974290780141844</v>
      </c>
      <c r="O47" s="259">
        <f>SUM([3]Frontier!$IF$41:$IJ$41)</f>
        <v>94572</v>
      </c>
      <c r="P47" s="261">
        <f>SUM([3]Frontier!$HR$41:$HV$41)</f>
        <v>93699</v>
      </c>
      <c r="Q47" s="260">
        <f>(O47-P47)/P47</f>
        <v>9.317068485255979E-3</v>
      </c>
      <c r="R47" s="262">
        <f>O47/$O$73</f>
        <v>7.3063675844873112E-3</v>
      </c>
      <c r="S47" s="258" t="s">
        <v>47</v>
      </c>
      <c r="T47" s="39"/>
      <c r="U47" s="259">
        <f>[3]Frontier!$IJ$64</f>
        <v>0</v>
      </c>
      <c r="V47" s="261">
        <f>[3]Frontier!$HV$64</f>
        <v>0</v>
      </c>
      <c r="W47" s="262" t="e">
        <f>(U47-V47)/V47</f>
        <v>#DIV/0!</v>
      </c>
      <c r="X47" s="259">
        <f>SUM([3]Frontier!$IF$64:$IJ$64)</f>
        <v>0</v>
      </c>
      <c r="Y47" s="261">
        <f>SUM([3]Frontier!$HR$64:$HV$64)</f>
        <v>0</v>
      </c>
      <c r="Z47" s="260" t="e">
        <f>(X47-Y47)/Y47</f>
        <v>#DIV/0!</v>
      </c>
      <c r="AA47" s="262">
        <f>X47/$X$73</f>
        <v>0</v>
      </c>
    </row>
    <row r="48" spans="1:27" ht="14.1" customHeight="1" x14ac:dyDescent="0.2">
      <c r="A48" s="258"/>
      <c r="B48" s="39"/>
      <c r="C48" s="259"/>
      <c r="D48" s="261"/>
      <c r="E48" s="262"/>
      <c r="F48" s="261"/>
      <c r="G48" s="261"/>
      <c r="H48" s="260"/>
      <c r="I48" s="262"/>
      <c r="J48" s="258"/>
      <c r="K48" s="39"/>
      <c r="L48" s="263"/>
      <c r="N48" s="65"/>
      <c r="O48" s="263"/>
      <c r="P48" s="2"/>
      <c r="Q48" s="3"/>
      <c r="R48" s="65"/>
      <c r="S48" s="258"/>
      <c r="T48" s="39"/>
      <c r="U48" s="263"/>
      <c r="V48" s="2"/>
      <c r="W48" s="65"/>
      <c r="X48" s="263"/>
      <c r="Y48" s="2"/>
      <c r="Z48" s="3"/>
      <c r="AA48" s="65"/>
    </row>
    <row r="49" spans="1:27" ht="14.1" customHeight="1" x14ac:dyDescent="0.2">
      <c r="A49" s="258" t="s">
        <v>48</v>
      </c>
      <c r="B49" s="39"/>
      <c r="C49" s="259">
        <f>[3]Icelandair!$IJ$19</f>
        <v>52</v>
      </c>
      <c r="D49" s="261">
        <f>[3]Icelandair!$HV$19</f>
        <v>54</v>
      </c>
      <c r="E49" s="262">
        <f>(C49-D49)/D49</f>
        <v>-3.7037037037037035E-2</v>
      </c>
      <c r="F49" s="261">
        <f>SUM([3]Icelandair!$IF$19:$IJ$19)</f>
        <v>108</v>
      </c>
      <c r="G49" s="261">
        <f>SUM([3]Icelandair!$HR$19:$HV$19)</f>
        <v>60</v>
      </c>
      <c r="H49" s="260">
        <f>(F49-G49)/G49</f>
        <v>0.8</v>
      </c>
      <c r="I49" s="262">
        <f>F49/$F$73</f>
        <v>9.4593292634861134E-4</v>
      </c>
      <c r="J49" s="258" t="s">
        <v>48</v>
      </c>
      <c r="K49" s="39"/>
      <c r="L49" s="259">
        <f>[3]Icelandair!$IJ$41</f>
        <v>7703</v>
      </c>
      <c r="M49" s="261">
        <f>[3]Icelandair!$HV$41</f>
        <v>6461</v>
      </c>
      <c r="N49" s="262">
        <f>(L49-M49)/M49</f>
        <v>0.19223030490636125</v>
      </c>
      <c r="O49" s="259">
        <f>SUM([3]Icelandair!$IF$41:$IJ$41)</f>
        <v>14748</v>
      </c>
      <c r="P49" s="261">
        <f>SUM([3]Icelandair!$HR$41:$HV$41)</f>
        <v>6976</v>
      </c>
      <c r="Q49" s="260">
        <f>(O49-P49)/P49</f>
        <v>1.114105504587156</v>
      </c>
      <c r="R49" s="262">
        <f>O49/$O$73</f>
        <v>1.1393891335280935E-3</v>
      </c>
      <c r="S49" s="258" t="s">
        <v>48</v>
      </c>
      <c r="T49" s="39"/>
      <c r="U49" s="259">
        <f>[3]Icelandair!$IJ$64</f>
        <v>317</v>
      </c>
      <c r="V49" s="261">
        <f>[3]Icelandair!$HV$64</f>
        <v>8374</v>
      </c>
      <c r="W49" s="262">
        <f>(U49-V49)/V49</f>
        <v>-0.96214473369954623</v>
      </c>
      <c r="X49" s="259">
        <f>SUM([3]Icelandair!$IF$64:$IJ$64)</f>
        <v>1225</v>
      </c>
      <c r="Y49" s="261">
        <f>SUM([3]Icelandair!$HR$64:$HV$64)</f>
        <v>8374</v>
      </c>
      <c r="Z49" s="260">
        <f>(X49-Y49)/Y49</f>
        <v>-0.85371387628373541</v>
      </c>
      <c r="AA49" s="262">
        <f>X49/$X$73</f>
        <v>3.4901304992843078E-5</v>
      </c>
    </row>
    <row r="50" spans="1:27" ht="14.1" customHeight="1" x14ac:dyDescent="0.2">
      <c r="A50" s="258"/>
      <c r="B50" s="39"/>
      <c r="C50" s="259"/>
      <c r="D50" s="261"/>
      <c r="E50" s="262"/>
      <c r="F50" s="261"/>
      <c r="G50" s="261"/>
      <c r="H50" s="260"/>
      <c r="I50" s="262"/>
      <c r="J50" s="258"/>
      <c r="K50" s="39"/>
      <c r="L50" s="263"/>
      <c r="N50" s="65"/>
      <c r="O50" s="263"/>
      <c r="P50" s="2"/>
      <c r="Q50" s="3"/>
      <c r="R50" s="65"/>
      <c r="S50" s="258"/>
      <c r="T50" s="39"/>
      <c r="U50" s="263"/>
      <c r="V50" s="2"/>
      <c r="W50" s="65"/>
      <c r="X50" s="263"/>
      <c r="Y50" s="2"/>
      <c r="Z50" s="3"/>
      <c r="AA50" s="65"/>
    </row>
    <row r="51" spans="1:27" ht="14.1" customHeight="1" x14ac:dyDescent="0.2">
      <c r="A51" s="258" t="s">
        <v>197</v>
      </c>
      <c r="B51" s="39"/>
      <c r="C51" s="259">
        <f>'[3]Jet Blue'!$IJ$19</f>
        <v>113</v>
      </c>
      <c r="D51" s="261">
        <f>'[3]Jet Blue'!$HV$19</f>
        <v>182</v>
      </c>
      <c r="E51" s="262">
        <f>(C51-D51)/D51</f>
        <v>-0.37912087912087911</v>
      </c>
      <c r="F51" s="261">
        <f>SUM('[3]Jet Blue'!$IF$19:$IJ$19)</f>
        <v>533</v>
      </c>
      <c r="G51" s="261">
        <f>SUM('[3]Jet Blue'!$HR$19:$HV$19)</f>
        <v>608</v>
      </c>
      <c r="H51" s="260">
        <f>(F51-G51)/G51</f>
        <v>-0.12335526315789473</v>
      </c>
      <c r="I51" s="262">
        <f>F51/$F$73</f>
        <v>4.6683541642945359E-3</v>
      </c>
      <c r="J51" s="258" t="s">
        <v>197</v>
      </c>
      <c r="K51" s="39"/>
      <c r="L51" s="259">
        <f>'[3]Jet Blue'!$IJ$41</f>
        <v>12786</v>
      </c>
      <c r="M51" s="261">
        <f>'[3]Jet Blue'!$HV$41</f>
        <v>20862</v>
      </c>
      <c r="N51" s="262">
        <f>(L51-M51)/M51</f>
        <v>-0.38711532930687376</v>
      </c>
      <c r="O51" s="259">
        <f>SUM('[3]Jet Blue'!$IF$41:$IJ$41)</f>
        <v>45019</v>
      </c>
      <c r="P51" s="261">
        <f>SUM('[3]Jet Blue'!$HR$41:$HV$41)</f>
        <v>48666</v>
      </c>
      <c r="Q51" s="260">
        <f>(O51-P51)/P51</f>
        <v>-7.4939382731270293E-2</v>
      </c>
      <c r="R51" s="262">
        <f>O51/$O$73</f>
        <v>3.4780417278479281E-3</v>
      </c>
      <c r="S51" s="258" t="s">
        <v>197</v>
      </c>
      <c r="T51" s="39"/>
      <c r="U51" s="259">
        <f>'[3]Jet Blue'!$IJ$64</f>
        <v>0</v>
      </c>
      <c r="V51" s="261">
        <f>'[3]Jet Blue'!$HV$64</f>
        <v>0</v>
      </c>
      <c r="W51" s="262" t="e">
        <f>(U51-V51)/V51</f>
        <v>#DIV/0!</v>
      </c>
      <c r="X51" s="259">
        <f>SUM('[3]Jet Blue'!$IF$64:$IJ$64)</f>
        <v>0</v>
      </c>
      <c r="Y51" s="261">
        <f>SUM('[3]Jet Blue'!$HR$64:$HV$64)</f>
        <v>0</v>
      </c>
      <c r="Z51" s="260" t="e">
        <f>(X51-Y51)/Y51</f>
        <v>#DIV/0!</v>
      </c>
      <c r="AA51" s="262">
        <f>X51/$X$73</f>
        <v>0</v>
      </c>
    </row>
    <row r="52" spans="1:27" ht="14.1" customHeight="1" x14ac:dyDescent="0.2">
      <c r="A52" s="258"/>
      <c r="B52" s="39"/>
      <c r="C52" s="259"/>
      <c r="D52" s="261"/>
      <c r="E52" s="262"/>
      <c r="F52" s="261"/>
      <c r="G52" s="261"/>
      <c r="H52" s="260"/>
      <c r="I52" s="262"/>
      <c r="J52" s="258"/>
      <c r="K52" s="39"/>
      <c r="L52" s="263"/>
      <c r="N52" s="65"/>
      <c r="O52" s="263"/>
      <c r="P52" s="2"/>
      <c r="Q52" s="3"/>
      <c r="R52" s="65"/>
      <c r="S52" s="258"/>
      <c r="T52" s="39"/>
      <c r="U52" s="263"/>
      <c r="V52" s="2"/>
      <c r="W52" s="65"/>
      <c r="X52" s="263"/>
      <c r="Y52" s="2"/>
      <c r="Z52" s="3"/>
      <c r="AA52" s="65"/>
    </row>
    <row r="53" spans="1:27" ht="14.1" customHeight="1" x14ac:dyDescent="0.2">
      <c r="A53" s="258" t="s">
        <v>192</v>
      </c>
      <c r="B53" s="39"/>
      <c r="C53" s="259">
        <f>[3]KLM!$IJ$19</f>
        <v>34</v>
      </c>
      <c r="D53" s="261">
        <f>[3]KLM!$HV$19</f>
        <v>36</v>
      </c>
      <c r="E53" s="262">
        <f>(C53-D53)/D53</f>
        <v>-5.5555555555555552E-2</v>
      </c>
      <c r="F53" s="261">
        <f>SUM([3]KLM!$IF$19:$IJ$19)</f>
        <v>168</v>
      </c>
      <c r="G53" s="261">
        <f>SUM([3]KLM!$HR$19:$HV$19)</f>
        <v>148</v>
      </c>
      <c r="H53" s="260">
        <f>(F53-G53)/G53</f>
        <v>0.13513513513513514</v>
      </c>
      <c r="I53" s="262">
        <f>F53/$F$73</f>
        <v>1.4714512187645064E-3</v>
      </c>
      <c r="J53" s="258" t="s">
        <v>192</v>
      </c>
      <c r="K53" s="39"/>
      <c r="L53" s="259">
        <f>[3]KLM!$IJ$41</f>
        <v>8447</v>
      </c>
      <c r="M53" s="261">
        <f>[3]KLM!$HV$41</f>
        <v>7865</v>
      </c>
      <c r="N53" s="262">
        <f>(L53-M53)/M53</f>
        <v>7.3998728544183087E-2</v>
      </c>
      <c r="O53" s="259">
        <f>SUM([3]KLM!$IF$41:$IJ$41)</f>
        <v>35926</v>
      </c>
      <c r="P53" s="261">
        <f>SUM([3]KLM!$HR$41:$HV$41)</f>
        <v>27473</v>
      </c>
      <c r="Q53" s="260">
        <f>(O53-P53)/P53</f>
        <v>0.30768390783678523</v>
      </c>
      <c r="R53" s="262">
        <f>O53/$O$73</f>
        <v>2.7755420403532878E-3</v>
      </c>
      <c r="S53" s="258" t="s">
        <v>192</v>
      </c>
      <c r="T53" s="39"/>
      <c r="U53" s="259">
        <f>[3]KLM!$IJ$64</f>
        <v>258067</v>
      </c>
      <c r="V53" s="261">
        <f>[3]KLM!$HV$64</f>
        <v>496121</v>
      </c>
      <c r="W53" s="262">
        <f>(U53-V53)/V53</f>
        <v>-0.479830525214615</v>
      </c>
      <c r="X53" s="259">
        <f>SUM([3]KLM!$IF$64:$IJ$64)</f>
        <v>2167936</v>
      </c>
      <c r="Y53" s="261">
        <f>SUM([3]KLM!$HR$64:$HV$64)</f>
        <v>2872954</v>
      </c>
      <c r="Z53" s="260">
        <f>(X53-Y53)/Y53</f>
        <v>-0.24539829040075128</v>
      </c>
      <c r="AA53" s="262">
        <f>X53/$X$73</f>
        <v>6.1766363706909598E-2</v>
      </c>
    </row>
    <row r="54" spans="1:27" ht="14.1" customHeight="1" x14ac:dyDescent="0.2">
      <c r="A54" s="258"/>
      <c r="B54" s="39"/>
      <c r="C54" s="259"/>
      <c r="D54" s="261"/>
      <c r="E54" s="262"/>
      <c r="F54" s="261"/>
      <c r="G54" s="261"/>
      <c r="H54" s="260"/>
      <c r="I54" s="262"/>
      <c r="J54" s="258"/>
      <c r="K54" s="39"/>
      <c r="L54" s="263"/>
      <c r="N54" s="65"/>
      <c r="O54" s="263"/>
      <c r="P54" s="2"/>
      <c r="Q54" s="3"/>
      <c r="R54" s="65"/>
      <c r="S54" s="258"/>
      <c r="T54" s="39"/>
      <c r="U54" s="263"/>
      <c r="V54" s="2"/>
      <c r="W54" s="65"/>
      <c r="X54" s="263"/>
      <c r="Y54" s="2"/>
      <c r="Z54" s="3"/>
      <c r="AA54" s="65"/>
    </row>
    <row r="55" spans="1:27" ht="14.1" customHeight="1" x14ac:dyDescent="0.2">
      <c r="A55" s="258" t="s">
        <v>129</v>
      </c>
      <c r="B55" s="39"/>
      <c r="C55" s="259">
        <f>[3]Southwest!$IJ$19</f>
        <v>1262</v>
      </c>
      <c r="D55" s="261">
        <f>[3]Southwest!$HV$19</f>
        <v>767</v>
      </c>
      <c r="E55" s="262">
        <f>(C55-D55)/D55</f>
        <v>0.64537157757496744</v>
      </c>
      <c r="F55" s="261">
        <f>SUM([3]Southwest!$IF$19:$IJ$19)</f>
        <v>5274</v>
      </c>
      <c r="G55" s="261">
        <f>SUM([3]Southwest!$HR$19:$HV$19)</f>
        <v>3540</v>
      </c>
      <c r="H55" s="260">
        <f>(F55-G55)/G55</f>
        <v>0.48983050847457626</v>
      </c>
      <c r="I55" s="262">
        <f>F55/$F$73</f>
        <v>4.6193057903357183E-2</v>
      </c>
      <c r="J55" s="258" t="s">
        <v>129</v>
      </c>
      <c r="K55" s="39"/>
      <c r="L55" s="259">
        <f>[3]Southwest!$IJ$41</f>
        <v>139579</v>
      </c>
      <c r="M55" s="261">
        <f>[3]Southwest!$HV$41</f>
        <v>105131</v>
      </c>
      <c r="N55" s="262">
        <f>(L55-M55)/M55</f>
        <v>0.32766738640362975</v>
      </c>
      <c r="O55" s="259">
        <f>SUM([3]Southwest!$IF$41:$IJ$41)</f>
        <v>577505</v>
      </c>
      <c r="P55" s="261">
        <f>SUM([3]Southwest!$HR$41:$HV$41)</f>
        <v>438347</v>
      </c>
      <c r="Q55" s="260">
        <f>(O55-P55)/P55</f>
        <v>0.31746082441536044</v>
      </c>
      <c r="R55" s="262">
        <f>O55/$O$73</f>
        <v>4.4616417246958348E-2</v>
      </c>
      <c r="S55" s="258" t="s">
        <v>129</v>
      </c>
      <c r="T55" s="39"/>
      <c r="U55" s="259">
        <f>[3]Southwest!$IJ$64</f>
        <v>248264</v>
      </c>
      <c r="V55" s="261">
        <f>[3]Southwest!$HV$64</f>
        <v>211449</v>
      </c>
      <c r="W55" s="262">
        <f>(U55-V55)/V55</f>
        <v>0.17410817738556342</v>
      </c>
      <c r="X55" s="259">
        <f>SUM([3]Southwest!$IF$64:$IJ$64)</f>
        <v>1059887</v>
      </c>
      <c r="Y55" s="261">
        <f>SUM([3]Southwest!$HR$64:$HV$64)</f>
        <v>1007618</v>
      </c>
      <c r="Z55" s="260">
        <f>(X55-Y55)/Y55</f>
        <v>5.1873825199629221E-2</v>
      </c>
      <c r="AA55" s="262">
        <f>X55/$X$73</f>
        <v>3.019709342444855E-2</v>
      </c>
    </row>
    <row r="56" spans="1:27" ht="14.1" customHeight="1" x14ac:dyDescent="0.2">
      <c r="A56" s="258"/>
      <c r="B56" s="39"/>
      <c r="C56" s="259"/>
      <c r="D56" s="261"/>
      <c r="E56" s="262"/>
      <c r="F56" s="261"/>
      <c r="G56" s="261"/>
      <c r="H56" s="260"/>
      <c r="I56" s="262"/>
      <c r="J56" s="258"/>
      <c r="K56" s="39"/>
      <c r="L56" s="263"/>
      <c r="N56" s="65"/>
      <c r="O56" s="263"/>
      <c r="P56" s="2"/>
      <c r="Q56" s="3"/>
      <c r="R56" s="65"/>
      <c r="S56" s="258"/>
      <c r="T56" s="39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155</v>
      </c>
      <c r="B57" s="39"/>
      <c r="C57" s="259">
        <f>[3]Spirit!$IJ$19</f>
        <v>247</v>
      </c>
      <c r="D57" s="261">
        <f>[3]Spirit!$HV$19</f>
        <v>153</v>
      </c>
      <c r="E57" s="262">
        <f>(C57-D57)/D57</f>
        <v>0.6143790849673203</v>
      </c>
      <c r="F57" s="261">
        <f>SUM([3]Spirit!$IF$19:$IJ$19)</f>
        <v>1566</v>
      </c>
      <c r="G57" s="261">
        <f>SUM([3]Spirit!$HR$19:$HV$19)</f>
        <v>1484</v>
      </c>
      <c r="H57" s="260">
        <f>(F57-G57)/G57</f>
        <v>5.5256064690026953E-2</v>
      </c>
      <c r="I57" s="262">
        <f>F57/$F$73</f>
        <v>1.3716027432054865E-2</v>
      </c>
      <c r="J57" s="258" t="s">
        <v>155</v>
      </c>
      <c r="K57" s="39"/>
      <c r="L57" s="259">
        <f>[3]Spirit!$IJ$41</f>
        <v>35491</v>
      </c>
      <c r="M57" s="261">
        <f>[3]Spirit!$HV$41</f>
        <v>22302</v>
      </c>
      <c r="N57" s="262">
        <f>(L57-M57)/M57</f>
        <v>0.59138193883956591</v>
      </c>
      <c r="O57" s="259">
        <f>SUM([3]Spirit!$IF$41:$IJ$41)</f>
        <v>218884</v>
      </c>
      <c r="P57" s="261">
        <f>SUM([3]Spirit!$HR$41:$HV$41)</f>
        <v>215164</v>
      </c>
      <c r="Q57" s="260">
        <f>(O57-P57)/P57</f>
        <v>1.7289137588072354E-2</v>
      </c>
      <c r="R57" s="262">
        <f>O57/$O$73</f>
        <v>1.6910364191969299E-2</v>
      </c>
      <c r="S57" s="258" t="s">
        <v>155</v>
      </c>
      <c r="T57" s="39"/>
      <c r="U57" s="259">
        <f>[3]Spirit!$IJ$64</f>
        <v>0</v>
      </c>
      <c r="V57" s="261">
        <f>[3]Spirit!$HV$64</f>
        <v>0</v>
      </c>
      <c r="W57" s="262" t="e">
        <f>(U57-V57)/V57</f>
        <v>#DIV/0!</v>
      </c>
      <c r="X57" s="259">
        <f>SUM([3]Spirit!$IF$64:$IJ$64)</f>
        <v>0</v>
      </c>
      <c r="Y57" s="261">
        <f>SUM([3]Spirit!$HR$64:$HV$64)</f>
        <v>0</v>
      </c>
      <c r="Z57" s="260" t="e">
        <f>(X57-Y57)/Y57</f>
        <v>#DIV/0!</v>
      </c>
      <c r="AA57" s="262">
        <f>X57/$X$73</f>
        <v>0</v>
      </c>
    </row>
    <row r="58" spans="1:27" ht="14.1" customHeight="1" x14ac:dyDescent="0.2">
      <c r="A58" s="258"/>
      <c r="B58" s="39"/>
      <c r="C58" s="259"/>
      <c r="D58" s="261"/>
      <c r="E58" s="262"/>
      <c r="F58" s="261"/>
      <c r="G58" s="261"/>
      <c r="H58" s="260"/>
      <c r="I58" s="262"/>
      <c r="J58" s="258"/>
      <c r="K58" s="39"/>
      <c r="L58" s="263"/>
      <c r="N58" s="65"/>
      <c r="O58" s="263"/>
      <c r="P58" s="2"/>
      <c r="Q58" s="3"/>
      <c r="R58" s="65">
        <f>O58/$O$73</f>
        <v>0</v>
      </c>
      <c r="S58" s="258"/>
      <c r="T58" s="39"/>
      <c r="U58" s="263"/>
      <c r="V58" s="2"/>
      <c r="W58" s="65"/>
      <c r="X58" s="263"/>
      <c r="Y58" s="2"/>
      <c r="Z58" s="3"/>
      <c r="AA58" s="65">
        <f>X58/$X$73</f>
        <v>0</v>
      </c>
    </row>
    <row r="59" spans="1:27" ht="14.1" customHeight="1" x14ac:dyDescent="0.2">
      <c r="A59" s="258" t="s">
        <v>49</v>
      </c>
      <c r="B59" s="39"/>
      <c r="C59" s="259">
        <f>'[3]Sun Country'!$IJ$19</f>
        <v>1810</v>
      </c>
      <c r="D59" s="261">
        <f>'[3]Sun Country'!$HV$19</f>
        <v>1532</v>
      </c>
      <c r="E59" s="262">
        <f>(C59-D59)/D59</f>
        <v>0.18146214099216709</v>
      </c>
      <c r="F59" s="261">
        <f>SUM('[3]Sun Country'!$IF$19:$IJ$19)</f>
        <v>10120</v>
      </c>
      <c r="G59" s="261">
        <f>SUM('[3]Sun Country'!$HR$19:$HV$19)</f>
        <v>9719</v>
      </c>
      <c r="H59" s="260">
        <f>(F59-G59)/G59</f>
        <v>4.1259388826010907E-2</v>
      </c>
      <c r="I59" s="262">
        <f>F59/$F$73</f>
        <v>8.8637418654147648E-2</v>
      </c>
      <c r="J59" s="258" t="s">
        <v>49</v>
      </c>
      <c r="K59" s="39"/>
      <c r="L59" s="259">
        <f>'[3]Sun Country'!$IJ$41</f>
        <v>247898</v>
      </c>
      <c r="M59" s="261">
        <f>'[3]Sun Country'!$HV$41</f>
        <v>220602</v>
      </c>
      <c r="N59" s="262">
        <f>(L59-M59)/M59</f>
        <v>0.12373414565597773</v>
      </c>
      <c r="O59" s="259">
        <f>SUM('[3]Sun Country'!$IF$41:$IJ$41)</f>
        <v>1477769</v>
      </c>
      <c r="P59" s="261">
        <f>SUM('[3]Sun Country'!$HR$41:$HV$41)</f>
        <v>1358575</v>
      </c>
      <c r="Q59" s="260">
        <f>(O59-P59)/P59</f>
        <v>8.7734574830244924E-2</v>
      </c>
      <c r="R59" s="262">
        <f>O59/$O$73</f>
        <v>0.11416828996912648</v>
      </c>
      <c r="S59" s="258" t="s">
        <v>49</v>
      </c>
      <c r="T59" s="39"/>
      <c r="U59" s="259">
        <f>'[3]Sun Country'!$IJ$64</f>
        <v>0</v>
      </c>
      <c r="V59" s="261">
        <f>'[3]Sun Country'!$HV$64</f>
        <v>263193</v>
      </c>
      <c r="W59" s="262">
        <f>(U59-V59)/V59</f>
        <v>-1</v>
      </c>
      <c r="X59" s="259">
        <f>SUM('[3]Sun Country'!$IF$64:$IJ$64)</f>
        <v>61776</v>
      </c>
      <c r="Y59" s="261">
        <f>SUM('[3]Sun Country'!$HR$64:$HV$64)</f>
        <v>1140446</v>
      </c>
      <c r="Z59" s="260">
        <f>(X59-Y59)/Y59</f>
        <v>-0.94583171846803793</v>
      </c>
      <c r="AA59" s="262">
        <f>X59/$X$73</f>
        <v>1.7600514426431625E-3</v>
      </c>
    </row>
    <row r="60" spans="1:27" ht="14.1" customHeight="1" x14ac:dyDescent="0.2">
      <c r="A60" s="258"/>
      <c r="B60" s="39"/>
      <c r="C60" s="259"/>
      <c r="D60" s="261"/>
      <c r="E60" s="262"/>
      <c r="F60" s="261"/>
      <c r="G60" s="261"/>
      <c r="H60" s="260"/>
      <c r="I60" s="262"/>
      <c r="J60" s="258"/>
      <c r="K60" s="39"/>
      <c r="L60" s="263"/>
      <c r="N60" s="65"/>
      <c r="O60" s="263"/>
      <c r="P60" s="2"/>
      <c r="Q60" s="3"/>
      <c r="R60" s="65"/>
      <c r="S60" s="258"/>
      <c r="T60" s="39"/>
      <c r="U60" s="263"/>
      <c r="V60" s="2"/>
      <c r="W60" s="65"/>
      <c r="X60" s="263"/>
      <c r="Y60" s="2"/>
      <c r="Z60" s="3"/>
      <c r="AA60" s="65"/>
    </row>
    <row r="61" spans="1:27" ht="14.1" customHeight="1" x14ac:dyDescent="0.2">
      <c r="A61" s="258" t="s">
        <v>19</v>
      </c>
      <c r="B61" s="265"/>
      <c r="C61" s="259">
        <f>SUM(C62:C68)</f>
        <v>1077</v>
      </c>
      <c r="D61" s="261">
        <f>SUM(D62:D68)</f>
        <v>1034</v>
      </c>
      <c r="E61" s="262">
        <f t="shared" ref="E61:E68" si="39">(C61-D61)/D61</f>
        <v>4.1586073500967116E-2</v>
      </c>
      <c r="F61" s="261">
        <f>SUM(F62:F68)</f>
        <v>4791</v>
      </c>
      <c r="G61" s="261">
        <f>SUM(G62:G68)</f>
        <v>4579</v>
      </c>
      <c r="H61" s="260">
        <f t="shared" ref="H61:H68" si="40">(F61-G61)/G61</f>
        <v>4.6298318410133217E-2</v>
      </c>
      <c r="I61" s="262">
        <f t="shared" ref="I61:I68" si="41">F61/$F$73</f>
        <v>4.1962635649409233E-2</v>
      </c>
      <c r="J61" s="258" t="s">
        <v>19</v>
      </c>
      <c r="K61" s="265"/>
      <c r="L61" s="259">
        <f>SUM(L62:L68)</f>
        <v>135681</v>
      </c>
      <c r="M61" s="261">
        <f>SUM(M62:M68)</f>
        <v>119352</v>
      </c>
      <c r="N61" s="262">
        <f t="shared" ref="N61:N68" si="42">(L61-M61)/M61</f>
        <v>0.13681379449024733</v>
      </c>
      <c r="O61" s="259">
        <f>SUM(O62:O68)</f>
        <v>599670</v>
      </c>
      <c r="P61" s="261">
        <f>SUM(P62:P68)</f>
        <v>483350</v>
      </c>
      <c r="Q61" s="260">
        <f t="shared" ref="Q61:Q68" si="43">(O61-P61)/P61</f>
        <v>0.24065377055963588</v>
      </c>
      <c r="R61" s="262">
        <f t="shared" ref="R61:R68" si="44">O61/$O$73</f>
        <v>4.6328823006698661E-2</v>
      </c>
      <c r="S61" s="258" t="s">
        <v>19</v>
      </c>
      <c r="T61" s="265"/>
      <c r="U61" s="259">
        <f>SUM(U62:U68)</f>
        <v>104772</v>
      </c>
      <c r="V61" s="261">
        <f>SUM(V62:V68)</f>
        <v>128834</v>
      </c>
      <c r="W61" s="262">
        <f t="shared" ref="W61:W68" si="45">(U61-V61)/V61</f>
        <v>-0.18676746821491222</v>
      </c>
      <c r="X61" s="259">
        <f>SUM(X62:X68)</f>
        <v>545360</v>
      </c>
      <c r="Y61" s="261">
        <f>SUM(Y62:Y68)</f>
        <v>546716</v>
      </c>
      <c r="Z61" s="260">
        <f t="shared" ref="Z61:Z68" si="46">(X61-Y61)/Y61</f>
        <v>-2.4802639761777596E-3</v>
      </c>
      <c r="AA61" s="262">
        <f t="shared" ref="AA61:AA68" si="47">X61/$X$73</f>
        <v>1.5537776074201553E-2</v>
      </c>
    </row>
    <row r="62" spans="1:27" ht="14.1" customHeight="1" x14ac:dyDescent="0.2">
      <c r="A62" s="37"/>
      <c r="B62" s="318" t="s">
        <v>19</v>
      </c>
      <c r="C62" s="263">
        <f>[3]United!$IJ$19</f>
        <v>951</v>
      </c>
      <c r="D62" s="2">
        <f>[3]United!$HV$19+[3]Continental!$HV$19</f>
        <v>715</v>
      </c>
      <c r="E62" s="65">
        <f t="shared" si="39"/>
        <v>0.33006993006993007</v>
      </c>
      <c r="F62" s="2">
        <f>SUM([3]United!$IF$19:$IJ$19)</f>
        <v>4167</v>
      </c>
      <c r="G62" s="2">
        <f>SUM([3]United!$HR$19:$HV$19)+SUM([3]Continental!$HR$19:$HV$19)</f>
        <v>3040</v>
      </c>
      <c r="H62" s="3">
        <f t="shared" si="40"/>
        <v>0.37072368421052632</v>
      </c>
      <c r="I62" s="65">
        <f t="shared" si="41"/>
        <v>3.6497245408283918E-2</v>
      </c>
      <c r="J62" s="37"/>
      <c r="K62" s="318" t="s">
        <v>19</v>
      </c>
      <c r="L62" s="263">
        <f>[3]United!$IJ$41</f>
        <v>127507</v>
      </c>
      <c r="M62" s="2">
        <f>[3]United!$HV$41+[3]Continental!$HV$41</f>
        <v>97722</v>
      </c>
      <c r="N62" s="65">
        <f t="shared" si="42"/>
        <v>0.30479318884181661</v>
      </c>
      <c r="O62" s="263">
        <f>SUM([3]United!$IF$41:$IJ$41)</f>
        <v>559828</v>
      </c>
      <c r="P62" s="2">
        <f>SUM([3]United!$HR$41:$HV$41)+SUM([3]Continental!$HR$41:$HV$41)</f>
        <v>386565</v>
      </c>
      <c r="Q62" s="3">
        <f t="shared" si="43"/>
        <v>0.44821181431324614</v>
      </c>
      <c r="R62" s="65">
        <f t="shared" si="44"/>
        <v>4.3250741784971902E-2</v>
      </c>
      <c r="S62" s="37"/>
      <c r="T62" s="318" t="s">
        <v>19</v>
      </c>
      <c r="U62" s="263">
        <f>[3]United!$IJ$64</f>
        <v>104772</v>
      </c>
      <c r="V62" s="2">
        <f>[3]United!$HV$64+[3]Continental!$HV$64</f>
        <v>128834</v>
      </c>
      <c r="W62" s="65">
        <f t="shared" si="45"/>
        <v>-0.18676746821491222</v>
      </c>
      <c r="X62" s="263">
        <f>SUM([3]United!$IF$64:$IJ$64)</f>
        <v>545360</v>
      </c>
      <c r="Y62" s="2">
        <f>SUM([3]United!$HR$64:$HV$64)+SUM([3]Continental!$HR$64:$HV$64)</f>
        <v>546716</v>
      </c>
      <c r="Z62" s="3">
        <f t="shared" si="46"/>
        <v>-2.4802639761777596E-3</v>
      </c>
      <c r="AA62" s="65">
        <f t="shared" si="47"/>
        <v>1.5537776074201553E-2</v>
      </c>
    </row>
    <row r="63" spans="1:27" ht="14.1" customHeight="1" x14ac:dyDescent="0.2">
      <c r="A63" s="37"/>
      <c r="B63" s="318" t="s">
        <v>166</v>
      </c>
      <c r="C63" s="263">
        <f>'[3]Continental Express'!$IJ$19</f>
        <v>0</v>
      </c>
      <c r="D63" s="2">
        <f>'[3]Continental Express'!$HV$19</f>
        <v>0</v>
      </c>
      <c r="E63" s="65" t="e">
        <f t="shared" si="39"/>
        <v>#DIV/0!</v>
      </c>
      <c r="F63" s="2">
        <f>SUM('[3]Continental Express'!$IF$19:$IJ$19)</f>
        <v>0</v>
      </c>
      <c r="G63" s="2">
        <f>SUM('[3]Continental Express'!$HR$19:$HV$19)</f>
        <v>0</v>
      </c>
      <c r="H63" s="3" t="e">
        <f t="shared" si="40"/>
        <v>#DIV/0!</v>
      </c>
      <c r="I63" s="65">
        <f t="shared" si="41"/>
        <v>0</v>
      </c>
      <c r="J63" s="37"/>
      <c r="K63" s="318" t="s">
        <v>166</v>
      </c>
      <c r="L63" s="263">
        <f>'[3]Continental Express'!$IJ$41</f>
        <v>0</v>
      </c>
      <c r="M63" s="2">
        <f>'[3]Continental Express'!$HV$41</f>
        <v>0</v>
      </c>
      <c r="N63" s="65" t="e">
        <f t="shared" si="42"/>
        <v>#DIV/0!</v>
      </c>
      <c r="O63" s="263">
        <f>SUM('[3]Continental Express'!$IF$41:$IJ$41)</f>
        <v>0</v>
      </c>
      <c r="P63" s="2">
        <f>SUM('[3]Continental Express'!$HR$41:$HV$41)</f>
        <v>0</v>
      </c>
      <c r="Q63" s="3" t="e">
        <f t="shared" si="43"/>
        <v>#DIV/0!</v>
      </c>
      <c r="R63" s="65">
        <f t="shared" si="44"/>
        <v>0</v>
      </c>
      <c r="S63" s="37"/>
      <c r="T63" s="318" t="s">
        <v>166</v>
      </c>
      <c r="U63" s="263">
        <f>'[3]Continental Express'!$IJ$64</f>
        <v>0</v>
      </c>
      <c r="V63" s="2">
        <f>'[3]Continental Express'!$HV$64</f>
        <v>0</v>
      </c>
      <c r="W63" s="65" t="e">
        <f t="shared" si="45"/>
        <v>#DIV/0!</v>
      </c>
      <c r="X63" s="263">
        <f>SUM('[3]Continental Express'!$IF$64:$IJ$64)</f>
        <v>0</v>
      </c>
      <c r="Y63" s="2">
        <f>SUM('[3]Continental Express'!$HR$64:$HV$64)</f>
        <v>0</v>
      </c>
      <c r="Z63" s="3" t="e">
        <f t="shared" si="46"/>
        <v>#DIV/0!</v>
      </c>
      <c r="AA63" s="65">
        <f t="shared" si="47"/>
        <v>0</v>
      </c>
    </row>
    <row r="64" spans="1:27" ht="14.1" customHeight="1" x14ac:dyDescent="0.2">
      <c r="A64" s="37"/>
      <c r="B64" s="39" t="s">
        <v>154</v>
      </c>
      <c r="C64" s="263">
        <f>'[3]Go Jet_UA'!$IJ$19</f>
        <v>0</v>
      </c>
      <c r="D64" s="2">
        <f>'[3]Go Jet_UA'!$HV$19</f>
        <v>0</v>
      </c>
      <c r="E64" s="65" t="e">
        <f t="shared" si="39"/>
        <v>#DIV/0!</v>
      </c>
      <c r="F64" s="2">
        <f>SUM('[3]Go Jet_UA'!$IF$19:$IJ$19)</f>
        <v>2</v>
      </c>
      <c r="G64" s="2">
        <f>SUM('[3]Go Jet_UA'!$HR$19:$HV$19)</f>
        <v>0</v>
      </c>
      <c r="H64" s="3" t="e">
        <f t="shared" si="40"/>
        <v>#DIV/0!</v>
      </c>
      <c r="I64" s="65">
        <f t="shared" si="41"/>
        <v>1.7517276413863171E-5</v>
      </c>
      <c r="J64" s="37"/>
      <c r="K64" s="39" t="s">
        <v>154</v>
      </c>
      <c r="L64" s="263">
        <f>'[3]Go Jet_UA'!$IJ$41</f>
        <v>0</v>
      </c>
      <c r="M64" s="2">
        <f>'[3]Go Jet_UA'!$HV$41</f>
        <v>0</v>
      </c>
      <c r="N64" s="65" t="e">
        <f t="shared" si="42"/>
        <v>#DIV/0!</v>
      </c>
      <c r="O64" s="263">
        <f>SUM('[3]Go Jet_UA'!$IF$41:$IJ$41)</f>
        <v>96</v>
      </c>
      <c r="P64" s="2">
        <f>SUM('[3]Go Jet_UA'!$HR$41:$HV$41)</f>
        <v>0</v>
      </c>
      <c r="Q64" s="3" t="e">
        <f t="shared" si="43"/>
        <v>#DIV/0!</v>
      </c>
      <c r="R64" s="65">
        <f t="shared" si="44"/>
        <v>7.4166908610453606E-6</v>
      </c>
      <c r="S64" s="37"/>
      <c r="T64" s="39" t="s">
        <v>154</v>
      </c>
      <c r="U64" s="263">
        <f>'[3]Go Jet_UA'!$IJ$64</f>
        <v>0</v>
      </c>
      <c r="V64" s="2">
        <f>'[3]Go Jet_UA'!$HV$64</f>
        <v>0</v>
      </c>
      <c r="W64" s="65" t="e">
        <f t="shared" si="45"/>
        <v>#DIV/0!</v>
      </c>
      <c r="X64" s="263">
        <f>SUM('[3]Go Jet_UA'!$IF$64:$IJ$64)</f>
        <v>0</v>
      </c>
      <c r="Y64" s="2">
        <f>SUM('[3]Go Jet_UA'!$HR$64:$HV$64)</f>
        <v>0</v>
      </c>
      <c r="Z64" s="3" t="e">
        <f t="shared" si="46"/>
        <v>#DIV/0!</v>
      </c>
      <c r="AA64" s="65">
        <f t="shared" si="47"/>
        <v>0</v>
      </c>
    </row>
    <row r="65" spans="1:27" ht="14.1" customHeight="1" x14ac:dyDescent="0.2">
      <c r="A65" s="37"/>
      <c r="B65" s="39" t="s">
        <v>51</v>
      </c>
      <c r="C65" s="263">
        <f>[3]MESA_UA!$IJ$19</f>
        <v>68</v>
      </c>
      <c r="D65" s="2">
        <f>[3]MESA_UA!$HV$19</f>
        <v>106</v>
      </c>
      <c r="E65" s="65">
        <f t="shared" si="39"/>
        <v>-0.35849056603773582</v>
      </c>
      <c r="F65" s="2">
        <f>SUM([3]MESA_UA!$IF$19:$IJ$19)</f>
        <v>240</v>
      </c>
      <c r="G65" s="2">
        <f>SUM([3]MESA_UA!$HR$19:$HV$19)</f>
        <v>504</v>
      </c>
      <c r="H65" s="3">
        <f>(F65-G65)/G65</f>
        <v>-0.52380952380952384</v>
      </c>
      <c r="I65" s="65">
        <f t="shared" si="41"/>
        <v>2.1020731696635808E-3</v>
      </c>
      <c r="J65" s="37"/>
      <c r="K65" s="39" t="s">
        <v>51</v>
      </c>
      <c r="L65" s="263">
        <f>[3]MESA_UA!$IJ$41</f>
        <v>4290</v>
      </c>
      <c r="M65" s="2">
        <f>[3]MESA_UA!$HV$41</f>
        <v>7490</v>
      </c>
      <c r="N65" s="65">
        <f t="shared" si="42"/>
        <v>-0.42723631508678239</v>
      </c>
      <c r="O65" s="263">
        <f>SUM([3]MESA_UA!$IF$41:$IJ$41)</f>
        <v>15796</v>
      </c>
      <c r="P65" s="2">
        <f>SUM([3]MESA_UA!$HR$41:$HV$41)</f>
        <v>32990</v>
      </c>
      <c r="Q65" s="3">
        <f t="shared" si="43"/>
        <v>-0.52118823886026067</v>
      </c>
      <c r="R65" s="65">
        <f t="shared" si="44"/>
        <v>1.2203546754278388E-3</v>
      </c>
      <c r="S65" s="37"/>
      <c r="T65" s="39" t="s">
        <v>51</v>
      </c>
      <c r="U65" s="263">
        <f>[3]MESA_UA!$IJ$64</f>
        <v>0</v>
      </c>
      <c r="V65" s="2">
        <f>[3]MESA_UA!$HV$64</f>
        <v>0</v>
      </c>
      <c r="W65" s="65" t="e">
        <f t="shared" si="45"/>
        <v>#DIV/0!</v>
      </c>
      <c r="X65" s="263">
        <f>SUM([3]MESA_UA!$IF$64:$IJ$64)</f>
        <v>0</v>
      </c>
      <c r="Y65" s="2">
        <f>SUM([3]MESA_UA!$HR$64:$HV$64)</f>
        <v>0</v>
      </c>
      <c r="Z65" s="3" t="e">
        <f t="shared" si="46"/>
        <v>#DIV/0!</v>
      </c>
      <c r="AA65" s="65">
        <f t="shared" si="47"/>
        <v>0</v>
      </c>
    </row>
    <row r="66" spans="1:27" ht="14.1" customHeight="1" x14ac:dyDescent="0.2">
      <c r="A66" s="37"/>
      <c r="B66" s="318" t="s">
        <v>52</v>
      </c>
      <c r="C66" s="263">
        <f>[3]Republic_UA!$IJ$19</f>
        <v>56</v>
      </c>
      <c r="D66" s="2">
        <f>[3]Republic_UA!$HV$19</f>
        <v>136</v>
      </c>
      <c r="E66" s="65">
        <f t="shared" si="39"/>
        <v>-0.58823529411764708</v>
      </c>
      <c r="F66" s="2">
        <f>SUM([3]Republic_UA!$IF$19:$IJ$19)</f>
        <v>328</v>
      </c>
      <c r="G66" s="2">
        <f>SUM([3]Republic_UA!$HR$19:$HV$19)</f>
        <v>749</v>
      </c>
      <c r="H66" s="3">
        <f t="shared" ref="H66" si="48">(F66-G66)/G66</f>
        <v>-0.56208277703604803</v>
      </c>
      <c r="I66" s="65">
        <f t="shared" si="41"/>
        <v>2.8728333318735603E-3</v>
      </c>
      <c r="J66" s="37"/>
      <c r="K66" s="318" t="s">
        <v>52</v>
      </c>
      <c r="L66" s="263">
        <f>[3]Republic_UA!$IJ$41</f>
        <v>3737</v>
      </c>
      <c r="M66" s="2">
        <f>[3]Republic_UA!$HV$41</f>
        <v>8903</v>
      </c>
      <c r="N66" s="65">
        <f t="shared" si="42"/>
        <v>-0.5802538470178592</v>
      </c>
      <c r="O66" s="263">
        <f>SUM([3]Republic_UA!$IF$41:$IJ$41)</f>
        <v>20715</v>
      </c>
      <c r="P66" s="2">
        <f>SUM([3]Republic_UA!$HR$41:$HV$41)</f>
        <v>45477</v>
      </c>
      <c r="Q66" s="3">
        <f t="shared" si="43"/>
        <v>-0.54449501946038659</v>
      </c>
      <c r="R66" s="65">
        <f t="shared" si="44"/>
        <v>1.6003828248599443E-3</v>
      </c>
      <c r="S66" s="37"/>
      <c r="T66" s="318" t="s">
        <v>52</v>
      </c>
      <c r="U66" s="263">
        <f>[3]Republic_UA!$IJ$64</f>
        <v>0</v>
      </c>
      <c r="V66" s="2">
        <f>[3]Republic_UA!$HV$64</f>
        <v>0</v>
      </c>
      <c r="W66" s="65" t="e">
        <f t="shared" si="45"/>
        <v>#DIV/0!</v>
      </c>
      <c r="X66" s="263">
        <f>SUM([3]Republic_UA!$IF$64:$IJ$64)</f>
        <v>0</v>
      </c>
      <c r="Y66" s="2">
        <f>SUM([3]Republic_UA!$HR$64:$HV$64)</f>
        <v>0</v>
      </c>
      <c r="Z66" s="3" t="e">
        <f t="shared" si="46"/>
        <v>#DIV/0!</v>
      </c>
      <c r="AA66" s="65">
        <f t="shared" si="47"/>
        <v>0</v>
      </c>
    </row>
    <row r="67" spans="1:27" ht="14.1" customHeight="1" x14ac:dyDescent="0.2">
      <c r="A67" s="37"/>
      <c r="B67" s="39" t="s">
        <v>97</v>
      </c>
      <c r="C67" s="263">
        <f>'[3]Sky West_UA'!$IJ$19</f>
        <v>2</v>
      </c>
      <c r="D67" s="2">
        <f>'[3]Sky West_UA'!$HV$19+'[3]Sky West_CO'!$HV$19</f>
        <v>77</v>
      </c>
      <c r="E67" s="65">
        <f t="shared" si="39"/>
        <v>-0.97402597402597402</v>
      </c>
      <c r="F67" s="2">
        <f>SUM('[3]Sky West_UA'!$IF$19:$IJ$19)</f>
        <v>54</v>
      </c>
      <c r="G67" s="2">
        <f>SUM('[3]Sky West_UA'!$HR$19:$HV$19)+SUM('[3]Sky West_CO'!$HR$19:$HV$19)</f>
        <v>286</v>
      </c>
      <c r="H67" s="3">
        <f t="shared" si="40"/>
        <v>-0.81118881118881114</v>
      </c>
      <c r="I67" s="65">
        <f t="shared" si="41"/>
        <v>4.7296646317430567E-4</v>
      </c>
      <c r="J67" s="37"/>
      <c r="K67" s="39" t="s">
        <v>97</v>
      </c>
      <c r="L67" s="263">
        <f>'[3]Sky West_UA'!$IJ$41</f>
        <v>147</v>
      </c>
      <c r="M67" s="2">
        <f>'[3]Sky West_UA'!$HV$41+'[3]Sky West_CO'!$HV$41</f>
        <v>5237</v>
      </c>
      <c r="N67" s="65">
        <f t="shared" si="42"/>
        <v>-0.971930494557953</v>
      </c>
      <c r="O67" s="263">
        <f>SUM('[3]Sky West_UA'!$IF$41:$IJ$41)</f>
        <v>3235</v>
      </c>
      <c r="P67" s="2">
        <f>SUM('[3]Sky West_UA'!$HR$41:$HV$41)+SUM('[3]Sky West_CO'!$HR$41:$HV$41)</f>
        <v>18318</v>
      </c>
      <c r="Q67" s="3">
        <f t="shared" si="43"/>
        <v>-0.82339775084616229</v>
      </c>
      <c r="R67" s="65">
        <f t="shared" si="44"/>
        <v>2.4992703057793482E-4</v>
      </c>
      <c r="S67" s="37"/>
      <c r="T67" s="39" t="s">
        <v>97</v>
      </c>
      <c r="U67" s="263">
        <f>'[3]Sky West_UA'!$IJ$64</f>
        <v>0</v>
      </c>
      <c r="V67" s="2">
        <f>'[3]Sky West_UA'!$HV$64+'[3]Sky West_CO'!$HV$64</f>
        <v>0</v>
      </c>
      <c r="W67" s="65" t="e">
        <f t="shared" si="45"/>
        <v>#DIV/0!</v>
      </c>
      <c r="X67" s="263">
        <f>SUM('[3]Sky West_UA'!$IF$64:$IJ$64)</f>
        <v>0</v>
      </c>
      <c r="Y67" s="2">
        <f>SUM('[3]Sky West_UA'!$HR$64:$HV$64)+SUM('[3]Sky West_CO'!$HR$64:$HV$64)</f>
        <v>0</v>
      </c>
      <c r="Z67" s="3" t="e">
        <f t="shared" si="46"/>
        <v>#DIV/0!</v>
      </c>
      <c r="AA67" s="65">
        <f t="shared" si="47"/>
        <v>0</v>
      </c>
    </row>
    <row r="68" spans="1:27" ht="14.1" customHeight="1" x14ac:dyDescent="0.2">
      <c r="A68" s="37"/>
      <c r="B68" s="266" t="s">
        <v>131</v>
      </c>
      <c r="C68" s="263">
        <f>'[3]Shuttle America'!$IJ$19</f>
        <v>0</v>
      </c>
      <c r="D68" s="2">
        <f>'[3]Shuttle America'!$HV$19</f>
        <v>0</v>
      </c>
      <c r="E68" s="65" t="e">
        <f t="shared" si="39"/>
        <v>#DIV/0!</v>
      </c>
      <c r="F68" s="2">
        <f>SUM('[3]Shuttle America'!$IF$19:$IJ$19)</f>
        <v>0</v>
      </c>
      <c r="G68" s="2">
        <f>SUM('[3]Shuttle America'!$HR$19:$HV$19)</f>
        <v>0</v>
      </c>
      <c r="H68" s="3" t="e">
        <f t="shared" si="40"/>
        <v>#DIV/0!</v>
      </c>
      <c r="I68" s="65">
        <f t="shared" si="41"/>
        <v>0</v>
      </c>
      <c r="J68" s="37"/>
      <c r="K68" s="266" t="s">
        <v>131</v>
      </c>
      <c r="L68" s="263">
        <f>'[3]Shuttle America'!$IJ$41</f>
        <v>0</v>
      </c>
      <c r="M68" s="2">
        <f>'[3]Shuttle America'!$HV$41</f>
        <v>0</v>
      </c>
      <c r="N68" s="65" t="e">
        <f t="shared" si="42"/>
        <v>#DIV/0!</v>
      </c>
      <c r="O68" s="263">
        <f>SUM('[3]Shuttle America'!$IF$41:$IJ$41)</f>
        <v>0</v>
      </c>
      <c r="P68" s="2">
        <f>SUM('[3]Shuttle America'!$HR$41:$HV$41)</f>
        <v>0</v>
      </c>
      <c r="Q68" s="3" t="e">
        <f t="shared" si="43"/>
        <v>#DIV/0!</v>
      </c>
      <c r="R68" s="65">
        <f t="shared" si="44"/>
        <v>0</v>
      </c>
      <c r="S68" s="37"/>
      <c r="T68" s="266" t="s">
        <v>131</v>
      </c>
      <c r="U68" s="263">
        <f>'[3]Shuttle America'!$IJ$64</f>
        <v>0</v>
      </c>
      <c r="V68" s="2">
        <f>'[3]Shuttle America'!$HV$64</f>
        <v>0</v>
      </c>
      <c r="W68" s="65" t="e">
        <f t="shared" si="45"/>
        <v>#DIV/0!</v>
      </c>
      <c r="X68" s="263">
        <f>SUM('[3]Shuttle America'!$IF$64:$IJ$64)</f>
        <v>0</v>
      </c>
      <c r="Y68" s="2">
        <f>SUM('[3]Shuttle America'!$HR$64:$HV$64)</f>
        <v>0</v>
      </c>
      <c r="Z68" s="3" t="e">
        <f t="shared" si="46"/>
        <v>#DIV/0!</v>
      </c>
      <c r="AA68" s="65">
        <f t="shared" si="47"/>
        <v>0</v>
      </c>
    </row>
    <row r="69" spans="1:27" ht="14.1" customHeight="1" thickBot="1" x14ac:dyDescent="0.25">
      <c r="A69" s="320"/>
      <c r="B69" s="321"/>
      <c r="C69" s="267"/>
      <c r="D69" s="269"/>
      <c r="E69" s="270"/>
      <c r="F69" s="269"/>
      <c r="G69" s="269"/>
      <c r="H69" s="268"/>
      <c r="I69" s="270"/>
      <c r="J69" s="320"/>
      <c r="K69" s="321"/>
      <c r="L69" s="267"/>
      <c r="M69" s="269"/>
      <c r="N69" s="270"/>
      <c r="O69" s="267"/>
      <c r="P69" s="269"/>
      <c r="Q69" s="268"/>
      <c r="R69" s="342"/>
      <c r="S69" s="320"/>
      <c r="T69" s="321"/>
      <c r="U69" s="267"/>
      <c r="V69" s="269"/>
      <c r="W69" s="270"/>
      <c r="X69" s="267"/>
      <c r="Y69" s="269"/>
      <c r="Z69" s="268"/>
      <c r="AA69" s="342"/>
    </row>
    <row r="70" spans="1:27" s="170" customFormat="1" ht="14.1" customHeight="1" thickBot="1" x14ac:dyDescent="0.25">
      <c r="B70" s="169"/>
      <c r="C70" s="261"/>
      <c r="D70" s="261"/>
      <c r="E70" s="260"/>
      <c r="F70" s="319"/>
      <c r="G70" s="261"/>
      <c r="H70" s="260"/>
      <c r="I70" s="260"/>
      <c r="J70" s="271"/>
      <c r="K70" s="169"/>
      <c r="L70" s="272"/>
      <c r="M70" s="273"/>
      <c r="N70" s="271"/>
      <c r="S70" s="271"/>
      <c r="T70" s="169"/>
      <c r="U70" s="272"/>
      <c r="V70" s="273"/>
      <c r="W70" s="271"/>
    </row>
    <row r="71" spans="1:27" ht="14.1" customHeight="1" x14ac:dyDescent="0.2">
      <c r="B71" s="274" t="s">
        <v>133</v>
      </c>
      <c r="C71" s="327">
        <f>+C73-C72</f>
        <v>17588</v>
      </c>
      <c r="D71" s="327">
        <f>+D73-D72</f>
        <v>14331</v>
      </c>
      <c r="E71" s="328">
        <f>(C71-D71)/D71</f>
        <v>0.22726955550903635</v>
      </c>
      <c r="F71" s="327">
        <f>+F73-F72</f>
        <v>83434</v>
      </c>
      <c r="G71" s="327">
        <f>+G73-G72</f>
        <v>72126</v>
      </c>
      <c r="H71" s="328">
        <f>(F71-G71)/G71</f>
        <v>0.15678118847572303</v>
      </c>
      <c r="I71" s="353">
        <f>F71/$F$73</f>
        <v>0.73076822015712994</v>
      </c>
      <c r="K71" s="274" t="s">
        <v>133</v>
      </c>
      <c r="L71" s="327">
        <f>+L73-L72</f>
        <v>2424663</v>
      </c>
      <c r="M71" s="327">
        <f>+M73-M72</f>
        <v>2077152</v>
      </c>
      <c r="N71" s="328">
        <f>(L71-M71)/M71</f>
        <v>0.16730167074917965</v>
      </c>
      <c r="O71" s="327">
        <f>+O73-O72</f>
        <v>11329924</v>
      </c>
      <c r="P71" s="327">
        <f>+P73-P72</f>
        <v>9781326</v>
      </c>
      <c r="Q71" s="351">
        <f>(O71-P71)/P71</f>
        <v>0.15832188805485065</v>
      </c>
      <c r="R71" s="398">
        <f>+O71/O73</f>
        <v>0.87531816444935939</v>
      </c>
      <c r="S71" s="3"/>
      <c r="T71" s="274" t="s">
        <v>133</v>
      </c>
      <c r="U71" s="327">
        <f>+U73-U72</f>
        <v>6847602</v>
      </c>
      <c r="V71" s="327">
        <f>+V73-V72</f>
        <v>8739697</v>
      </c>
      <c r="W71" s="328">
        <f>(U71-V71)/V71</f>
        <v>-0.2164943475729193</v>
      </c>
      <c r="X71" s="327">
        <f>+X73-X72</f>
        <v>35029123</v>
      </c>
      <c r="Y71" s="327">
        <f>+Y73-Y72</f>
        <v>36016212</v>
      </c>
      <c r="Z71" s="351">
        <f>(X71-Y71)/Y71</f>
        <v>-2.740679669477734E-2</v>
      </c>
      <c r="AA71" s="398">
        <f>+X71/X73</f>
        <v>0.99800988200393015</v>
      </c>
    </row>
    <row r="72" spans="1:27" ht="14.1" customHeight="1" x14ac:dyDescent="0.2">
      <c r="B72" s="169" t="s">
        <v>134</v>
      </c>
      <c r="C72" s="329">
        <f>C68+C45+C43+C41+C40+C44+C25+C67+C64+C42+C63+C65+C30+C29+C26+C20+C8+C66+C27+C28+C10+C21+C9</f>
        <v>6396</v>
      </c>
      <c r="D72" s="329">
        <f>D68+D45+D43+D41+D40+D44+D25+D67+D64+D42+D63+D65+D30+D29+D26+D20+D8+D66+D27+D28+D10+D21+D9</f>
        <v>8957</v>
      </c>
      <c r="E72" s="275">
        <f>(C72-D72)/D72</f>
        <v>-0.28592162554426703</v>
      </c>
      <c r="F72" s="329">
        <f>F68+F45+F43+F41+F40+F44+F25+F67+F64+F42+F63+F65+F30+F29+F26+F20+F8+F66+F27+F28+F10+F21+F9</f>
        <v>30739</v>
      </c>
      <c r="G72" s="329">
        <f>G68+G45+G43+G41+G40+G44+G25+G67+G64+G42+G63+G65+G30+G29+G26+G20+G8+G66+G27+G28+G10+G21+G9</f>
        <v>41367</v>
      </c>
      <c r="H72" s="275">
        <f>(F72-G72)/G72</f>
        <v>-0.25691976696400515</v>
      </c>
      <c r="I72" s="354">
        <f>F72/$F$73</f>
        <v>0.26923177984287006</v>
      </c>
      <c r="K72" s="169" t="s">
        <v>134</v>
      </c>
      <c r="L72" s="329">
        <f>L68+L45+L43+L41+L40+L44+L25+L67+L64+L42+L63+L65+L30+L29+L26+L20+L8+L66+L27+L28+L10+L21+L9</f>
        <v>355713</v>
      </c>
      <c r="M72" s="329">
        <f>M68+M45+M43+M41+M40+M44+M25+M67+M64+M42+M63+M65+M30+M29+M26+M20+M8+M66+M27+M28+M10+M21+M9</f>
        <v>545873</v>
      </c>
      <c r="N72" s="275">
        <f>(L72-M72)/M72</f>
        <v>-0.34835941693397549</v>
      </c>
      <c r="O72" s="329">
        <f>O68+O45+O43+O41+O40+O44+O25+O67+O64+O42+O63+O65+O30+O29+O26+O20+O8+O66+O27+O28+O10+O21+O9</f>
        <v>1613854</v>
      </c>
      <c r="P72" s="329">
        <f>P68+P45+P43+P41+P40+P44+P25+P67+P64+P42+P63+P65+P30+P29+P26+P20+P8+P66+P27+P28+P10+P21+P9</f>
        <v>2093617</v>
      </c>
      <c r="Q72" s="350">
        <f>(O72-P72)/P72</f>
        <v>-0.22915509379222657</v>
      </c>
      <c r="R72" s="399">
        <f>+O72/O73</f>
        <v>0.12468183555064062</v>
      </c>
      <c r="S72" s="3"/>
      <c r="T72" s="169" t="s">
        <v>134</v>
      </c>
      <c r="U72" s="329">
        <f>U68+U45+U43+U41+U40+U44+U25+U67+U64+U42+U63+U65+U30+U29+U26+U20+U8+U66+U27+U28+U10+U21+U9</f>
        <v>47678</v>
      </c>
      <c r="V72" s="329">
        <f>V68+V45+V43+V41+V40+V44+V25+V67+V64+V42+V63+V65+V30+V29+V26+V20+V8+V66+V27+V28+V10+V21+V9</f>
        <v>8462.7999999999993</v>
      </c>
      <c r="W72" s="275">
        <f>(U72-V72)/V72</f>
        <v>4.6338327740227818</v>
      </c>
      <c r="X72" s="329">
        <f>X68+X45+X43+X41+X40+X44+X25+X67+X64+X42+X63+X65+X30+X29+X26+X20+X8+X66+X27+X28+X10+X21+X9</f>
        <v>69851.100000000006</v>
      </c>
      <c r="Y72" s="329">
        <f>Y68+Y45+Y43+Y41+Y40+Y44+Y25+Y67+Y64+Y42+Y63+Y65+Y30+Y29+Y26+Y20+Y8+Y66+Y27+Y28+Y10+Y21+Y9</f>
        <v>35487.800000000003</v>
      </c>
      <c r="Z72" s="350">
        <f>(X72-Y72)/Y72</f>
        <v>0.96831305406365009</v>
      </c>
      <c r="AA72" s="399">
        <f>+X72/X73</f>
        <v>1.9901179960698625E-3</v>
      </c>
    </row>
    <row r="73" spans="1:27" ht="14.1" customHeight="1" thickBot="1" x14ac:dyDescent="0.25">
      <c r="B73" s="169" t="s">
        <v>135</v>
      </c>
      <c r="C73" s="330">
        <f>C61+C59+C55+C49+C47+C38+C23+C18+C6+C57+C34+C32+C12+C53+C14+C51+C4+C36+C16</f>
        <v>23984</v>
      </c>
      <c r="D73" s="330">
        <f>D61+D59+D55+D49+D47+D38+D23+D18+D6+D57+D34+D32+D12+D53+D14+D51+D4+D36+D16</f>
        <v>23288</v>
      </c>
      <c r="E73" s="331">
        <f>(C73-D73)/D73</f>
        <v>2.9886636894537959E-2</v>
      </c>
      <c r="F73" s="330">
        <f>F61+F59+F55+F49+F47+F38+F23+F18+F6+F57+F34+F32+F12+F53+F14+F51+F4+F36+F16</f>
        <v>114173</v>
      </c>
      <c r="G73" s="330">
        <f>G61+G59+G55+G49+G47+G38+G23+G18+G6+G57+G34+G32+G12+G53+G14+G51+G4+G36+G16</f>
        <v>113493</v>
      </c>
      <c r="H73" s="331">
        <f>(F73-G73)/G73</f>
        <v>5.9915589507722944E-3</v>
      </c>
      <c r="I73" s="355">
        <f>+H73/H73</f>
        <v>1</v>
      </c>
      <c r="K73" s="169" t="s">
        <v>135</v>
      </c>
      <c r="L73" s="330">
        <f>L61+L59+L55+L49+L47+L38+L23+L18+L6+L57+L34+L32+L12+L53+L14+L51+L4+L36+L16</f>
        <v>2780376</v>
      </c>
      <c r="M73" s="330">
        <f>M61+M59+M55+M49+M47+M38+M23+M18+M6+M57+M34+M32+M12+M53+M14+M51+M4+M36+M16</f>
        <v>2623025</v>
      </c>
      <c r="N73" s="331">
        <f>(L73-M73)/M73</f>
        <v>5.998837220384861E-2</v>
      </c>
      <c r="O73" s="330">
        <f>O61+O59+O55+O49+O47+O38+O23+O18+O6+O57+O34+O32+O12+O53+O14+O51+O4+O36+O16</f>
        <v>12943778</v>
      </c>
      <c r="P73" s="330">
        <f>P61+P59+P55+P49+P47+P38+P23+P18+P6+P57+P34+P32+P12+P53+P14+P51+P4+P36+P16</f>
        <v>11874943</v>
      </c>
      <c r="Q73" s="397">
        <f>(O73-P73)/P73</f>
        <v>9.0007589931168516E-2</v>
      </c>
      <c r="R73" s="355">
        <f>+Q73/Q73</f>
        <v>1</v>
      </c>
      <c r="S73" s="3"/>
      <c r="T73" s="169" t="s">
        <v>135</v>
      </c>
      <c r="U73" s="330">
        <f>U61+U59+U55+U49+U47+U38+U23+U18+U6+U57+U34+U32+U12+U53+U14+U51+U4+U36+U16</f>
        <v>6895280</v>
      </c>
      <c r="V73" s="330">
        <f>V61+V59+V55+V49+V47+V38+V23+V18+V6+V57+V34+V32+V12+V53+V14+V51+V4+V36+V16</f>
        <v>8748159.8000000007</v>
      </c>
      <c r="W73" s="331">
        <f>(U73-V73)/V73</f>
        <v>-0.21180223525409317</v>
      </c>
      <c r="X73" s="330">
        <f>X61+X59+X55+X49+X47+X38+X23+X18+X6+X57+X34+X32+X12+X53+X14+X51+X4+X36+X16</f>
        <v>35098974.100000001</v>
      </c>
      <c r="Y73" s="330">
        <f>Y61+Y59+Y55+Y49+Y47+Y38+Y23+Y18+Y6+Y57+Y34+Y32+Y12+Y53+Y14+Y51+Y4+Y36+Y16</f>
        <v>36051699.799999997</v>
      </c>
      <c r="Z73" s="397">
        <f>(X73-Y73)/Y73</f>
        <v>-2.6426651317006573E-2</v>
      </c>
      <c r="AA73" s="355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5"/>
      <c r="V75" s="95"/>
      <c r="W75" s="95"/>
    </row>
    <row r="76" spans="1:27" x14ac:dyDescent="0.2">
      <c r="E76"/>
      <c r="F76" s="2"/>
      <c r="H76"/>
      <c r="I76"/>
      <c r="J76"/>
      <c r="K76"/>
      <c r="N76"/>
      <c r="O76" s="2"/>
      <c r="P76" s="2"/>
      <c r="U76" s="95"/>
      <c r="V76" s="95"/>
      <c r="W76" s="95"/>
    </row>
    <row r="77" spans="1:27" x14ac:dyDescent="0.2">
      <c r="E77"/>
      <c r="F77" s="2"/>
      <c r="H77"/>
      <c r="I77"/>
      <c r="J77"/>
      <c r="K77"/>
      <c r="N77"/>
      <c r="O77" s="2"/>
      <c r="P77" s="2"/>
      <c r="U77" s="95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  <row r="4702" spans="6:11" x14ac:dyDescent="0.2">
      <c r="F4702" s="171"/>
      <c r="K4702"/>
    </row>
    <row r="4703" spans="6:11" x14ac:dyDescent="0.2">
      <c r="F4703" s="171"/>
      <c r="K4703"/>
    </row>
    <row r="4704" spans="6:11" x14ac:dyDescent="0.2">
      <c r="F4704" s="171"/>
      <c r="K4704"/>
    </row>
    <row r="4705" spans="6:11" x14ac:dyDescent="0.2">
      <c r="F4705" s="171"/>
      <c r="K4705"/>
    </row>
    <row r="4706" spans="6:11" x14ac:dyDescent="0.2">
      <c r="F4706" s="171"/>
      <c r="K4706"/>
    </row>
    <row r="4707" spans="6:11" x14ac:dyDescent="0.2">
      <c r="F4707" s="171"/>
      <c r="K4707"/>
    </row>
    <row r="4708" spans="6:11" x14ac:dyDescent="0.2">
      <c r="F4708" s="171"/>
      <c r="K4708"/>
    </row>
    <row r="4709" spans="6:11" x14ac:dyDescent="0.2">
      <c r="F4709" s="171"/>
      <c r="K4709"/>
    </row>
    <row r="4710" spans="6:11" x14ac:dyDescent="0.2">
      <c r="F4710" s="171"/>
      <c r="K4710"/>
    </row>
    <row r="4711" spans="6:11" x14ac:dyDescent="0.2">
      <c r="F4711" s="171"/>
      <c r="K4711"/>
    </row>
    <row r="4712" spans="6:11" x14ac:dyDescent="0.2">
      <c r="F4712" s="171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4" fitToWidth="2" orientation="portrait" r:id="rId1"/>
  <headerFooter alignWithMargins="0">
    <oddHeader>&amp;L
Schedule 10
&amp;CMinneapolis-St. Paul International Airport
&amp;"Arial,Bold"&amp;A
May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R7" sqref="R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96">
        <v>45047</v>
      </c>
      <c r="B1" s="326" t="s">
        <v>17</v>
      </c>
      <c r="C1" s="326" t="s">
        <v>18</v>
      </c>
      <c r="D1" s="326" t="s">
        <v>19</v>
      </c>
      <c r="E1" s="326" t="s">
        <v>155</v>
      </c>
      <c r="F1" s="326" t="s">
        <v>161</v>
      </c>
      <c r="G1" s="326" t="s">
        <v>156</v>
      </c>
      <c r="H1" s="403" t="s">
        <v>197</v>
      </c>
      <c r="I1" s="403" t="s">
        <v>192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[3]American!$IJ$22</f>
        <v>48921</v>
      </c>
      <c r="C4" s="12">
        <f>[3]Delta!$IJ$22+[3]Delta!$IJ$32</f>
        <v>862362</v>
      </c>
      <c r="D4" s="12">
        <f>[3]United!$IJ$22</f>
        <v>65904</v>
      </c>
      <c r="E4" s="12">
        <f>[3]Spirit!$IJ$22</f>
        <v>18777</v>
      </c>
      <c r="F4" s="12">
        <f>[3]Condor!$IJ$22+[3]Condor!$IJ$32</f>
        <v>608</v>
      </c>
      <c r="G4" s="12">
        <f>'[3]Air France'!$IJ$32</f>
        <v>0</v>
      </c>
      <c r="H4" s="12">
        <f>'[3]Jet Blue'!$IJ$22</f>
        <v>6293</v>
      </c>
      <c r="I4" s="12">
        <f>[3]KLM!$IJ$22+[3]KLM!$IJ$32</f>
        <v>4078</v>
      </c>
      <c r="J4" s="12">
        <f>'Other Major Airline Stats'!K5</f>
        <v>229889</v>
      </c>
      <c r="K4" s="205">
        <f>SUM(B4:J4)</f>
        <v>1236832</v>
      </c>
    </row>
    <row r="5" spans="1:20" x14ac:dyDescent="0.2">
      <c r="A5" s="45" t="s">
        <v>31</v>
      </c>
      <c r="B5" s="7">
        <f>[3]American!$IJ$23</f>
        <v>43018</v>
      </c>
      <c r="C5" s="7">
        <f>[3]Delta!$IJ$23+[3]Delta!$IJ$33</f>
        <v>835714</v>
      </c>
      <c r="D5" s="7">
        <f>[3]United!$IJ$23</f>
        <v>61603</v>
      </c>
      <c r="E5" s="7">
        <f>[3]Spirit!$IJ$23</f>
        <v>16714</v>
      </c>
      <c r="F5" s="7">
        <f>[3]Condor!$IJ$23+[3]Condor!$IJ$33</f>
        <v>760</v>
      </c>
      <c r="G5" s="7">
        <f>'[3]Air France'!$IJ$33</f>
        <v>0</v>
      </c>
      <c r="H5" s="7">
        <f>'[3]Jet Blue'!$IJ$23</f>
        <v>6493</v>
      </c>
      <c r="I5" s="7">
        <f>[3]KLM!$IJ$23+[3]KLM!$IJ$33</f>
        <v>4369</v>
      </c>
      <c r="J5" s="7">
        <f>'Other Major Airline Stats'!K6</f>
        <v>219160</v>
      </c>
      <c r="K5" s="206">
        <f>SUM(B5:J5)</f>
        <v>1187831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91939</v>
      </c>
      <c r="C6" s="24">
        <f t="shared" si="0"/>
        <v>1698076</v>
      </c>
      <c r="D6" s="24">
        <f t="shared" si="0"/>
        <v>127507</v>
      </c>
      <c r="E6" s="24">
        <f t="shared" si="0"/>
        <v>35491</v>
      </c>
      <c r="F6" s="24">
        <f t="shared" ref="F6:I6" si="1">SUM(F4:F5)</f>
        <v>1368</v>
      </c>
      <c r="G6" s="24">
        <f t="shared" si="1"/>
        <v>0</v>
      </c>
      <c r="H6" s="24">
        <f t="shared" ref="H6" si="2">SUM(H4:H5)</f>
        <v>12786</v>
      </c>
      <c r="I6" s="24">
        <f t="shared" si="1"/>
        <v>8447</v>
      </c>
      <c r="J6" s="24">
        <f>SUM(J4:J5)</f>
        <v>449049</v>
      </c>
      <c r="K6" s="207">
        <f>SUM(B6:J6)</f>
        <v>2424663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[3]American!$IJ$27</f>
        <v>1771</v>
      </c>
      <c r="C9" s="12">
        <f>[3]Delta!$IJ$27+[3]Delta!$IJ$37</f>
        <v>26697</v>
      </c>
      <c r="D9" s="12">
        <f>[3]United!$IJ$27</f>
        <v>2237</v>
      </c>
      <c r="E9" s="12">
        <f>[3]Spirit!$IJ$27</f>
        <v>158</v>
      </c>
      <c r="F9" s="12">
        <f>[3]Condor!$IJ$27+[3]Condor!$IJ$37</f>
        <v>2</v>
      </c>
      <c r="G9" s="12">
        <f>'[3]Air France'!$IJ$37</f>
        <v>0</v>
      </c>
      <c r="H9" s="12">
        <f>'[3]Jet Blue'!$IJ$27</f>
        <v>132</v>
      </c>
      <c r="I9" s="12">
        <f>[3]KLM!$IJ$27+[3]KLM!$IJ$37</f>
        <v>13</v>
      </c>
      <c r="J9" s="12">
        <f>'Other Major Airline Stats'!K10</f>
        <v>4772</v>
      </c>
      <c r="K9" s="205">
        <f>SUM(B9:J9)</f>
        <v>35782</v>
      </c>
      <c r="N9" s="230"/>
    </row>
    <row r="10" spans="1:20" x14ac:dyDescent="0.2">
      <c r="A10" s="45" t="s">
        <v>33</v>
      </c>
      <c r="B10" s="7">
        <f>[3]American!$IJ$28</f>
        <v>2068</v>
      </c>
      <c r="C10" s="7">
        <f>[3]Delta!$IJ$28+[3]Delta!$IJ$38</f>
        <v>26542</v>
      </c>
      <c r="D10" s="7">
        <f>[3]United!$IJ$28</f>
        <v>2345</v>
      </c>
      <c r="E10" s="7">
        <f>[3]Spirit!$IJ$28</f>
        <v>157</v>
      </c>
      <c r="F10" s="7">
        <f>[3]Condor!$IJ$28+[3]Condor!$IJ$38</f>
        <v>1</v>
      </c>
      <c r="G10" s="7">
        <f>'[3]Air France'!$IJ$38</f>
        <v>0</v>
      </c>
      <c r="H10" s="7">
        <f>'[3]Jet Blue'!$IJ$28</f>
        <v>117</v>
      </c>
      <c r="I10" s="7">
        <f>[3]KLM!$IJ$28+[3]KLM!$IJ$38</f>
        <v>0</v>
      </c>
      <c r="J10" s="7">
        <f>'Other Major Airline Stats'!K11</f>
        <v>4856</v>
      </c>
      <c r="K10" s="206">
        <f>SUM(B10:J10)</f>
        <v>36086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3839</v>
      </c>
      <c r="C11" s="208">
        <f t="shared" si="3"/>
        <v>53239</v>
      </c>
      <c r="D11" s="208">
        <f t="shared" si="3"/>
        <v>4582</v>
      </c>
      <c r="E11" s="208">
        <f t="shared" si="3"/>
        <v>315</v>
      </c>
      <c r="F11" s="208">
        <f t="shared" ref="F11:I11" si="4">SUM(F9:F10)</f>
        <v>3</v>
      </c>
      <c r="G11" s="208">
        <f t="shared" si="4"/>
        <v>0</v>
      </c>
      <c r="H11" s="208">
        <f t="shared" ref="H11" si="5">SUM(H9:H10)</f>
        <v>249</v>
      </c>
      <c r="I11" s="208">
        <f t="shared" si="4"/>
        <v>13</v>
      </c>
      <c r="J11" s="208">
        <f t="shared" si="3"/>
        <v>9628</v>
      </c>
      <c r="K11" s="209">
        <f>SUM(B11:J11)</f>
        <v>71868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[3]American!$IJ$4</f>
        <v>319</v>
      </c>
      <c r="C15" s="12">
        <f>[3]Delta!$IJ$4+[3]Delta!$IJ$15</f>
        <v>5986</v>
      </c>
      <c r="D15" s="12">
        <f>[3]United!$IJ$4</f>
        <v>474</v>
      </c>
      <c r="E15" s="12">
        <f>[3]Spirit!$IJ$4</f>
        <v>124</v>
      </c>
      <c r="F15" s="12">
        <f>[3]Condor!$IJ$4+[3]Condor!$IJ$15</f>
        <v>3</v>
      </c>
      <c r="G15" s="12">
        <f>'[3]Air France'!$IJ$15</f>
        <v>0</v>
      </c>
      <c r="H15" s="12">
        <f>'[3]Jet Blue'!$IJ$4</f>
        <v>57</v>
      </c>
      <c r="I15" s="12">
        <f>[3]KLM!$IJ$4+[3]KLM!$IJ$15</f>
        <v>17</v>
      </c>
      <c r="J15" s="12">
        <f>'Other Major Airline Stats'!K16</f>
        <v>1744</v>
      </c>
      <c r="K15" s="17">
        <f>SUM(B15:J15)</f>
        <v>8724</v>
      </c>
    </row>
    <row r="16" spans="1:20" x14ac:dyDescent="0.2">
      <c r="A16" s="45" t="s">
        <v>23</v>
      </c>
      <c r="B16" s="7">
        <f>[3]American!$IJ$5</f>
        <v>318</v>
      </c>
      <c r="C16" s="7">
        <f>[3]Delta!$IJ$5+[3]Delta!$IJ$16</f>
        <v>5988</v>
      </c>
      <c r="D16" s="7">
        <f>[3]United!$IJ$5</f>
        <v>473</v>
      </c>
      <c r="E16" s="7">
        <f>[3]Spirit!$IJ$5</f>
        <v>123</v>
      </c>
      <c r="F16" s="7">
        <f>[3]Condor!$IJ$5+[3]Condor!$IJ$16</f>
        <v>3</v>
      </c>
      <c r="G16" s="7">
        <f>'[3]Air France'!$IJ$16</f>
        <v>0</v>
      </c>
      <c r="H16" s="7">
        <f>'[3]Jet Blue'!$IJ$5</f>
        <v>56</v>
      </c>
      <c r="I16" s="7">
        <f>[3]KLM!$IJ$5+[3]KLM!$IJ$16</f>
        <v>17</v>
      </c>
      <c r="J16" s="7">
        <f>'Other Major Airline Stats'!K17</f>
        <v>1749</v>
      </c>
      <c r="K16" s="23">
        <f>SUM(B16:J16)</f>
        <v>8727</v>
      </c>
    </row>
    <row r="17" spans="1:11" x14ac:dyDescent="0.2">
      <c r="A17" s="45" t="s">
        <v>24</v>
      </c>
      <c r="B17" s="212">
        <f t="shared" ref="B17:J17" si="6">SUM(B15:B16)</f>
        <v>637</v>
      </c>
      <c r="C17" s="210">
        <f t="shared" si="6"/>
        <v>11974</v>
      </c>
      <c r="D17" s="210">
        <f t="shared" si="6"/>
        <v>947</v>
      </c>
      <c r="E17" s="210">
        <f t="shared" si="6"/>
        <v>247</v>
      </c>
      <c r="F17" s="210">
        <f t="shared" ref="F17:I17" si="7">SUM(F15:F16)</f>
        <v>6</v>
      </c>
      <c r="G17" s="210">
        <f t="shared" si="7"/>
        <v>0</v>
      </c>
      <c r="H17" s="210">
        <f t="shared" ref="H17" si="8">SUM(H15:H16)</f>
        <v>113</v>
      </c>
      <c r="I17" s="210">
        <f t="shared" si="7"/>
        <v>34</v>
      </c>
      <c r="J17" s="210">
        <f t="shared" si="6"/>
        <v>3493</v>
      </c>
      <c r="K17" s="211">
        <f>SUM(B17:J17)</f>
        <v>17451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[3]American!$IJ$8</f>
        <v>0</v>
      </c>
      <c r="C19" s="12">
        <f>[3]Delta!$IJ$8</f>
        <v>3</v>
      </c>
      <c r="D19" s="12">
        <f>[3]United!$IJ$8</f>
        <v>1</v>
      </c>
      <c r="E19" s="12">
        <f>[3]Spirit!$IJ$8</f>
        <v>0</v>
      </c>
      <c r="F19" s="12">
        <f>[3]Condor!$IJ$8</f>
        <v>0</v>
      </c>
      <c r="G19" s="12">
        <f>'[3]Air France'!$IJ$8</f>
        <v>0</v>
      </c>
      <c r="H19" s="12">
        <f>'[3]Jet Blue'!$IJ$8</f>
        <v>0</v>
      </c>
      <c r="I19" s="12">
        <f>[3]KLM!$IJ$8</f>
        <v>0</v>
      </c>
      <c r="J19" s="12">
        <f>'Other Major Airline Stats'!K20</f>
        <v>62</v>
      </c>
      <c r="K19" s="17">
        <f>SUM(B19:J19)</f>
        <v>66</v>
      </c>
    </row>
    <row r="20" spans="1:11" x14ac:dyDescent="0.2">
      <c r="A20" s="45" t="s">
        <v>26</v>
      </c>
      <c r="B20" s="7">
        <f>[3]American!$IJ$9</f>
        <v>0</v>
      </c>
      <c r="C20" s="7">
        <f>[3]Delta!$IJ$9</f>
        <v>6</v>
      </c>
      <c r="D20" s="7">
        <f>[3]United!$IJ$9</f>
        <v>3</v>
      </c>
      <c r="E20" s="7">
        <f>[3]Spirit!$IJ$9</f>
        <v>0</v>
      </c>
      <c r="F20" s="7">
        <f>[3]Condor!$IJ$9</f>
        <v>0</v>
      </c>
      <c r="G20" s="7">
        <f>'[3]Air France'!$IJ$9</f>
        <v>0</v>
      </c>
      <c r="H20" s="7">
        <f>'[3]Jet Blue'!$IJ$9</f>
        <v>0</v>
      </c>
      <c r="I20" s="7">
        <f>[3]KLM!$IJ$9</f>
        <v>0</v>
      </c>
      <c r="J20" s="7">
        <f>'Other Major Airline Stats'!K21</f>
        <v>62</v>
      </c>
      <c r="K20" s="23">
        <f>SUM(B20:J20)</f>
        <v>71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9</v>
      </c>
      <c r="D21" s="210">
        <f t="shared" si="9"/>
        <v>4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124</v>
      </c>
      <c r="K21" s="145">
        <f>SUM(B21:J21)</f>
        <v>137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637</v>
      </c>
      <c r="C23" s="18">
        <f t="shared" si="12"/>
        <v>11983</v>
      </c>
      <c r="D23" s="18">
        <f t="shared" si="12"/>
        <v>951</v>
      </c>
      <c r="E23" s="18">
        <f>E17+E21</f>
        <v>247</v>
      </c>
      <c r="F23" s="18">
        <f t="shared" ref="F23:I23" si="13">F17+F21</f>
        <v>6</v>
      </c>
      <c r="G23" s="18">
        <f t="shared" si="13"/>
        <v>0</v>
      </c>
      <c r="H23" s="18">
        <f t="shared" ref="H23" si="14">H17+H21</f>
        <v>113</v>
      </c>
      <c r="I23" s="18">
        <f t="shared" si="13"/>
        <v>34</v>
      </c>
      <c r="J23" s="18">
        <f t="shared" si="12"/>
        <v>3617</v>
      </c>
      <c r="K23" s="19">
        <f>SUM(B23:J23)</f>
        <v>17588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[3]American!$IJ$47</f>
        <v>21829</v>
      </c>
      <c r="C28" s="12">
        <f>[3]Delta!$IJ$47</f>
        <v>3161698</v>
      </c>
      <c r="D28" s="12">
        <f>[3]United!$IJ$47</f>
        <v>56022</v>
      </c>
      <c r="E28" s="12">
        <f>[3]Spirit!$IJ$47</f>
        <v>0</v>
      </c>
      <c r="F28" s="12">
        <f>[3]Condor!$IJ$47</f>
        <v>27311</v>
      </c>
      <c r="G28" s="12">
        <f>'[3]Air France'!$IJ$47</f>
        <v>0</v>
      </c>
      <c r="H28" s="12">
        <f>'[3]Jet Blue'!$IJ$47</f>
        <v>0</v>
      </c>
      <c r="I28" s="12">
        <f>[3]KLM!$IJ$47</f>
        <v>170842</v>
      </c>
      <c r="J28" s="12">
        <f>'Other Major Airline Stats'!K28</f>
        <v>222157</v>
      </c>
      <c r="K28" s="17">
        <f>SUM(B28:J28)</f>
        <v>3659859</v>
      </c>
    </row>
    <row r="29" spans="1:11" x14ac:dyDescent="0.2">
      <c r="A29" s="45" t="s">
        <v>38</v>
      </c>
      <c r="B29" s="7">
        <f>[3]American!$IJ$48</f>
        <v>18847</v>
      </c>
      <c r="C29" s="7">
        <f>[3]Delta!$IJ$48</f>
        <v>516368</v>
      </c>
      <c r="D29" s="7">
        <f>[3]United!$IJ$48</f>
        <v>31539</v>
      </c>
      <c r="E29" s="7">
        <f>[3]Spirit!$IJ$48</f>
        <v>0</v>
      </c>
      <c r="F29" s="7">
        <f>[3]Condor!$IJ$48</f>
        <v>0</v>
      </c>
      <c r="G29" s="7">
        <f>'[3]Air France'!$IJ$48</f>
        <v>0</v>
      </c>
      <c r="H29" s="7">
        <f>'[3]Jet Blue'!$IJ$48</f>
        <v>0</v>
      </c>
      <c r="I29" s="7">
        <f>[3]KLM!$IJ$48</f>
        <v>0</v>
      </c>
      <c r="J29" s="7">
        <f>'Other Major Airline Stats'!K29</f>
        <v>0</v>
      </c>
      <c r="K29" s="23">
        <f>SUM(B29:J29)</f>
        <v>566754</v>
      </c>
    </row>
    <row r="30" spans="1:11" x14ac:dyDescent="0.2">
      <c r="A30" s="49" t="s">
        <v>39</v>
      </c>
      <c r="B30" s="212">
        <f t="shared" ref="B30:J30" si="15">SUM(B28:B29)</f>
        <v>40676</v>
      </c>
      <c r="C30" s="212">
        <f t="shared" si="15"/>
        <v>3678066</v>
      </c>
      <c r="D30" s="212">
        <f t="shared" si="15"/>
        <v>87561</v>
      </c>
      <c r="E30" s="212">
        <f t="shared" si="15"/>
        <v>0</v>
      </c>
      <c r="F30" s="212">
        <f t="shared" ref="F30:I30" si="16">SUM(F28:F29)</f>
        <v>27311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170842</v>
      </c>
      <c r="J30" s="212">
        <f t="shared" si="15"/>
        <v>222157</v>
      </c>
      <c r="K30" s="17">
        <f>SUM(B30:J30)</f>
        <v>4226613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[3]American!$IJ$52</f>
        <v>3488</v>
      </c>
      <c r="C33" s="12">
        <f>[3]Delta!$IJ$52</f>
        <v>2036132</v>
      </c>
      <c r="D33" s="12">
        <f>[3]United!$IJ$52</f>
        <v>17176</v>
      </c>
      <c r="E33" s="12">
        <f>[3]Spirit!$IJ$52</f>
        <v>0</v>
      </c>
      <c r="F33" s="12">
        <f>[3]Condor!$IJ$52</f>
        <v>0</v>
      </c>
      <c r="G33" s="12">
        <f>'[3]Air France'!$IJ$52</f>
        <v>0</v>
      </c>
      <c r="H33" s="12">
        <f>'[3]Jet Blue'!$IJ$52</f>
        <v>0</v>
      </c>
      <c r="I33" s="12">
        <f>[3]KLM!$IJ$52</f>
        <v>87225</v>
      </c>
      <c r="J33" s="12">
        <f>'Other Major Airline Stats'!K33</f>
        <v>64613</v>
      </c>
      <c r="K33" s="17">
        <f t="shared" si="18"/>
        <v>2208634</v>
      </c>
    </row>
    <row r="34" spans="1:11" x14ac:dyDescent="0.2">
      <c r="A34" s="45" t="s">
        <v>38</v>
      </c>
      <c r="B34" s="7">
        <f>[3]American!$IJ$53</f>
        <v>11</v>
      </c>
      <c r="C34" s="7">
        <f>[3]Delta!$IJ$53</f>
        <v>412202</v>
      </c>
      <c r="D34" s="7">
        <f>[3]United!$IJ$53</f>
        <v>35</v>
      </c>
      <c r="E34" s="7">
        <f>[3]Spirit!$IJ$53</f>
        <v>0</v>
      </c>
      <c r="F34" s="7">
        <f>[3]Condor!$IJ$53</f>
        <v>0</v>
      </c>
      <c r="G34" s="7">
        <f>'[3]Air France'!$IJ$53</f>
        <v>0</v>
      </c>
      <c r="H34" s="7">
        <f>'[3]Jet Blue'!$IJ$53</f>
        <v>0</v>
      </c>
      <c r="I34" s="7">
        <f>[3]KLM!$IJ$53</f>
        <v>0</v>
      </c>
      <c r="J34" s="7">
        <f>'Other Major Airline Stats'!K34</f>
        <v>107</v>
      </c>
      <c r="K34" s="23">
        <f t="shared" si="18"/>
        <v>412355</v>
      </c>
    </row>
    <row r="35" spans="1:11" x14ac:dyDescent="0.2">
      <c r="A35" s="49" t="s">
        <v>41</v>
      </c>
      <c r="B35" s="212">
        <f t="shared" ref="B35:J35" si="19">SUM(B33:B34)</f>
        <v>3499</v>
      </c>
      <c r="C35" s="212">
        <f t="shared" si="19"/>
        <v>2448334</v>
      </c>
      <c r="D35" s="212">
        <f t="shared" si="19"/>
        <v>17211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87225</v>
      </c>
      <c r="J35" s="212">
        <f t="shared" si="19"/>
        <v>64720</v>
      </c>
      <c r="K35" s="17">
        <f t="shared" si="18"/>
        <v>2620989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[3]American!$IJ$57</f>
        <v>0</v>
      </c>
      <c r="C38" s="12">
        <f>[3]Delta!$IJ$57</f>
        <v>0</v>
      </c>
      <c r="D38" s="12">
        <f>[3]United!$IJ$57</f>
        <v>0</v>
      </c>
      <c r="E38" s="12">
        <f>[3]Spirit!$IJ$57</f>
        <v>0</v>
      </c>
      <c r="F38" s="12">
        <f>[3]Condor!$IJ$57</f>
        <v>0</v>
      </c>
      <c r="G38" s="12">
        <f>'[3]Air France'!$IJ$57</f>
        <v>0</v>
      </c>
      <c r="H38" s="12">
        <f>'[3]Jet Blue'!$IJ$57</f>
        <v>0</v>
      </c>
      <c r="I38" s="12">
        <f>[3]KLM!$IJ$57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[3]American!$IJ$58</f>
        <v>0</v>
      </c>
      <c r="C39" s="7">
        <f>[3]Delta!$IJ$58</f>
        <v>0</v>
      </c>
      <c r="D39" s="7">
        <f>[3]United!$IJ$58</f>
        <v>0</v>
      </c>
      <c r="E39" s="7">
        <f>[3]Spirit!$IJ$58</f>
        <v>0</v>
      </c>
      <c r="F39" s="7">
        <f>[3]Condor!$IJ$58</f>
        <v>0</v>
      </c>
      <c r="G39" s="7">
        <f>'[3]Air France'!$IJ$58</f>
        <v>0</v>
      </c>
      <c r="H39" s="7">
        <f>'[3]Jet Blue'!$IJ$58</f>
        <v>0</v>
      </c>
      <c r="I39" s="7">
        <f>[3]KLM!$IJ$58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25317</v>
      </c>
      <c r="C43" s="12">
        <f t="shared" si="25"/>
        <v>5197830</v>
      </c>
      <c r="D43" s="12">
        <f t="shared" si="25"/>
        <v>73198</v>
      </c>
      <c r="E43" s="12">
        <f>E28+E33+E38</f>
        <v>0</v>
      </c>
      <c r="F43" s="12">
        <f t="shared" ref="F43:I43" si="26">F28+F33+F38</f>
        <v>27311</v>
      </c>
      <c r="G43" s="12">
        <f t="shared" si="26"/>
        <v>0</v>
      </c>
      <c r="H43" s="12">
        <f t="shared" ref="H43" si="27">H28+H33+H38</f>
        <v>0</v>
      </c>
      <c r="I43" s="12">
        <f t="shared" si="26"/>
        <v>258067</v>
      </c>
      <c r="J43" s="12">
        <f t="shared" si="25"/>
        <v>286770</v>
      </c>
      <c r="K43" s="17">
        <f>SUM(B43:J43)</f>
        <v>5868493</v>
      </c>
    </row>
    <row r="44" spans="1:11" x14ac:dyDescent="0.2">
      <c r="A44" s="45" t="s">
        <v>38</v>
      </c>
      <c r="B44" s="7">
        <f t="shared" si="25"/>
        <v>18858</v>
      </c>
      <c r="C44" s="7">
        <f t="shared" si="25"/>
        <v>928570</v>
      </c>
      <c r="D44" s="7">
        <f t="shared" si="25"/>
        <v>31574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107</v>
      </c>
      <c r="K44" s="17">
        <f>SUM(B44:J44)</f>
        <v>979109</v>
      </c>
    </row>
    <row r="45" spans="1:11" ht="15.75" thickBot="1" x14ac:dyDescent="0.3">
      <c r="A45" s="46" t="s">
        <v>46</v>
      </c>
      <c r="B45" s="213">
        <f t="shared" ref="B45:J45" si="30">SUM(B43:B44)</f>
        <v>44175</v>
      </c>
      <c r="C45" s="213">
        <f t="shared" si="30"/>
        <v>6126400</v>
      </c>
      <c r="D45" s="213">
        <f t="shared" si="30"/>
        <v>104772</v>
      </c>
      <c r="E45" s="213">
        <f t="shared" si="30"/>
        <v>0</v>
      </c>
      <c r="F45" s="213">
        <f t="shared" ref="F45:I45" si="31">SUM(F43:F44)</f>
        <v>27311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258067</v>
      </c>
      <c r="J45" s="213">
        <f t="shared" si="30"/>
        <v>286877</v>
      </c>
      <c r="K45" s="214">
        <f>SUM(B45:J45)</f>
        <v>6847602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121</v>
      </c>
      <c r="C47" s="239">
        <f>[3]Delta!$IJ$70+[3]Delta!$IJ$73</f>
        <v>458202</v>
      </c>
      <c r="D47" s="227"/>
      <c r="E47" s="227"/>
      <c r="F47" s="227"/>
      <c r="G47" s="227"/>
      <c r="H47" s="227"/>
      <c r="I47" s="227"/>
      <c r="J47" s="227"/>
      <c r="K47" s="228">
        <f>SUM(B47:J47)</f>
        <v>458202</v>
      </c>
    </row>
    <row r="48" spans="1:11" hidden="1" x14ac:dyDescent="0.2">
      <c r="A48" s="277" t="s">
        <v>122</v>
      </c>
      <c r="C48" s="239">
        <f>[3]Delta!$IJ$71+[3]Delta!$IJ$74</f>
        <v>377512</v>
      </c>
      <c r="D48" s="227"/>
      <c r="E48" s="227"/>
      <c r="F48" s="227"/>
      <c r="G48" s="227"/>
      <c r="H48" s="227"/>
      <c r="I48" s="227"/>
      <c r="J48" s="227"/>
      <c r="K48" s="228">
        <f>SUM(B48:J48)</f>
        <v>377512</v>
      </c>
    </row>
    <row r="49" spans="1:11" hidden="1" x14ac:dyDescent="0.2">
      <c r="A49" s="278" t="s">
        <v>123</v>
      </c>
      <c r="C49" s="240">
        <f>SUM(C47:C48)</f>
        <v>835714</v>
      </c>
      <c r="K49" s="228">
        <f>SUM(B49:J49)</f>
        <v>835714</v>
      </c>
    </row>
    <row r="50" spans="1:11" x14ac:dyDescent="0.2">
      <c r="A50" s="276" t="s">
        <v>121</v>
      </c>
      <c r="B50" s="287"/>
      <c r="C50" s="242">
        <f>[3]Delta!$IJ$70+[3]Delta!$IJ$73</f>
        <v>458202</v>
      </c>
      <c r="D50" s="287"/>
      <c r="E50" s="242">
        <f>[3]Spirit!$IJ$70+[3]Spirit!$IJ$73</f>
        <v>0</v>
      </c>
      <c r="F50" s="287"/>
      <c r="G50" s="287"/>
      <c r="H50" s="287"/>
      <c r="I50" s="287"/>
      <c r="J50" s="241">
        <f>'Other Major Airline Stats'!K48</f>
        <v>187783</v>
      </c>
      <c r="K50" s="231">
        <f>SUM(B50:J50)</f>
        <v>645985</v>
      </c>
    </row>
    <row r="51" spans="1:11" x14ac:dyDescent="0.2">
      <c r="A51" s="289" t="s">
        <v>122</v>
      </c>
      <c r="B51" s="287"/>
      <c r="C51" s="242">
        <f>[3]Delta!$IJ$71+[3]Delta!$IJ$74</f>
        <v>377512</v>
      </c>
      <c r="D51" s="287"/>
      <c r="E51" s="242">
        <f>[3]Spirit!$IJ$71+[3]Spirit!$IJ$74</f>
        <v>0</v>
      </c>
      <c r="F51" s="287"/>
      <c r="G51" s="287"/>
      <c r="H51" s="287"/>
      <c r="I51" s="287"/>
      <c r="J51" s="241">
        <f>+'Other Major Airline Stats'!K49</f>
        <v>738</v>
      </c>
      <c r="K51" s="231">
        <f>SUM(B51:J51)</f>
        <v>378250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I16" sqref="I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45047</v>
      </c>
      <c r="B2" s="326" t="s">
        <v>47</v>
      </c>
      <c r="C2" s="325" t="s">
        <v>225</v>
      </c>
      <c r="D2" s="325" t="s">
        <v>201</v>
      </c>
      <c r="E2" s="325" t="s">
        <v>217</v>
      </c>
      <c r="F2" s="325" t="s">
        <v>178</v>
      </c>
      <c r="G2" s="326" t="s">
        <v>48</v>
      </c>
      <c r="H2" s="325" t="s">
        <v>129</v>
      </c>
      <c r="I2" s="325" t="s">
        <v>49</v>
      </c>
      <c r="J2" s="325" t="s">
        <v>128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[3]Frontier!$IJ$22+[3]Frontier!$IJ$32</f>
        <v>10401</v>
      </c>
      <c r="C5" s="95">
        <f>'[3]Allegiant '!$IJ$22</f>
        <v>4715</v>
      </c>
      <c r="D5" s="95">
        <f>'[3]Aer Lingus'!$IJ$22+'[3]Aer Lingus'!$IJ$32</f>
        <v>0</v>
      </c>
      <c r="E5" s="95">
        <f>'[3]Denver Air'!$IJ$22+'[3]Denver Air'!$IJ$32</f>
        <v>707</v>
      </c>
      <c r="F5" s="95">
        <f>'[3]Boutique Air'!$IJ$22</f>
        <v>0</v>
      </c>
      <c r="G5" s="95">
        <f>[3]Icelandair!$IJ$32</f>
        <v>3400</v>
      </c>
      <c r="H5" s="95">
        <f>[3]Southwest!$IJ$22</f>
        <v>72274</v>
      </c>
      <c r="I5" s="95">
        <f>'[3]Sun Country'!$IJ$22+'[3]Sun Country'!$IJ$32</f>
        <v>126682</v>
      </c>
      <c r="J5" s="95">
        <f>[3]Alaska!$IJ$22</f>
        <v>11710</v>
      </c>
      <c r="K5" s="118">
        <f>SUM(B5:J5)</f>
        <v>229889</v>
      </c>
      <c r="N5" s="95"/>
    </row>
    <row r="6" spans="1:14" x14ac:dyDescent="0.2">
      <c r="A6" s="45" t="s">
        <v>31</v>
      </c>
      <c r="B6" s="95">
        <f>[3]Frontier!$IJ$23+[3]Frontier!$IJ$33</f>
        <v>9642</v>
      </c>
      <c r="C6" s="95">
        <f>'[3]Allegiant '!$IJ$23</f>
        <v>4052</v>
      </c>
      <c r="D6" s="95">
        <f>'[3]Aer Lingus'!$IJ$23+'[3]Aer Lingus'!$IJ$33</f>
        <v>0</v>
      </c>
      <c r="E6" s="95">
        <f>'[3]Denver Air'!$IJ$23+'[3]Denver Air'!$IJ$33</f>
        <v>781</v>
      </c>
      <c r="F6" s="95">
        <f>'[3]Boutique Air'!$IJ$23</f>
        <v>0</v>
      </c>
      <c r="G6" s="95">
        <f>[3]Icelandair!$IJ$33</f>
        <v>4303</v>
      </c>
      <c r="H6" s="95">
        <f>[3]Southwest!$IJ$23</f>
        <v>67305</v>
      </c>
      <c r="I6" s="95">
        <f>'[3]Sun Country'!$IJ$23+'[3]Sun Country'!$IJ$33</f>
        <v>121216</v>
      </c>
      <c r="J6" s="95">
        <f>[3]Alaska!$IJ$23</f>
        <v>11861</v>
      </c>
      <c r="K6" s="118">
        <f>SUM(B6:J6)</f>
        <v>219160</v>
      </c>
    </row>
    <row r="7" spans="1:14" ht="15" x14ac:dyDescent="0.25">
      <c r="A7" s="43" t="s">
        <v>7</v>
      </c>
      <c r="B7" s="126">
        <f>SUM(B5:B6)</f>
        <v>20043</v>
      </c>
      <c r="C7" s="126">
        <f t="shared" ref="C7:F7" si="0">SUM(C5:C6)</f>
        <v>8767</v>
      </c>
      <c r="D7" s="126">
        <f>SUM(D5:D6)</f>
        <v>0</v>
      </c>
      <c r="E7" s="126">
        <f>SUM(E5:E6)</f>
        <v>1488</v>
      </c>
      <c r="F7" s="126">
        <f t="shared" si="0"/>
        <v>0</v>
      </c>
      <c r="G7" s="126">
        <f t="shared" ref="G7:J7" si="1">SUM(G5:G6)</f>
        <v>7703</v>
      </c>
      <c r="H7" s="126">
        <f t="shared" si="1"/>
        <v>139579</v>
      </c>
      <c r="I7" s="126">
        <f>SUM(I5:I6)</f>
        <v>247898</v>
      </c>
      <c r="J7" s="126">
        <f t="shared" si="1"/>
        <v>23571</v>
      </c>
      <c r="K7" s="127">
        <f>SUM(B7:J7)</f>
        <v>449049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[3]Frontier!$IJ$27+[3]Frontier!$IJ$37</f>
        <v>56</v>
      </c>
      <c r="C10" s="125">
        <f>'[3]Allegiant '!$IJ$27</f>
        <v>0</v>
      </c>
      <c r="D10" s="359">
        <f>'[3]Aer Lingus'!$IJ$27+'[3]Aer Lingus'!$IJ$37</f>
        <v>0</v>
      </c>
      <c r="E10" s="125">
        <f>'[3]Denver Air'!$IJ$27+'[3]Denver Air'!$IJ$37</f>
        <v>42</v>
      </c>
      <c r="F10" s="125">
        <f>'[3]Boutique Air'!$IJ$27</f>
        <v>0</v>
      </c>
      <c r="G10" s="125">
        <f>[3]Icelandair!$IJ$37</f>
        <v>22</v>
      </c>
      <c r="H10" s="125">
        <f>[3]Southwest!$IJ$27</f>
        <v>1520</v>
      </c>
      <c r="I10" s="125">
        <f>'[3]Sun Country'!$IJ$27+'[3]Sun Country'!$IJ$37</f>
        <v>2831</v>
      </c>
      <c r="J10" s="125">
        <f>[3]Alaska!$IJ$27</f>
        <v>301</v>
      </c>
      <c r="K10" s="118">
        <f>SUM(B10:J10)</f>
        <v>4772</v>
      </c>
    </row>
    <row r="11" spans="1:14" x14ac:dyDescent="0.2">
      <c r="A11" s="45" t="s">
        <v>33</v>
      </c>
      <c r="B11" s="128">
        <f>[3]Frontier!$IJ$28+[3]Frontier!$IJ$38</f>
        <v>64</v>
      </c>
      <c r="C11" s="128">
        <f>'[3]Allegiant '!$IJ$28</f>
        <v>0</v>
      </c>
      <c r="D11" s="128">
        <f>'[3]Aer Lingus'!$IJ$28+'[3]Aer Lingus'!$IJ$38</f>
        <v>0</v>
      </c>
      <c r="E11" s="128">
        <f>'[3]Denver Air'!$IJ$28+'[3]Denver Air'!$IJ$38</f>
        <v>45</v>
      </c>
      <c r="F11" s="128">
        <f>'[3]Boutique Air'!$IJ$28</f>
        <v>0</v>
      </c>
      <c r="G11" s="128">
        <f>[3]Icelandair!$IJ$38</f>
        <v>29</v>
      </c>
      <c r="H11" s="128">
        <f>[3]Southwest!$IJ$28</f>
        <v>1511</v>
      </c>
      <c r="I11" s="128">
        <f>'[3]Sun Country'!$IJ$28+'[3]Sun Country'!$IJ$38</f>
        <v>2925</v>
      </c>
      <c r="J11" s="128">
        <f>[3]Alaska!$IJ$28</f>
        <v>282</v>
      </c>
      <c r="K11" s="118">
        <f>SUM(B11:J11)</f>
        <v>4856</v>
      </c>
    </row>
    <row r="12" spans="1:14" ht="15.75" thickBot="1" x14ac:dyDescent="0.3">
      <c r="A12" s="46" t="s">
        <v>34</v>
      </c>
      <c r="B12" s="121">
        <f>SUM(B10:B11)</f>
        <v>120</v>
      </c>
      <c r="C12" s="121">
        <f t="shared" ref="C12:F12" si="2">SUM(C10:C11)</f>
        <v>0</v>
      </c>
      <c r="D12" s="121">
        <f>SUM(D10:D11)</f>
        <v>0</v>
      </c>
      <c r="E12" s="121">
        <f>SUM(E10:E11)</f>
        <v>87</v>
      </c>
      <c r="F12" s="121">
        <f t="shared" si="2"/>
        <v>0</v>
      </c>
      <c r="G12" s="121">
        <f t="shared" ref="G12:J12" si="3">SUM(G10:G11)</f>
        <v>51</v>
      </c>
      <c r="H12" s="121">
        <f t="shared" si="3"/>
        <v>3031</v>
      </c>
      <c r="I12" s="121">
        <f>SUM(I10:I11)</f>
        <v>5756</v>
      </c>
      <c r="J12" s="121">
        <f t="shared" si="3"/>
        <v>583</v>
      </c>
      <c r="K12" s="129">
        <f>SUM(B12:J12)</f>
        <v>9628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[3]Frontier!$IJ$4+[3]Frontier!$IJ$15</f>
        <v>59</v>
      </c>
      <c r="C16" s="85">
        <f>'[3]Allegiant '!$IJ$4</f>
        <v>33</v>
      </c>
      <c r="D16" s="95">
        <f>'[3]Aer Lingus'!$IJ$4+'[3]Aer Lingus'!$IJ$15</f>
        <v>0</v>
      </c>
      <c r="E16" s="95">
        <f>'[3]Denver Air'!$IJ$4+'[3]Denver Air'!$IJ$15</f>
        <v>80</v>
      </c>
      <c r="F16" s="85">
        <f>'[3]Boutique Air'!$IJ$4</f>
        <v>0</v>
      </c>
      <c r="G16" s="95">
        <f>[3]Icelandair!$IJ$15</f>
        <v>26</v>
      </c>
      <c r="H16" s="85">
        <f>[3]Southwest!$IJ$4</f>
        <v>632</v>
      </c>
      <c r="I16" s="95">
        <f>'[3]Sun Country'!$IJ$4+'[3]Sun Country'!$IJ$15</f>
        <v>839</v>
      </c>
      <c r="J16" s="95">
        <f>[3]Alaska!$IJ$4</f>
        <v>75</v>
      </c>
      <c r="K16" s="118">
        <f>SUM(B16:J16)</f>
        <v>1744</v>
      </c>
    </row>
    <row r="17" spans="1:258" x14ac:dyDescent="0.2">
      <c r="A17" s="45" t="s">
        <v>23</v>
      </c>
      <c r="B17" s="95">
        <f>[3]Frontier!$IJ$5+[3]Frontier!$IJ$16</f>
        <v>58</v>
      </c>
      <c r="C17" s="85">
        <f>'[3]Allegiant '!$IJ$5</f>
        <v>33</v>
      </c>
      <c r="D17" s="95">
        <f>'[3]Aer Lingus'!$IJ$5+'[3]Aer Lingus'!$IJ$16</f>
        <v>0</v>
      </c>
      <c r="E17" s="95">
        <f>'[3]Denver Air'!$IJ$5+'[3]Denver Air'!$IJ$16</f>
        <v>80</v>
      </c>
      <c r="F17" s="85">
        <f>'[3]Boutique Air'!$IJ$5</f>
        <v>0</v>
      </c>
      <c r="G17" s="95">
        <f>[3]Icelandair!$IJ$16</f>
        <v>26</v>
      </c>
      <c r="H17" s="85">
        <f>[3]Southwest!$IJ$5</f>
        <v>630</v>
      </c>
      <c r="I17" s="95">
        <f>'[3]Sun Country'!$IJ$5+'[3]Sun Country'!$IJ$16</f>
        <v>847</v>
      </c>
      <c r="J17" s="95">
        <f>[3]Alaska!$IJ$5</f>
        <v>75</v>
      </c>
      <c r="K17" s="118">
        <f>SUM(B17:J17)</f>
        <v>1749</v>
      </c>
    </row>
    <row r="18" spans="1:258" x14ac:dyDescent="0.2">
      <c r="A18" s="49" t="s">
        <v>24</v>
      </c>
      <c r="B18" s="119">
        <f t="shared" ref="B18" si="4">SUM(B16:B17)</f>
        <v>117</v>
      </c>
      <c r="C18" s="119">
        <f t="shared" ref="C18:F18" si="5">SUM(C16:C17)</f>
        <v>66</v>
      </c>
      <c r="D18" s="119">
        <f t="shared" si="5"/>
        <v>0</v>
      </c>
      <c r="E18" s="119">
        <f t="shared" si="5"/>
        <v>160</v>
      </c>
      <c r="F18" s="119">
        <f t="shared" si="5"/>
        <v>0</v>
      </c>
      <c r="G18" s="119">
        <f t="shared" ref="G18:J18" si="6">SUM(G16:G17)</f>
        <v>52</v>
      </c>
      <c r="H18" s="119">
        <f t="shared" si="6"/>
        <v>1262</v>
      </c>
      <c r="I18" s="119">
        <f t="shared" si="6"/>
        <v>1686</v>
      </c>
      <c r="J18" s="119">
        <f t="shared" si="6"/>
        <v>150</v>
      </c>
      <c r="K18" s="120">
        <f>SUM(B18:J18)</f>
        <v>3493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[3]Frontier!$IJ$8</f>
        <v>0</v>
      </c>
      <c r="C20" s="95">
        <f>'[3]Allegiant '!$IJ$8</f>
        <v>0</v>
      </c>
      <c r="D20" s="95">
        <f>'[3]Aer Lingus'!$IJ$8</f>
        <v>0</v>
      </c>
      <c r="E20" s="95">
        <f>'[3]Denver Air'!$IJ$8</f>
        <v>0</v>
      </c>
      <c r="F20" s="95">
        <f>'[3]Boutique Air'!$IJ$8</f>
        <v>0</v>
      </c>
      <c r="G20" s="95">
        <f>[3]Icelandair!$IJ$8</f>
        <v>0</v>
      </c>
      <c r="H20" s="95">
        <f>[3]Southwest!$IJ$8</f>
        <v>0</v>
      </c>
      <c r="I20" s="95">
        <f>'[3]Sun Country'!$IJ$8</f>
        <v>62</v>
      </c>
      <c r="J20" s="95">
        <f>[3]Alaska!$IJ$8</f>
        <v>0</v>
      </c>
      <c r="K20" s="118">
        <f>SUM(B20:J20)</f>
        <v>62</v>
      </c>
    </row>
    <row r="21" spans="1:258" x14ac:dyDescent="0.2">
      <c r="A21" s="45" t="s">
        <v>26</v>
      </c>
      <c r="B21" s="95">
        <f>[3]Frontier!$IJ$9</f>
        <v>0</v>
      </c>
      <c r="C21" s="95">
        <f>'[3]Allegiant '!$IJ$9</f>
        <v>0</v>
      </c>
      <c r="D21" s="95">
        <f>'[3]Aer Lingus'!$IJ$9</f>
        <v>0</v>
      </c>
      <c r="E21" s="95">
        <f>'[3]Denver Air'!$IJ$9</f>
        <v>0</v>
      </c>
      <c r="F21" s="95">
        <f>'[3]Boutique Air'!$IJ$9</f>
        <v>0</v>
      </c>
      <c r="G21" s="95">
        <f>[3]Icelandair!$IJ$9</f>
        <v>0</v>
      </c>
      <c r="H21" s="95">
        <f>[3]Southwest!$IJ$9</f>
        <v>0</v>
      </c>
      <c r="I21" s="95">
        <f>'[3]Sun Country'!$IJ$9</f>
        <v>62</v>
      </c>
      <c r="J21" s="95">
        <f>[3]Alaska!$IJ$9</f>
        <v>0</v>
      </c>
      <c r="K21" s="118">
        <f>SUM(B21:J21)</f>
        <v>62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124</v>
      </c>
      <c r="J22" s="119">
        <f t="shared" si="9"/>
        <v>0</v>
      </c>
      <c r="K22" s="120">
        <f>SUM(B22:J22)</f>
        <v>124</v>
      </c>
    </row>
    <row r="23" spans="1:258" ht="15.75" thickBot="1" x14ac:dyDescent="0.3">
      <c r="A23" s="46" t="s">
        <v>28</v>
      </c>
      <c r="B23" s="121">
        <f t="shared" ref="B23" si="10">B22+B18</f>
        <v>117</v>
      </c>
      <c r="C23" s="121">
        <f t="shared" ref="C23:F23" si="11">C22+C18</f>
        <v>66</v>
      </c>
      <c r="D23" s="121">
        <f t="shared" si="11"/>
        <v>0</v>
      </c>
      <c r="E23" s="121">
        <f t="shared" si="11"/>
        <v>160</v>
      </c>
      <c r="F23" s="121">
        <f t="shared" si="11"/>
        <v>0</v>
      </c>
      <c r="G23" s="121">
        <f t="shared" ref="G23:J23" si="12">G22+G18</f>
        <v>52</v>
      </c>
      <c r="H23" s="121">
        <f t="shared" si="12"/>
        <v>1262</v>
      </c>
      <c r="I23" s="121">
        <f>I22+I18</f>
        <v>1810</v>
      </c>
      <c r="J23" s="121">
        <f t="shared" si="12"/>
        <v>150</v>
      </c>
      <c r="K23" s="122">
        <f>SUM(B23:J23)</f>
        <v>3617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[3]Frontier!$IJ$47</f>
        <v>0</v>
      </c>
      <c r="C28" s="95">
        <f>'[3]Allegiant '!$IJ$47</f>
        <v>0</v>
      </c>
      <c r="D28" s="95">
        <f>'[3]Aer Lingus'!$IJ$47</f>
        <v>0</v>
      </c>
      <c r="E28" s="95">
        <f>'[3]Denver Air'!$IJ$47</f>
        <v>0</v>
      </c>
      <c r="F28" s="95">
        <f>'[3]Boutique Air'!$IJ$47</f>
        <v>0</v>
      </c>
      <c r="G28" s="95">
        <f>[3]Icelandair!$IJ$47</f>
        <v>317</v>
      </c>
      <c r="H28" s="95">
        <f>[3]Southwest!$IJ$47</f>
        <v>199162</v>
      </c>
      <c r="I28" s="95">
        <f>'[3]Sun Country'!$IJ$47</f>
        <v>0</v>
      </c>
      <c r="J28" s="95">
        <f>[3]Alaska!$IJ$47</f>
        <v>22678</v>
      </c>
      <c r="K28" s="118">
        <f>SUM(B28:J28)</f>
        <v>222157</v>
      </c>
    </row>
    <row r="29" spans="1:258" x14ac:dyDescent="0.2">
      <c r="A29" s="45" t="s">
        <v>38</v>
      </c>
      <c r="B29" s="95">
        <f>[3]Frontier!$IJ$48</f>
        <v>0</v>
      </c>
      <c r="C29" s="95">
        <f>'[3]Allegiant '!$IJ$48</f>
        <v>0</v>
      </c>
      <c r="D29" s="95">
        <f>'[3]Aer Lingus'!$IJ$48</f>
        <v>0</v>
      </c>
      <c r="E29" s="95">
        <f>'[3]Denver Air'!$IJ$48</f>
        <v>0</v>
      </c>
      <c r="F29" s="95">
        <f>'[3]Boutique Air'!$IJ$48</f>
        <v>0</v>
      </c>
      <c r="G29" s="95">
        <f>[3]Icelandair!$IJ$48</f>
        <v>0</v>
      </c>
      <c r="H29" s="95">
        <f>[3]Southwest!$IJ$48</f>
        <v>0</v>
      </c>
      <c r="I29" s="95">
        <f>'[3]Sun Country'!$IJ$48</f>
        <v>0</v>
      </c>
      <c r="J29" s="95">
        <f>[3]Alaska!$IJ$48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317</v>
      </c>
      <c r="H30" s="133">
        <f t="shared" si="15"/>
        <v>199162</v>
      </c>
      <c r="I30" s="133">
        <f t="shared" si="15"/>
        <v>0</v>
      </c>
      <c r="J30" s="133">
        <f t="shared" si="15"/>
        <v>22678</v>
      </c>
      <c r="K30" s="135">
        <f>SUM(B30:J30)</f>
        <v>222157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[3]Frontier!$IJ$52</f>
        <v>0</v>
      </c>
      <c r="C33" s="95">
        <f>'[3]Allegiant '!$IJ$52</f>
        <v>0</v>
      </c>
      <c r="D33" s="95">
        <f>'[3]Aer Lingus'!$IJ$52</f>
        <v>0</v>
      </c>
      <c r="E33" s="95">
        <f>'[3]Denver Air'!$IJ$52</f>
        <v>0</v>
      </c>
      <c r="F33" s="95">
        <f>'[3]Boutique Air'!$IJ$52</f>
        <v>0</v>
      </c>
      <c r="G33" s="95">
        <f>[3]Icelandair!$IJ$52</f>
        <v>0</v>
      </c>
      <c r="H33" s="95">
        <f>[3]Southwest!$IJ$52</f>
        <v>49102</v>
      </c>
      <c r="I33" s="95">
        <f>'[3]Sun Country'!$IJ$52</f>
        <v>0</v>
      </c>
      <c r="J33" s="95">
        <f>[3]Alaska!$IJ$52</f>
        <v>15511</v>
      </c>
      <c r="K33" s="118">
        <f>SUM(B33:J33)</f>
        <v>64613</v>
      </c>
    </row>
    <row r="34" spans="1:11" x14ac:dyDescent="0.2">
      <c r="A34" s="45" t="s">
        <v>38</v>
      </c>
      <c r="B34" s="95">
        <f>[3]Frontier!$IJ$53</f>
        <v>0</v>
      </c>
      <c r="C34" s="95">
        <f>'[3]Allegiant '!$IJ$53</f>
        <v>0</v>
      </c>
      <c r="D34" s="95">
        <f>'[3]Aer Lingus'!$IJ$53</f>
        <v>0</v>
      </c>
      <c r="E34" s="95">
        <f>'[3]Denver Air'!$IJ$53</f>
        <v>0</v>
      </c>
      <c r="F34" s="95">
        <f>'[3]Boutique Air'!$IJ$53</f>
        <v>0</v>
      </c>
      <c r="G34" s="95">
        <f>[3]Icelandair!$IJ$53</f>
        <v>0</v>
      </c>
      <c r="H34" s="95">
        <f>[3]Southwest!$IJ$53</f>
        <v>0</v>
      </c>
      <c r="I34" s="95">
        <f>'[3]Sun Country'!$IJ$53</f>
        <v>0</v>
      </c>
      <c r="J34" s="95">
        <f>[3]Alaska!$IJ$53</f>
        <v>107</v>
      </c>
      <c r="K34" s="134">
        <f>SUM(B34:J34)</f>
        <v>107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49102</v>
      </c>
      <c r="I35" s="119">
        <f t="shared" si="18"/>
        <v>0</v>
      </c>
      <c r="J35" s="119">
        <f t="shared" si="18"/>
        <v>15618</v>
      </c>
      <c r="K35" s="135">
        <f>SUM(B35:J35)</f>
        <v>64720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[3]Frontier!$IJ$57</f>
        <v>0</v>
      </c>
      <c r="C38" s="125">
        <f>'[3]Allegiant '!$IJ$57</f>
        <v>0</v>
      </c>
      <c r="D38" s="359">
        <f>'[3]Aer Lingus'!$IJ$57</f>
        <v>0</v>
      </c>
      <c r="E38" s="125">
        <f>'[3]Denver Air'!$IJ$57</f>
        <v>0</v>
      </c>
      <c r="F38" s="125">
        <f>'[3]Boutique Air'!$IJ$57</f>
        <v>0</v>
      </c>
      <c r="G38" s="125">
        <f>[3]Icelandair!$IJ$57</f>
        <v>0</v>
      </c>
      <c r="H38" s="125">
        <f>[3]Southwest!$IJ$57</f>
        <v>0</v>
      </c>
      <c r="I38" s="125">
        <f>'[3]Sun Country'!$IJ$57</f>
        <v>0</v>
      </c>
      <c r="J38" s="125">
        <f>[3]Alaska!$IJ$57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[3]Frontier!$IJ$58</f>
        <v>0</v>
      </c>
      <c r="C39" s="128">
        <f>'[3]Allegiant '!$IJ$58</f>
        <v>0</v>
      </c>
      <c r="D39" s="128">
        <f>'[3]Aer Lingus'!$IJ$58</f>
        <v>0</v>
      </c>
      <c r="E39" s="128">
        <f>'[3]Denver Air'!$IJ$58</f>
        <v>0</v>
      </c>
      <c r="F39" s="128">
        <f>'[3]Boutique Air'!$IJ$58</f>
        <v>0</v>
      </c>
      <c r="G39" s="128">
        <f>[3]Icelandair!$IJ$58</f>
        <v>0</v>
      </c>
      <c r="H39" s="128">
        <f>[3]Southwest!$IJ$58</f>
        <v>0</v>
      </c>
      <c r="I39" s="128">
        <f>'[3]Sun Country'!$IJ$58</f>
        <v>0</v>
      </c>
      <c r="J39" s="128">
        <f>[3]Alaska!$IJ$58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317</v>
      </c>
      <c r="H43" s="125">
        <f t="shared" si="24"/>
        <v>248264</v>
      </c>
      <c r="I43" s="125">
        <f t="shared" si="24"/>
        <v>0</v>
      </c>
      <c r="J43" s="125">
        <f t="shared" si="24"/>
        <v>38189</v>
      </c>
      <c r="K43" s="118">
        <f>SUM(B43:J43)</f>
        <v>286770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107</v>
      </c>
      <c r="K44" s="118">
        <f>SUM(B44:J44)</f>
        <v>107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317</v>
      </c>
      <c r="H45" s="137">
        <f t="shared" si="30"/>
        <v>248264</v>
      </c>
      <c r="I45" s="137">
        <f t="shared" si="30"/>
        <v>0</v>
      </c>
      <c r="J45" s="137">
        <f t="shared" si="30"/>
        <v>38296</v>
      </c>
      <c r="K45" s="138">
        <f>SUM(B45:J45)</f>
        <v>286877</v>
      </c>
    </row>
    <row r="48" spans="1:11" x14ac:dyDescent="0.2">
      <c r="A48" s="276" t="s">
        <v>121</v>
      </c>
      <c r="B48" s="287"/>
      <c r="C48" s="287"/>
      <c r="D48" s="287"/>
      <c r="E48" s="287"/>
      <c r="F48" s="287"/>
      <c r="H48" s="242">
        <f>[3]Southwest!$IJ$70+[3]Southwest!$IJ$73</f>
        <v>66567</v>
      </c>
      <c r="I48" s="242">
        <f>'[3]Sun Country'!$IJ$70+'[3]Sun Country'!$IJ$73</f>
        <v>121216</v>
      </c>
      <c r="J48" s="287"/>
      <c r="K48" s="231">
        <f>SUM(B48:J48)</f>
        <v>187783</v>
      </c>
    </row>
    <row r="49" spans="1:11" x14ac:dyDescent="0.2">
      <c r="A49" s="289" t="s">
        <v>122</v>
      </c>
      <c r="B49" s="287"/>
      <c r="C49" s="287"/>
      <c r="D49" s="287"/>
      <c r="E49" s="287"/>
      <c r="F49" s="287"/>
      <c r="H49" s="242">
        <f>[3]Southwest!$IJ$71+[3]Southwest!$IJ$74</f>
        <v>738</v>
      </c>
      <c r="I49" s="242">
        <f>'[3]Sun Country'!$IJ$71+'[3]Sun Country'!$IJ$74</f>
        <v>0</v>
      </c>
      <c r="J49" s="287"/>
      <c r="K49" s="231">
        <f>SUM(B49:J49)</f>
        <v>738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May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D7" sqref="D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45047</v>
      </c>
      <c r="B2" s="404" t="s">
        <v>157</v>
      </c>
      <c r="C2" s="404" t="s">
        <v>160</v>
      </c>
      <c r="D2" s="404" t="s">
        <v>168</v>
      </c>
      <c r="E2" s="404" t="s">
        <v>167</v>
      </c>
      <c r="F2" s="404" t="s">
        <v>169</v>
      </c>
      <c r="G2" s="404" t="s">
        <v>196</v>
      </c>
      <c r="H2" s="404" t="s">
        <v>173</v>
      </c>
      <c r="I2" s="404" t="s">
        <v>179</v>
      </c>
      <c r="J2" s="404" t="s">
        <v>194</v>
      </c>
      <c r="K2" s="404" t="s">
        <v>172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[3]Pinnacle!$IJ$22+[3]Pinnacle!$IJ$32</f>
        <v>40585</v>
      </c>
      <c r="C5" s="87">
        <f>[3]MESA_UA!$IJ$22</f>
        <v>2137</v>
      </c>
      <c r="D5" s="95">
        <f>'[3]Sky West'!$IJ$22+'[3]Sky West'!$IJ$32</f>
        <v>108788</v>
      </c>
      <c r="E5" s="95">
        <f>'[3]Sky West_UA'!$IJ$22</f>
        <v>74</v>
      </c>
      <c r="F5" s="95">
        <f>'[3]Sky West_AS'!$IJ$22</f>
        <v>0</v>
      </c>
      <c r="G5" s="95">
        <f>'[3]Sky West_AA'!$IJ$22</f>
        <v>0</v>
      </c>
      <c r="H5" s="95">
        <f>[3]Republic!$IJ$22</f>
        <v>7506</v>
      </c>
      <c r="I5" s="95">
        <f>[3]Republic_UA!$IJ$22</f>
        <v>1871</v>
      </c>
      <c r="J5" s="95">
        <f>'[3]Sky Regional'!$IJ$32</f>
        <v>0</v>
      </c>
      <c r="K5" s="95">
        <f>'[3]American Eagle'!$IJ$22</f>
        <v>6380</v>
      </c>
      <c r="L5" s="95">
        <f>'Other Regional'!L5</f>
        <v>8422</v>
      </c>
      <c r="M5" s="88">
        <f>SUM(B5:L5)</f>
        <v>175763</v>
      </c>
    </row>
    <row r="6" spans="1:16" s="6" customFormat="1" x14ac:dyDescent="0.2">
      <c r="A6" s="45" t="s">
        <v>31</v>
      </c>
      <c r="B6" s="87">
        <f>[3]Pinnacle!$IJ$23+[3]Pinnacle!$IJ$33</f>
        <v>40753</v>
      </c>
      <c r="C6" s="87">
        <f>[3]MESA_UA!$IJ$23</f>
        <v>2153</v>
      </c>
      <c r="D6" s="95">
        <f>'[3]Sky West'!$IJ$23+'[3]Sky West'!$IJ$33</f>
        <v>111360</v>
      </c>
      <c r="E6" s="95">
        <f>'[3]Sky West_UA'!$IJ$23</f>
        <v>73</v>
      </c>
      <c r="F6" s="95">
        <f>'[3]Sky West_AS'!$IJ$23</f>
        <v>0</v>
      </c>
      <c r="G6" s="95">
        <f>'[3]Sky West_AA'!$IJ$23</f>
        <v>0</v>
      </c>
      <c r="H6" s="95">
        <f>[3]Republic!$IJ$23</f>
        <v>8150</v>
      </c>
      <c r="I6" s="95">
        <f>[3]Republic_UA!$IJ$23</f>
        <v>1866</v>
      </c>
      <c r="J6" s="95">
        <f>'[3]Sky Regional'!$IJ$33</f>
        <v>0</v>
      </c>
      <c r="K6" s="95">
        <f>'[3]American Eagle'!$IJ$23</f>
        <v>6404</v>
      </c>
      <c r="L6" s="95">
        <f>'Other Regional'!L6</f>
        <v>9191</v>
      </c>
      <c r="M6" s="92">
        <f>SUM(B6:L6)</f>
        <v>179950</v>
      </c>
    </row>
    <row r="7" spans="1:16" ht="15" thickBot="1" x14ac:dyDescent="0.25">
      <c r="A7" s="54" t="s">
        <v>7</v>
      </c>
      <c r="B7" s="105">
        <f>SUM(B5:B6)</f>
        <v>81338</v>
      </c>
      <c r="C7" s="105">
        <f t="shared" ref="C7:L7" si="0">SUM(C5:C6)</f>
        <v>4290</v>
      </c>
      <c r="D7" s="105">
        <f t="shared" si="0"/>
        <v>220148</v>
      </c>
      <c r="E7" s="105">
        <f t="shared" si="0"/>
        <v>147</v>
      </c>
      <c r="F7" s="105">
        <f t="shared" ref="F7:G7" si="1">SUM(F5:F6)</f>
        <v>0</v>
      </c>
      <c r="G7" s="105">
        <f t="shared" si="1"/>
        <v>0</v>
      </c>
      <c r="H7" s="105">
        <f t="shared" si="0"/>
        <v>15656</v>
      </c>
      <c r="I7" s="105">
        <f t="shared" si="0"/>
        <v>3737</v>
      </c>
      <c r="J7" s="105">
        <f t="shared" si="0"/>
        <v>0</v>
      </c>
      <c r="K7" s="105">
        <f t="shared" si="0"/>
        <v>12784</v>
      </c>
      <c r="L7" s="105">
        <f t="shared" si="0"/>
        <v>17613</v>
      </c>
      <c r="M7" s="106">
        <f>SUM(B7:L7)</f>
        <v>355713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[3]Pinnacle!$IJ$27+[3]Pinnacle!$IJ$37</f>
        <v>1216</v>
      </c>
      <c r="C10" s="87">
        <f>[3]MESA_UA!$IJ$27</f>
        <v>80</v>
      </c>
      <c r="D10" s="95">
        <f>'[3]Sky West'!$IJ$27+'[3]Sky West'!$IJ$37</f>
        <v>3076</v>
      </c>
      <c r="E10" s="95">
        <f>'[3]Sky West_UA'!$IJ$27</f>
        <v>2</v>
      </c>
      <c r="F10" s="95">
        <f>'[3]Sky West_AS'!$IJ$27</f>
        <v>0</v>
      </c>
      <c r="G10" s="95">
        <f>'[3]Sky West_AA'!$IJ$27</f>
        <v>0</v>
      </c>
      <c r="H10" s="95">
        <f>[3]Republic!$IJ$27</f>
        <v>308</v>
      </c>
      <c r="I10" s="95">
        <f>[3]Republic_UA!$IJ$27</f>
        <v>41</v>
      </c>
      <c r="J10" s="95">
        <f>'[3]Sky Regional'!$IJ$37</f>
        <v>0</v>
      </c>
      <c r="K10" s="95">
        <f>'[3]American Eagle'!$IJ$27</f>
        <v>275</v>
      </c>
      <c r="L10" s="95">
        <f>'Other Regional'!L10</f>
        <v>110</v>
      </c>
      <c r="M10" s="88">
        <f>SUM(B10:L10)</f>
        <v>5108</v>
      </c>
    </row>
    <row r="11" spans="1:16" x14ac:dyDescent="0.2">
      <c r="A11" s="45" t="s">
        <v>33</v>
      </c>
      <c r="B11" s="87">
        <f>[3]Pinnacle!$IJ$28+[3]Pinnacle!$IJ$38</f>
        <v>1129</v>
      </c>
      <c r="C11" s="87">
        <f>[3]MESA_UA!$IJ$28</f>
        <v>90</v>
      </c>
      <c r="D11" s="95">
        <f>'[3]Sky West'!$IJ$28+'[3]Sky West'!$IJ$38</f>
        <v>3080</v>
      </c>
      <c r="E11" s="95">
        <f>'[3]Sky West_UA'!$IJ$28</f>
        <v>3</v>
      </c>
      <c r="F11" s="95">
        <f>'[3]Sky West_AS'!$IJ$28</f>
        <v>0</v>
      </c>
      <c r="G11" s="95">
        <f>'[3]Sky West_AA'!$IJ$28</f>
        <v>0</v>
      </c>
      <c r="H11" s="95">
        <f>[3]Republic!$IJ$28</f>
        <v>298</v>
      </c>
      <c r="I11" s="95">
        <f>[3]Republic_UA!$IJ$28</f>
        <v>26</v>
      </c>
      <c r="J11" s="95">
        <f>'[3]Sky Regional'!$IJ$38</f>
        <v>0</v>
      </c>
      <c r="K11" s="95">
        <f>'[3]American Eagle'!$IJ$28</f>
        <v>288</v>
      </c>
      <c r="L11" s="95">
        <f>'Other Regional'!L11</f>
        <v>137</v>
      </c>
      <c r="M11" s="92">
        <f>SUM(B11:L11)</f>
        <v>5051</v>
      </c>
    </row>
    <row r="12" spans="1:16" ht="15" thickBot="1" x14ac:dyDescent="0.25">
      <c r="A12" s="55" t="s">
        <v>34</v>
      </c>
      <c r="B12" s="108">
        <f t="shared" ref="B12:L12" si="2">SUM(B10:B11)</f>
        <v>2345</v>
      </c>
      <c r="C12" s="108">
        <f t="shared" si="2"/>
        <v>170</v>
      </c>
      <c r="D12" s="108">
        <f t="shared" si="2"/>
        <v>6156</v>
      </c>
      <c r="E12" s="108">
        <f t="shared" si="2"/>
        <v>5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606</v>
      </c>
      <c r="I12" s="108">
        <f t="shared" si="2"/>
        <v>67</v>
      </c>
      <c r="J12" s="108">
        <f t="shared" si="2"/>
        <v>0</v>
      </c>
      <c r="K12" s="108">
        <f t="shared" si="2"/>
        <v>563</v>
      </c>
      <c r="L12" s="108">
        <f t="shared" si="2"/>
        <v>247</v>
      </c>
      <c r="M12" s="109">
        <f>SUM(B12:L12)</f>
        <v>10159</v>
      </c>
    </row>
    <row r="13" spans="1:16" ht="13.5" thickBot="1" x14ac:dyDescent="0.25"/>
    <row r="14" spans="1:16" ht="15.75" thickTop="1" x14ac:dyDescent="0.25">
      <c r="A14" s="44" t="s">
        <v>9</v>
      </c>
      <c r="B14" s="82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[3]Pinnacle!$IJ$4+[3]Pinnacle!$IJ$15</f>
        <v>624</v>
      </c>
      <c r="C15" s="86">
        <f>[3]MESA_UA!$IJ$4</f>
        <v>34</v>
      </c>
      <c r="D15" s="85">
        <f>'[3]Sky West'!$IJ$4+'[3]Sky West'!$IJ$15</f>
        <v>2151</v>
      </c>
      <c r="E15" s="85">
        <f>'[3]Sky West_UA'!$IJ$4</f>
        <v>1</v>
      </c>
      <c r="F15" s="85">
        <f>'[3]Sky West_AS'!$IJ$4</f>
        <v>0</v>
      </c>
      <c r="G15" s="85">
        <f>'[3]Sky West_AA'!$IJ$4</f>
        <v>0</v>
      </c>
      <c r="H15" s="87">
        <f>[3]Republic!$IJ$4</f>
        <v>120</v>
      </c>
      <c r="I15" s="333">
        <f>[3]Republic_UA!$IJ$4</f>
        <v>28</v>
      </c>
      <c r="J15" s="333">
        <f>'[3]Sky Regional'!$IJ$15</f>
        <v>0</v>
      </c>
      <c r="K15" s="87">
        <f>'[3]American Eagle'!$IJ$4</f>
        <v>103</v>
      </c>
      <c r="L15" s="86">
        <f>'Other Regional'!L15</f>
        <v>138</v>
      </c>
      <c r="M15" s="88">
        <f t="shared" ref="M15:M21" si="5">SUM(B15:L15)</f>
        <v>3199</v>
      </c>
    </row>
    <row r="16" spans="1:16" x14ac:dyDescent="0.2">
      <c r="A16" s="45" t="s">
        <v>54</v>
      </c>
      <c r="B16" s="7">
        <f>[3]Pinnacle!$IJ$5+[3]Pinnacle!$IJ$16</f>
        <v>624</v>
      </c>
      <c r="C16" s="90">
        <f>[3]MESA_UA!$IJ$5</f>
        <v>34</v>
      </c>
      <c r="D16" s="89">
        <f>'[3]Sky West'!$IJ$5+'[3]Sky West'!$IJ$16</f>
        <v>2148</v>
      </c>
      <c r="E16" s="89">
        <f>'[3]Sky West_UA'!$IJ$5</f>
        <v>1</v>
      </c>
      <c r="F16" s="89">
        <f>'[3]Sky West_AS'!$IJ$5</f>
        <v>0</v>
      </c>
      <c r="G16" s="89">
        <f>'[3]Sky West_AA'!$IJ$5</f>
        <v>0</v>
      </c>
      <c r="H16" s="91">
        <f>[3]Republic!$IJ$5</f>
        <v>120</v>
      </c>
      <c r="I16" s="218">
        <f>[3]Republic_UA!$IJ$5</f>
        <v>28</v>
      </c>
      <c r="J16" s="218">
        <f>'[3]Sky Regional'!$IJ$16</f>
        <v>0</v>
      </c>
      <c r="K16" s="91">
        <f>'[3]American Eagle'!$IJ$5</f>
        <v>103</v>
      </c>
      <c r="L16" s="90">
        <f>'Other Regional'!L16</f>
        <v>139</v>
      </c>
      <c r="M16" s="92">
        <f t="shared" si="5"/>
        <v>3197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1248</v>
      </c>
      <c r="C17" s="93">
        <f t="shared" si="6"/>
        <v>68</v>
      </c>
      <c r="D17" s="93">
        <f t="shared" si="6"/>
        <v>4299</v>
      </c>
      <c r="E17" s="93">
        <f t="shared" si="6"/>
        <v>2</v>
      </c>
      <c r="F17" s="93">
        <f t="shared" ref="F17:G17" si="7">SUM(F15:F16)</f>
        <v>0</v>
      </c>
      <c r="G17" s="93">
        <f t="shared" si="7"/>
        <v>0</v>
      </c>
      <c r="H17" s="93">
        <f>SUM(H15:H16)</f>
        <v>240</v>
      </c>
      <c r="I17" s="93">
        <f t="shared" ref="I17:J17" si="8">SUM(I15:I16)</f>
        <v>56</v>
      </c>
      <c r="J17" s="93">
        <f t="shared" si="8"/>
        <v>0</v>
      </c>
      <c r="K17" s="93">
        <f>SUM(K15:K16)</f>
        <v>206</v>
      </c>
      <c r="L17" s="93">
        <f>SUM(L15:L16)</f>
        <v>277</v>
      </c>
      <c r="M17" s="94">
        <f t="shared" si="5"/>
        <v>6396</v>
      </c>
    </row>
    <row r="18" spans="1:13" x14ac:dyDescent="0.2">
      <c r="A18" s="45" t="s">
        <v>56</v>
      </c>
      <c r="B18" s="95">
        <f>[3]Pinnacle!$IJ$8</f>
        <v>0</v>
      </c>
      <c r="C18" s="87">
        <f>[3]MESA_UA!$IJ$8</f>
        <v>0</v>
      </c>
      <c r="D18" s="95">
        <f>'[3]Sky West'!$IJ$8</f>
        <v>0</v>
      </c>
      <c r="E18" s="95">
        <f>'[3]Sky West_UA'!$IJ$8</f>
        <v>0</v>
      </c>
      <c r="F18" s="95">
        <f>'[3]Sky West_AS'!$IJ$8</f>
        <v>0</v>
      </c>
      <c r="G18" s="95">
        <f>'[3]Sky West_AA'!$IJ$8</f>
        <v>0</v>
      </c>
      <c r="H18" s="95">
        <f>[3]Republic!$IJ$8</f>
        <v>0</v>
      </c>
      <c r="I18" s="95">
        <f>[3]Republic_UA!$IJ$8</f>
        <v>0</v>
      </c>
      <c r="J18" s="95">
        <f>'[3]Sky Regional'!$IJ$8</f>
        <v>0</v>
      </c>
      <c r="K18" s="95">
        <f>'[3]American Eagle'!$IJ$8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[3]Pinnacle!$IJ$9</f>
        <v>0</v>
      </c>
      <c r="C19" s="91">
        <f>[3]MESA_UA!$IJ$9</f>
        <v>0</v>
      </c>
      <c r="D19" s="96">
        <f>'[3]Sky West'!$IJ$9</f>
        <v>0</v>
      </c>
      <c r="E19" s="96">
        <f>'[3]Sky West_UA'!$IJ$9</f>
        <v>0</v>
      </c>
      <c r="F19" s="96">
        <f>'[3]Sky West_AS'!$IJ$9</f>
        <v>0</v>
      </c>
      <c r="G19" s="96">
        <f>'[3]Sky West_AA'!$IJ$9</f>
        <v>0</v>
      </c>
      <c r="H19" s="96">
        <f>[3]Republic!$IJ$9</f>
        <v>0</v>
      </c>
      <c r="I19" s="96">
        <f>[3]Republic_UA!$IJ$9</f>
        <v>0</v>
      </c>
      <c r="J19" s="96">
        <f>'[3]Sky Regional'!$IJ$9</f>
        <v>0</v>
      </c>
      <c r="K19" s="96">
        <f>'[3]American Eagle'!$IJ$9</f>
        <v>0</v>
      </c>
      <c r="L19" s="96">
        <f>'Other Regional'!L19</f>
        <v>0</v>
      </c>
      <c r="M19" s="92">
        <f t="shared" si="5"/>
        <v>0</v>
      </c>
    </row>
    <row r="20" spans="1:13" x14ac:dyDescent="0.2">
      <c r="A20" s="49" t="s">
        <v>58</v>
      </c>
      <c r="B20" s="93">
        <f t="shared" ref="B20:L20" si="9">SUM(B18:B19)</f>
        <v>0</v>
      </c>
      <c r="C20" s="93">
        <f t="shared" si="9"/>
        <v>0</v>
      </c>
      <c r="D20" s="93">
        <f t="shared" si="9"/>
        <v>0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0</v>
      </c>
    </row>
    <row r="21" spans="1:13" ht="15.75" thickBot="1" x14ac:dyDescent="0.3">
      <c r="A21" s="53" t="s">
        <v>28</v>
      </c>
      <c r="B21" s="97">
        <f>SUM(B20,B17)</f>
        <v>1248</v>
      </c>
      <c r="C21" s="97">
        <f t="shared" ref="C21:K21" si="11">SUM(C20,C17)</f>
        <v>68</v>
      </c>
      <c r="D21" s="97">
        <f t="shared" si="11"/>
        <v>4299</v>
      </c>
      <c r="E21" s="97">
        <f t="shared" si="11"/>
        <v>2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240</v>
      </c>
      <c r="I21" s="97">
        <f t="shared" si="11"/>
        <v>56</v>
      </c>
      <c r="J21" s="97">
        <f t="shared" si="11"/>
        <v>0</v>
      </c>
      <c r="K21" s="97">
        <f t="shared" si="11"/>
        <v>206</v>
      </c>
      <c r="L21" s="97">
        <f>SUM(L20,L17)</f>
        <v>277</v>
      </c>
      <c r="M21" s="98">
        <f t="shared" si="5"/>
        <v>6396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[3]Pinnacle!$IJ$47</f>
        <v>0</v>
      </c>
      <c r="C25" s="87">
        <f>[3]MESA_UA!$IJ$47</f>
        <v>0</v>
      </c>
      <c r="D25" s="95">
        <f>'[3]Sky West'!$IJ$47</f>
        <v>0</v>
      </c>
      <c r="E25" s="95">
        <f>'[3]Sky West_UA'!$IJ$47</f>
        <v>0</v>
      </c>
      <c r="F25" s="95">
        <f>'[3]Sky West_AS'!$IJ$47</f>
        <v>0</v>
      </c>
      <c r="G25" s="95">
        <f>'[3]Sky West_AA'!$IJ$47</f>
        <v>0</v>
      </c>
      <c r="H25" s="95">
        <f>[3]Republic!$IJ$47</f>
        <v>1594</v>
      </c>
      <c r="I25" s="95">
        <f>[3]Republic_UA!$IJ$47</f>
        <v>0</v>
      </c>
      <c r="J25" s="95">
        <f>'[3]Sky Regional'!$IJ$47</f>
        <v>0</v>
      </c>
      <c r="K25" s="95">
        <f>'[3]American Eagle'!$IJ$47</f>
        <v>822</v>
      </c>
      <c r="L25" s="95">
        <f>'Other Regional'!L25</f>
        <v>22553.599999999999</v>
      </c>
      <c r="M25" s="88">
        <f>SUM(B25:L25)</f>
        <v>24969.599999999999</v>
      </c>
    </row>
    <row r="26" spans="1:13" x14ac:dyDescent="0.2">
      <c r="A26" s="45" t="s">
        <v>38</v>
      </c>
      <c r="B26" s="95">
        <f>[3]Pinnacle!$IJ$48</f>
        <v>0</v>
      </c>
      <c r="C26" s="87">
        <f>[3]MESA_UA!$IJ$48</f>
        <v>0</v>
      </c>
      <c r="D26" s="95">
        <f>'[3]Sky West'!$IJ$48</f>
        <v>0</v>
      </c>
      <c r="E26" s="95">
        <f>'[3]Sky West_UA'!$IJ$48</f>
        <v>0</v>
      </c>
      <c r="F26" s="95">
        <f>'[3]Sky West_AS'!$IJ$48</f>
        <v>0</v>
      </c>
      <c r="G26" s="95">
        <f>'[3]Sky West_AA'!$IJ$48</f>
        <v>0</v>
      </c>
      <c r="H26" s="95">
        <f>[3]Republic!$IJ$48</f>
        <v>0</v>
      </c>
      <c r="I26" s="95">
        <f>[3]Republic_UA!$IJ$48</f>
        <v>0</v>
      </c>
      <c r="J26" s="95">
        <f>'[3]Sky Regional'!$IJ$48</f>
        <v>0</v>
      </c>
      <c r="K26" s="95">
        <f>'[3]American Eagle'!$IJ$48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1594</v>
      </c>
      <c r="I27" s="105">
        <f t="shared" si="13"/>
        <v>0</v>
      </c>
      <c r="J27" s="105">
        <f t="shared" si="13"/>
        <v>0</v>
      </c>
      <c r="K27" s="105">
        <f t="shared" si="13"/>
        <v>822</v>
      </c>
      <c r="L27" s="105">
        <f t="shared" si="13"/>
        <v>22553.599999999999</v>
      </c>
      <c r="M27" s="106">
        <f>SUM(B27:L27)</f>
        <v>24969.599999999999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[3]Pinnacle!$IJ$52</f>
        <v>0</v>
      </c>
      <c r="C30" s="87">
        <f>[3]MESA_UA!$IJ$52</f>
        <v>0</v>
      </c>
      <c r="D30" s="95">
        <f>'[3]Sky West'!$IJ$52</f>
        <v>0</v>
      </c>
      <c r="E30" s="95">
        <f>'[3]Sky West_UA'!$IJ$52</f>
        <v>0</v>
      </c>
      <c r="F30" s="95">
        <f>'[3]Sky West_AS'!$IJ$52</f>
        <v>0</v>
      </c>
      <c r="G30" s="95">
        <f>'[3]Sky West_AA'!$IJ$52</f>
        <v>0</v>
      </c>
      <c r="H30" s="95">
        <f>[3]Republic!$IJ$52</f>
        <v>91</v>
      </c>
      <c r="I30" s="95">
        <f>[3]Republic_UA!$IJ$52</f>
        <v>0</v>
      </c>
      <c r="J30" s="95">
        <f>'[3]Sky Regional'!$IJ$52</f>
        <v>0</v>
      </c>
      <c r="K30" s="95">
        <f>'[3]American Eagle'!$IJ$52</f>
        <v>0</v>
      </c>
      <c r="L30" s="95">
        <f>'Other Regional'!L30</f>
        <v>22617.4</v>
      </c>
      <c r="M30" s="88">
        <f t="shared" ref="M30:M37" si="15">SUM(B30:L30)</f>
        <v>22708.400000000001</v>
      </c>
    </row>
    <row r="31" spans="1:13" x14ac:dyDescent="0.2">
      <c r="A31" s="45" t="s">
        <v>60</v>
      </c>
      <c r="B31" s="95">
        <f>[3]Pinnacle!$IJ$53</f>
        <v>0</v>
      </c>
      <c r="C31" s="87">
        <f>[3]MESA_UA!$IJ$53</f>
        <v>0</v>
      </c>
      <c r="D31" s="95">
        <f>'[3]Sky West'!$IJ$53</f>
        <v>0</v>
      </c>
      <c r="E31" s="95">
        <f>'[3]Sky West_UA'!$IJ$53</f>
        <v>0</v>
      </c>
      <c r="F31" s="95">
        <f>'[3]Sky West_AS'!$IJ$53</f>
        <v>0</v>
      </c>
      <c r="G31" s="95">
        <f>'[3]Sky West_AA'!$IJ$53</f>
        <v>0</v>
      </c>
      <c r="H31" s="95">
        <f>[3]Republic!$IJ$53</f>
        <v>0</v>
      </c>
      <c r="I31" s="95">
        <f>[3]Republic_UA!$IJ$53</f>
        <v>0</v>
      </c>
      <c r="J31" s="95">
        <f>'[3]Sky Regional'!$IJ$53</f>
        <v>0</v>
      </c>
      <c r="K31" s="95">
        <f>'[3]American Eagle'!$IJ$53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91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22617.4</v>
      </c>
      <c r="M32" s="106">
        <f t="shared" si="15"/>
        <v>22708.400000000001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[3]Pinnacle!$IJ$57</f>
        <v>0</v>
      </c>
      <c r="C35" s="87">
        <f>[3]MESA_UA!$IJ$57</f>
        <v>0</v>
      </c>
      <c r="D35" s="95">
        <f>'[3]Sky West'!$IJ$57</f>
        <v>0</v>
      </c>
      <c r="E35" s="95">
        <f>'[3]Sky West_UA'!$IJ$57</f>
        <v>0</v>
      </c>
      <c r="F35" s="95">
        <f>'[3]Sky West_AS'!$IJ$57</f>
        <v>0</v>
      </c>
      <c r="G35" s="95">
        <f>'[3]Sky West_AA'!$IJ$57</f>
        <v>0</v>
      </c>
      <c r="H35" s="95">
        <f>[3]Republic!$IJ$57</f>
        <v>0</v>
      </c>
      <c r="I35" s="95">
        <f>[3]Republic!$IJ$57</f>
        <v>0</v>
      </c>
      <c r="J35" s="95">
        <f>[3]Republic!$IJ$57</f>
        <v>0</v>
      </c>
      <c r="K35" s="95">
        <f>'[3]American Eagle'!$IJ$57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[3]Pinnacle!$IJ$58</f>
        <v>0</v>
      </c>
      <c r="C36" s="87">
        <f>[3]MESA_UA!$IJ$58</f>
        <v>0</v>
      </c>
      <c r="D36" s="95">
        <f>'[3]Sky West'!$IJ$58</f>
        <v>0</v>
      </c>
      <c r="E36" s="95">
        <f>'[3]Sky West_UA'!$IJ$58</f>
        <v>0</v>
      </c>
      <c r="F36" s="95">
        <f>'[3]Sky West_AS'!$IJ$58</f>
        <v>0</v>
      </c>
      <c r="G36" s="95">
        <f>'[3]Sky West_AA'!$IJ$58</f>
        <v>0</v>
      </c>
      <c r="H36" s="95">
        <f>[3]Republic!$IJ$58</f>
        <v>0</v>
      </c>
      <c r="I36" s="95">
        <f>[3]Republic!$IJ$58</f>
        <v>0</v>
      </c>
      <c r="J36" s="95">
        <f>[3]Republic!$IJ$58</f>
        <v>0</v>
      </c>
      <c r="K36" s="95">
        <f>'[3]American Eagle'!$IJ$58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1685</v>
      </c>
      <c r="I40" s="95">
        <f t="shared" si="20"/>
        <v>0</v>
      </c>
      <c r="J40" s="95">
        <f t="shared" si="20"/>
        <v>0</v>
      </c>
      <c r="K40" s="95">
        <f>SUM(K35,K30,K25)</f>
        <v>822</v>
      </c>
      <c r="L40" s="95">
        <f>L35+L30+L25</f>
        <v>45171</v>
      </c>
      <c r="M40" s="88">
        <f>SUM(B40:L40)</f>
        <v>47678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1685</v>
      </c>
      <c r="I42" s="108">
        <f t="shared" si="20"/>
        <v>0</v>
      </c>
      <c r="J42" s="108">
        <f t="shared" si="20"/>
        <v>0</v>
      </c>
      <c r="K42" s="108">
        <f>SUM(K37,K32,K27)</f>
        <v>822</v>
      </c>
      <c r="L42" s="108">
        <f>SUM(L37,L32,L27)</f>
        <v>45171</v>
      </c>
      <c r="M42" s="109">
        <f>SUM(B42:L42)</f>
        <v>47678</v>
      </c>
    </row>
    <row r="44" spans="1:13" x14ac:dyDescent="0.2">
      <c r="A44" s="276" t="s">
        <v>121</v>
      </c>
      <c r="B44" s="241">
        <f>[3]Pinnacle!$IJ$70+[3]Pinnacle!$IJ$73</f>
        <v>14366</v>
      </c>
      <c r="D44" s="242">
        <f>'[3]Sky West'!$IJ$70+'[3]Sky West'!$IJ$73</f>
        <v>34358</v>
      </c>
      <c r="E44" s="2"/>
      <c r="F44" s="2"/>
      <c r="G44" s="2"/>
      <c r="L44" s="242">
        <f>+'Other Regional'!L46</f>
        <v>0</v>
      </c>
      <c r="M44" s="231">
        <f>SUM(B44:L44)</f>
        <v>48724</v>
      </c>
    </row>
    <row r="45" spans="1:13" x14ac:dyDescent="0.2">
      <c r="A45" s="289" t="s">
        <v>122</v>
      </c>
      <c r="B45" s="241">
        <f>[3]Pinnacle!$IJ$71+[3]Pinnacle!$IJ$74</f>
        <v>26387</v>
      </c>
      <c r="D45" s="242">
        <f>'[3]Sky West'!$IJ$71+'[3]Sky West'!$IJ$74</f>
        <v>77002</v>
      </c>
      <c r="E45" s="2"/>
      <c r="F45" s="2"/>
      <c r="G45" s="2"/>
      <c r="L45" s="242">
        <f>+'Other Regional'!L47</f>
        <v>0</v>
      </c>
      <c r="M45" s="231">
        <f>SUM(B45:L45)</f>
        <v>103389</v>
      </c>
    </row>
    <row r="46" spans="1:13" x14ac:dyDescent="0.2">
      <c r="A46" s="232" t="s">
        <v>123</v>
      </c>
      <c r="B46" s="233">
        <f>SUM(B44:B45)</f>
        <v>40753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May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D14" sqref="D1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45047</v>
      </c>
      <c r="B2" s="405" t="s">
        <v>171</v>
      </c>
      <c r="C2" s="405" t="s">
        <v>170</v>
      </c>
      <c r="D2" s="405" t="s">
        <v>195</v>
      </c>
      <c r="E2" s="405" t="s">
        <v>218</v>
      </c>
      <c r="F2" s="405" t="s">
        <v>223</v>
      </c>
      <c r="G2" s="405" t="s">
        <v>180</v>
      </c>
      <c r="H2" s="405" t="s">
        <v>175</v>
      </c>
      <c r="I2" s="405" t="s">
        <v>174</v>
      </c>
      <c r="J2" s="405" t="s">
        <v>159</v>
      </c>
      <c r="K2" s="405" t="s">
        <v>162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America'!$IJ$22</f>
        <v>0</v>
      </c>
      <c r="C5" s="87">
        <f>'[3]Shuttle America_Delta'!$IJ$22</f>
        <v>0</v>
      </c>
      <c r="D5" s="333">
        <f>[3]Horizon_AS!$IJ$22+[3]Horizon_AS!$IJ$32</f>
        <v>0</v>
      </c>
      <c r="E5" s="333">
        <f>'[3]Air Wisconsin'!$IJ$22</f>
        <v>543</v>
      </c>
      <c r="F5" s="333">
        <f>[3]Jazz_AC!$IJ$22+[3]Jazz_AC!$IJ$32</f>
        <v>7670</v>
      </c>
      <c r="G5" s="333">
        <f>[3]PSA!$IJ$22</f>
        <v>209</v>
      </c>
      <c r="H5" s="87">
        <f>'[3]Atlantic Southeast'!$IJ$22+'[3]Atlantic Southeast'!$IJ$32</f>
        <v>0</v>
      </c>
      <c r="I5" s="87">
        <f>'[3]Continental Express'!$IJ$22</f>
        <v>0</v>
      </c>
      <c r="J5" s="95">
        <f>'[3]Go Jet_UA'!$IJ$22</f>
        <v>0</v>
      </c>
      <c r="K5" s="12">
        <f>'[3]Go Jet'!$IJ$22+'[3]Go Jet'!$IJ$32</f>
        <v>0</v>
      </c>
      <c r="L5" s="88">
        <f>SUM(B5:K5)</f>
        <v>8422</v>
      </c>
    </row>
    <row r="6" spans="1:12" s="6" customFormat="1" x14ac:dyDescent="0.2">
      <c r="A6" s="45" t="s">
        <v>31</v>
      </c>
      <c r="B6" s="87">
        <f>'[3]Shuttle America'!$IJ$23</f>
        <v>0</v>
      </c>
      <c r="C6" s="87">
        <f>'[3]Shuttle America_Delta'!$IJ$23</f>
        <v>0</v>
      </c>
      <c r="D6" s="333">
        <f>[3]Horizon_AS!$IJ$23+[3]Horizon_AS!$IJ$33</f>
        <v>0</v>
      </c>
      <c r="E6" s="333">
        <f>'[3]Air Wisconsin'!$IJ$23</f>
        <v>424</v>
      </c>
      <c r="F6" s="333">
        <f>[3]Jazz_AC!$IJ$23+[3]Jazz_AC!$IJ$33</f>
        <v>8625</v>
      </c>
      <c r="G6" s="333">
        <f>[3]PSA!$IJ$23</f>
        <v>142</v>
      </c>
      <c r="H6" s="87">
        <f>'[3]Atlantic Southeast'!$IJ$23+'[3]Atlantic Southeast'!$IJ$33</f>
        <v>0</v>
      </c>
      <c r="I6" s="87">
        <f>'[3]Continental Express'!$IJ$23</f>
        <v>0</v>
      </c>
      <c r="J6" s="95">
        <f>'[3]Go Jet_UA'!$IJ$23</f>
        <v>0</v>
      </c>
      <c r="K6" s="7">
        <f>'[3]Go Jet'!$IJ$23+'[3]Go Jet'!$IJ$33</f>
        <v>0</v>
      </c>
      <c r="L6" s="92">
        <f>SUM(B6:K6)</f>
        <v>9191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967</v>
      </c>
      <c r="F7" s="105">
        <f t="shared" si="1"/>
        <v>16295</v>
      </c>
      <c r="G7" s="105">
        <f t="shared" si="0"/>
        <v>351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17613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America'!$IJ$27</f>
        <v>0</v>
      </c>
      <c r="C10" s="87">
        <f>'[3]Shuttle America_Delta'!$IJ$27</f>
        <v>0</v>
      </c>
      <c r="D10" s="333">
        <f>[3]Horizon_AS!$IJ$27+[3]Horizon_AS!$IJ$37</f>
        <v>0</v>
      </c>
      <c r="E10" s="333">
        <f>'[3]Air Wisconsin'!$IJ$27</f>
        <v>21</v>
      </c>
      <c r="F10" s="333">
        <f>[3]Jazz_AC!$IJ$27+[3]Jazz_AC!$IJ$37</f>
        <v>85</v>
      </c>
      <c r="G10" s="333">
        <f>[3]PSA!$IJ$27</f>
        <v>4</v>
      </c>
      <c r="H10" s="12">
        <f>'[3]Atlantic Southeast'!$IJ$27+'[3]Atlantic Southeast'!$IJ$37</f>
        <v>0</v>
      </c>
      <c r="I10" s="87">
        <f>'[3]Continental Express'!$IJ$27</f>
        <v>0</v>
      </c>
      <c r="J10" s="95">
        <f>'[3]Go Jet_UA'!$IJ$27</f>
        <v>0</v>
      </c>
      <c r="K10" s="12">
        <f>'[3]Go Jet'!$IJ$27+'[3]Go Jet'!$IJ$37</f>
        <v>0</v>
      </c>
      <c r="L10" s="88">
        <f>SUM(B10:K10)</f>
        <v>110</v>
      </c>
    </row>
    <row r="11" spans="1:12" x14ac:dyDescent="0.2">
      <c r="A11" s="45" t="s">
        <v>33</v>
      </c>
      <c r="B11" s="87">
        <f>'[3]Shuttle America'!$IJ$28</f>
        <v>0</v>
      </c>
      <c r="C11" s="87">
        <f>'[3]Shuttle America_Delta'!$IJ$28</f>
        <v>0</v>
      </c>
      <c r="D11" s="333">
        <f>[3]Horizon_AS!$IJ$28+[3]Horizon_AS!$IJ$38</f>
        <v>0</v>
      </c>
      <c r="E11" s="333">
        <f>'[3]Air Wisconsin'!$IJ$28</f>
        <v>30</v>
      </c>
      <c r="F11" s="333">
        <f>[3]Jazz_AC!$IJ$28+[3]Jazz_AC!$IJ$38</f>
        <v>105</v>
      </c>
      <c r="G11" s="333">
        <f>[3]PSA!$IJ$28</f>
        <v>2</v>
      </c>
      <c r="H11" s="7">
        <f>'[3]Atlantic Southeast'!$IJ$28+'[3]Atlantic Southeast'!$IJ$38</f>
        <v>0</v>
      </c>
      <c r="I11" s="87">
        <f>'[3]Continental Express'!$IJ$28</f>
        <v>0</v>
      </c>
      <c r="J11" s="95">
        <f>'[3]Go Jet_UA'!$IJ$28</f>
        <v>0</v>
      </c>
      <c r="K11" s="7">
        <f>'[3]Go Jet'!$IJ$28+'[3]Go Jet'!$IJ$38</f>
        <v>0</v>
      </c>
      <c r="L11" s="92">
        <f>SUM(B11:K11)</f>
        <v>137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51</v>
      </c>
      <c r="F12" s="108">
        <f t="shared" si="3"/>
        <v>190</v>
      </c>
      <c r="G12" s="108">
        <f t="shared" si="2"/>
        <v>6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247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America'!$IJ$4</f>
        <v>0</v>
      </c>
      <c r="C15" s="85">
        <f>'[3]Shuttle America_Delta'!$IJ$4</f>
        <v>0</v>
      </c>
      <c r="D15" s="334">
        <f>[3]Horizon_AS!$IJ$4</f>
        <v>0</v>
      </c>
      <c r="E15" s="334">
        <f>'[3]Air Wisconsin'!$IJ$4</f>
        <v>12</v>
      </c>
      <c r="F15" s="334">
        <f>[3]Jazz_AC!$IJ$4+[3]Jazz_AC!$IJ$15</f>
        <v>122</v>
      </c>
      <c r="G15" s="334">
        <f>[3]PSA!$IJ$4</f>
        <v>4</v>
      </c>
      <c r="H15" s="86">
        <f>'[3]Atlantic Southeast'!$IJ$4+'[3]Atlantic Southeast'!$IJ$15</f>
        <v>0</v>
      </c>
      <c r="I15" s="86">
        <f>'[3]Continental Express'!$IJ$4</f>
        <v>0</v>
      </c>
      <c r="J15" s="85">
        <f>'[3]Go Jet_UA'!$IJ$4</f>
        <v>0</v>
      </c>
      <c r="K15" s="12">
        <f>'[3]Go Jet'!$IJ$4+'[3]Go Jet'!$IJ$15</f>
        <v>0</v>
      </c>
      <c r="L15" s="88">
        <f t="shared" ref="L15:L21" si="6">SUM(B15:K15)</f>
        <v>138</v>
      </c>
    </row>
    <row r="16" spans="1:12" x14ac:dyDescent="0.2">
      <c r="A16" s="45" t="s">
        <v>54</v>
      </c>
      <c r="B16" s="89">
        <f>'[3]Shuttle America'!$IJ$5</f>
        <v>0</v>
      </c>
      <c r="C16" s="89">
        <f>'[3]Shuttle America_Delta'!$IJ$5</f>
        <v>0</v>
      </c>
      <c r="D16" s="335">
        <f>[3]Horizon_AS!$IJ$5</f>
        <v>0</v>
      </c>
      <c r="E16" s="335">
        <f>'[3]Air Wisconsin'!$IJ$5</f>
        <v>12</v>
      </c>
      <c r="F16" s="335">
        <f>[3]Jazz_AC!$IJ$5+[3]Jazz_AC!$IJ$16</f>
        <v>123</v>
      </c>
      <c r="G16" s="335">
        <f>[3]PSA!$IJ$5</f>
        <v>4</v>
      </c>
      <c r="H16" s="90">
        <f>'[3]Atlantic Southeast'!$IJ$5+'[3]Atlantic Southeast'!$IJ$16</f>
        <v>0</v>
      </c>
      <c r="I16" s="90">
        <f>'[3]Continental Express'!$IJ$5</f>
        <v>0</v>
      </c>
      <c r="J16" s="89">
        <f>'[3]Go Jet_UA'!$IJ$5</f>
        <v>0</v>
      </c>
      <c r="K16" s="7">
        <f>'[3]Go Jet'!$IJ$5+'[3]Go Jet'!$IJ$16</f>
        <v>0</v>
      </c>
      <c r="L16" s="92">
        <f t="shared" si="6"/>
        <v>139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24</v>
      </c>
      <c r="F17" s="93">
        <f t="shared" si="8"/>
        <v>245</v>
      </c>
      <c r="G17" s="93">
        <f t="shared" si="7"/>
        <v>8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277</v>
      </c>
    </row>
    <row r="18" spans="1:15" x14ac:dyDescent="0.2">
      <c r="A18" s="45" t="s">
        <v>56</v>
      </c>
      <c r="B18" s="95">
        <f>'[3]Shuttle America'!$IJ$8</f>
        <v>0</v>
      </c>
      <c r="C18" s="95">
        <f>'[3]Shuttle America_Delta'!$IJ$8</f>
        <v>0</v>
      </c>
      <c r="D18" s="95">
        <f>[3]Horizon_AS!$IJ$8</f>
        <v>0</v>
      </c>
      <c r="E18" s="95">
        <f>'[3]Air Wisconsin'!$IJ$8</f>
        <v>0</v>
      </c>
      <c r="F18" s="95">
        <f>[3]Jazz_AC!$IJ$8</f>
        <v>0</v>
      </c>
      <c r="G18" s="95">
        <f>[3]PSA!$IJ$8</f>
        <v>0</v>
      </c>
      <c r="H18" s="87">
        <f>'[3]Atlantic Southeast'!$IJ$8</f>
        <v>0</v>
      </c>
      <c r="I18" s="87">
        <f>'[3]Continental Express'!$IJ$8</f>
        <v>0</v>
      </c>
      <c r="J18" s="95">
        <f>'[3]Go Jet_UA'!$IJ$8</f>
        <v>0</v>
      </c>
      <c r="K18" s="12">
        <f>'[3]Go Jet'!$IJ$8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America'!$IJ$9</f>
        <v>0</v>
      </c>
      <c r="C19" s="96">
        <f>'[3]Shuttle America_Delta'!$IJ$9</f>
        <v>0</v>
      </c>
      <c r="D19" s="96">
        <f>[3]Horizon_AS!$IJ$9</f>
        <v>0</v>
      </c>
      <c r="E19" s="96">
        <f>'[3]Air Wisconsin'!$IJ$9</f>
        <v>0</v>
      </c>
      <c r="F19" s="96">
        <f>[3]Jazz_AC!$IJ$9</f>
        <v>0</v>
      </c>
      <c r="G19" s="96">
        <f>[3]PSA!$IJ$9</f>
        <v>0</v>
      </c>
      <c r="H19" s="91">
        <f>'[3]Atlantic Southeast'!$IJ$9</f>
        <v>0</v>
      </c>
      <c r="I19" s="91">
        <f>'[3]Continental Express'!$IJ$9</f>
        <v>0</v>
      </c>
      <c r="J19" s="96">
        <f>'[3]Go Jet_UA'!$IJ$9</f>
        <v>0</v>
      </c>
      <c r="K19" s="7">
        <f>'[3]Go Jet'!$IJ$9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24</v>
      </c>
      <c r="F21" s="97">
        <f t="shared" si="14"/>
        <v>245</v>
      </c>
      <c r="G21" s="97">
        <f t="shared" si="13"/>
        <v>8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 t="shared" si="6"/>
        <v>277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America'!$IJ$47</f>
        <v>0</v>
      </c>
      <c r="C25" s="95">
        <f>'[3]Shuttle America_Delta'!$IJ$47</f>
        <v>0</v>
      </c>
      <c r="D25" s="95">
        <f>[3]Horizon_AS!$IJ$47</f>
        <v>0</v>
      </c>
      <c r="E25" s="95">
        <f>'[3]Air Wisconsin'!$IJ$47</f>
        <v>0</v>
      </c>
      <c r="F25" s="95">
        <f>[3]Jazz_AC!$IJ$47</f>
        <v>22553.599999999999</v>
      </c>
      <c r="G25" s="95">
        <f>[3]PSA!$IJ$47</f>
        <v>0</v>
      </c>
      <c r="H25" s="87">
        <f>'[3]Atlantic Southeast'!$IJ$47</f>
        <v>0</v>
      </c>
      <c r="I25" s="87">
        <f>'[3]Continental Express'!$IJ$47</f>
        <v>0</v>
      </c>
      <c r="J25" s="95">
        <f>'[3]Go Jet_UA'!$IJ$47</f>
        <v>0</v>
      </c>
      <c r="K25" s="95">
        <f>'[3]Go Jet'!$IJ$47</f>
        <v>0</v>
      </c>
      <c r="L25" s="88">
        <f>SUM(B25:K25)</f>
        <v>22553.599999999999</v>
      </c>
    </row>
    <row r="26" spans="1:15" x14ac:dyDescent="0.2">
      <c r="A26" s="45" t="s">
        <v>38</v>
      </c>
      <c r="B26" s="95">
        <f>'[3]Shuttle America'!$IJ$48</f>
        <v>0</v>
      </c>
      <c r="C26" s="95">
        <f>'[3]Shuttle America_Delta'!$IJ$48</f>
        <v>0</v>
      </c>
      <c r="D26" s="95">
        <f>[3]Horizon_AS!$IJ$48</f>
        <v>0</v>
      </c>
      <c r="E26" s="95">
        <f>'[3]Air Wisconsin'!$IJ$48</f>
        <v>0</v>
      </c>
      <c r="F26" s="95">
        <f>[3]Jazz_AC!$IJ$48</f>
        <v>0</v>
      </c>
      <c r="G26" s="95">
        <f>[3]PSA!$IJ$48</f>
        <v>0</v>
      </c>
      <c r="H26" s="87">
        <f>'[3]Atlantic Southeast'!$IJ$48</f>
        <v>0</v>
      </c>
      <c r="I26" s="87">
        <f>'[3]Continental Express'!$IJ$48</f>
        <v>0</v>
      </c>
      <c r="J26" s="95">
        <f>'[3]Go Jet_UA'!$IJ$48</f>
        <v>0</v>
      </c>
      <c r="K26" s="95">
        <f>'[3]Go Jet'!$IJ$48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22553.599999999999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22553.599999999999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America'!$IJ$52</f>
        <v>0</v>
      </c>
      <c r="C30" s="95">
        <f>'[3]Shuttle America_Delta'!$IJ$52</f>
        <v>0</v>
      </c>
      <c r="D30" s="95">
        <f>[3]Horizon_AS!$IJ$52</f>
        <v>0</v>
      </c>
      <c r="E30" s="95">
        <f>'[3]Air Wisconsin'!$IJ$52</f>
        <v>0</v>
      </c>
      <c r="F30" s="95">
        <f>[3]Jazz_AC!$IJ$52</f>
        <v>22617.4</v>
      </c>
      <c r="G30" s="95">
        <f>[3]PSA!$IJ$52</f>
        <v>0</v>
      </c>
      <c r="H30" s="87">
        <f>'[3]Atlantic Southeast'!$IJ$52</f>
        <v>0</v>
      </c>
      <c r="I30" s="87">
        <f>'[3]Continental Express'!$IJ$52</f>
        <v>0</v>
      </c>
      <c r="J30" s="95">
        <f>'[3]Go Jet_UA'!$IJ$52</f>
        <v>0</v>
      </c>
      <c r="K30" s="95">
        <f>'[3]Go Jet'!$IJ$52</f>
        <v>0</v>
      </c>
      <c r="L30" s="88">
        <f>SUM(B30:K30)</f>
        <v>22617.4</v>
      </c>
    </row>
    <row r="31" spans="1:15" x14ac:dyDescent="0.2">
      <c r="A31" s="45" t="s">
        <v>60</v>
      </c>
      <c r="B31" s="95">
        <f>'[3]Shuttle America'!$IJ$53</f>
        <v>0</v>
      </c>
      <c r="C31" s="95">
        <f>'[3]Shuttle America_Delta'!$IJ$53</f>
        <v>0</v>
      </c>
      <c r="D31" s="95">
        <f>[3]Horizon_AS!$IJ$53</f>
        <v>0</v>
      </c>
      <c r="E31" s="95">
        <f>'[3]Air Wisconsin'!$IJ$53</f>
        <v>0</v>
      </c>
      <c r="F31" s="95">
        <f>[3]Jazz_AC!$IJ$53</f>
        <v>0</v>
      </c>
      <c r="G31" s="95">
        <f>[3]PSA!$IJ$53</f>
        <v>0</v>
      </c>
      <c r="H31" s="87">
        <f>'[3]Atlantic Southeast'!$IJ$53</f>
        <v>0</v>
      </c>
      <c r="I31" s="87">
        <f>'[3]Continental Express'!$IJ$53</f>
        <v>0</v>
      </c>
      <c r="J31" s="95">
        <f>'[3]Go Jet_UA'!$IJ$53</f>
        <v>0</v>
      </c>
      <c r="K31" s="95">
        <f>'[3]Go Jet'!$IJ$53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22617.4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22617.4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America'!$IJ$57</f>
        <v>0</v>
      </c>
      <c r="C35" s="95">
        <f>'[3]Shuttle America_Delta'!$IJ$57</f>
        <v>0</v>
      </c>
      <c r="D35" s="95">
        <f>[3]Horizon_AS!$IJ$57</f>
        <v>0</v>
      </c>
      <c r="E35" s="95">
        <f>'[3]Air Wisconsin'!$IJ$57</f>
        <v>0</v>
      </c>
      <c r="F35" s="95">
        <f>[3]Jazz_AC!$IJ$57</f>
        <v>0</v>
      </c>
      <c r="G35" s="95">
        <f>[3]PSA!$IJ$57</f>
        <v>0</v>
      </c>
      <c r="H35" s="87">
        <f>'[3]Atlantic Southeast'!$IJ$57</f>
        <v>0</v>
      </c>
      <c r="I35" s="87">
        <f>'[3]Continental Express'!$IJ$57</f>
        <v>0</v>
      </c>
      <c r="J35" s="95">
        <f>'[3]Go Jet_UA'!$AJ$57</f>
        <v>0</v>
      </c>
      <c r="K35" s="95">
        <f>'[3]Go Jet'!$IJ$57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45171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45171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45171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45171</v>
      </c>
    </row>
    <row r="43" spans="1:12" ht="4.5" customHeight="1" x14ac:dyDescent="0.2"/>
    <row r="44" spans="1:12" hidden="1" x14ac:dyDescent="0.2">
      <c r="A44" s="243" t="s">
        <v>124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125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121</v>
      </c>
      <c r="C46" s="242">
        <f>'[3]Shuttle America_Delta'!$IJ$70+'[3]Shuttle America_Delta'!$IJ$73</f>
        <v>0</v>
      </c>
      <c r="D46" s="2"/>
      <c r="E46" s="2"/>
      <c r="H46" s="242">
        <f>'[3]Atlantic Southeast'!$IJ$70+'[3]Atlantic Southeast'!$IJ$73</f>
        <v>0</v>
      </c>
      <c r="K46" s="242">
        <f>'[3]Go Jet'!$IJ$70+'[3]Go Jet'!$IJ$73</f>
        <v>0</v>
      </c>
      <c r="L46" s="288">
        <f>SUM(B46:K46)</f>
        <v>0</v>
      </c>
    </row>
    <row r="47" spans="1:12" x14ac:dyDescent="0.2">
      <c r="A47" s="289" t="s">
        <v>122</v>
      </c>
      <c r="C47" s="242">
        <f>'[3]Shuttle America_Delta'!$IJ$71+'[3]Shuttle America_Delta'!$IJ$74</f>
        <v>0</v>
      </c>
      <c r="D47" s="2"/>
      <c r="E47" s="2"/>
      <c r="H47" s="242">
        <f>'[3]Atlantic Southeast'!$IJ$71+'[3]Atlantic Southeast'!$IJ$74</f>
        <v>0</v>
      </c>
      <c r="K47" s="242">
        <f>'[3]Go Jet'!$IJ$71+'[3]Go Jet'!$IJ$74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May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2" sqref="E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6">
        <v>45047</v>
      </c>
      <c r="B2" s="147" t="s">
        <v>116</v>
      </c>
      <c r="C2" s="147" t="s">
        <v>152</v>
      </c>
      <c r="D2" s="81" t="s">
        <v>77</v>
      </c>
      <c r="E2" s="81" t="s">
        <v>153</v>
      </c>
      <c r="F2" s="147" t="s">
        <v>130</v>
      </c>
      <c r="G2" s="144" t="s">
        <v>78</v>
      </c>
    </row>
    <row r="3" spans="1:17" x14ac:dyDescent="0.2">
      <c r="A3" s="202" t="s">
        <v>3</v>
      </c>
      <c r="B3" s="153"/>
      <c r="C3" s="152"/>
      <c r="D3" s="152"/>
      <c r="E3" s="152"/>
      <c r="F3" s="152"/>
      <c r="G3" s="194"/>
    </row>
    <row r="4" spans="1:17" x14ac:dyDescent="0.2">
      <c r="A4" s="45" t="s">
        <v>29</v>
      </c>
      <c r="B4" s="313"/>
      <c r="C4" s="151"/>
      <c r="D4" s="151"/>
      <c r="E4" s="151"/>
      <c r="F4" s="151"/>
      <c r="G4" s="184"/>
    </row>
    <row r="5" spans="1:17" x14ac:dyDescent="0.2">
      <c r="A5" s="45" t="s">
        <v>30</v>
      </c>
      <c r="B5" s="313">
        <f>'[3]Charter Misc'!$IJ$22</f>
        <v>0</v>
      </c>
      <c r="C5" s="151">
        <f>[3]Ryan!$IJ$22</f>
        <v>0</v>
      </c>
      <c r="D5" s="151">
        <f>'[3]Charter Misc'!$IJ$32</f>
        <v>0</v>
      </c>
      <c r="E5" s="151">
        <f>[3]Omni!$IJ$32+[3]Omni!$IJ$22</f>
        <v>551</v>
      </c>
      <c r="F5" s="151">
        <f>[3]Xtra!$IJ$32+[3]Xtra!$IJ$22</f>
        <v>0</v>
      </c>
      <c r="G5" s="249">
        <f>SUM(B5:F5)</f>
        <v>551</v>
      </c>
    </row>
    <row r="6" spans="1:17" x14ac:dyDescent="0.2">
      <c r="A6" s="45" t="s">
        <v>31</v>
      </c>
      <c r="B6" s="314">
        <f>'[3]Charter Misc'!$IJ$23</f>
        <v>0</v>
      </c>
      <c r="C6" s="154">
        <f>[3]Ryan!$IJ$23</f>
        <v>0</v>
      </c>
      <c r="D6" s="154">
        <f>'[3]Charter Misc'!$IJ$33</f>
        <v>0</v>
      </c>
      <c r="E6" s="154">
        <f>[3]Omni!$IJ$33+[3]Omni!$IJ$23</f>
        <v>0</v>
      </c>
      <c r="F6" s="154">
        <f>[3]Xtra!$IJ$33+[3]Xtra!$IJ$23</f>
        <v>0</v>
      </c>
      <c r="G6" s="248">
        <f>SUM(B6:F6)</f>
        <v>0</v>
      </c>
    </row>
    <row r="7" spans="1:17" ht="15.75" thickBot="1" x14ac:dyDescent="0.3">
      <c r="A7" s="150" t="s">
        <v>7</v>
      </c>
      <c r="B7" s="315">
        <f>SUM(B5:B6)</f>
        <v>0</v>
      </c>
      <c r="C7" s="219">
        <f>SUM(C5:C6)</f>
        <v>0</v>
      </c>
      <c r="D7" s="219">
        <f>SUM(D5:D6)</f>
        <v>0</v>
      </c>
      <c r="E7" s="219">
        <f>SUM(E5:E6)</f>
        <v>551</v>
      </c>
      <c r="F7" s="219">
        <f>SUM(F5:F6)</f>
        <v>0</v>
      </c>
      <c r="G7" s="220">
        <f>SUM(B7:F7)</f>
        <v>551</v>
      </c>
    </row>
    <row r="8" spans="1:17" ht="13.5" thickBot="1" x14ac:dyDescent="0.25"/>
    <row r="9" spans="1:17" x14ac:dyDescent="0.2">
      <c r="A9" s="148" t="s">
        <v>9</v>
      </c>
      <c r="B9" s="316"/>
      <c r="C9" s="29"/>
      <c r="D9" s="29"/>
      <c r="E9" s="29"/>
      <c r="F9" s="29"/>
      <c r="G9" s="40"/>
    </row>
    <row r="10" spans="1:17" x14ac:dyDescent="0.2">
      <c r="A10" s="149" t="s">
        <v>79</v>
      </c>
      <c r="B10" s="313">
        <f>'[3]Charter Misc'!$IJ$4</f>
        <v>0</v>
      </c>
      <c r="C10" s="151">
        <f>[3]Ryan!$IJ$4</f>
        <v>0</v>
      </c>
      <c r="D10" s="151">
        <f>'[3]Charter Misc'!$IJ$15</f>
        <v>0</v>
      </c>
      <c r="E10" s="151">
        <f>[3]Omni!$IJ$15+[3]Omni!$IJ$4+[3]Omni!$IJ$8</f>
        <v>2</v>
      </c>
      <c r="F10" s="151">
        <f>[3]Xtra!$IJ$15+[3]Xtra!$IJ$4</f>
        <v>0</v>
      </c>
      <c r="G10" s="248">
        <f>SUM(B10:F10)</f>
        <v>2</v>
      </c>
    </row>
    <row r="11" spans="1:17" x14ac:dyDescent="0.2">
      <c r="A11" s="149" t="s">
        <v>80</v>
      </c>
      <c r="B11" s="313">
        <f>'[3]Charter Misc'!$IJ$5</f>
        <v>0</v>
      </c>
      <c r="C11" s="151">
        <f>[3]Ryan!$IJ$5</f>
        <v>0</v>
      </c>
      <c r="D11" s="151">
        <f>'[3]Charter Misc'!$IJ$16</f>
        <v>0</v>
      </c>
      <c r="E11" s="151">
        <f>[3]Omni!$IJ$16+[3]Omni!$IJ$5+[3]Omni!$IJ$9</f>
        <v>2</v>
      </c>
      <c r="F11" s="151">
        <f>[3]Xtra!$IJ$16+[3]Xtra!$IJ$5</f>
        <v>0</v>
      </c>
      <c r="G11" s="248">
        <f>SUM(B11:F11)</f>
        <v>2</v>
      </c>
    </row>
    <row r="12" spans="1:17" ht="15.75" thickBot="1" x14ac:dyDescent="0.3">
      <c r="A12" s="201" t="s">
        <v>28</v>
      </c>
      <c r="B12" s="317">
        <f>SUM(B10:B11)</f>
        <v>0</v>
      </c>
      <c r="C12" s="221">
        <f>SUM(C10:C11)</f>
        <v>0</v>
      </c>
      <c r="D12" s="221">
        <f>SUM(D10:D11)</f>
        <v>0</v>
      </c>
      <c r="E12" s="221">
        <f>SUM(E10:E11)</f>
        <v>4</v>
      </c>
      <c r="F12" s="221">
        <f>SUM(F10:F11)</f>
        <v>0</v>
      </c>
      <c r="G12" s="222">
        <f>SUM(B12:F12)</f>
        <v>4</v>
      </c>
      <c r="Q12" s="95"/>
    </row>
    <row r="17" spans="1:16" x14ac:dyDescent="0.2">
      <c r="B17" s="443" t="s">
        <v>150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5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46" t="s">
        <v>118</v>
      </c>
      <c r="C19" s="447"/>
      <c r="D19" s="447"/>
      <c r="E19" s="448"/>
      <c r="G19" s="446" t="s">
        <v>119</v>
      </c>
      <c r="H19" s="449"/>
      <c r="I19" s="449"/>
      <c r="J19" s="450"/>
      <c r="L19" s="451" t="s">
        <v>120</v>
      </c>
      <c r="M19" s="452"/>
      <c r="N19" s="452"/>
      <c r="O19" s="453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242</v>
      </c>
      <c r="E20" s="434" t="s">
        <v>228</v>
      </c>
      <c r="F20" s="434" t="s">
        <v>96</v>
      </c>
      <c r="G20" s="434" t="s">
        <v>100</v>
      </c>
      <c r="H20" s="434" t="s">
        <v>101</v>
      </c>
      <c r="I20" s="434" t="s">
        <v>242</v>
      </c>
      <c r="J20" s="434" t="s">
        <v>228</v>
      </c>
      <c r="K20" s="434" t="s">
        <v>96</v>
      </c>
      <c r="L20" s="434" t="s">
        <v>100</v>
      </c>
      <c r="M20" s="434" t="s">
        <v>101</v>
      </c>
      <c r="N20" s="434" t="s">
        <v>242</v>
      </c>
      <c r="O20" s="434" t="s">
        <v>228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0">SUM(B21:C21)</f>
        <v>255954</v>
      </c>
      <c r="E21" s="433">
        <f>[5]Charter!$D$21</f>
        <v>154314</v>
      </c>
      <c r="F21" s="424">
        <f t="shared" ref="F21:F32" si="1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2">SUM(G21:H21)</f>
        <v>2136976</v>
      </c>
      <c r="J21" s="433">
        <f>[5]Charter!I21</f>
        <v>1842508</v>
      </c>
      <c r="K21" s="430">
        <f t="shared" ref="K21:K32" si="3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4">SUM(B22:C22)</f>
        <v>251121</v>
      </c>
      <c r="E22" s="423">
        <f>[7]Charter!D22</f>
        <v>169898</v>
      </c>
      <c r="F22" s="425">
        <f t="shared" si="1"/>
        <v>0.47806919445785118</v>
      </c>
      <c r="G22" s="423">
        <f t="shared" ref="G22" si="5">L22-B22</f>
        <v>996328</v>
      </c>
      <c r="H22" s="423">
        <f t="shared" ref="H22" si="6">M22-C22</f>
        <v>1014184</v>
      </c>
      <c r="I22" s="423">
        <f t="shared" ref="I22" si="7">SUM(G22:H22)</f>
        <v>2010512</v>
      </c>
      <c r="J22" s="423">
        <f>[7]Charter!I22</f>
        <v>1925453</v>
      </c>
      <c r="K22" s="431">
        <f t="shared" si="3"/>
        <v>4.4176097780626172E-2</v>
      </c>
      <c r="L22" s="433">
        <f>+[6]Charter!L22</f>
        <v>1121168</v>
      </c>
      <c r="M22" s="433">
        <f>+[6]Charter!M22</f>
        <v>1140465</v>
      </c>
      <c r="N22" s="433">
        <f>SUM(L22:M22)</f>
        <v>2261633</v>
      </c>
      <c r="O22" s="423">
        <f>[7]Charter!N22</f>
        <v>2095351</v>
      </c>
      <c r="P22" s="420">
        <f t="shared" ref="P22:P32" si="8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9">SUM(B23:C23)</f>
        <v>341563</v>
      </c>
      <c r="E23" s="423">
        <f>[9]Charter!D23</f>
        <v>248666</v>
      </c>
      <c r="F23" s="426">
        <f t="shared" si="1"/>
        <v>0.37358143051321852</v>
      </c>
      <c r="G23" s="423">
        <f t="shared" ref="G23" si="10">L23-B23</f>
        <v>1336750</v>
      </c>
      <c r="H23" s="423">
        <f t="shared" ref="H23" si="11">M23-C23</f>
        <v>1356247</v>
      </c>
      <c r="I23" s="423">
        <f t="shared" ref="I23" si="12">SUM(G23:H23)</f>
        <v>2692997</v>
      </c>
      <c r="J23" s="423">
        <f>[9]Charter!I23</f>
        <v>2580302</v>
      </c>
      <c r="K23" s="431">
        <f t="shared" si="3"/>
        <v>4.3675120199108478E-2</v>
      </c>
      <c r="L23" s="433">
        <f>+[8]Charter!L23</f>
        <v>1506119</v>
      </c>
      <c r="M23" s="433">
        <f>+[8]Charter!M23</f>
        <v>1528441</v>
      </c>
      <c r="N23" s="423">
        <f>SUM(L23:M23)</f>
        <v>3034560</v>
      </c>
      <c r="O23" s="423">
        <f>[9]Charter!N23</f>
        <v>2828968</v>
      </c>
      <c r="P23" s="420">
        <f t="shared" si="8"/>
        <v>7.2673851383260615E-2</v>
      </c>
    </row>
    <row r="24" spans="1:16" ht="14.1" customHeight="1" x14ac:dyDescent="0.2">
      <c r="A24" s="181" t="s">
        <v>105</v>
      </c>
      <c r="B24" s="433">
        <f>+[2]Charter!B24</f>
        <v>133601</v>
      </c>
      <c r="C24" s="433">
        <f>+[2]Charter!C24</f>
        <v>115857</v>
      </c>
      <c r="D24" s="423">
        <f t="shared" ref="D24" si="13">SUM(B24:C24)</f>
        <v>249458</v>
      </c>
      <c r="E24" s="423">
        <f>[10]Charter!D24</f>
        <v>153818</v>
      </c>
      <c r="F24" s="426">
        <f t="shared" si="1"/>
        <v>0.62177378460258226</v>
      </c>
      <c r="G24" s="423">
        <f t="shared" ref="G24" si="14">L24-B24</f>
        <v>1305362</v>
      </c>
      <c r="H24" s="423">
        <f t="shared" ref="H24" si="15">M24-C24</f>
        <v>1227285</v>
      </c>
      <c r="I24" s="423">
        <f t="shared" ref="I24" si="16">SUM(G24:H24)</f>
        <v>2532647</v>
      </c>
      <c r="J24" s="423">
        <f>[10]Charter!I24</f>
        <v>2445202</v>
      </c>
      <c r="K24" s="431">
        <f t="shared" si="3"/>
        <v>3.5761871616332722E-2</v>
      </c>
      <c r="L24" s="433">
        <f>+[2]Charter!L24</f>
        <v>1438963</v>
      </c>
      <c r="M24" s="433">
        <f>+[2]Charter!M24</f>
        <v>1343142</v>
      </c>
      <c r="N24" s="423">
        <f>SUM(L24:M24)</f>
        <v>2782105</v>
      </c>
      <c r="O24" s="423">
        <f>[10]Charter!N24</f>
        <v>2599020</v>
      </c>
      <c r="P24" s="420">
        <f t="shared" si="8"/>
        <v>7.0443859608621706E-2</v>
      </c>
    </row>
    <row r="25" spans="1:16" ht="14.1" customHeight="1" x14ac:dyDescent="0.2">
      <c r="A25" s="174" t="s">
        <v>75</v>
      </c>
      <c r="B25" s="423">
        <f>+'Intl Detail'!$Q$4+'Intl Detail'!$Q$9</f>
        <v>102957</v>
      </c>
      <c r="C25" s="423">
        <f>+'Intl Detail'!$Q$5+'Intl Detail'!$Q$10</f>
        <v>111285</v>
      </c>
      <c r="D25" s="423">
        <f t="shared" ref="D25" si="17">SUM(B25:C25)</f>
        <v>214242</v>
      </c>
      <c r="E25" s="423">
        <f>[1]Charter!D25</f>
        <v>131276</v>
      </c>
      <c r="F25" s="427">
        <f t="shared" si="1"/>
        <v>0.63199670922331574</v>
      </c>
      <c r="G25" s="423">
        <f t="shared" ref="G25" si="18">L25-B25</f>
        <v>1351079</v>
      </c>
      <c r="H25" s="423">
        <f t="shared" ref="H25" si="19">M25-C25</f>
        <v>1297633</v>
      </c>
      <c r="I25" s="423">
        <f t="shared" ref="I25" si="20">SUM(G25:H25)</f>
        <v>2648712</v>
      </c>
      <c r="J25" s="423">
        <f>[1]Charter!I25</f>
        <v>2565837</v>
      </c>
      <c r="K25" s="432">
        <f t="shared" si="3"/>
        <v>3.2299401715697451E-2</v>
      </c>
      <c r="L25" s="423">
        <f>+'Monthly Summary'!$B$11</f>
        <v>1454036</v>
      </c>
      <c r="M25" s="423">
        <f>+'Monthly Summary'!$C$11</f>
        <v>1408918</v>
      </c>
      <c r="N25" s="423">
        <f>SUM(L25:M25)</f>
        <v>2862954</v>
      </c>
      <c r="O25" s="423">
        <f>[1]Charter!N25</f>
        <v>2697113</v>
      </c>
      <c r="P25" s="421">
        <f t="shared" si="8"/>
        <v>6.1488339569013235E-2</v>
      </c>
    </row>
    <row r="26" spans="1:16" ht="14.1" customHeight="1" x14ac:dyDescent="0.2">
      <c r="A26" s="181" t="s">
        <v>106</v>
      </c>
      <c r="B26" s="423"/>
      <c r="C26" s="423"/>
      <c r="D26" s="423"/>
      <c r="E26" s="423"/>
      <c r="F26" s="426" t="e">
        <f t="shared" si="1"/>
        <v>#DIV/0!</v>
      </c>
      <c r="G26" s="423"/>
      <c r="H26" s="423"/>
      <c r="I26" s="423"/>
      <c r="J26" s="423"/>
      <c r="K26" s="431" t="e">
        <f t="shared" si="3"/>
        <v>#DIV/0!</v>
      </c>
      <c r="L26" s="423"/>
      <c r="M26" s="423"/>
      <c r="N26" s="423"/>
      <c r="O26" s="423"/>
      <c r="P26" s="420" t="e">
        <f t="shared" si="8"/>
        <v>#DIV/0!</v>
      </c>
    </row>
    <row r="27" spans="1:16" ht="14.1" customHeight="1" x14ac:dyDescent="0.2">
      <c r="A27" s="174" t="s">
        <v>107</v>
      </c>
      <c r="B27" s="423"/>
      <c r="C27" s="423"/>
      <c r="D27" s="423"/>
      <c r="E27" s="423"/>
      <c r="F27" s="427" t="e">
        <f t="shared" si="1"/>
        <v>#DIV/0!</v>
      </c>
      <c r="G27" s="423"/>
      <c r="H27" s="423"/>
      <c r="I27" s="423"/>
      <c r="J27" s="423"/>
      <c r="K27" s="432" t="e">
        <f t="shared" si="3"/>
        <v>#DIV/0!</v>
      </c>
      <c r="L27" s="423"/>
      <c r="M27" s="423"/>
      <c r="N27" s="423"/>
      <c r="O27" s="423"/>
      <c r="P27" s="421" t="e">
        <f t="shared" si="8"/>
        <v>#DIV/0!</v>
      </c>
    </row>
    <row r="28" spans="1:16" ht="14.1" customHeight="1" x14ac:dyDescent="0.2">
      <c r="A28" s="181" t="s">
        <v>108</v>
      </c>
      <c r="B28" s="423"/>
      <c r="C28" s="423"/>
      <c r="D28" s="423"/>
      <c r="E28" s="423"/>
      <c r="F28" s="426" t="e">
        <f t="shared" si="1"/>
        <v>#DIV/0!</v>
      </c>
      <c r="G28" s="423"/>
      <c r="H28" s="423"/>
      <c r="I28" s="423"/>
      <c r="J28" s="423"/>
      <c r="K28" s="431" t="e">
        <f t="shared" si="3"/>
        <v>#DIV/0!</v>
      </c>
      <c r="L28" s="423"/>
      <c r="M28" s="423"/>
      <c r="N28" s="423"/>
      <c r="O28" s="423"/>
      <c r="P28" s="420" t="e">
        <f t="shared" si="8"/>
        <v>#DIV/0!</v>
      </c>
    </row>
    <row r="29" spans="1:16" ht="14.1" customHeight="1" x14ac:dyDescent="0.2">
      <c r="A29" s="174" t="s">
        <v>109</v>
      </c>
      <c r="B29" s="423"/>
      <c r="C29" s="423"/>
      <c r="D29" s="423"/>
      <c r="E29" s="423"/>
      <c r="F29" s="427" t="e">
        <f t="shared" si="1"/>
        <v>#DIV/0!</v>
      </c>
      <c r="G29" s="423"/>
      <c r="H29" s="423"/>
      <c r="I29" s="423"/>
      <c r="J29" s="423"/>
      <c r="K29" s="432" t="e">
        <f t="shared" si="3"/>
        <v>#DIV/0!</v>
      </c>
      <c r="L29" s="423"/>
      <c r="M29" s="423"/>
      <c r="N29" s="423"/>
      <c r="O29" s="423"/>
      <c r="P29" s="421" t="e">
        <f t="shared" si="8"/>
        <v>#DIV/0!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1"/>
        <v>#DIV/0!</v>
      </c>
      <c r="G30" s="423"/>
      <c r="H30" s="423"/>
      <c r="I30" s="423"/>
      <c r="J30" s="423"/>
      <c r="K30" s="431" t="e">
        <f t="shared" si="3"/>
        <v>#DIV/0!</v>
      </c>
      <c r="L30" s="423"/>
      <c r="M30" s="423"/>
      <c r="N30" s="423"/>
      <c r="O30" s="423"/>
      <c r="P30" s="420" t="e">
        <f t="shared" si="8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1"/>
        <v>#DIV/0!</v>
      </c>
      <c r="G31" s="423"/>
      <c r="H31" s="423"/>
      <c r="I31" s="423"/>
      <c r="J31" s="423"/>
      <c r="K31" s="432" t="e">
        <f t="shared" si="3"/>
        <v>#DIV/0!</v>
      </c>
      <c r="L31" s="423"/>
      <c r="M31" s="423"/>
      <c r="N31" s="423"/>
      <c r="O31" s="423"/>
      <c r="P31" s="421" t="e">
        <f t="shared" si="8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1"/>
        <v>#DIV/0!</v>
      </c>
      <c r="G32" s="423"/>
      <c r="H32" s="423"/>
      <c r="I32" s="423"/>
      <c r="J32" s="423"/>
      <c r="K32" s="428" t="e">
        <f t="shared" si="3"/>
        <v>#DIV/0!</v>
      </c>
      <c r="L32" s="423"/>
      <c r="M32" s="423"/>
      <c r="N32" s="423"/>
      <c r="O32" s="423"/>
      <c r="P32" s="422" t="e">
        <f t="shared" si="8"/>
        <v>#DIV/0!</v>
      </c>
    </row>
    <row r="33" spans="1:16" ht="13.5" thickBot="1" x14ac:dyDescent="0.25">
      <c r="A33" s="179" t="s">
        <v>76</v>
      </c>
      <c r="B33" s="185">
        <f>SUM(B21:B32)</f>
        <v>660418</v>
      </c>
      <c r="C33" s="186">
        <f>SUM(C21:C32)</f>
        <v>651920</v>
      </c>
      <c r="D33" s="186">
        <f>SUM(D21:D32)</f>
        <v>1312338</v>
      </c>
      <c r="E33" s="187">
        <f>SUM(E21:E32)</f>
        <v>857972</v>
      </c>
      <c r="F33" s="177">
        <f>(D33-E33)/E33</f>
        <v>0.52958138494030105</v>
      </c>
      <c r="G33" s="188">
        <f>SUM(G21:G32)</f>
        <v>6040787</v>
      </c>
      <c r="H33" s="186">
        <f>SUM(H21:H32)</f>
        <v>5981057</v>
      </c>
      <c r="I33" s="186">
        <f>SUM(I21:I32)</f>
        <v>12021844</v>
      </c>
      <c r="J33" s="189">
        <f>SUM(J21:J32)</f>
        <v>11359302</v>
      </c>
      <c r="K33" s="178">
        <f>(I33-J33)/J33</f>
        <v>5.8325942914450202E-2</v>
      </c>
      <c r="L33" s="188">
        <f>SUM(L21:L32)</f>
        <v>6701205</v>
      </c>
      <c r="M33" s="186">
        <f>SUM(M21:M32)</f>
        <v>6632977</v>
      </c>
      <c r="N33" s="186">
        <f>SUM(N21:N32)</f>
        <v>13334182</v>
      </c>
      <c r="O33" s="187">
        <f>SUM(O21:O32)</f>
        <v>12217274</v>
      </c>
      <c r="P33" s="176">
        <f>(N33-O33)/O33</f>
        <v>9.142039378015096E-2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May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B3" sqref="B3:T33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4" t="s">
        <v>202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6"/>
    </row>
    <row r="2" spans="1:23" s="27" customFormat="1" ht="43.5" customHeight="1" thickBot="1" x14ac:dyDescent="0.25">
      <c r="A2" s="396">
        <v>45047</v>
      </c>
      <c r="B2" s="325" t="s">
        <v>198</v>
      </c>
      <c r="C2" s="325" t="s">
        <v>251</v>
      </c>
      <c r="D2" s="325" t="s">
        <v>220</v>
      </c>
      <c r="E2" s="358" t="s">
        <v>222</v>
      </c>
      <c r="F2" s="358" t="s">
        <v>221</v>
      </c>
      <c r="G2" s="325" t="s">
        <v>203</v>
      </c>
      <c r="H2" s="358" t="s">
        <v>246</v>
      </c>
      <c r="I2" s="358" t="s">
        <v>200</v>
      </c>
      <c r="J2" s="326" t="s">
        <v>81</v>
      </c>
      <c r="K2" s="358" t="s">
        <v>176</v>
      </c>
      <c r="L2" s="325" t="s">
        <v>204</v>
      </c>
      <c r="M2" s="358" t="s">
        <v>85</v>
      </c>
      <c r="N2" s="325" t="s">
        <v>244</v>
      </c>
      <c r="O2" s="325" t="s">
        <v>205</v>
      </c>
      <c r="P2" s="325" t="s">
        <v>206</v>
      </c>
      <c r="Q2" s="326" t="s">
        <v>82</v>
      </c>
      <c r="R2" s="358" t="s">
        <v>127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Air'!$IJ$4</f>
        <v>31</v>
      </c>
      <c r="C4" s="132">
        <f>[3]DHL!$IJ$8+[3]DHL!$IJ$4</f>
        <v>1</v>
      </c>
      <c r="D4" s="132">
        <f>[3]Airborne!$IJ$4+[3]Airborne!$IJ$15</f>
        <v>4</v>
      </c>
      <c r="E4" s="95">
        <f>[3]DHL_Bemidji!$IJ$4</f>
        <v>41</v>
      </c>
      <c r="F4" s="95">
        <f>[3]Bemidji!$IJ$4</f>
        <v>183</v>
      </c>
      <c r="G4" s="132">
        <f>[3]DHL_Encore!$IJ$4+[3]DHL_Encore!$IJ$15</f>
        <v>0</v>
      </c>
      <c r="H4" s="132">
        <f>[3]DHL_Mesa!$IJ$4+[3]DHL_Mesa!$IJ$15</f>
        <v>0</v>
      </c>
      <c r="I4" s="132">
        <f>[3]Encore!$IJ$4+[3]Encore!$IJ$15</f>
        <v>0</v>
      </c>
      <c r="J4" s="132">
        <f>[3]FedEx!$IJ$4+[3]FedEx!$IJ$15</f>
        <v>87</v>
      </c>
      <c r="K4" s="132">
        <f>[3]IFL!$IJ$4+[3]IFL!$IJ$15</f>
        <v>17</v>
      </c>
      <c r="L4" s="132">
        <f>[3]DHL_Kalitta!$IJ$4+[3]DHL_Kalitta!$IJ$15</f>
        <v>0</v>
      </c>
      <c r="M4" s="95">
        <f>'[3]Mountain Cargo'!$IJ$4</f>
        <v>21</v>
      </c>
      <c r="N4" s="132">
        <f>[3]DHL_Amerijet!$IJ$4+[3]DHL_Amerijet!$IJ$15</f>
        <v>3</v>
      </c>
      <c r="O4" s="132">
        <f>[3]DHL_Swift!$IJ$4+[3]DHL_Swift!$IJ$15</f>
        <v>34</v>
      </c>
      <c r="P4" s="132">
        <f>+'[3]Sun Country Cargo'!$IJ$4+'[3]Sun Country Cargo'!$IJ$8+'[3]Sun Country Cargo'!$IJ$15</f>
        <v>62</v>
      </c>
      <c r="Q4" s="132">
        <f>[3]UPS!$IJ$4+[3]UPS!$IJ$15</f>
        <v>125</v>
      </c>
      <c r="R4" s="95">
        <f>'[3]Misc Cargo'!$IJ$4</f>
        <v>0</v>
      </c>
      <c r="S4" s="368">
        <f>SUM(B4:R4)</f>
        <v>609</v>
      </c>
      <c r="U4" s="340"/>
      <c r="V4" s="340"/>
      <c r="W4" s="217"/>
    </row>
    <row r="5" spans="1:23" x14ac:dyDescent="0.2">
      <c r="A5" s="37" t="s">
        <v>54</v>
      </c>
      <c r="B5" s="369">
        <f>'[3]Atlas Air'!$IJ$5</f>
        <v>31</v>
      </c>
      <c r="C5" s="156">
        <f>[3]DHL!$IJ$9+[3]DHL!$IJ$5</f>
        <v>1</v>
      </c>
      <c r="D5" s="156">
        <f>[3]Airborne!$IJ$5</f>
        <v>4</v>
      </c>
      <c r="E5" s="96">
        <f>[3]DHL_Bemidji!$IJ$5</f>
        <v>41</v>
      </c>
      <c r="F5" s="96">
        <f>[3]Bemidji!$IJ$5</f>
        <v>183</v>
      </c>
      <c r="G5" s="156">
        <f>[3]DHL_Encore!$IJ$5</f>
        <v>0</v>
      </c>
      <c r="H5" s="156">
        <f>[3]DHL_Mesa!$IJ$5</f>
        <v>0</v>
      </c>
      <c r="I5" s="156">
        <f>[3]Encore!$IJ$5</f>
        <v>0</v>
      </c>
      <c r="J5" s="156">
        <f>[3]FedEx!$IJ$5</f>
        <v>87</v>
      </c>
      <c r="K5" s="156">
        <f>[3]IFL!$IJ$5</f>
        <v>17</v>
      </c>
      <c r="L5" s="156">
        <f>[3]DHL_Kalitta!$IJ$5</f>
        <v>0</v>
      </c>
      <c r="M5" s="96">
        <f>'[3]Mountain Cargo'!$IJ$5</f>
        <v>21</v>
      </c>
      <c r="N5" s="156">
        <f>[3]DHL_Amerijet!$IJ$5</f>
        <v>3</v>
      </c>
      <c r="O5" s="156">
        <f>[3]DHL_Swift!$IJ$5</f>
        <v>34</v>
      </c>
      <c r="P5" s="156">
        <f>+'[3]Sun Country Cargo'!$IJ$5+'[3]Sun Country Cargo'!$IJ$9+'[3]Sun Country Cargo'!$IJ$16</f>
        <v>62</v>
      </c>
      <c r="Q5" s="156">
        <f>[3]UPS!$IJ$5+[3]UPS!$IJ$16</f>
        <v>125</v>
      </c>
      <c r="R5" s="96">
        <f>'[3]Misc Cargo'!$IJ$5</f>
        <v>0</v>
      </c>
      <c r="S5" s="368">
        <f>SUM(B5:R5)</f>
        <v>609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62</v>
      </c>
      <c r="C6" s="371">
        <f t="shared" si="0"/>
        <v>2</v>
      </c>
      <c r="D6" s="371">
        <f t="shared" ref="D6:E6" si="1">SUM(D4:D5)</f>
        <v>8</v>
      </c>
      <c r="E6" s="93">
        <f t="shared" si="1"/>
        <v>82</v>
      </c>
      <c r="F6" s="93">
        <f t="shared" si="0"/>
        <v>366</v>
      </c>
      <c r="G6" s="371">
        <f t="shared" si="0"/>
        <v>0</v>
      </c>
      <c r="H6" s="371">
        <f t="shared" ref="H6" si="2">SUM(H4:H5)</f>
        <v>0</v>
      </c>
      <c r="I6" s="371">
        <f t="shared" si="0"/>
        <v>0</v>
      </c>
      <c r="J6" s="371">
        <f t="shared" si="0"/>
        <v>174</v>
      </c>
      <c r="K6" s="371">
        <f t="shared" si="0"/>
        <v>34</v>
      </c>
      <c r="L6" s="371">
        <f t="shared" si="0"/>
        <v>0</v>
      </c>
      <c r="M6" s="93">
        <f t="shared" si="0"/>
        <v>42</v>
      </c>
      <c r="N6" s="371">
        <f t="shared" si="0"/>
        <v>6</v>
      </c>
      <c r="O6" s="371">
        <f t="shared" si="0"/>
        <v>68</v>
      </c>
      <c r="P6" s="371">
        <f t="shared" si="0"/>
        <v>124</v>
      </c>
      <c r="Q6" s="371">
        <f t="shared" si="0"/>
        <v>250</v>
      </c>
      <c r="R6" s="93">
        <f t="shared" si="0"/>
        <v>0</v>
      </c>
      <c r="S6" s="368">
        <f t="shared" ref="S6:S10" si="3">SUM(B6:R6)</f>
        <v>1218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Cargo'!$IJ$8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Cargo'!$IJ$9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62</v>
      </c>
      <c r="C12" s="161">
        <f t="shared" si="7"/>
        <v>2</v>
      </c>
      <c r="D12" s="161">
        <f t="shared" ref="D12:E12" si="8">D6+D10</f>
        <v>8</v>
      </c>
      <c r="E12" s="162">
        <f t="shared" si="8"/>
        <v>82</v>
      </c>
      <c r="F12" s="162">
        <f t="shared" si="7"/>
        <v>366</v>
      </c>
      <c r="G12" s="161">
        <f t="shared" si="7"/>
        <v>0</v>
      </c>
      <c r="H12" s="161">
        <f t="shared" ref="H12" si="9">H6+H10</f>
        <v>0</v>
      </c>
      <c r="I12" s="161">
        <f t="shared" si="7"/>
        <v>0</v>
      </c>
      <c r="J12" s="161">
        <f t="shared" si="7"/>
        <v>174</v>
      </c>
      <c r="K12" s="161">
        <f t="shared" si="7"/>
        <v>34</v>
      </c>
      <c r="L12" s="161">
        <f t="shared" si="7"/>
        <v>0</v>
      </c>
      <c r="M12" s="162">
        <f t="shared" si="7"/>
        <v>42</v>
      </c>
      <c r="N12" s="161">
        <f t="shared" si="7"/>
        <v>6</v>
      </c>
      <c r="O12" s="161">
        <f t="shared" si="7"/>
        <v>68</v>
      </c>
      <c r="P12" s="161">
        <f t="shared" si="7"/>
        <v>124</v>
      </c>
      <c r="Q12" s="161">
        <f t="shared" si="7"/>
        <v>250</v>
      </c>
      <c r="R12" s="162">
        <f t="shared" si="7"/>
        <v>0</v>
      </c>
      <c r="S12" s="374">
        <f>SUM(B12:R12)</f>
        <v>1218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Air'!$IJ$47</f>
        <v>1967356</v>
      </c>
      <c r="C16" s="132">
        <f>[3]DHL!$IJ$47</f>
        <v>27368</v>
      </c>
      <c r="D16" s="132">
        <f>[3]Airborne!$IJ$47</f>
        <v>125007</v>
      </c>
      <c r="E16" s="132">
        <f>[3]DHL_Bemidji!$IJ$47</f>
        <v>44706</v>
      </c>
      <c r="F16" s="457" t="s">
        <v>86</v>
      </c>
      <c r="G16" s="132">
        <f>[3]DHL_Encore!$IJ$47</f>
        <v>0</v>
      </c>
      <c r="H16" s="132">
        <f>[3]DHL_Mesa!$IJ$47</f>
        <v>0</v>
      </c>
      <c r="I16" s="132">
        <f>[3]Encore!$IJ$47</f>
        <v>0</v>
      </c>
      <c r="J16" s="132">
        <f>[3]FedEx!$IJ$47</f>
        <v>5881124</v>
      </c>
      <c r="K16" s="132">
        <f>[3]IFL!$IJ$47</f>
        <v>59282</v>
      </c>
      <c r="L16" s="132">
        <f>[3]DHL_Kalitta!$IJ$47</f>
        <v>0</v>
      </c>
      <c r="M16" s="95">
        <f>'[3]Mountain Cargo'!$IJ$47</f>
        <v>0</v>
      </c>
      <c r="N16" s="132">
        <f>[3]DHL_Amerijet!$IJ$47</f>
        <v>135133</v>
      </c>
      <c r="O16" s="132">
        <f>[3]DHL_Swift!$IJ$47</f>
        <v>767377</v>
      </c>
      <c r="P16" s="132">
        <f>+'[3]Sun Country Cargo'!$IJ$47</f>
        <v>1675431</v>
      </c>
      <c r="Q16" s="132">
        <f>[3]UPS!$IJ$47</f>
        <v>5582395</v>
      </c>
      <c r="R16" s="95">
        <f>'[3]Misc Cargo'!$IJ$47</f>
        <v>0</v>
      </c>
      <c r="S16" s="368">
        <f>SUM(B16:E16)+SUM(G16:R16)</f>
        <v>16265179</v>
      </c>
      <c r="U16" s="340"/>
      <c r="V16" s="340"/>
      <c r="W16" s="217"/>
    </row>
    <row r="17" spans="1:23" x14ac:dyDescent="0.2">
      <c r="A17" s="37" t="s">
        <v>38</v>
      </c>
      <c r="B17" s="183">
        <f>'[3]Atlas Air'!$IJ$48</f>
        <v>0</v>
      </c>
      <c r="C17" s="132">
        <f>[3]DHL!$IJ$48</f>
        <v>0</v>
      </c>
      <c r="D17" s="132">
        <f>[3]Airborne!$IJ$48</f>
        <v>0</v>
      </c>
      <c r="E17" s="132">
        <f>[3]DHL_Bemidji!$IJ$48</f>
        <v>0</v>
      </c>
      <c r="F17" s="458"/>
      <c r="G17" s="132">
        <f>[3]DHL_Encore!$IJ$48</f>
        <v>0</v>
      </c>
      <c r="H17" s="132">
        <f>[3]DHL_Mesa!$IJ$48</f>
        <v>0</v>
      </c>
      <c r="I17" s="132">
        <f>[3]Encore!$IJ$48</f>
        <v>0</v>
      </c>
      <c r="J17" s="132">
        <f>[3]FedEx!$IJ$48</f>
        <v>0</v>
      </c>
      <c r="K17" s="132">
        <f>[3]IFL!$IJ$48</f>
        <v>0</v>
      </c>
      <c r="L17" s="132">
        <f>[3]DHL_Kalitta!$IJ$48</f>
        <v>0</v>
      </c>
      <c r="M17" s="95">
        <f>'[3]Mountain Cargo'!$IJ$48</f>
        <v>56840</v>
      </c>
      <c r="N17" s="132">
        <f>[3]DHL_Amerijet!$IJ$48</f>
        <v>0</v>
      </c>
      <c r="O17" s="132">
        <f>[3]DHL_Swift!$IJ$48</f>
        <v>0</v>
      </c>
      <c r="P17" s="132">
        <f>+'[3]Sun Country Cargo'!$IJ$48</f>
        <v>0</v>
      </c>
      <c r="Q17" s="132">
        <f>[3]UPS!$IJ$48</f>
        <v>532430</v>
      </c>
      <c r="R17" s="95">
        <f>'[3]Misc Cargo'!$IJ$48</f>
        <v>0</v>
      </c>
      <c r="S17" s="368">
        <f>SUM(B17:E17)+SUM(G17:R17)</f>
        <v>589270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1967356</v>
      </c>
      <c r="C18" s="223">
        <f>SUM(C16:C17)</f>
        <v>27368</v>
      </c>
      <c r="D18" s="223">
        <f>SUM(D16:D17)</f>
        <v>125007</v>
      </c>
      <c r="E18" s="223">
        <f>SUM(E16:E17)</f>
        <v>44706</v>
      </c>
      <c r="F18" s="458"/>
      <c r="G18" s="223">
        <f>SUM(G16:G17)</f>
        <v>0</v>
      </c>
      <c r="H18" s="223">
        <f>SUM(H16:H17)</f>
        <v>0</v>
      </c>
      <c r="I18" s="223">
        <f>SUM(I16:I17)</f>
        <v>0</v>
      </c>
      <c r="J18" s="223">
        <f>SUM(J16:J17)</f>
        <v>5881124</v>
      </c>
      <c r="K18" s="223">
        <f>SUM(K16:K17)</f>
        <v>59282</v>
      </c>
      <c r="L18" s="223">
        <f t="shared" ref="L18:R18" si="10">SUM(L16:L17)</f>
        <v>0</v>
      </c>
      <c r="M18" s="224">
        <f t="shared" si="10"/>
        <v>56840</v>
      </c>
      <c r="N18" s="223">
        <f t="shared" si="10"/>
        <v>135133</v>
      </c>
      <c r="O18" s="223">
        <f t="shared" si="10"/>
        <v>767377</v>
      </c>
      <c r="P18" s="223">
        <f t="shared" si="10"/>
        <v>1675431</v>
      </c>
      <c r="Q18" s="223">
        <f t="shared" si="10"/>
        <v>6114825</v>
      </c>
      <c r="R18" s="224">
        <f t="shared" si="10"/>
        <v>0</v>
      </c>
      <c r="S18" s="380">
        <f>SUM(B18:D18)+SUM(G18:R18)</f>
        <v>16809743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58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58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Air'!$IJ$52</f>
        <v>1153155</v>
      </c>
      <c r="C21" s="132">
        <f>[3]DHL!$IJ$52</f>
        <v>1506</v>
      </c>
      <c r="D21" s="132">
        <f>[3]Airborne!$IJ$52</f>
        <v>123222</v>
      </c>
      <c r="E21" s="132">
        <f>[3]DHL_Bemidji!$IJ$52</f>
        <v>50748</v>
      </c>
      <c r="F21" s="458"/>
      <c r="G21" s="132">
        <f>[3]DHL_Encore!$IJ$52</f>
        <v>0</v>
      </c>
      <c r="H21" s="132">
        <f>[3]DHL_Mesa!$IJ$52</f>
        <v>0</v>
      </c>
      <c r="I21" s="132">
        <f>[3]Encore!$IJ$52</f>
        <v>0</v>
      </c>
      <c r="J21" s="132">
        <f>[3]FedEx!$IJ$52</f>
        <v>6502767</v>
      </c>
      <c r="K21" s="132">
        <f>[3]IFL!$IJ$52</f>
        <v>0</v>
      </c>
      <c r="L21" s="132">
        <f>[3]DHL_Kalitta!$IJ$52</f>
        <v>0</v>
      </c>
      <c r="M21" s="95">
        <f>'[3]Mountain Cargo'!$IJ$52</f>
        <v>0</v>
      </c>
      <c r="N21" s="132">
        <f>[3]DHL_Amerijet!$IJ$52</f>
        <v>48620</v>
      </c>
      <c r="O21" s="132">
        <f>[3]DHL_Swift!$IJ$52</f>
        <v>316554</v>
      </c>
      <c r="P21" s="132">
        <f>+'[3]Sun Country Cargo'!$IJ$52</f>
        <v>1150091</v>
      </c>
      <c r="Q21" s="132">
        <f>[3]UPS!$IJ$52</f>
        <v>4508364</v>
      </c>
      <c r="R21" s="95">
        <f>'[3]Misc Cargo'!$IJ$52</f>
        <v>0</v>
      </c>
      <c r="S21" s="368">
        <f>SUM(B21:E21)+SUM(G21:R21)</f>
        <v>13855027</v>
      </c>
      <c r="U21" s="340"/>
      <c r="V21" s="340"/>
      <c r="W21" s="217"/>
    </row>
    <row r="22" spans="1:23" x14ac:dyDescent="0.2">
      <c r="A22" s="37" t="s">
        <v>60</v>
      </c>
      <c r="B22" s="183">
        <f>'[3]Atlas Air'!$IJ$53</f>
        <v>0</v>
      </c>
      <c r="C22" s="132">
        <f>[3]DHL!$IJ$53</f>
        <v>0</v>
      </c>
      <c r="D22" s="132">
        <f>[3]Airborne!$IJ$53</f>
        <v>0</v>
      </c>
      <c r="E22" s="132">
        <f>[3]DHL_Bemidji!$IJ$53</f>
        <v>0</v>
      </c>
      <c r="F22" s="458"/>
      <c r="G22" s="132">
        <f>[3]DHL_Encore!$IJ$53</f>
        <v>0</v>
      </c>
      <c r="H22" s="132">
        <f>[3]DHL_Mesa!$IJ$53</f>
        <v>0</v>
      </c>
      <c r="I22" s="132">
        <f>[3]Encore!$IJ$53</f>
        <v>0</v>
      </c>
      <c r="J22" s="132">
        <f>[3]FedEx!$IJ$53</f>
        <v>0</v>
      </c>
      <c r="K22" s="132">
        <f>[3]IFL!$IJ$53</f>
        <v>0</v>
      </c>
      <c r="L22" s="132">
        <f>[3]DHL_Kalitta!$IJ$53</f>
        <v>0</v>
      </c>
      <c r="M22" s="95">
        <f>'[3]Mountain Cargo'!$IJ$53</f>
        <v>108131</v>
      </c>
      <c r="N22" s="132">
        <f>[3]DHL_Amerijet!$IJ$53</f>
        <v>0</v>
      </c>
      <c r="O22" s="132">
        <f>[3]DHL_Swift!$IJ$53</f>
        <v>0</v>
      </c>
      <c r="P22" s="132">
        <f>+'[3]Sun Country Cargo'!$IJ$53</f>
        <v>0</v>
      </c>
      <c r="Q22" s="132">
        <f>[3]UPS!$IJ$53</f>
        <v>326735</v>
      </c>
      <c r="R22" s="95">
        <f>'[3]Misc Cargo'!$IJ$53</f>
        <v>0</v>
      </c>
      <c r="S22" s="368">
        <f>SUM(B22:E22)+SUM(G22:R22)</f>
        <v>434866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1153155</v>
      </c>
      <c r="C23" s="223">
        <f>SUM(C21:C22)</f>
        <v>1506</v>
      </c>
      <c r="D23" s="223">
        <f t="shared" ref="D23:E23" si="11">SUM(D21:D22)</f>
        <v>123222</v>
      </c>
      <c r="E23" s="223">
        <f t="shared" si="11"/>
        <v>50748</v>
      </c>
      <c r="F23" s="458"/>
      <c r="G23" s="223">
        <f t="shared" ref="G23:R23" si="12">SUM(G21:G22)</f>
        <v>0</v>
      </c>
      <c r="H23" s="223">
        <f t="shared" ref="H23" si="13">SUM(H21:H22)</f>
        <v>0</v>
      </c>
      <c r="I23" s="223">
        <f t="shared" si="12"/>
        <v>0</v>
      </c>
      <c r="J23" s="223">
        <f t="shared" si="12"/>
        <v>6502767</v>
      </c>
      <c r="K23" s="223">
        <f t="shared" si="12"/>
        <v>0</v>
      </c>
      <c r="L23" s="223">
        <f t="shared" si="12"/>
        <v>0</v>
      </c>
      <c r="M23" s="224">
        <f t="shared" si="12"/>
        <v>108131</v>
      </c>
      <c r="N23" s="223">
        <f t="shared" si="12"/>
        <v>48620</v>
      </c>
      <c r="O23" s="223">
        <f t="shared" si="12"/>
        <v>316554</v>
      </c>
      <c r="P23" s="223">
        <f t="shared" si="12"/>
        <v>1150091</v>
      </c>
      <c r="Q23" s="223">
        <f t="shared" si="12"/>
        <v>4835099</v>
      </c>
      <c r="R23" s="224">
        <f t="shared" si="12"/>
        <v>0</v>
      </c>
      <c r="S23" s="380">
        <f>SUM(B23:D23)+SUM(G23:R23)</f>
        <v>14239145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58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58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Air'!$IJ$57</f>
        <v>0</v>
      </c>
      <c r="C26" s="132">
        <f>[3]DHL!$IJ$57</f>
        <v>0</v>
      </c>
      <c r="D26" s="132">
        <f>[3]Airborne!$IJ$57</f>
        <v>0</v>
      </c>
      <c r="E26" s="132">
        <f>[3]DHL_Bemidji!$IJ$57</f>
        <v>0</v>
      </c>
      <c r="F26" s="458"/>
      <c r="G26" s="132">
        <f>[3]DHL_Encore!$IJ$57</f>
        <v>0</v>
      </c>
      <c r="H26" s="132">
        <f>[3]DHL_Mesa!$IJ$57</f>
        <v>0</v>
      </c>
      <c r="I26" s="132">
        <f>[3]Encore!$IJ$57</f>
        <v>0</v>
      </c>
      <c r="J26" s="132">
        <f>[3]FedEx!$IJ$57</f>
        <v>0</v>
      </c>
      <c r="K26" s="132">
        <f>[3]IFL!$IJ$57</f>
        <v>0</v>
      </c>
      <c r="L26" s="132">
        <f>[3]DHL_Kalitta!$IJ$57</f>
        <v>0</v>
      </c>
      <c r="M26" s="95">
        <f>'[3]Mountain Cargo'!$IJ$57</f>
        <v>0</v>
      </c>
      <c r="N26" s="132">
        <f>[3]DHL_Amerijet!$IJ$57</f>
        <v>0</v>
      </c>
      <c r="O26" s="132">
        <f>[3]DHL_Swift!$IJ$57</f>
        <v>0</v>
      </c>
      <c r="P26" s="132">
        <f>+'[3]Sun Country Cargo'!$IJ$57</f>
        <v>0</v>
      </c>
      <c r="Q26" s="132">
        <f>[3]UPS!$IJ$57</f>
        <v>0</v>
      </c>
      <c r="R26" s="95">
        <f>'[3]Misc Cargo'!$IJ$57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Air'!$IJ$58</f>
        <v>0</v>
      </c>
      <c r="C27" s="132">
        <f>[3]DHL!$IJ$58</f>
        <v>0</v>
      </c>
      <c r="D27" s="132">
        <f>[3]Airborne!$IJ$58</f>
        <v>0</v>
      </c>
      <c r="E27" s="132">
        <f>[3]DHL_Bemidji!$IJ$58</f>
        <v>0</v>
      </c>
      <c r="F27" s="458"/>
      <c r="G27" s="132">
        <f>[3]DHL_Encore!$IJ$58</f>
        <v>0</v>
      </c>
      <c r="H27" s="132">
        <f>[3]DHL_Mesa!$IJ$58</f>
        <v>0</v>
      </c>
      <c r="I27" s="132">
        <f>[3]Encore!$IJ$58</f>
        <v>0</v>
      </c>
      <c r="J27" s="132">
        <f>[3]FedEx!$IJ$58</f>
        <v>0</v>
      </c>
      <c r="K27" s="132">
        <f>[3]IFL!$IJ$58</f>
        <v>0</v>
      </c>
      <c r="L27" s="132">
        <f>[3]DHL_Kalitta!$IJ$58</f>
        <v>0</v>
      </c>
      <c r="M27" s="95">
        <f>'[3]Mountain Cargo'!$IJ$58</f>
        <v>0</v>
      </c>
      <c r="N27" s="132">
        <f>[3]DHL_Amerijet!$IJ$58</f>
        <v>0</v>
      </c>
      <c r="O27" s="132">
        <f>[3]DHL_Swift!$IJ$58</f>
        <v>0</v>
      </c>
      <c r="P27" s="132">
        <f>+'[3]Sun Country Cargo'!$IJ$58</f>
        <v>0</v>
      </c>
      <c r="Q27" s="132">
        <f>[3]UPS!$IJ$58</f>
        <v>0</v>
      </c>
      <c r="R27" s="95">
        <f>'[3]Misc Cargo'!$IJ$58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58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58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58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3120511</v>
      </c>
      <c r="C31" s="132">
        <f t="shared" ref="C31:R33" si="17">C26+C21+C16</f>
        <v>28874</v>
      </c>
      <c r="D31" s="132">
        <f t="shared" si="17"/>
        <v>248229</v>
      </c>
      <c r="E31" s="132">
        <f t="shared" si="17"/>
        <v>95454</v>
      </c>
      <c r="F31" s="458"/>
      <c r="G31" s="132">
        <f t="shared" ref="G31:P33" si="18">G26+G21+G16</f>
        <v>0</v>
      </c>
      <c r="H31" s="132">
        <f t="shared" ref="H31" si="19">H26+H21+H16</f>
        <v>0</v>
      </c>
      <c r="I31" s="132">
        <f t="shared" si="18"/>
        <v>0</v>
      </c>
      <c r="J31" s="132">
        <f t="shared" si="18"/>
        <v>12383891</v>
      </c>
      <c r="K31" s="132">
        <f t="shared" si="18"/>
        <v>59282</v>
      </c>
      <c r="L31" s="132">
        <f t="shared" si="18"/>
        <v>0</v>
      </c>
      <c r="M31" s="95">
        <f>M26+M21+M16</f>
        <v>0</v>
      </c>
      <c r="N31" s="132">
        <f t="shared" si="18"/>
        <v>183753</v>
      </c>
      <c r="O31" s="132">
        <f t="shared" si="18"/>
        <v>1083931</v>
      </c>
      <c r="P31" s="132">
        <f t="shared" si="18"/>
        <v>2825522</v>
      </c>
      <c r="Q31" s="132">
        <f t="shared" si="17"/>
        <v>10090759</v>
      </c>
      <c r="R31" s="95">
        <f>R26+R21+R16</f>
        <v>0</v>
      </c>
      <c r="S31" s="368">
        <f>SUM(B31:E31)+SUM(G31:R31)</f>
        <v>30120206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59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164971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859165</v>
      </c>
      <c r="R32" s="95">
        <f>R27+R22+R17</f>
        <v>0</v>
      </c>
      <c r="S32" s="368">
        <f>SUM(B32:E32)+SUM(G32:R32)</f>
        <v>1024136</v>
      </c>
    </row>
    <row r="33" spans="1:19" ht="18" customHeight="1" thickBot="1" x14ac:dyDescent="0.25">
      <c r="A33" s="160" t="s">
        <v>46</v>
      </c>
      <c r="B33" s="373">
        <f>B28+B23+B18</f>
        <v>3120511</v>
      </c>
      <c r="C33" s="161">
        <f t="shared" ref="C33:I33" si="21">C28+C23+C18</f>
        <v>28874</v>
      </c>
      <c r="D33" s="161">
        <f t="shared" si="21"/>
        <v>248229</v>
      </c>
      <c r="E33" s="161">
        <f t="shared" si="21"/>
        <v>95454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0</v>
      </c>
      <c r="I33" s="161">
        <f t="shared" si="21"/>
        <v>0</v>
      </c>
      <c r="J33" s="161">
        <f t="shared" si="18"/>
        <v>12383891</v>
      </c>
      <c r="K33" s="161">
        <f t="shared" si="18"/>
        <v>59282</v>
      </c>
      <c r="L33" s="161">
        <f t="shared" si="18"/>
        <v>0</v>
      </c>
      <c r="M33" s="162">
        <f>M28+M23+M18</f>
        <v>164971</v>
      </c>
      <c r="N33" s="161">
        <f t="shared" si="18"/>
        <v>183753</v>
      </c>
      <c r="O33" s="161">
        <f t="shared" si="18"/>
        <v>1083931</v>
      </c>
      <c r="P33" s="161">
        <f t="shared" si="17"/>
        <v>2825522</v>
      </c>
      <c r="Q33" s="161">
        <f t="shared" si="17"/>
        <v>10949924</v>
      </c>
      <c r="R33" s="162">
        <f t="shared" si="17"/>
        <v>0</v>
      </c>
      <c r="S33" s="374">
        <f>SUM(B33:E33)+SUM(G33:R33)</f>
        <v>31144342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May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K5" sqref="K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45047</v>
      </c>
      <c r="B2" s="57" t="s">
        <v>219</v>
      </c>
      <c r="C2" s="57" t="s">
        <v>63</v>
      </c>
      <c r="D2" s="57" t="s">
        <v>64</v>
      </c>
      <c r="E2" s="236" t="s">
        <v>74</v>
      </c>
      <c r="F2" s="58" t="s">
        <v>243</v>
      </c>
      <c r="G2" s="58" t="s">
        <v>229</v>
      </c>
      <c r="H2" s="59" t="s">
        <v>65</v>
      </c>
      <c r="I2" s="60" t="s">
        <v>235</v>
      </c>
      <c r="J2" s="60" t="s">
        <v>227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3659859</v>
      </c>
      <c r="C5" s="95">
        <f>'Regional Major'!M25</f>
        <v>24969.599999999999</v>
      </c>
      <c r="D5" s="95">
        <f>Cargo!S16</f>
        <v>16265179</v>
      </c>
      <c r="E5" s="95">
        <f>SUM(B5:D5)</f>
        <v>19950007.600000001</v>
      </c>
      <c r="F5" s="95">
        <f>E5*0.00045359237</f>
        <v>9049.1712288020117</v>
      </c>
      <c r="G5" s="95">
        <f>'[1]Cargo Summary'!F5</f>
        <v>7057.0153575550084</v>
      </c>
      <c r="H5" s="77">
        <f>(F5-G5)/G5</f>
        <v>0.28229439363686049</v>
      </c>
      <c r="I5" s="95">
        <f>+'[2]Cargo Summary'!I5+F5</f>
        <v>42732.358847428251</v>
      </c>
      <c r="J5" s="95">
        <f>+'[1]Cargo Summary'!I5</f>
        <v>45676.855849167383</v>
      </c>
      <c r="K5" s="65">
        <f>(I5-J5)/J5</f>
        <v>-6.4463653353513492E-2</v>
      </c>
      <c r="M5" s="13"/>
      <c r="O5" s="400"/>
    </row>
    <row r="6" spans="1:18" x14ac:dyDescent="0.2">
      <c r="A6" s="45" t="s">
        <v>16</v>
      </c>
      <c r="B6" s="139">
        <f>'Major Airline Stats'!K29</f>
        <v>566754</v>
      </c>
      <c r="C6" s="95">
        <f>'Regional Major'!M26</f>
        <v>0</v>
      </c>
      <c r="D6" s="95">
        <f>Cargo!S17</f>
        <v>589270</v>
      </c>
      <c r="E6" s="95">
        <f>SUM(B6:D6)</f>
        <v>1156024</v>
      </c>
      <c r="F6" s="95">
        <f>E6*0.00045359237</f>
        <v>524.36366593688001</v>
      </c>
      <c r="G6" s="95">
        <f>'[1]Cargo Summary'!F6</f>
        <v>3742.30261371505</v>
      </c>
      <c r="H6" s="3">
        <f>(F6-G6)/G6</f>
        <v>-0.85988207794443039</v>
      </c>
      <c r="I6" s="95">
        <f>+'[2]Cargo Summary'!I6+F6</f>
        <v>3097.2357501593201</v>
      </c>
      <c r="J6" s="95">
        <f>+'[1]Cargo Summary'!I6</f>
        <v>7976.8500176472799</v>
      </c>
      <c r="K6" s="65">
        <f>(I6-J6)/J6</f>
        <v>-0.61172195248659944</v>
      </c>
      <c r="M6" s="13"/>
    </row>
    <row r="7" spans="1:18" ht="18" customHeight="1" thickBot="1" x14ac:dyDescent="0.25">
      <c r="A7" s="54" t="s">
        <v>71</v>
      </c>
      <c r="B7" s="141">
        <f>SUM(B5:B6)</f>
        <v>4226613</v>
      </c>
      <c r="C7" s="105">
        <f t="shared" ref="C7:J7" si="0">SUM(C5:C6)</f>
        <v>24969.599999999999</v>
      </c>
      <c r="D7" s="105">
        <f t="shared" si="0"/>
        <v>16854449</v>
      </c>
      <c r="E7" s="105">
        <f t="shared" si="0"/>
        <v>21106031.600000001</v>
      </c>
      <c r="F7" s="105">
        <f t="shared" si="0"/>
        <v>9573.534894738892</v>
      </c>
      <c r="G7" s="105">
        <f t="shared" si="0"/>
        <v>10799.317971270058</v>
      </c>
      <c r="H7" s="28">
        <f>(F7-G7)/G7</f>
        <v>-0.11350560098259684</v>
      </c>
      <c r="I7" s="105">
        <f t="shared" si="0"/>
        <v>45829.594597587573</v>
      </c>
      <c r="J7" s="105">
        <f t="shared" si="0"/>
        <v>53653.705866814664</v>
      </c>
      <c r="K7" s="238">
        <f>(I7-J7)/J7</f>
        <v>-0.14582611103600171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2208634</v>
      </c>
      <c r="C10" s="95">
        <f>'Regional Major'!M30</f>
        <v>22708.400000000001</v>
      </c>
      <c r="D10" s="95">
        <f>Cargo!S21</f>
        <v>13855027</v>
      </c>
      <c r="E10" s="95">
        <f>SUM(B10:D10)</f>
        <v>16086369.4</v>
      </c>
      <c r="F10" s="95">
        <f>E10*0.00045359237</f>
        <v>7296.654420841478</v>
      </c>
      <c r="G10" s="95">
        <f>'[1]Cargo Summary'!F10</f>
        <v>6138.732754475167</v>
      </c>
      <c r="H10" s="3">
        <f>(F10-G10)/G10</f>
        <v>0.18862552137038061</v>
      </c>
      <c r="I10" s="95">
        <f>+'[2]Cargo Summary'!I10+F10</f>
        <v>35666.803162012402</v>
      </c>
      <c r="J10" s="95">
        <f>+'[1]Cargo Summary'!I10</f>
        <v>34881.677860817552</v>
      </c>
      <c r="K10" s="65">
        <f>(I10-J10)/J10</f>
        <v>2.250824356350066E-2</v>
      </c>
      <c r="M10" s="13"/>
      <c r="O10" s="400"/>
    </row>
    <row r="11" spans="1:18" x14ac:dyDescent="0.2">
      <c r="A11" s="45" t="s">
        <v>16</v>
      </c>
      <c r="B11" s="139">
        <f>'Major Airline Stats'!K34</f>
        <v>412355</v>
      </c>
      <c r="C11" s="95">
        <f>'Regional Major'!M31</f>
        <v>0</v>
      </c>
      <c r="D11" s="95">
        <f>Cargo!S22</f>
        <v>434866</v>
      </c>
      <c r="E11" s="95">
        <f>SUM(B11:D11)</f>
        <v>847221</v>
      </c>
      <c r="F11" s="95">
        <f>E11*0.00045359237</f>
        <v>384.29298130376998</v>
      </c>
      <c r="G11" s="95">
        <f>'[1]Cargo Summary'!F11</f>
        <v>2992.2989697293001</v>
      </c>
      <c r="H11" s="25">
        <f>(F11-G11)/G11</f>
        <v>-0.87157266530137689</v>
      </c>
      <c r="I11" s="95">
        <f>+'[2]Cargo Summary'!I11+F11</f>
        <v>2879.2546792778999</v>
      </c>
      <c r="J11" s="95">
        <f>+'[1]Cargo Summary'!I11</f>
        <v>6527.7044957162507</v>
      </c>
      <c r="K11" s="65">
        <f>(I11-J11)/J11</f>
        <v>-0.55891773575728099</v>
      </c>
      <c r="M11" s="13"/>
    </row>
    <row r="12" spans="1:18" ht="18" customHeight="1" thickBot="1" x14ac:dyDescent="0.25">
      <c r="A12" s="54" t="s">
        <v>72</v>
      </c>
      <c r="B12" s="141">
        <f>SUM(B10:B11)</f>
        <v>2620989</v>
      </c>
      <c r="C12" s="105">
        <f t="shared" ref="C12:J12" si="1">SUM(C10:C11)</f>
        <v>22708.400000000001</v>
      </c>
      <c r="D12" s="105">
        <f t="shared" si="1"/>
        <v>14289893</v>
      </c>
      <c r="E12" s="105">
        <f t="shared" si="1"/>
        <v>16933590.399999999</v>
      </c>
      <c r="F12" s="105">
        <f t="shared" si="1"/>
        <v>7680.9474021452479</v>
      </c>
      <c r="G12" s="105">
        <f t="shared" si="1"/>
        <v>9131.0317242044675</v>
      </c>
      <c r="H12" s="28">
        <f>(F12-G12)/G12</f>
        <v>-0.1588083762993997</v>
      </c>
      <c r="I12" s="105">
        <f>SUM(I10:I11)</f>
        <v>38546.057841290305</v>
      </c>
      <c r="J12" s="105">
        <f t="shared" si="1"/>
        <v>41409.382356533803</v>
      </c>
      <c r="K12" s="238">
        <f>(I12-J12)/J12</f>
        <v>-6.9146757384361379E-2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5868493</v>
      </c>
      <c r="C20" s="95">
        <f t="shared" si="3"/>
        <v>47678</v>
      </c>
      <c r="D20" s="95">
        <f t="shared" si="3"/>
        <v>30120206</v>
      </c>
      <c r="E20" s="95">
        <f>SUM(B20:D20)</f>
        <v>36036377</v>
      </c>
      <c r="F20" s="95">
        <f>E20*0.00045359237</f>
        <v>16345.82564964349</v>
      </c>
      <c r="G20" s="95">
        <f>'[1]Cargo Summary'!F20</f>
        <v>13195.748112030176</v>
      </c>
      <c r="H20" s="3">
        <f>(F20-G20)/G20</f>
        <v>0.23871913216814741</v>
      </c>
      <c r="I20" s="95">
        <f>+'[2]Cargo Summary'!I20+F20</f>
        <v>78399.162009440653</v>
      </c>
      <c r="J20" s="95">
        <f>+'[1]Cargo Summary'!I20</f>
        <v>80558.533709984957</v>
      </c>
      <c r="K20" s="65">
        <f>(I20-J20)/J20</f>
        <v>-2.6805002537883288E-2</v>
      </c>
      <c r="M20" s="13"/>
    </row>
    <row r="21" spans="1:13" x14ac:dyDescent="0.2">
      <c r="A21" s="45" t="s">
        <v>16</v>
      </c>
      <c r="B21" s="139">
        <f t="shared" si="3"/>
        <v>979109</v>
      </c>
      <c r="C21" s="96">
        <f t="shared" si="3"/>
        <v>0</v>
      </c>
      <c r="D21" s="96">
        <f t="shared" si="3"/>
        <v>1024136</v>
      </c>
      <c r="E21" s="95">
        <f>SUM(B21:D21)</f>
        <v>2003245</v>
      </c>
      <c r="F21" s="95">
        <f>E21*0.00045359237</f>
        <v>908.65664724064993</v>
      </c>
      <c r="G21" s="95">
        <f>'[1]Cargo Summary'!F21</f>
        <v>6734.6015834443497</v>
      </c>
      <c r="H21" s="3">
        <f>(F21-G21)/G21</f>
        <v>-0.86507640637949568</v>
      </c>
      <c r="I21" s="95">
        <f>+'[2]Cargo Summary'!I21+F21</f>
        <v>5976.4904294372209</v>
      </c>
      <c r="J21" s="95">
        <f>+'[1]Cargo Summary'!I21</f>
        <v>14504.55451336353</v>
      </c>
      <c r="K21" s="65">
        <f>(I21-J21)/J21</f>
        <v>-0.5879576705419749</v>
      </c>
      <c r="M21" s="13"/>
    </row>
    <row r="22" spans="1:13" ht="18" customHeight="1" thickBot="1" x14ac:dyDescent="0.25">
      <c r="A22" s="67" t="s">
        <v>62</v>
      </c>
      <c r="B22" s="142">
        <f>SUM(B20:B21)</f>
        <v>6847602</v>
      </c>
      <c r="C22" s="143">
        <f t="shared" ref="C22:J22" si="4">SUM(C20:C21)</f>
        <v>47678</v>
      </c>
      <c r="D22" s="143">
        <f t="shared" si="4"/>
        <v>31144342</v>
      </c>
      <c r="E22" s="143">
        <f t="shared" si="4"/>
        <v>38039622</v>
      </c>
      <c r="F22" s="143">
        <f t="shared" si="4"/>
        <v>17254.48229688414</v>
      </c>
      <c r="G22" s="143">
        <f t="shared" si="4"/>
        <v>19930.349695474528</v>
      </c>
      <c r="H22" s="244">
        <f>(F22-G22)/G22</f>
        <v>-0.13426093568232683</v>
      </c>
      <c r="I22" s="143">
        <f>SUM(I20:I21)</f>
        <v>84375.652438877878</v>
      </c>
      <c r="J22" s="143">
        <f t="shared" si="4"/>
        <v>95063.088223348488</v>
      </c>
      <c r="K22" s="245">
        <f>(I22-J22)/J22</f>
        <v>-0.11242466433828377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X25" sqref="X25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66" t="s">
        <v>186</v>
      </c>
      <c r="B2" s="467"/>
      <c r="C2" s="336" t="s">
        <v>237</v>
      </c>
      <c r="D2" s="337" t="s">
        <v>230</v>
      </c>
      <c r="E2" s="394" t="s">
        <v>95</v>
      </c>
      <c r="F2" s="339" t="s">
        <v>238</v>
      </c>
      <c r="G2" s="337" t="s">
        <v>231</v>
      </c>
      <c r="H2" s="395" t="s">
        <v>96</v>
      </c>
      <c r="I2" s="338" t="s">
        <v>137</v>
      </c>
      <c r="J2" s="466" t="s">
        <v>182</v>
      </c>
      <c r="K2" s="467"/>
      <c r="L2" s="336" t="s">
        <v>247</v>
      </c>
      <c r="M2" s="337" t="s">
        <v>248</v>
      </c>
      <c r="N2" s="394" t="s">
        <v>95</v>
      </c>
      <c r="O2" s="339" t="s">
        <v>249</v>
      </c>
      <c r="P2" s="337" t="s">
        <v>250</v>
      </c>
      <c r="Q2" s="395" t="s">
        <v>96</v>
      </c>
      <c r="R2" s="338" t="s">
        <v>137</v>
      </c>
      <c r="T2" s="392"/>
    </row>
    <row r="3" spans="1:20" s="9" customFormat="1" ht="13.5" customHeight="1" thickBot="1" x14ac:dyDescent="0.25">
      <c r="A3" s="468">
        <v>45047</v>
      </c>
      <c r="B3" s="469"/>
      <c r="C3" s="470" t="s">
        <v>9</v>
      </c>
      <c r="D3" s="471"/>
      <c r="E3" s="471"/>
      <c r="F3" s="471"/>
      <c r="G3" s="471"/>
      <c r="H3" s="472"/>
      <c r="I3" s="365"/>
      <c r="J3" s="468">
        <f>+A3</f>
        <v>45047</v>
      </c>
      <c r="K3" s="469"/>
      <c r="L3" s="463" t="s">
        <v>183</v>
      </c>
      <c r="M3" s="464"/>
      <c r="N3" s="464"/>
      <c r="O3" s="464"/>
      <c r="P3" s="464"/>
      <c r="Q3" s="464"/>
      <c r="R3" s="465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207</v>
      </c>
      <c r="B5" s="39"/>
      <c r="C5" s="382">
        <f>SUM(C6:C7)</f>
        <v>186</v>
      </c>
      <c r="D5" s="382">
        <f>SUM(D6:D7)</f>
        <v>124</v>
      </c>
      <c r="E5" s="383">
        <f>(C5-D5)/D5</f>
        <v>0.5</v>
      </c>
      <c r="F5" s="382">
        <f>SUM(F6:F7)</f>
        <v>894</v>
      </c>
      <c r="G5" s="382">
        <f>SUM(G6:G7)</f>
        <v>803</v>
      </c>
      <c r="H5" s="384">
        <f>(F5-G5)/G5</f>
        <v>0.11332503113325031</v>
      </c>
      <c r="I5" s="383">
        <f>+F5/$F$34</f>
        <v>0.1527160915613256</v>
      </c>
      <c r="J5" s="258" t="s">
        <v>207</v>
      </c>
      <c r="K5" s="39"/>
      <c r="L5" s="382">
        <f>SUM(L6:L7)</f>
        <v>5946033</v>
      </c>
      <c r="M5" s="382">
        <f>SUM(M6:M7)</f>
        <v>4767552</v>
      </c>
      <c r="N5" s="383">
        <f>(L5-M5)/M5</f>
        <v>0.24718786496717812</v>
      </c>
      <c r="O5" s="382">
        <f>SUM(O6:O7)</f>
        <v>28067939</v>
      </c>
      <c r="P5" s="382">
        <f>SUM(P6:P7)</f>
        <v>27461594</v>
      </c>
      <c r="Q5" s="384">
        <f>(O5-P5)/P5</f>
        <v>2.2079745261691656E-2</v>
      </c>
      <c r="R5" s="383">
        <f>O5/$O$34</f>
        <v>0.18598200587714486</v>
      </c>
      <c r="T5" s="391"/>
    </row>
    <row r="6" spans="1:20" ht="14.1" customHeight="1" x14ac:dyDescent="0.2">
      <c r="A6" s="37"/>
      <c r="B6" s="318" t="s">
        <v>208</v>
      </c>
      <c r="C6" s="322">
        <f>+'[3]Atlas Air'!$IJ$19</f>
        <v>62</v>
      </c>
      <c r="D6" s="217">
        <f>+'[3]Atlas Air'!$HV$19</f>
        <v>60</v>
      </c>
      <c r="E6" s="324">
        <f>(C6-D6)/D6</f>
        <v>3.3333333333333333E-2</v>
      </c>
      <c r="F6" s="322">
        <f>+SUM('[3]Atlas Air'!$IF$19:$IJ$19)</f>
        <v>302</v>
      </c>
      <c r="G6" s="217">
        <f>+SUM('[3]Atlas Air'!$HR$19:$HV$19)</f>
        <v>298</v>
      </c>
      <c r="H6" s="323">
        <f>(F6-G6)/G6</f>
        <v>1.3422818791946308E-2</v>
      </c>
      <c r="I6" s="324">
        <f>+F6/$F$34</f>
        <v>5.1588657328322511E-2</v>
      </c>
      <c r="J6" s="37"/>
      <c r="K6" s="318" t="s">
        <v>208</v>
      </c>
      <c r="L6" s="322">
        <f>+'[3]Atlas Air'!$IJ$64</f>
        <v>3120511</v>
      </c>
      <c r="M6" s="217">
        <f>+'[3]Atlas Air'!$HV$64</f>
        <v>2968969</v>
      </c>
      <c r="N6" s="324">
        <f>(L6-M6)/M6</f>
        <v>5.1041961030916794E-2</v>
      </c>
      <c r="O6" s="217">
        <f>+SUM('[3]Atlas Air'!$IF$64:$IJ$64)</f>
        <v>14469376</v>
      </c>
      <c r="P6" s="217">
        <f>+SUM('[3]Atlas Air'!$HR$64:$HV$64)</f>
        <v>14774868</v>
      </c>
      <c r="Q6" s="323">
        <f>(O6-P6)/P6</f>
        <v>-2.0676462219493263E-2</v>
      </c>
      <c r="R6" s="324">
        <f>O6/$O$34</f>
        <v>9.5876066007932359E-2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Cargo'!$IJ$19</f>
        <v>124</v>
      </c>
      <c r="D7" s="217">
        <f>+'[3]Sun Country Cargo'!$HV$19</f>
        <v>64</v>
      </c>
      <c r="E7" s="324">
        <f>(C7-D7)/D7</f>
        <v>0.9375</v>
      </c>
      <c r="F7" s="322">
        <f>+SUM('[3]Sun Country Cargo'!$IF$19:$IJ$19)</f>
        <v>592</v>
      </c>
      <c r="G7" s="217">
        <f>+SUM('[3]Sun Country Cargo'!$HR$19:$HV$19)</f>
        <v>505</v>
      </c>
      <c r="H7" s="323">
        <f>(F7-G7)/G7</f>
        <v>0.17227722772277226</v>
      </c>
      <c r="I7" s="324">
        <f>+F7/$F$34</f>
        <v>0.10112743423300308</v>
      </c>
      <c r="J7" s="37"/>
      <c r="K7" s="318" t="s">
        <v>49</v>
      </c>
      <c r="L7" s="322">
        <f>+'[3]Sun Country Cargo'!$IJ$64</f>
        <v>2825522</v>
      </c>
      <c r="M7" s="217">
        <f>+'[3]Sun Country Cargo'!$HV$64</f>
        <v>1798583</v>
      </c>
      <c r="N7" s="324">
        <f>(L7-M7)/M7</f>
        <v>0.57097114784249603</v>
      </c>
      <c r="O7" s="217">
        <f>+SUM('[3]Sun Country Cargo'!$IF$64:$IJ$64)</f>
        <v>13598563</v>
      </c>
      <c r="P7" s="217">
        <f>+SUM('[3]Sun Country Cargo'!$HR$64:$HV$64)</f>
        <v>12686726</v>
      </c>
      <c r="Q7" s="323">
        <f>(O7-P7)/P7</f>
        <v>7.1873310734384896E-2</v>
      </c>
      <c r="R7" s="324">
        <f>O7/$O$34</f>
        <v>9.0105939869212517E-2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209</v>
      </c>
      <c r="B9" s="39"/>
      <c r="C9" s="382">
        <f>SUM(C10:C18)</f>
        <v>166</v>
      </c>
      <c r="D9" s="382">
        <f>SUM(D10:D18)</f>
        <v>156</v>
      </c>
      <c r="E9" s="383">
        <f>(C9-D9)/D9</f>
        <v>6.4102564102564097E-2</v>
      </c>
      <c r="F9" s="382">
        <f>SUM(F10:F18)</f>
        <v>686</v>
      </c>
      <c r="G9" s="382">
        <f>SUM(G10:G18)</f>
        <v>734</v>
      </c>
      <c r="H9" s="384">
        <f>(F9-G9)/G9</f>
        <v>-6.5395095367847406E-2</v>
      </c>
      <c r="I9" s="383">
        <f t="shared" ref="I9:I18" si="0">+F9/$F$34</f>
        <v>0.11718483088486505</v>
      </c>
      <c r="J9" s="258" t="s">
        <v>209</v>
      </c>
      <c r="K9" s="39"/>
      <c r="L9" s="382">
        <f>SUM(L10:L18)</f>
        <v>1640241</v>
      </c>
      <c r="M9" s="382">
        <f>SUM(M10:M18)</f>
        <v>3310533</v>
      </c>
      <c r="N9" s="383">
        <f t="shared" ref="N9:N18" si="1">(L9-M9)/M9</f>
        <v>-0.50453869512854876</v>
      </c>
      <c r="O9" s="382">
        <f>SUM(O10:O18)</f>
        <v>7156747</v>
      </c>
      <c r="P9" s="382">
        <f>SUM(P10:P18)</f>
        <v>9505326</v>
      </c>
      <c r="Q9" s="384">
        <f t="shared" ref="Q9:Q18" si="2">(O9-P9)/P9</f>
        <v>-0.24708032107473221</v>
      </c>
      <c r="R9" s="383">
        <f t="shared" ref="R9:R18" si="3">O9/$O$34</f>
        <v>4.7421585269058729E-2</v>
      </c>
      <c r="T9" s="391"/>
    </row>
    <row r="10" spans="1:20" ht="14.1" customHeight="1" x14ac:dyDescent="0.2">
      <c r="A10" s="258"/>
      <c r="B10" s="318" t="s">
        <v>210</v>
      </c>
      <c r="C10" s="322">
        <f>+[3]Airborne!$IJ$19</f>
        <v>8</v>
      </c>
      <c r="D10" s="217">
        <f>+[3]Airborne!$HV$19</f>
        <v>4</v>
      </c>
      <c r="E10" s="324">
        <f>(C10-D10)/D10</f>
        <v>1</v>
      </c>
      <c r="F10" s="322">
        <f>+SUM([3]Airborne!$IF$19:$IJ$19)</f>
        <v>22</v>
      </c>
      <c r="G10" s="217">
        <f>+SUM([3]Airborne!$HR$19:$HV$19)</f>
        <v>10</v>
      </c>
      <c r="H10" s="323">
        <f>(F10-G10)/G10</f>
        <v>1.2</v>
      </c>
      <c r="I10" s="324">
        <f t="shared" si="0"/>
        <v>3.7581141100102495E-3</v>
      </c>
      <c r="J10" s="258"/>
      <c r="K10" s="318" t="s">
        <v>210</v>
      </c>
      <c r="L10" s="322">
        <f>+[3]Airborne!$IJ$64</f>
        <v>248229</v>
      </c>
      <c r="M10" s="217">
        <f>+[3]Airborne!$HV$64</f>
        <v>131604</v>
      </c>
      <c r="N10" s="324">
        <f t="shared" si="1"/>
        <v>0.88618127108598521</v>
      </c>
      <c r="O10" s="322">
        <f>+SUM([3]Airborne!$IF$64:$IJ$64)</f>
        <v>554446</v>
      </c>
      <c r="P10" s="217">
        <f>+SUM([3]Airborne!$HR$64:$HV$64)</f>
        <v>301038</v>
      </c>
      <c r="Q10" s="323">
        <f t="shared" si="2"/>
        <v>0.8417807718626884</v>
      </c>
      <c r="R10" s="324">
        <f t="shared" si="3"/>
        <v>3.6738350910111165E-3</v>
      </c>
      <c r="T10" s="391"/>
    </row>
    <row r="11" spans="1:20" ht="14.1" customHeight="1" x14ac:dyDescent="0.2">
      <c r="A11" s="258"/>
      <c r="B11" s="39" t="s">
        <v>208</v>
      </c>
      <c r="C11" s="322">
        <f>+[3]DHL_Atlas!$IJ$19</f>
        <v>0</v>
      </c>
      <c r="D11" s="217">
        <f>+[3]DHL_Atlas!$HV$19</f>
        <v>0</v>
      </c>
      <c r="E11" s="324" t="e">
        <f t="shared" ref="E11:E18" si="4">(C11-D11)/D11</f>
        <v>#DIV/0!</v>
      </c>
      <c r="F11" s="322">
        <f>+SUM([3]DHL_Atlas!$IF$19:$IJ$19)</f>
        <v>0</v>
      </c>
      <c r="G11" s="217">
        <f>+SUM([3]DHL_Atlas!$HR$19:$HV$19)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208</v>
      </c>
      <c r="L11" s="322">
        <f>+[3]DHL_Atlas!$IJ$64</f>
        <v>0</v>
      </c>
      <c r="M11" s="217">
        <f>+[3]DHL_Atlas!$HV$64</f>
        <v>0</v>
      </c>
      <c r="N11" s="324" t="e">
        <f t="shared" si="1"/>
        <v>#DIV/0!</v>
      </c>
      <c r="O11" s="322">
        <f>+SUM([3]DHL_Atlas!$IF$64:$IJ$64)</f>
        <v>0</v>
      </c>
      <c r="P11" s="217">
        <f>+SUM([3]DHL_Atlas!$HR$64:$HV$64)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211</v>
      </c>
      <c r="C12" s="322">
        <f>+[3]DHL!$IJ$19</f>
        <v>2</v>
      </c>
      <c r="D12" s="217">
        <f>+[3]DHL!$HV$19</f>
        <v>0</v>
      </c>
      <c r="E12" s="324" t="e">
        <f t="shared" si="4"/>
        <v>#DIV/0!</v>
      </c>
      <c r="F12" s="322">
        <f>+SUM([3]DHL!$IF$19:$IJ$19)</f>
        <v>6</v>
      </c>
      <c r="G12" s="217">
        <f>+SUM([3]DHL!$HR$19:$HV$19)</f>
        <v>0</v>
      </c>
      <c r="H12" s="323" t="e">
        <f t="shared" si="5"/>
        <v>#DIV/0!</v>
      </c>
      <c r="I12" s="324">
        <f t="shared" si="0"/>
        <v>1.0249402118209772E-3</v>
      </c>
      <c r="J12" s="258"/>
      <c r="K12" s="39" t="s">
        <v>211</v>
      </c>
      <c r="L12" s="322">
        <f>+[3]DHL!$IJ$64</f>
        <v>28874</v>
      </c>
      <c r="M12" s="217">
        <f>+[3]DHL!$HV$64</f>
        <v>0</v>
      </c>
      <c r="N12" s="324" t="e">
        <f t="shared" si="1"/>
        <v>#DIV/0!</v>
      </c>
      <c r="O12" s="322">
        <f>+SUM([3]DHL!$IF$64:$IJ$64)</f>
        <v>131916</v>
      </c>
      <c r="P12" s="217">
        <f>+SUM([3]DHL!$HR$64:$HV$64)</f>
        <v>0</v>
      </c>
      <c r="Q12" s="323" t="e">
        <f t="shared" si="2"/>
        <v>#DIV/0!</v>
      </c>
      <c r="R12" s="324">
        <f t="shared" si="3"/>
        <v>8.7409347324324184E-4</v>
      </c>
      <c r="T12" s="391"/>
    </row>
    <row r="13" spans="1:20" ht="14.1" customHeight="1" x14ac:dyDescent="0.2">
      <c r="A13" s="258"/>
      <c r="B13" s="318" t="s">
        <v>83</v>
      </c>
      <c r="C13" s="322">
        <f>+[3]DHL_Bemidji!$IJ$19</f>
        <v>82</v>
      </c>
      <c r="D13" s="217">
        <f>+[3]DHL_Bemidji!$HV$19</f>
        <v>72</v>
      </c>
      <c r="E13" s="324">
        <f>(C13-D13)/D13</f>
        <v>0.1388888888888889</v>
      </c>
      <c r="F13" s="322">
        <f>+SUM([3]DHL_Bemidji!$IF$19:$IJ$19)</f>
        <v>346</v>
      </c>
      <c r="G13" s="217">
        <f>+SUM([3]DHL_Bemidji!$HR$19:$HV$19)</f>
        <v>386</v>
      </c>
      <c r="H13" s="323">
        <f t="shared" si="5"/>
        <v>-0.10362694300518134</v>
      </c>
      <c r="I13" s="324">
        <f t="shared" si="0"/>
        <v>5.9104885548343013E-2</v>
      </c>
      <c r="J13" s="258"/>
      <c r="K13" s="318" t="s">
        <v>83</v>
      </c>
      <c r="L13" s="322">
        <f>+[3]DHL_Bemidji!$IJ$64</f>
        <v>95454</v>
      </c>
      <c r="M13" s="217">
        <f>+[3]DHL_Bemidji!$HV$64</f>
        <v>98741</v>
      </c>
      <c r="N13" s="324">
        <f t="shared" ref="N13" si="6">(L13-M13)/M13</f>
        <v>-3.3289109893559918E-2</v>
      </c>
      <c r="O13" s="322">
        <f>+SUM([3]DHL_Bemidji!$IF$64:$IJ$64)</f>
        <v>442391</v>
      </c>
      <c r="P13" s="217">
        <f>+SUM([3]DHL_Bemidji!$HR$64:$HV$64)</f>
        <v>546973</v>
      </c>
      <c r="Q13" s="323">
        <f t="shared" ref="Q13" si="7">(O13-P13)/P13</f>
        <v>-0.19120139385307866</v>
      </c>
      <c r="R13" s="324">
        <f t="shared" si="3"/>
        <v>2.9313433224290534E-3</v>
      </c>
      <c r="T13" s="391"/>
    </row>
    <row r="14" spans="1:20" ht="14.1" customHeight="1" x14ac:dyDescent="0.2">
      <c r="A14" s="258"/>
      <c r="B14" s="39" t="s">
        <v>199</v>
      </c>
      <c r="C14" s="322">
        <f>+[3]Encore!$IJ$19+[3]DHL_Encore!$IJ$12</f>
        <v>0</v>
      </c>
      <c r="D14" s="217">
        <f>+[3]Encore!$HV$19+[3]DHL_Encore!$HV$19</f>
        <v>0</v>
      </c>
      <c r="E14" s="324" t="e">
        <f t="shared" si="4"/>
        <v>#DIV/0!</v>
      </c>
      <c r="F14" s="322">
        <f>+SUM([3]Encore!$IF$19:$IJ$19)+SUM([3]DHL_Encore!$IF$19:$IJ$19)</f>
        <v>0</v>
      </c>
      <c r="G14" s="217">
        <f>+SUM([3]Encore!$HR$19:$HV$19)+SUM([3]DHL_Encore!$HR$19:$HV$19)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199</v>
      </c>
      <c r="L14" s="322">
        <f>+[3]Encore!$IJ$64+[3]DHL_Encore!$IJ$64</f>
        <v>0</v>
      </c>
      <c r="M14" s="217">
        <f>+[3]Encore!$HV$64+[3]DHL_Encore!$HV$64</f>
        <v>0</v>
      </c>
      <c r="N14" s="324" t="e">
        <f t="shared" si="1"/>
        <v>#DIV/0!</v>
      </c>
      <c r="O14" s="322">
        <f>+SUM([3]Encore!$IF$64:$IJ$64)+SUM([3]DHL_Encore!$IF$64:$IJ$64)</f>
        <v>0</v>
      </c>
      <c r="P14" s="217">
        <f>+SUM([3]Encore!$HR$64:$HV$64)+SUM([3]DHL_Encore!$HR$64:$HV$64)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212</v>
      </c>
      <c r="C15" s="322">
        <f>+[3]DHL_Kalitta!$IJ$19</f>
        <v>0</v>
      </c>
      <c r="D15" s="217">
        <f>+[3]DHL_Kalitta!$HV$19</f>
        <v>0</v>
      </c>
      <c r="E15" s="324" t="e">
        <f t="shared" si="4"/>
        <v>#DIV/0!</v>
      </c>
      <c r="F15" s="322">
        <f>+SUM([3]DHL_Kalitta!$IF$19:$IJ$19)</f>
        <v>0</v>
      </c>
      <c r="G15" s="217">
        <f>+SUM([3]DHL_Kalitta!$HR$19:$HV$19)</f>
        <v>2</v>
      </c>
      <c r="H15" s="323">
        <f t="shared" si="5"/>
        <v>-1</v>
      </c>
      <c r="I15" s="324">
        <f t="shared" si="0"/>
        <v>0</v>
      </c>
      <c r="J15" s="258"/>
      <c r="K15" s="39" t="s">
        <v>212</v>
      </c>
      <c r="L15" s="322">
        <f>+[3]DHL_Kalitta!$IJ$64</f>
        <v>0</v>
      </c>
      <c r="M15" s="217">
        <f>+[3]DHL_Kalitta!$HV$64</f>
        <v>0</v>
      </c>
      <c r="N15" s="324" t="e">
        <f t="shared" si="1"/>
        <v>#DIV/0!</v>
      </c>
      <c r="O15" s="322">
        <f>+SUM([3]DHL_Kalitta!$IF$64:$IJ$64)</f>
        <v>0</v>
      </c>
      <c r="P15" s="217">
        <f>+SUM([3]DHL_Kalitta!$HR$64:$HV$64)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+[3]DHL_Mesa!$IJ$19</f>
        <v>0</v>
      </c>
      <c r="D16" s="217">
        <f>+[3]DHL_Mesa!$HV$19</f>
        <v>78</v>
      </c>
      <c r="E16" s="324">
        <f t="shared" ref="E16" si="8">(C16-D16)/D16</f>
        <v>-1</v>
      </c>
      <c r="F16" s="322">
        <f>+SUM([3]DHL_Mesa!$IF$19:$IJ$19)</f>
        <v>136</v>
      </c>
      <c r="G16" s="217">
        <f>+SUM([3]DHL_Mesa!$HR$19:$HV$19)</f>
        <v>78</v>
      </c>
      <c r="H16" s="323">
        <f t="shared" ref="H16" si="9">(F16-G16)/G16</f>
        <v>0.74358974358974361</v>
      </c>
      <c r="I16" s="324">
        <f t="shared" ref="I16" si="10">+F16/$F$34</f>
        <v>2.3231978134608814E-2</v>
      </c>
      <c r="J16" s="258"/>
      <c r="K16" s="39" t="s">
        <v>51</v>
      </c>
      <c r="L16" s="322">
        <f>+[3]DHL_Mesa!$IJ$64</f>
        <v>0</v>
      </c>
      <c r="M16" s="217">
        <f>+[3]DHL_Mesa!$HV$64</f>
        <v>1540094</v>
      </c>
      <c r="N16" s="324">
        <f t="shared" ref="N16" si="11">(L16-M16)/M16</f>
        <v>-1</v>
      </c>
      <c r="O16" s="322">
        <f>+SUM([3]DHL_Mesa!$IF$64:$IJ$64)</f>
        <v>2287846</v>
      </c>
      <c r="P16" s="217">
        <f>+SUM([3]DHL_Mesa!$HR$64:$HV$64)</f>
        <v>1540094</v>
      </c>
      <c r="Q16" s="323">
        <f t="shared" ref="Q16" si="12">(O16-P16)/P16</f>
        <v>0.48552361089647772</v>
      </c>
      <c r="R16" s="324">
        <f t="shared" ref="R16" si="13">O16/$O$34</f>
        <v>1.5159580766439687E-2</v>
      </c>
      <c r="T16" s="391"/>
    </row>
    <row r="17" spans="1:20" x14ac:dyDescent="0.2">
      <c r="A17" s="258"/>
      <c r="B17" s="39" t="s">
        <v>245</v>
      </c>
      <c r="C17" s="322">
        <f>+[3]DHL_Amerijet!$IJ$19</f>
        <v>6</v>
      </c>
      <c r="D17" s="217">
        <f>+[3]DHL_Amerijet!$HV$19</f>
        <v>0</v>
      </c>
      <c r="E17" s="324" t="e">
        <f t="shared" si="4"/>
        <v>#DIV/0!</v>
      </c>
      <c r="F17" s="322">
        <f>+SUM([3]DHL_Amerijet!$IF$19:$IJ$19)</f>
        <v>78</v>
      </c>
      <c r="G17" s="217">
        <f>+SUM([3]DHL_Amerijet!$HR$19:$HV$19)</f>
        <v>0</v>
      </c>
      <c r="H17" s="323" t="e">
        <f t="shared" si="5"/>
        <v>#DIV/0!</v>
      </c>
      <c r="I17" s="324">
        <f t="shared" si="0"/>
        <v>1.3324222753672703E-2</v>
      </c>
      <c r="J17" s="258"/>
      <c r="K17" s="39" t="s">
        <v>245</v>
      </c>
      <c r="L17" s="322">
        <f>+[3]DHL_Amerijet!$IJ$64</f>
        <v>183753</v>
      </c>
      <c r="M17" s="217">
        <f>+[3]DHL_Amerijet!$HV$64</f>
        <v>0</v>
      </c>
      <c r="N17" s="324" t="e">
        <f t="shared" si="1"/>
        <v>#DIV/0!</v>
      </c>
      <c r="O17" s="322">
        <f>+SUM([3]DHL_Amerijet!$IF$64:$IJ$64)</f>
        <v>2222014</v>
      </c>
      <c r="P17" s="217">
        <f>+SUM([3]DHL_Amerijet!$HR$64:$HV$64)</f>
        <v>0</v>
      </c>
      <c r="Q17" s="323" t="e">
        <f t="shared" si="2"/>
        <v>#DIV/0!</v>
      </c>
      <c r="R17" s="324">
        <f t="shared" si="3"/>
        <v>1.4723368923065501E-2</v>
      </c>
      <c r="T17" s="391"/>
    </row>
    <row r="18" spans="1:20" ht="14.1" customHeight="1" x14ac:dyDescent="0.2">
      <c r="A18" s="258"/>
      <c r="B18" s="39" t="s">
        <v>213</v>
      </c>
      <c r="C18" s="322">
        <f>+[3]DHL_Swift!$IJ$19</f>
        <v>68</v>
      </c>
      <c r="D18" s="217">
        <f>+[3]DHL_Swift!$HV$19</f>
        <v>2</v>
      </c>
      <c r="E18" s="324">
        <f t="shared" si="4"/>
        <v>33</v>
      </c>
      <c r="F18" s="322">
        <f>+SUM([3]DHL_Swift!$IF$19:$IJ$19)</f>
        <v>98</v>
      </c>
      <c r="G18" s="217">
        <f>+SUM([3]DHL_Swift!$HR$19:$HV$19)</f>
        <v>258</v>
      </c>
      <c r="H18" s="323">
        <f t="shared" si="5"/>
        <v>-0.62015503875968991</v>
      </c>
      <c r="I18" s="324">
        <f t="shared" si="0"/>
        <v>1.6740690126409292E-2</v>
      </c>
      <c r="J18" s="258"/>
      <c r="K18" s="39" t="s">
        <v>213</v>
      </c>
      <c r="L18" s="322">
        <f>+[3]DHL_Swift!$IJ$64</f>
        <v>1083931</v>
      </c>
      <c r="M18" s="217">
        <f>+[3]DHL_Swift!$HV$64</f>
        <v>1540094</v>
      </c>
      <c r="N18" s="324">
        <f t="shared" si="1"/>
        <v>-0.29619166102848266</v>
      </c>
      <c r="O18" s="322">
        <f>+SUM([3]DHL_Swift!$IF$64:$IJ$64)</f>
        <v>1518134</v>
      </c>
      <c r="P18" s="217">
        <f>+SUM([3]DHL_Swift!$HR$64:$HV$64)</f>
        <v>7074060</v>
      </c>
      <c r="Q18" s="323">
        <f t="shared" si="2"/>
        <v>-0.7853942431927351</v>
      </c>
      <c r="R18" s="324">
        <f t="shared" si="3"/>
        <v>1.0059363692870128E-2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184</v>
      </c>
      <c r="B20" s="39"/>
      <c r="C20" s="386">
        <f>SUM(C21:C24)</f>
        <v>250</v>
      </c>
      <c r="D20" s="382">
        <f>SUM(D21:D24)</f>
        <v>334</v>
      </c>
      <c r="E20" s="383">
        <f>(C20-D20)/D20</f>
        <v>-0.25149700598802394</v>
      </c>
      <c r="F20" s="386">
        <f>SUM(F21:F24)</f>
        <v>1308</v>
      </c>
      <c r="G20" s="382">
        <f>SUM(G21:G24)</f>
        <v>1646</v>
      </c>
      <c r="H20" s="384">
        <f t="shared" ref="H20:H21" si="14">(F20-G20)/G20</f>
        <v>-0.20534629404617255</v>
      </c>
      <c r="I20" s="383">
        <f>+F20/$F$34</f>
        <v>0.22343696617697301</v>
      </c>
      <c r="J20" s="258" t="s">
        <v>184</v>
      </c>
      <c r="K20" s="39"/>
      <c r="L20" s="386">
        <f>SUM(L21:L24)</f>
        <v>12608144</v>
      </c>
      <c r="M20" s="382">
        <f>SUM(M21:M24)</f>
        <v>14976425</v>
      </c>
      <c r="N20" s="383">
        <f>(L20-M20)/M20</f>
        <v>-0.15813393383267368</v>
      </c>
      <c r="O20" s="386">
        <f>SUM(O21:O24)</f>
        <v>62751309</v>
      </c>
      <c r="P20" s="382">
        <f>SUM(P21:P24)</f>
        <v>74046964</v>
      </c>
      <c r="Q20" s="384">
        <f t="shared" ref="Q20:Q22" si="15">(O20-P20)/P20</f>
        <v>-0.152547172629522</v>
      </c>
      <c r="R20" s="383">
        <f>O20/$O$34</f>
        <v>0.4157987631096296</v>
      </c>
      <c r="T20" s="391"/>
    </row>
    <row r="21" spans="1:20" ht="14.1" customHeight="1" x14ac:dyDescent="0.2">
      <c r="A21" s="37"/>
      <c r="B21" s="318" t="s">
        <v>184</v>
      </c>
      <c r="C21" s="322">
        <f>+[3]FedEx!$IJ$19</f>
        <v>174</v>
      </c>
      <c r="D21" s="217">
        <f>+[3]FedEx!$HV$19</f>
        <v>262</v>
      </c>
      <c r="E21" s="324">
        <f>(C21-D21)/D21</f>
        <v>-0.33587786259541985</v>
      </c>
      <c r="F21" s="322">
        <f>+SUM([3]FedEx!$IF$19:$IJ$19)</f>
        <v>966</v>
      </c>
      <c r="G21" s="217">
        <f>+SUM([3]FedEx!$HR$19:$HV$19)</f>
        <v>1298</v>
      </c>
      <c r="H21" s="323">
        <f t="shared" si="14"/>
        <v>-0.25577812018489987</v>
      </c>
      <c r="I21" s="324">
        <f>+F21/$F$34</f>
        <v>0.16501537410317732</v>
      </c>
      <c r="J21" s="258"/>
      <c r="K21" s="318" t="s">
        <v>184</v>
      </c>
      <c r="L21" s="322">
        <f>+[3]FedEx!$IJ$64</f>
        <v>12383891</v>
      </c>
      <c r="M21" s="217">
        <f>+[3]FedEx!$HV$64</f>
        <v>14644323</v>
      </c>
      <c r="N21" s="324">
        <f>(L21-M21)/M21</f>
        <v>-0.15435551373730286</v>
      </c>
      <c r="O21" s="322">
        <f>+SUM([3]FedEx!$IF$64:$IJ$64)</f>
        <v>61751188</v>
      </c>
      <c r="P21" s="217">
        <f>+SUM([3]FedEx!$HR$64:$HV$64)</f>
        <v>72998632</v>
      </c>
      <c r="Q21" s="323">
        <f t="shared" si="15"/>
        <v>-0.15407746271190398</v>
      </c>
      <c r="R21" s="324">
        <f>O21/$O$34</f>
        <v>0.40917182446266104</v>
      </c>
      <c r="T21" s="391"/>
    </row>
    <row r="22" spans="1:20" ht="14.1" customHeight="1" x14ac:dyDescent="0.2">
      <c r="A22" s="37"/>
      <c r="B22" s="318" t="s">
        <v>214</v>
      </c>
      <c r="C22" s="322">
        <f>+'[3]Mountain Cargo'!$IJ$19</f>
        <v>42</v>
      </c>
      <c r="D22" s="217">
        <f>+'[3]Mountain Cargo'!$HV$19</f>
        <v>40</v>
      </c>
      <c r="E22" s="324">
        <f>(C22-D22)/D22</f>
        <v>0.05</v>
      </c>
      <c r="F22" s="322">
        <f>+SUM('[3]Mountain Cargo'!$IF$19:$IJ$19)</f>
        <v>202</v>
      </c>
      <c r="G22" s="217">
        <f>+SUM('[3]Mountain Cargo'!$HR$19:$HV$19)</f>
        <v>202</v>
      </c>
      <c r="H22" s="323">
        <f>(F22-G22)/G22</f>
        <v>0</v>
      </c>
      <c r="I22" s="324">
        <f>+F22/$F$34</f>
        <v>3.4506320464639563E-2</v>
      </c>
      <c r="J22" s="363"/>
      <c r="K22" s="318" t="s">
        <v>214</v>
      </c>
      <c r="L22" s="322">
        <f>+'[3]Mountain Cargo'!$IJ$64</f>
        <v>164971</v>
      </c>
      <c r="M22" s="217">
        <f>+'[3]Mountain Cargo'!$HV$64</f>
        <v>269963</v>
      </c>
      <c r="N22" s="324">
        <f>(L22-M22)/M22</f>
        <v>-0.38891255468341956</v>
      </c>
      <c r="O22" s="322">
        <f>+SUM('[3]Mountain Cargo'!$IF$64:$IJ$64)</f>
        <v>719981</v>
      </c>
      <c r="P22" s="217">
        <f>+SUM('[3]Mountain Cargo'!$HR$64:$HV$64)</f>
        <v>780125</v>
      </c>
      <c r="Q22" s="323">
        <f t="shared" si="15"/>
        <v>-7.7095337285691401E-2</v>
      </c>
      <c r="R22" s="324">
        <f>O22/$O$34</f>
        <v>4.7706926601711885E-3</v>
      </c>
      <c r="T22" s="391"/>
    </row>
    <row r="23" spans="1:20" ht="14.1" customHeight="1" x14ac:dyDescent="0.2">
      <c r="A23" s="37"/>
      <c r="B23" s="318" t="s">
        <v>176</v>
      </c>
      <c r="C23" s="322">
        <f>+[3]IFL!$IJ$19</f>
        <v>34</v>
      </c>
      <c r="D23" s="217">
        <f>+[3]IFL!$HV$19</f>
        <v>32</v>
      </c>
      <c r="E23" s="324">
        <f>(C23-D23)/D23</f>
        <v>6.25E-2</v>
      </c>
      <c r="F23" s="322">
        <f>+SUM([3]IFL!$IF$19:$IJ$19)</f>
        <v>140</v>
      </c>
      <c r="G23" s="217">
        <f>+SUM([3]IFL!$HR$19:$HV$19)</f>
        <v>146</v>
      </c>
      <c r="H23" s="323">
        <f>(F23-G23)/G23</f>
        <v>-4.1095890410958902E-2</v>
      </c>
      <c r="I23" s="324">
        <f>+F23/$F$34</f>
        <v>2.3915271609156134E-2</v>
      </c>
      <c r="J23" s="363"/>
      <c r="K23" s="318" t="s">
        <v>176</v>
      </c>
      <c r="L23" s="322">
        <f>+[3]IFL!$IJ$64</f>
        <v>59282</v>
      </c>
      <c r="M23" s="217">
        <f>+[3]IFL!$HV$64</f>
        <v>62139</v>
      </c>
      <c r="N23" s="324">
        <f>(L23-M23)/M23</f>
        <v>-4.5977566423663081E-2</v>
      </c>
      <c r="O23" s="322">
        <f>+SUM([3]IFL!$IF$64:$IJ$64)</f>
        <v>280140</v>
      </c>
      <c r="P23" s="217">
        <f>+SUM([3]IFL!$HR$64:$HV$64)</f>
        <v>268207</v>
      </c>
      <c r="Q23" s="323">
        <f>(O23-P23)/P23</f>
        <v>4.4491754503051748E-2</v>
      </c>
      <c r="R23" s="324">
        <f>O23/$O$34</f>
        <v>1.8562459867973692E-3</v>
      </c>
      <c r="T23" s="391"/>
    </row>
    <row r="24" spans="1:20" ht="14.1" customHeight="1" x14ac:dyDescent="0.2">
      <c r="A24" s="258"/>
      <c r="B24" s="318" t="s">
        <v>84</v>
      </c>
      <c r="C24" s="322">
        <f>+'[3]CSA Air'!$IJ$19</f>
        <v>0</v>
      </c>
      <c r="D24" s="217">
        <f>+'[3]CSA Air'!$HV$19</f>
        <v>0</v>
      </c>
      <c r="E24" s="324" t="e">
        <f>(C24-D24)/D24</f>
        <v>#DIV/0!</v>
      </c>
      <c r="F24" s="322">
        <f>+SUM('[3]CSA Air'!$IF$19:$IJ$19)</f>
        <v>0</v>
      </c>
      <c r="G24" s="217">
        <f>+SUM('[3]CSA Air'!$HR$19:$HV$19)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Air'!$IJ$64</f>
        <v>0</v>
      </c>
      <c r="M24" s="217">
        <f>+'[3]CSA Air'!$HV$64</f>
        <v>0</v>
      </c>
      <c r="N24" s="324" t="e">
        <f>(L24-M24)/M24</f>
        <v>#DIV/0!</v>
      </c>
      <c r="O24" s="322">
        <f>+SUM('[3]CSA Air'!$IF$64:$IJ$64)</f>
        <v>0</v>
      </c>
      <c r="P24" s="217">
        <f>+SUM('[3]CSA Air'!$HR$64:$HV$64)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616</v>
      </c>
      <c r="D26" s="382">
        <f>SUM(D27:D28)</f>
        <v>668</v>
      </c>
      <c r="E26" s="383">
        <f>(C26-D26)/D26</f>
        <v>-7.7844311377245512E-2</v>
      </c>
      <c r="F26" s="382">
        <f>SUM(F27:F28)</f>
        <v>2966</v>
      </c>
      <c r="G26" s="382">
        <f>SUM(G27:G28)</f>
        <v>3367</v>
      </c>
      <c r="H26" s="384">
        <f>(F26-G26)/G26</f>
        <v>-0.11909711909711909</v>
      </c>
      <c r="I26" s="383">
        <f>+F26/$F$34</f>
        <v>0.50666211137683637</v>
      </c>
      <c r="J26" s="258" t="s">
        <v>82</v>
      </c>
      <c r="K26" s="39"/>
      <c r="L26" s="382">
        <f>SUM(L27:L28)</f>
        <v>10949924</v>
      </c>
      <c r="M26" s="382">
        <f>SUM(M27:M28)</f>
        <v>12136230</v>
      </c>
      <c r="N26" s="383">
        <f>(L26-M26)/M26</f>
        <v>-9.7749136263897432E-2</v>
      </c>
      <c r="O26" s="382">
        <f>SUM(O27:O28)</f>
        <v>52941503</v>
      </c>
      <c r="P26" s="382">
        <f>SUM(P27:P28)</f>
        <v>62512651</v>
      </c>
      <c r="Q26" s="384">
        <f>(O26-P26)/P26</f>
        <v>-0.15310737661725465</v>
      </c>
      <c r="R26" s="383">
        <f>O26/$O$34</f>
        <v>0.35079764574416678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+[3]UPS!$IJ$19</f>
        <v>250</v>
      </c>
      <c r="D27" s="217">
        <f>+[3]UPS!$HV$19</f>
        <v>268</v>
      </c>
      <c r="E27" s="324">
        <f>(C27-D27)/D27</f>
        <v>-6.7164179104477612E-2</v>
      </c>
      <c r="F27" s="322">
        <f>+SUM([3]UPS!$IF$19:$IJ$19)</f>
        <v>1228</v>
      </c>
      <c r="G27" s="217">
        <f>+SUM([3]UPS!$HR$19:$HV$19)</f>
        <v>1419</v>
      </c>
      <c r="H27" s="323">
        <f>(F27-G27)/G27</f>
        <v>-0.13460183227625089</v>
      </c>
      <c r="I27" s="324">
        <f>+F27/$F$34</f>
        <v>0.20977109668602664</v>
      </c>
      <c r="J27" s="258"/>
      <c r="K27" s="318" t="s">
        <v>82</v>
      </c>
      <c r="L27" s="322">
        <f>+[3]UPS!$IJ$64</f>
        <v>10949924</v>
      </c>
      <c r="M27" s="217">
        <f>+[3]UPS!$HV$64</f>
        <v>12136230</v>
      </c>
      <c r="N27" s="324">
        <f>(L27-M27)/M27</f>
        <v>-9.7749136263897432E-2</v>
      </c>
      <c r="O27" s="322">
        <f>+SUM([3]UPS!$IF$64:$IJ$64)</f>
        <v>52941503</v>
      </c>
      <c r="P27" s="217">
        <f>+SUM([3]UPS!$HR$64:$HV$64)</f>
        <v>62512651</v>
      </c>
      <c r="Q27" s="323">
        <f>(O27-P27)/P27</f>
        <v>-0.15310737661725465</v>
      </c>
      <c r="R27" s="324">
        <f>O27/$O$34</f>
        <v>0.35079764574416678</v>
      </c>
      <c r="S27" s="340"/>
      <c r="T27" s="393"/>
    </row>
    <row r="28" spans="1:20" x14ac:dyDescent="0.2">
      <c r="A28" s="258"/>
      <c r="B28" s="318" t="s">
        <v>83</v>
      </c>
      <c r="C28" s="322">
        <f>+[3]Bemidji!$IJ$19</f>
        <v>366</v>
      </c>
      <c r="D28" s="217">
        <f>+[3]Bemidji!$HV$19</f>
        <v>400</v>
      </c>
      <c r="E28" s="324">
        <f>(C28-D28)/D28</f>
        <v>-8.5000000000000006E-2</v>
      </c>
      <c r="F28" s="322">
        <f>+SUM([3]Bemidji!$IF$19:$IJ$19)</f>
        <v>1738</v>
      </c>
      <c r="G28" s="217">
        <f>+SUM([3]Bemidji!$HR$19:$HV$19)</f>
        <v>1948</v>
      </c>
      <c r="H28" s="323">
        <f t="shared" ref="H28" si="18">(F28-G28)/G28</f>
        <v>-0.10780287474332649</v>
      </c>
      <c r="I28" s="324">
        <f>+F28/$F$34</f>
        <v>0.2968910146908097</v>
      </c>
      <c r="J28" s="258"/>
      <c r="K28" s="318" t="s">
        <v>83</v>
      </c>
      <c r="L28" s="460" t="s">
        <v>187</v>
      </c>
      <c r="M28" s="461"/>
      <c r="N28" s="461"/>
      <c r="O28" s="461"/>
      <c r="P28" s="461"/>
      <c r="Q28" s="461"/>
      <c r="R28" s="462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127</v>
      </c>
      <c r="B30" s="39"/>
      <c r="C30" s="386">
        <f>+'[3]Misc Cargo'!$IJ$19</f>
        <v>0</v>
      </c>
      <c r="D30" s="382">
        <f>+'[3]Misc Cargo'!$HV$19</f>
        <v>0</v>
      </c>
      <c r="E30" s="383" t="e">
        <f>(C30-D30)/D30</f>
        <v>#DIV/0!</v>
      </c>
      <c r="F30" s="386">
        <f>+SUM('[3]Misc Cargo'!$IF$19:$IJ$19)</f>
        <v>0</v>
      </c>
      <c r="G30" s="382">
        <f>+SUM('[3]Misc Cargo'!$HR$19:$HV$19)</f>
        <v>2</v>
      </c>
      <c r="H30" s="384">
        <f>(F30-G30)/G30</f>
        <v>-1</v>
      </c>
      <c r="I30" s="383">
        <f>+F30/$F$34</f>
        <v>0</v>
      </c>
      <c r="J30" s="258" t="s">
        <v>127</v>
      </c>
      <c r="K30" s="39"/>
      <c r="L30" s="386">
        <f>+'[3]Misc Cargo'!$IJ$64</f>
        <v>0</v>
      </c>
      <c r="M30" s="382">
        <f>+'[3]Misc Cargo'!$HV$64</f>
        <v>0</v>
      </c>
      <c r="N30" s="383" t="e">
        <f>(L30-M30)/M30</f>
        <v>#DIV/0!</v>
      </c>
      <c r="O30" s="386">
        <f>+SUM('[3]Misc Cargo'!$IF$64:$IJ$64)</f>
        <v>0</v>
      </c>
      <c r="P30" s="382">
        <f>+SUM('[3]Misc Cargo'!$HR$64:$HV$64)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185</v>
      </c>
      <c r="C34" s="344">
        <f>+C30+C26+C20+C9+C5</f>
        <v>1218</v>
      </c>
      <c r="D34" s="344">
        <f>+D30+D26+D20+D9+D5</f>
        <v>1282</v>
      </c>
      <c r="E34" s="345">
        <f>(C34-D34)/D34</f>
        <v>-4.9921996879875197E-2</v>
      </c>
      <c r="F34" s="344">
        <f>+F30+F26+F20+F9+F5</f>
        <v>5854</v>
      </c>
      <c r="G34" s="344">
        <f>+G30+G26+G20+G9+G5</f>
        <v>6552</v>
      </c>
      <c r="H34" s="346">
        <f>(F34-G34)/G34</f>
        <v>-0.10653235653235653</v>
      </c>
      <c r="I34" s="352"/>
      <c r="K34" s="343" t="s">
        <v>185</v>
      </c>
      <c r="L34" s="344">
        <f>+L30+L26+L20+L9+L5</f>
        <v>31144342</v>
      </c>
      <c r="M34" s="344">
        <f>+M30+M26+M20+M9+M5</f>
        <v>35190740</v>
      </c>
      <c r="N34" s="347">
        <f>(L34-M34)/M34</f>
        <v>-0.11498473746218466</v>
      </c>
      <c r="O34" s="344">
        <f>+O30+O26+O20+O9+O5</f>
        <v>150917498</v>
      </c>
      <c r="P34" s="344">
        <f>+P30+P26+P20+P9+P5</f>
        <v>173526535</v>
      </c>
      <c r="Q34" s="346">
        <f t="shared" ref="Q34" si="19">(O34-P34)/P34</f>
        <v>-0.13029152573120878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May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2024-01-17T16:26:33Z</dcterms:modified>
</cp:coreProperties>
</file>