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096797A5-2196-406F-9857-2B8F33AB2C75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D10" i="9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30" i="7"/>
  <c r="L30" i="7"/>
  <c r="C30" i="7"/>
  <c r="B30" i="7"/>
  <c r="O31" i="7"/>
  <c r="J31" i="7"/>
  <c r="E31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P30" i="18"/>
  <c r="M30" i="18"/>
  <c r="G30" i="18"/>
  <c r="D30" i="18"/>
  <c r="G28" i="18"/>
  <c r="D28" i="18"/>
  <c r="P27" i="18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N30" i="7" l="1"/>
  <c r="D30" i="7"/>
  <c r="O30" i="7"/>
  <c r="M29" i="7"/>
  <c r="L29" i="7"/>
  <c r="O29" i="7"/>
  <c r="J30" i="7"/>
  <c r="C29" i="7"/>
  <c r="B29" i="7"/>
  <c r="E30" i="7"/>
  <c r="D29" i="7" l="1"/>
  <c r="J2" i="9"/>
  <c r="J29" i="7" l="1"/>
  <c r="E29" i="7"/>
  <c r="O28" i="7" l="1"/>
  <c r="J28" i="7"/>
  <c r="E28" i="7"/>
  <c r="O27" i="7" l="1"/>
  <c r="J27" i="7"/>
  <c r="E27" i="7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G20" i="1" s="1"/>
  <c r="Q66" i="9"/>
  <c r="E66" i="9"/>
  <c r="W66" i="9"/>
  <c r="Z66" i="9"/>
  <c r="D21" i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G21" i="1" l="1"/>
  <c r="S4" i="8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s="1"/>
  <c r="R16" i="18" l="1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G19" i="1" l="1"/>
  <c r="S33" i="8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Q73" i="9" l="1"/>
  <c r="R73" i="9" s="1"/>
  <c r="P76" i="9"/>
  <c r="I16" i="9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S2" i="9" l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31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1" i="7" l="1"/>
  <c r="D18" i="1"/>
  <c r="B33" i="1"/>
  <c r="D33" i="1" s="1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8" i="1" l="1"/>
  <c r="D31" i="7"/>
  <c r="F31" i="7" s="1"/>
  <c r="G7" i="1"/>
  <c r="C20" i="5"/>
  <c r="D16" i="1"/>
  <c r="B17" i="5"/>
  <c r="D22" i="7"/>
  <c r="F22" i="7" s="1"/>
  <c r="F32" i="7"/>
  <c r="F30" i="7"/>
  <c r="F29" i="7"/>
  <c r="K23" i="3"/>
  <c r="F18" i="1"/>
  <c r="B6" i="5"/>
  <c r="B7" i="5" s="1"/>
  <c r="B28" i="1"/>
  <c r="B10" i="5"/>
  <c r="B12" i="5" s="1"/>
  <c r="C27" i="1"/>
  <c r="B27" i="1"/>
  <c r="K6" i="2"/>
  <c r="D5" i="1" s="1"/>
  <c r="B8" i="1"/>
  <c r="L21" i="15"/>
  <c r="D6" i="1"/>
  <c r="C8" i="1"/>
  <c r="B32" i="1" s="1"/>
  <c r="D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I5" i="5" s="1"/>
  <c r="G16" i="1" l="1"/>
  <c r="G5" i="1"/>
  <c r="G6" i="1"/>
  <c r="D17" i="1"/>
  <c r="G17" i="1" s="1"/>
  <c r="B20" i="5"/>
  <c r="E20" i="5" s="1"/>
  <c r="B21" i="5"/>
  <c r="E21" i="5" s="1"/>
  <c r="C33" i="1"/>
  <c r="D10" i="1"/>
  <c r="E6" i="5"/>
  <c r="F6" i="5" s="1"/>
  <c r="I6" i="5" s="1"/>
  <c r="E10" i="5"/>
  <c r="F10" i="5" s="1"/>
  <c r="I10" i="5" s="1"/>
  <c r="F5" i="1"/>
  <c r="D8" i="1"/>
  <c r="F8" i="1" s="1"/>
  <c r="F6" i="1"/>
  <c r="C11" i="1"/>
  <c r="B11" i="1"/>
  <c r="L31" i="7" s="1"/>
  <c r="D28" i="1"/>
  <c r="G28" i="1" s="1"/>
  <c r="B22" i="1"/>
  <c r="B29" i="1"/>
  <c r="C12" i="5"/>
  <c r="E11" i="5"/>
  <c r="F11" i="5" s="1"/>
  <c r="I11" i="5" s="1"/>
  <c r="C29" i="1"/>
  <c r="F16" i="1"/>
  <c r="D22" i="5"/>
  <c r="F15" i="5"/>
  <c r="I15" i="5" s="1"/>
  <c r="E17" i="5"/>
  <c r="D27" i="1" s="1"/>
  <c r="G27" i="1" s="1"/>
  <c r="G10" i="1" l="1"/>
  <c r="G31" i="7"/>
  <c r="H30" i="7"/>
  <c r="M31" i="7"/>
  <c r="H31" i="7" s="1"/>
  <c r="G30" i="7"/>
  <c r="I30" i="7" s="1"/>
  <c r="F17" i="1"/>
  <c r="G29" i="7"/>
  <c r="H29" i="7"/>
  <c r="D22" i="1"/>
  <c r="B22" i="5"/>
  <c r="H22" i="7"/>
  <c r="N21" i="7"/>
  <c r="E22" i="5"/>
  <c r="C32" i="1"/>
  <c r="H6" i="5"/>
  <c r="F28" i="1"/>
  <c r="F10" i="1"/>
  <c r="E7" i="5"/>
  <c r="F21" i="5"/>
  <c r="I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F22" i="1" l="1"/>
  <c r="I31" i="7"/>
  <c r="K31" i="7" s="1"/>
  <c r="N31" i="7"/>
  <c r="P31" i="7" s="1"/>
  <c r="N29" i="7"/>
  <c r="P29" i="7" s="1"/>
  <c r="I29" i="7"/>
  <c r="K29" i="7" s="1"/>
  <c r="N22" i="7"/>
  <c r="P22" i="7" s="1"/>
  <c r="G22" i="7"/>
  <c r="P32" i="7"/>
  <c r="K30" i="7"/>
  <c r="P30" i="7"/>
  <c r="H21" i="5"/>
  <c r="F22" i="5"/>
  <c r="H22" i="5" s="1"/>
  <c r="H20" i="5"/>
  <c r="I22" i="7" l="1"/>
  <c r="K22" i="7" s="1"/>
  <c r="K32" i="7"/>
  <c r="I21" i="7" l="1"/>
  <c r="P21" i="7"/>
  <c r="K21" i="7" l="1"/>
  <c r="B28" i="7" l="1"/>
  <c r="C28" i="7" l="1"/>
  <c r="D28" i="7" s="1"/>
  <c r="F28" i="7" s="1"/>
  <c r="L28" i="7" l="1"/>
  <c r="G28" i="7" l="1"/>
  <c r="M28" i="7"/>
  <c r="H28" i="7" s="1"/>
  <c r="I28" i="7" l="1"/>
  <c r="K28" i="7" s="1"/>
  <c r="N28" i="7"/>
  <c r="P28" i="7" s="1"/>
  <c r="B27" i="7" l="1"/>
  <c r="C27" i="7" l="1"/>
  <c r="D27" i="7" s="1"/>
  <c r="F27" i="7" s="1"/>
  <c r="L27" i="7" l="1"/>
  <c r="M27" i="7"/>
  <c r="H27" i="7" s="1"/>
  <c r="N27" i="7" l="1"/>
  <c r="P27" i="7" s="1"/>
  <c r="G27" i="7"/>
  <c r="I27" i="7" s="1"/>
  <c r="K27" i="7" s="1"/>
  <c r="B26" i="7" l="1"/>
  <c r="C26" i="7" l="1"/>
  <c r="D26" i="7" s="1"/>
  <c r="F26" i="7" s="1"/>
  <c r="M26" i="7" l="1"/>
  <c r="H26" i="7" s="1"/>
  <c r="L26" i="7"/>
  <c r="G26" i="7" l="1"/>
  <c r="I26" i="7" s="1"/>
  <c r="K26" i="7" s="1"/>
  <c r="N26" i="7"/>
  <c r="P26" i="7" s="1"/>
  <c r="B25" i="7" l="1"/>
  <c r="C25" i="7" l="1"/>
  <c r="D25" i="7" s="1"/>
  <c r="F25" i="7" s="1"/>
  <c r="L25" i="7" l="1"/>
  <c r="G25" i="7" l="1"/>
  <c r="M25" i="7" l="1"/>
  <c r="H25" i="7" l="1"/>
  <c r="I25" i="7" s="1"/>
  <c r="K25" i="7" s="1"/>
  <c r="N25" i="7"/>
  <c r="P25" i="7" s="1"/>
  <c r="B24" i="7" l="1"/>
  <c r="C24" i="7" l="1"/>
  <c r="D24" i="7" s="1"/>
  <c r="F24" i="7" s="1"/>
  <c r="L24" i="7" l="1"/>
  <c r="G24" i="7" l="1"/>
  <c r="M24" i="7"/>
  <c r="H24" i="7" s="1"/>
  <c r="I24" i="7" l="1"/>
  <c r="K24" i="7" s="1"/>
  <c r="N24" i="7"/>
  <c r="P24" i="7" s="1"/>
  <c r="B23" i="7" l="1"/>
  <c r="C23" i="7" l="1"/>
  <c r="C33" i="7" s="1"/>
  <c r="B33" i="7"/>
  <c r="D23" i="7" l="1"/>
  <c r="F23" i="7" s="1"/>
  <c r="K5" i="5"/>
  <c r="I16" i="1"/>
  <c r="D33" i="7" l="1"/>
  <c r="F33" i="7" s="1"/>
  <c r="I5" i="1"/>
  <c r="I27" i="1"/>
  <c r="L23" i="7"/>
  <c r="K10" i="5"/>
  <c r="I17" i="5"/>
  <c r="K17" i="5" s="1"/>
  <c r="K15" i="5"/>
  <c r="M23" i="7"/>
  <c r="K20" i="5" l="1"/>
  <c r="N23" i="7"/>
  <c r="G23" i="7"/>
  <c r="L33" i="7"/>
  <c r="I17" i="1"/>
  <c r="H23" i="7"/>
  <c r="H33" i="7" s="1"/>
  <c r="M33" i="7"/>
  <c r="I20" i="1"/>
  <c r="K6" i="5"/>
  <c r="I7" i="5"/>
  <c r="K7" i="5" s="1"/>
  <c r="I21" i="1" l="1"/>
  <c r="D34" i="1"/>
  <c r="P23" i="7"/>
  <c r="N33" i="7"/>
  <c r="P33" i="7" s="1"/>
  <c r="I6" i="1"/>
  <c r="I23" i="7"/>
  <c r="G33" i="7"/>
  <c r="K11" i="5"/>
  <c r="I12" i="5"/>
  <c r="K12" i="5" s="1"/>
  <c r="I28" i="1"/>
  <c r="G29" i="1"/>
  <c r="I29" i="1" s="1"/>
  <c r="I19" i="1" l="1"/>
  <c r="K21" i="5"/>
  <c r="I22" i="5"/>
  <c r="K22" i="5" s="1"/>
  <c r="E32" i="1"/>
  <c r="E33" i="1"/>
  <c r="I18" i="1"/>
  <c r="G22" i="1"/>
  <c r="I22" i="1" s="1"/>
  <c r="K23" i="7"/>
  <c r="I33" i="7"/>
  <c r="K33" i="7" l="1"/>
  <c r="I7" i="1"/>
  <c r="G8" i="1"/>
  <c r="I10" i="1" l="1"/>
  <c r="G11" i="1"/>
  <c r="I11" i="1" s="1"/>
  <c r="I8" i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<sst xmlns="http://schemas.openxmlformats.org/spreadsheetml/2006/main" count="700" uniqueCount="250">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</sst>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Nov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ugust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ugus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October%202022.xlsx" TargetMode="External"/><Relationship Id="rId1" Type="http://schemas.openxmlformats.org/officeDocument/2006/relationships/externalLinkPath" Target="MSP%20October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MSP%20September%2020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Septembe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Octobe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1831849</v>
          </cell>
          <cell r="G5">
            <v>17002649</v>
          </cell>
        </row>
        <row r="6">
          <cell r="D6">
            <v>488359</v>
          </cell>
          <cell r="G6">
            <v>5173313</v>
          </cell>
        </row>
        <row r="7">
          <cell r="D7">
            <v>526</v>
          </cell>
          <cell r="G7">
            <v>3742</v>
          </cell>
        </row>
        <row r="10">
          <cell r="D10">
            <v>68822</v>
          </cell>
          <cell r="G10">
            <v>712834</v>
          </cell>
        </row>
        <row r="16">
          <cell r="D16">
            <v>14087</v>
          </cell>
          <cell r="G16">
            <v>137316</v>
          </cell>
        </row>
        <row r="17">
          <cell r="D17">
            <v>9094</v>
          </cell>
          <cell r="G17">
            <v>110526</v>
          </cell>
        </row>
        <row r="18">
          <cell r="D18">
            <v>6</v>
          </cell>
          <cell r="G18">
            <v>34</v>
          </cell>
        </row>
        <row r="19">
          <cell r="D19">
            <v>1384</v>
          </cell>
          <cell r="G19">
            <v>15088</v>
          </cell>
        </row>
        <row r="20">
          <cell r="D20">
            <v>1390</v>
          </cell>
          <cell r="G20">
            <v>13944</v>
          </cell>
        </row>
        <row r="21">
          <cell r="D21">
            <v>101</v>
          </cell>
          <cell r="G21">
            <v>1089</v>
          </cell>
        </row>
        <row r="27">
          <cell r="D27">
            <v>18296.448380890681</v>
          </cell>
          <cell r="G27">
            <v>190563.27718695512</v>
          </cell>
        </row>
        <row r="28">
          <cell r="D28">
            <v>2084.9477613295098</v>
          </cell>
          <cell r="G28">
            <v>20291.87560566936</v>
          </cell>
        </row>
        <row r="32">
          <cell r="B32">
            <v>755104</v>
          </cell>
          <cell r="D32">
            <v>7352569</v>
          </cell>
        </row>
        <row r="33">
          <cell r="B33">
            <v>408217</v>
          </cell>
          <cell r="D33">
            <v>3709592</v>
          </cell>
        </row>
      </sheetData>
      <sheetData sheetId="1"/>
      <sheetData sheetId="2"/>
      <sheetData sheetId="3"/>
      <sheetData sheetId="4"/>
      <sheetData sheetId="5">
        <row r="31">
          <cell r="D31">
            <v>65728</v>
          </cell>
          <cell r="I31">
            <v>2323828</v>
          </cell>
          <cell r="N31">
            <v>2389556</v>
          </cell>
        </row>
      </sheetData>
      <sheetData sheetId="6"/>
      <sheetData sheetId="7">
        <row r="5">
          <cell r="F5">
            <v>10401.11480883321</v>
          </cell>
          <cell r="I5">
            <v>105959.93623348736</v>
          </cell>
        </row>
        <row r="6">
          <cell r="F6">
            <v>1112.4720284069699</v>
          </cell>
          <cell r="I6">
            <v>10370.100884126829</v>
          </cell>
        </row>
        <row r="10">
          <cell r="F10">
            <v>7895.3335720574696</v>
          </cell>
          <cell r="I10">
            <v>84603.196257501724</v>
          </cell>
        </row>
        <row r="11">
          <cell r="F11">
            <v>972.47573292253992</v>
          </cell>
          <cell r="I11">
            <v>9921.7747215425297</v>
          </cell>
        </row>
        <row r="15">
          <cell r="F15">
            <v>0</v>
          </cell>
          <cell r="I15">
            <v>0.14469596602999998</v>
          </cell>
        </row>
        <row r="16">
          <cell r="F16">
            <v>0</v>
          </cell>
          <cell r="I16">
            <v>0</v>
          </cell>
        </row>
        <row r="20">
          <cell r="F20">
            <v>18296.448380890681</v>
          </cell>
          <cell r="I20">
            <v>190563.27718695512</v>
          </cell>
        </row>
        <row r="21">
          <cell r="F21">
            <v>2084.9477613295098</v>
          </cell>
          <cell r="I21">
            <v>20291.87560566936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94721</v>
          </cell>
          <cell r="C27">
            <v>85909</v>
          </cell>
          <cell r="L27">
            <v>1479867</v>
          </cell>
          <cell r="M27">
            <v>1478951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94137</v>
          </cell>
          <cell r="C28">
            <v>87466</v>
          </cell>
          <cell r="L28">
            <v>1461843</v>
          </cell>
          <cell r="M28">
            <v>1451368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67922</v>
          </cell>
          <cell r="I28">
            <v>2595445</v>
          </cell>
          <cell r="N28">
            <v>2663367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21071359</v>
          </cell>
        </row>
        <row r="6">
          <cell r="G6">
            <v>4403483</v>
          </cell>
        </row>
        <row r="7">
          <cell r="G7">
            <v>5544</v>
          </cell>
        </row>
        <row r="10">
          <cell r="G10">
            <v>743254</v>
          </cell>
        </row>
        <row r="16">
          <cell r="G16">
            <v>150517</v>
          </cell>
        </row>
        <row r="17">
          <cell r="G17">
            <v>82235</v>
          </cell>
        </row>
        <row r="18">
          <cell r="G18">
            <v>52</v>
          </cell>
        </row>
        <row r="19">
          <cell r="G19">
            <v>12891</v>
          </cell>
        </row>
        <row r="20">
          <cell r="G20">
            <v>14803</v>
          </cell>
        </row>
        <row r="21">
          <cell r="G21">
            <v>780</v>
          </cell>
        </row>
        <row r="27">
          <cell r="G27">
            <v>171693.69435326615</v>
          </cell>
        </row>
        <row r="28">
          <cell r="G28">
            <v>24799.525713907096</v>
          </cell>
        </row>
        <row r="32">
          <cell r="D32">
            <v>8748438</v>
          </cell>
        </row>
        <row r="33">
          <cell r="D33">
            <v>3967427</v>
          </cell>
        </row>
      </sheetData>
      <sheetData sheetId="1"/>
      <sheetData sheetId="2"/>
      <sheetData sheetId="3"/>
      <sheetData sheetId="4"/>
      <sheetData sheetId="5">
        <row r="30">
          <cell r="B30">
            <v>70829</v>
          </cell>
          <cell r="C30">
            <v>67477</v>
          </cell>
          <cell r="L30">
            <v>1338124</v>
          </cell>
          <cell r="M30">
            <v>1351729</v>
          </cell>
        </row>
      </sheetData>
      <sheetData sheetId="6"/>
      <sheetData sheetId="7">
        <row r="5">
          <cell r="I5">
            <v>95191.392540466826</v>
          </cell>
        </row>
        <row r="6">
          <cell r="I6">
            <v>14011.744547053328</v>
          </cell>
        </row>
        <row r="10">
          <cell r="I10">
            <v>76502.301812799327</v>
          </cell>
        </row>
        <row r="11">
          <cell r="I11">
            <v>10787.781166853767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171693.69435326618</v>
          </cell>
        </row>
        <row r="21">
          <cell r="I21">
            <v>24799.5257139071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72885</v>
          </cell>
          <cell r="C29">
            <v>73450</v>
          </cell>
          <cell r="L29">
            <v>1297371</v>
          </cell>
          <cell r="M29">
            <v>1300232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60381</v>
          </cell>
          <cell r="I29">
            <v>2267332</v>
          </cell>
          <cell r="N29">
            <v>2327713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57177</v>
          </cell>
          <cell r="I30">
            <v>2429943</v>
          </cell>
          <cell r="N30">
            <v>2487120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Sheet1"/>
      <sheetName val="DHL_ABX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3"/>
      <sheetData sheetId="4">
        <row r="8">
          <cell r="IB8"/>
        </row>
        <row r="9">
          <cell r="IB9"/>
        </row>
        <row r="15">
          <cell r="HR15"/>
          <cell r="HS15"/>
          <cell r="HT15"/>
          <cell r="HU15"/>
          <cell r="HV15">
            <v>16</v>
          </cell>
          <cell r="HW15">
            <v>19</v>
          </cell>
          <cell r="HX15">
            <v>22</v>
          </cell>
          <cell r="HY15">
            <v>22</v>
          </cell>
          <cell r="HZ15">
            <v>18</v>
          </cell>
          <cell r="IA15"/>
          <cell r="IB15"/>
        </row>
        <row r="16">
          <cell r="HR16"/>
          <cell r="HS16"/>
          <cell r="HT16"/>
          <cell r="HU16"/>
          <cell r="HV16">
            <v>16</v>
          </cell>
          <cell r="HW16">
            <v>19</v>
          </cell>
          <cell r="HX16">
            <v>22</v>
          </cell>
          <cell r="HY16">
            <v>22</v>
          </cell>
          <cell r="HZ16">
            <v>18</v>
          </cell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K19">
            <v>44</v>
          </cell>
          <cell r="HL19">
            <v>32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  <cell r="IB19">
            <v>0</v>
          </cell>
        </row>
        <row r="32">
          <cell r="HR32"/>
          <cell r="HS32"/>
          <cell r="HT32"/>
          <cell r="HU32"/>
          <cell r="HV32">
            <v>3072</v>
          </cell>
          <cell r="HW32">
            <v>5298</v>
          </cell>
          <cell r="HX32">
            <v>6400</v>
          </cell>
          <cell r="HY32">
            <v>6040</v>
          </cell>
          <cell r="HZ32">
            <v>4644</v>
          </cell>
          <cell r="IA32"/>
          <cell r="IB32"/>
        </row>
        <row r="33">
          <cell r="HR33"/>
          <cell r="HS33"/>
          <cell r="HT33"/>
          <cell r="HU33"/>
          <cell r="HV33">
            <v>3870</v>
          </cell>
          <cell r="HW33">
            <v>5636</v>
          </cell>
          <cell r="HX33">
            <v>5069</v>
          </cell>
          <cell r="HY33">
            <v>5074</v>
          </cell>
          <cell r="HZ33">
            <v>4102</v>
          </cell>
          <cell r="IA33"/>
          <cell r="IB33"/>
        </row>
        <row r="37">
          <cell r="HR37"/>
          <cell r="HS37"/>
          <cell r="HT37"/>
          <cell r="HU37"/>
          <cell r="HV37">
            <v>20</v>
          </cell>
          <cell r="HW37">
            <v>10</v>
          </cell>
          <cell r="HX37">
            <v>55</v>
          </cell>
          <cell r="HY37">
            <v>88</v>
          </cell>
          <cell r="HZ37">
            <v>13</v>
          </cell>
          <cell r="IA37"/>
          <cell r="IB37"/>
        </row>
        <row r="38">
          <cell r="HR38"/>
          <cell r="HS38"/>
          <cell r="HT38"/>
          <cell r="HU38"/>
          <cell r="HV38">
            <v>1</v>
          </cell>
          <cell r="HW38">
            <v>6</v>
          </cell>
          <cell r="HX38">
            <v>3</v>
          </cell>
          <cell r="HY38">
            <v>4</v>
          </cell>
          <cell r="HZ38">
            <v>1</v>
          </cell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K41">
            <v>8359</v>
          </cell>
          <cell r="HL41">
            <v>5201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K64">
            <v>529528</v>
          </cell>
          <cell r="HL64">
            <v>373448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  <cell r="IB64">
            <v>0</v>
          </cell>
        </row>
      </sheetData>
      <sheetData sheetId="5">
        <row r="4">
          <cell r="IB4">
            <v>41</v>
          </cell>
        </row>
        <row r="5">
          <cell r="IB5">
            <v>41</v>
          </cell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64</v>
          </cell>
          <cell r="HN19">
            <v>80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  <cell r="IB19">
            <v>82</v>
          </cell>
        </row>
        <row r="22">
          <cell r="IB22">
            <v>5909</v>
          </cell>
        </row>
        <row r="23">
          <cell r="IB23">
            <v>5967</v>
          </cell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4599</v>
          </cell>
          <cell r="HN41">
            <v>7424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  <cell r="IB41">
            <v>11876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6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">
        <row r="4">
          <cell r="IB4">
            <v>56</v>
          </cell>
        </row>
        <row r="5">
          <cell r="IB5">
            <v>56</v>
          </cell>
        </row>
        <row r="8">
          <cell r="IB8"/>
        </row>
        <row r="9">
          <cell r="IB9"/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K19">
            <v>134</v>
          </cell>
          <cell r="HL19">
            <v>119</v>
          </cell>
          <cell r="HM19">
            <v>127</v>
          </cell>
          <cell r="HN19">
            <v>93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  <cell r="IB19">
            <v>112</v>
          </cell>
        </row>
        <row r="22">
          <cell r="IB22">
            <v>7995</v>
          </cell>
        </row>
        <row r="23">
          <cell r="IB23">
            <v>7634</v>
          </cell>
        </row>
        <row r="27">
          <cell r="IB27">
            <v>295</v>
          </cell>
        </row>
        <row r="28">
          <cell r="IB28">
            <v>336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K41">
            <v>21689</v>
          </cell>
          <cell r="HL41">
            <v>18653</v>
          </cell>
          <cell r="HM41">
            <v>18842</v>
          </cell>
          <cell r="HN41">
            <v>12934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  <cell r="IB41">
            <v>15629</v>
          </cell>
        </row>
        <row r="47">
          <cell r="IB47">
            <v>15679</v>
          </cell>
        </row>
        <row r="48">
          <cell r="IB48"/>
        </row>
        <row r="52">
          <cell r="IB52">
            <v>10030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K64">
            <v>26116</v>
          </cell>
          <cell r="HL64">
            <v>5549</v>
          </cell>
          <cell r="HM64">
            <v>21056</v>
          </cell>
          <cell r="HN64">
            <v>14859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  <cell r="IB64">
            <v>25709</v>
          </cell>
        </row>
      </sheetData>
      <sheetData sheetId="8"/>
      <sheetData sheetId="9">
        <row r="4">
          <cell r="IB4">
            <v>284</v>
          </cell>
        </row>
        <row r="5">
          <cell r="IB5">
            <v>284</v>
          </cell>
        </row>
        <row r="8">
          <cell r="IB8"/>
        </row>
        <row r="9">
          <cell r="IB9"/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K19">
            <v>749</v>
          </cell>
          <cell r="HL19">
            <v>787</v>
          </cell>
          <cell r="HM19">
            <v>776</v>
          </cell>
          <cell r="HN19">
            <v>769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  <cell r="IB19">
            <v>568</v>
          </cell>
        </row>
        <row r="22">
          <cell r="IB22">
            <v>42093</v>
          </cell>
        </row>
        <row r="23">
          <cell r="IB23">
            <v>41932</v>
          </cell>
        </row>
        <row r="27">
          <cell r="IB27">
            <v>1363</v>
          </cell>
        </row>
        <row r="28">
          <cell r="IB28">
            <v>1635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K41">
            <v>104807</v>
          </cell>
          <cell r="HL41">
            <v>102309</v>
          </cell>
          <cell r="HM41">
            <v>109771</v>
          </cell>
          <cell r="HN41">
            <v>110604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  <cell r="IB41">
            <v>84025</v>
          </cell>
        </row>
        <row r="47">
          <cell r="IB47">
            <v>24275</v>
          </cell>
        </row>
        <row r="48">
          <cell r="IB48">
            <v>48119</v>
          </cell>
        </row>
        <row r="52">
          <cell r="IB52">
            <v>7153</v>
          </cell>
        </row>
        <row r="53">
          <cell r="IB53">
            <v>8722</v>
          </cell>
        </row>
        <row r="57">
          <cell r="IB57"/>
        </row>
        <row r="58">
          <cell r="IB58"/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K64">
            <v>103688</v>
          </cell>
          <cell r="HL64">
            <v>108667</v>
          </cell>
          <cell r="HM64">
            <v>122343</v>
          </cell>
          <cell r="HN64">
            <v>106323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  <cell r="IB64">
            <v>88269</v>
          </cell>
        </row>
      </sheetData>
      <sheetData sheetId="10"/>
      <sheetData sheetId="11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K19">
            <v>51</v>
          </cell>
          <cell r="HL19">
            <v>52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K41">
            <v>280</v>
          </cell>
          <cell r="HL41">
            <v>193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12">
        <row r="8">
          <cell r="IB8"/>
        </row>
        <row r="9">
          <cell r="IB9"/>
        </row>
        <row r="15">
          <cell r="HR15"/>
          <cell r="HS15"/>
          <cell r="HT15"/>
          <cell r="HU15"/>
          <cell r="HV15">
            <v>1</v>
          </cell>
          <cell r="HW15">
            <v>13</v>
          </cell>
          <cell r="HX15">
            <v>13</v>
          </cell>
          <cell r="HY15">
            <v>14</v>
          </cell>
          <cell r="HZ15">
            <v>8</v>
          </cell>
          <cell r="IA15"/>
          <cell r="IB15"/>
        </row>
        <row r="16">
          <cell r="HR16"/>
          <cell r="HS16"/>
          <cell r="HT16"/>
          <cell r="HU16"/>
          <cell r="HV16">
            <v>1</v>
          </cell>
          <cell r="HW16">
            <v>13</v>
          </cell>
          <cell r="HX16">
            <v>13</v>
          </cell>
          <cell r="HY16">
            <v>14</v>
          </cell>
          <cell r="HZ16">
            <v>8</v>
          </cell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  <cell r="IB19">
            <v>0</v>
          </cell>
        </row>
        <row r="32">
          <cell r="HR32"/>
          <cell r="HS32"/>
          <cell r="HT32"/>
          <cell r="HU32"/>
          <cell r="HV32">
            <v>181</v>
          </cell>
          <cell r="HW32">
            <v>2383</v>
          </cell>
          <cell r="HX32">
            <v>2973</v>
          </cell>
          <cell r="HY32">
            <v>3255</v>
          </cell>
          <cell r="HZ32">
            <v>1569</v>
          </cell>
          <cell r="IA32"/>
          <cell r="IB32"/>
        </row>
        <row r="33">
          <cell r="HR33"/>
          <cell r="HS33"/>
          <cell r="HT33"/>
          <cell r="HU33"/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  <cell r="HZ33">
            <v>1171</v>
          </cell>
          <cell r="IA33"/>
          <cell r="IB33"/>
        </row>
        <row r="37">
          <cell r="HR37"/>
          <cell r="HS37"/>
          <cell r="HT37"/>
          <cell r="HU37"/>
          <cell r="HV37"/>
          <cell r="HW37">
            <v>3</v>
          </cell>
          <cell r="HX37">
            <v>10</v>
          </cell>
          <cell r="HY37">
            <v>6</v>
          </cell>
          <cell r="HZ37">
            <v>5</v>
          </cell>
          <cell r="IA37"/>
          <cell r="IB37"/>
        </row>
        <row r="38">
          <cell r="HR38"/>
          <cell r="HS38"/>
          <cell r="HT38"/>
          <cell r="HU38"/>
          <cell r="HV38"/>
          <cell r="HW38">
            <v>11</v>
          </cell>
          <cell r="HX38">
            <v>3</v>
          </cell>
          <cell r="HY38">
            <v>4</v>
          </cell>
          <cell r="HZ38">
            <v>10</v>
          </cell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  <cell r="IB64">
            <v>0</v>
          </cell>
        </row>
      </sheetData>
      <sheetData sheetId="13">
        <row r="4">
          <cell r="IB4">
            <v>4688</v>
          </cell>
        </row>
        <row r="5">
          <cell r="IB5">
            <v>4689</v>
          </cell>
        </row>
        <row r="8">
          <cell r="IB8">
            <v>3</v>
          </cell>
        </row>
        <row r="9">
          <cell r="IB9">
            <v>5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  <cell r="HY15">
            <v>317</v>
          </cell>
          <cell r="HZ15">
            <v>268</v>
          </cell>
          <cell r="IA15">
            <v>287</v>
          </cell>
          <cell r="IB15">
            <v>322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  <cell r="HY16">
            <v>319</v>
          </cell>
          <cell r="HZ16">
            <v>273</v>
          </cell>
          <cell r="IA16">
            <v>287</v>
          </cell>
          <cell r="IB16">
            <v>327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K19">
            <v>9332</v>
          </cell>
          <cell r="HL19">
            <v>9006</v>
          </cell>
          <cell r="HM19">
            <v>9809</v>
          </cell>
          <cell r="HN19">
            <v>9604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  <cell r="IB19">
            <v>10034</v>
          </cell>
        </row>
        <row r="22">
          <cell r="IB22">
            <v>645688</v>
          </cell>
        </row>
        <row r="23">
          <cell r="IB23">
            <v>649659</v>
          </cell>
        </row>
        <row r="27">
          <cell r="IB27">
            <v>22732</v>
          </cell>
        </row>
        <row r="28">
          <cell r="IB28">
            <v>22759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  <cell r="HY32">
            <v>61432</v>
          </cell>
          <cell r="HZ32">
            <v>49565</v>
          </cell>
          <cell r="IA32">
            <v>53196</v>
          </cell>
          <cell r="IB32">
            <v>53600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  <cell r="HY33">
            <v>58300</v>
          </cell>
          <cell r="HZ33">
            <v>50856</v>
          </cell>
          <cell r="IA33">
            <v>51080</v>
          </cell>
          <cell r="IB33">
            <v>57315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  <cell r="HY37">
            <v>1334</v>
          </cell>
          <cell r="HZ37">
            <v>1200</v>
          </cell>
          <cell r="IA37">
            <v>1535</v>
          </cell>
          <cell r="IB37">
            <v>1659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  <cell r="HY38">
            <v>1281</v>
          </cell>
          <cell r="HZ38">
            <v>1341</v>
          </cell>
          <cell r="IA38">
            <v>1457</v>
          </cell>
          <cell r="IB38">
            <v>1617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K41">
            <v>1357793</v>
          </cell>
          <cell r="HL41">
            <v>1187624</v>
          </cell>
          <cell r="HM41">
            <v>1317329</v>
          </cell>
          <cell r="HN41">
            <v>1268828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  <cell r="IB41">
            <v>1406262</v>
          </cell>
        </row>
        <row r="47">
          <cell r="IB47">
            <v>2625342</v>
          </cell>
        </row>
        <row r="48">
          <cell r="IB48">
            <v>1331360</v>
          </cell>
        </row>
        <row r="52">
          <cell r="IB52">
            <v>1564601</v>
          </cell>
        </row>
        <row r="53">
          <cell r="IB53">
            <v>1472047</v>
          </cell>
        </row>
        <row r="57">
          <cell r="IB57"/>
        </row>
        <row r="58">
          <cell r="IB58"/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K64">
            <v>5209283</v>
          </cell>
          <cell r="HL64">
            <v>4304828</v>
          </cell>
          <cell r="HM64">
            <v>5979166</v>
          </cell>
          <cell r="HN64">
            <v>5993333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  <cell r="IB64">
            <v>6993350</v>
          </cell>
        </row>
        <row r="70">
          <cell r="IB70">
            <v>386595</v>
          </cell>
        </row>
        <row r="71">
          <cell r="IB71">
            <v>263064</v>
          </cell>
        </row>
        <row r="73">
          <cell r="IB73">
            <v>34107</v>
          </cell>
        </row>
        <row r="74">
          <cell r="IB74">
            <v>23208</v>
          </cell>
        </row>
      </sheetData>
      <sheetData sheetId="14">
        <row r="4">
          <cell r="IB4">
            <v>73</v>
          </cell>
        </row>
        <row r="5">
          <cell r="IB5">
            <v>73</v>
          </cell>
        </row>
        <row r="8">
          <cell r="IB8">
            <v>3</v>
          </cell>
        </row>
        <row r="9">
          <cell r="IB9">
            <v>3</v>
          </cell>
        </row>
        <row r="15">
          <cell r="IB15"/>
        </row>
        <row r="16">
          <cell r="IB16"/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K19">
            <v>110</v>
          </cell>
          <cell r="HL19">
            <v>104</v>
          </cell>
          <cell r="HM19">
            <v>156</v>
          </cell>
          <cell r="HN19">
            <v>152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  <cell r="IB19">
            <v>152</v>
          </cell>
        </row>
        <row r="22">
          <cell r="IB22">
            <v>691</v>
          </cell>
        </row>
        <row r="23">
          <cell r="IB23">
            <v>656</v>
          </cell>
        </row>
        <row r="27">
          <cell r="IB27">
            <v>58</v>
          </cell>
        </row>
        <row r="28">
          <cell r="IB28">
            <v>72</v>
          </cell>
        </row>
        <row r="32">
          <cell r="IB32"/>
        </row>
        <row r="33">
          <cell r="IB33"/>
        </row>
        <row r="37">
          <cell r="IB37"/>
        </row>
        <row r="38">
          <cell r="IB38"/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K41">
            <v>1507</v>
          </cell>
          <cell r="HL41">
            <v>1202</v>
          </cell>
          <cell r="HM41">
            <v>1765</v>
          </cell>
          <cell r="HN41">
            <v>1723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  <cell r="IB41">
            <v>1347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15">
        <row r="4">
          <cell r="IB4">
            <v>34</v>
          </cell>
        </row>
        <row r="5">
          <cell r="IB5">
            <v>34</v>
          </cell>
        </row>
        <row r="8">
          <cell r="IB8"/>
        </row>
        <row r="9">
          <cell r="IB9"/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  <cell r="HV15"/>
          <cell r="HX15"/>
          <cell r="HY15"/>
          <cell r="HZ15"/>
          <cell r="IA15"/>
          <cell r="IB15"/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  <cell r="HV16"/>
          <cell r="HX16"/>
          <cell r="HY16"/>
          <cell r="HZ16"/>
          <cell r="IA16"/>
          <cell r="IB16"/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K19">
            <v>88</v>
          </cell>
          <cell r="HL19">
            <v>95</v>
          </cell>
          <cell r="HM19">
            <v>118</v>
          </cell>
          <cell r="HN19">
            <v>107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  <cell r="IB19">
            <v>68</v>
          </cell>
        </row>
        <row r="22">
          <cell r="IB22">
            <v>5382</v>
          </cell>
        </row>
        <row r="23">
          <cell r="IB23">
            <v>5294</v>
          </cell>
        </row>
        <row r="27">
          <cell r="IB27">
            <v>34</v>
          </cell>
        </row>
        <row r="28">
          <cell r="IB28">
            <v>38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  <cell r="HV32"/>
          <cell r="HW32"/>
          <cell r="HX32"/>
          <cell r="HY32"/>
          <cell r="HZ32"/>
          <cell r="IA32"/>
          <cell r="IB32"/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  <cell r="HV33"/>
          <cell r="HW33"/>
          <cell r="HX33"/>
          <cell r="HY33"/>
          <cell r="HZ33"/>
          <cell r="IA33"/>
          <cell r="IB33"/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  <cell r="HV37"/>
          <cell r="HW37"/>
          <cell r="HX37"/>
          <cell r="HY37"/>
          <cell r="HZ37"/>
          <cell r="IA37"/>
          <cell r="IB37"/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  <cell r="HV38"/>
          <cell r="HW38"/>
          <cell r="HX38"/>
          <cell r="HY38"/>
          <cell r="HZ38"/>
          <cell r="IA38"/>
          <cell r="IB38"/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K41">
            <v>16110</v>
          </cell>
          <cell r="HL41">
            <v>14627</v>
          </cell>
          <cell r="HM41">
            <v>15401</v>
          </cell>
          <cell r="HN41">
            <v>13512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  <cell r="IB41">
            <v>10676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16">
        <row r="8">
          <cell r="IB8"/>
        </row>
        <row r="9">
          <cell r="IB9"/>
        </row>
        <row r="15">
          <cell r="HR15"/>
          <cell r="HS15"/>
          <cell r="HT15"/>
          <cell r="HU15">
            <v>3</v>
          </cell>
          <cell r="HV15">
            <v>27</v>
          </cell>
          <cell r="HW15">
            <v>27</v>
          </cell>
          <cell r="HX15">
            <v>31</v>
          </cell>
          <cell r="HY15">
            <v>31</v>
          </cell>
          <cell r="HZ15">
            <v>33</v>
          </cell>
          <cell r="IA15">
            <v>19</v>
          </cell>
          <cell r="IB15">
            <v>17</v>
          </cell>
        </row>
        <row r="16">
          <cell r="HR16"/>
          <cell r="HS16"/>
          <cell r="HT16"/>
          <cell r="HU16">
            <v>3</v>
          </cell>
          <cell r="HV16">
            <v>27</v>
          </cell>
          <cell r="HW16">
            <v>27</v>
          </cell>
          <cell r="HX16">
            <v>31</v>
          </cell>
          <cell r="HY16">
            <v>31</v>
          </cell>
          <cell r="HZ16">
            <v>33</v>
          </cell>
          <cell r="IA16">
            <v>19</v>
          </cell>
          <cell r="IB16">
            <v>17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K19">
            <v>44</v>
          </cell>
          <cell r="HL19">
            <v>46</v>
          </cell>
          <cell r="HM19">
            <v>20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  <cell r="IB19">
            <v>34</v>
          </cell>
        </row>
        <row r="32">
          <cell r="HR32"/>
          <cell r="HS32"/>
          <cell r="HT32"/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  <cell r="HY32">
            <v>4978</v>
          </cell>
          <cell r="HZ32">
            <v>4714</v>
          </cell>
          <cell r="IA32">
            <v>3042</v>
          </cell>
          <cell r="IB32">
            <v>2029</v>
          </cell>
        </row>
        <row r="33">
          <cell r="HR33"/>
          <cell r="HS33"/>
          <cell r="HT33"/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  <cell r="HZ33">
            <v>4595</v>
          </cell>
          <cell r="IA33">
            <v>2538</v>
          </cell>
          <cell r="IB33">
            <v>1987</v>
          </cell>
        </row>
        <row r="37">
          <cell r="HR37"/>
          <cell r="HS37"/>
          <cell r="HT37"/>
          <cell r="HU37"/>
          <cell r="HV37">
            <v>29</v>
          </cell>
          <cell r="HW37">
            <v>9</v>
          </cell>
          <cell r="HX37"/>
          <cell r="HY37">
            <v>28</v>
          </cell>
          <cell r="HZ37">
            <v>16</v>
          </cell>
          <cell r="IA37">
            <v>36</v>
          </cell>
          <cell r="IB37">
            <v>46</v>
          </cell>
        </row>
        <row r="38">
          <cell r="HR38"/>
          <cell r="HS38"/>
          <cell r="HT38"/>
          <cell r="HU38">
            <v>6</v>
          </cell>
          <cell r="HV38">
            <v>35</v>
          </cell>
          <cell r="HW38">
            <v>25</v>
          </cell>
          <cell r="HX38"/>
          <cell r="HY38">
            <v>25</v>
          </cell>
          <cell r="HZ38">
            <v>20</v>
          </cell>
          <cell r="IA38">
            <v>26</v>
          </cell>
          <cell r="IB38">
            <v>53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K41">
            <v>5178</v>
          </cell>
          <cell r="HL41">
            <v>4800</v>
          </cell>
          <cell r="HM41">
            <v>1741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  <cell r="IB41">
            <v>4016</v>
          </cell>
        </row>
        <row r="47">
          <cell r="IB47">
            <v>112</v>
          </cell>
        </row>
        <row r="48">
          <cell r="IB48"/>
        </row>
        <row r="52">
          <cell r="IB52">
            <v>1604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K64">
            <v>14788</v>
          </cell>
          <cell r="HL64">
            <v>3948</v>
          </cell>
          <cell r="HM64">
            <v>302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  <cell r="IB64">
            <v>1716</v>
          </cell>
        </row>
      </sheetData>
      <sheetData sheetId="17">
        <row r="4">
          <cell r="IB4">
            <v>88</v>
          </cell>
        </row>
        <row r="5">
          <cell r="IB5">
            <v>88</v>
          </cell>
        </row>
        <row r="8">
          <cell r="IB8"/>
        </row>
        <row r="9">
          <cell r="IB9">
            <v>1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K19">
            <v>124</v>
          </cell>
          <cell r="HL19">
            <v>104</v>
          </cell>
          <cell r="HM19">
            <v>98</v>
          </cell>
          <cell r="HN19">
            <v>93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  <cell r="IB19">
            <v>177</v>
          </cell>
        </row>
        <row r="22">
          <cell r="IB22">
            <v>7643</v>
          </cell>
        </row>
        <row r="23">
          <cell r="IB23">
            <v>7743</v>
          </cell>
        </row>
        <row r="27">
          <cell r="IB27">
            <v>263</v>
          </cell>
        </row>
        <row r="28">
          <cell r="IB28">
            <v>281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K41">
            <v>10679</v>
          </cell>
          <cell r="HL41">
            <v>7371</v>
          </cell>
          <cell r="HM41">
            <v>7843</v>
          </cell>
          <cell r="HN41">
            <v>6458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  <cell r="IB41">
            <v>15386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18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  <cell r="HY15">
            <v>22</v>
          </cell>
          <cell r="HZ15">
            <v>17</v>
          </cell>
          <cell r="IA15">
            <v>18</v>
          </cell>
          <cell r="IB15">
            <v>17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  <cell r="HY16">
            <v>22</v>
          </cell>
          <cell r="HZ16">
            <v>17</v>
          </cell>
          <cell r="IA16">
            <v>18</v>
          </cell>
          <cell r="IB16">
            <v>17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26</v>
          </cell>
          <cell r="HM19">
            <v>26</v>
          </cell>
          <cell r="HN19">
            <v>22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  <cell r="IB19">
            <v>34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  <cell r="HY32">
            <v>6040</v>
          </cell>
          <cell r="HZ32">
            <v>4186</v>
          </cell>
          <cell r="IA32">
            <v>4296</v>
          </cell>
          <cell r="IB32">
            <v>3875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  <cell r="HY33">
            <v>5074</v>
          </cell>
          <cell r="HZ33">
            <v>4083</v>
          </cell>
          <cell r="IA33">
            <v>2929</v>
          </cell>
          <cell r="IB33">
            <v>3257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  <cell r="HY37">
            <v>88</v>
          </cell>
          <cell r="HZ37">
            <v>11</v>
          </cell>
          <cell r="IA37">
            <v>17</v>
          </cell>
          <cell r="IB37">
            <v>3</v>
          </cell>
        </row>
        <row r="38">
          <cell r="HR38">
            <v>2</v>
          </cell>
          <cell r="HS38">
            <v>1</v>
          </cell>
          <cell r="HT38">
            <v>0</v>
          </cell>
          <cell r="HU38"/>
          <cell r="HV38">
            <v>8</v>
          </cell>
          <cell r="HW38">
            <v>4</v>
          </cell>
          <cell r="HX38">
            <v>0</v>
          </cell>
          <cell r="HY38">
            <v>4</v>
          </cell>
          <cell r="HZ38">
            <v>6</v>
          </cell>
          <cell r="IA38">
            <v>0</v>
          </cell>
          <cell r="IB38">
            <v>2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341</v>
          </cell>
          <cell r="HL41">
            <v>3771</v>
          </cell>
          <cell r="HM41">
            <v>3430</v>
          </cell>
          <cell r="HN41">
            <v>4163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  <cell r="IB41">
            <v>7132</v>
          </cell>
        </row>
        <row r="47">
          <cell r="IB47">
            <v>525218</v>
          </cell>
        </row>
        <row r="48">
          <cell r="IB48"/>
        </row>
        <row r="52">
          <cell r="IB52">
            <v>183592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28858</v>
          </cell>
          <cell r="HL64">
            <v>403258</v>
          </cell>
          <cell r="HM64">
            <v>589026</v>
          </cell>
          <cell r="HN64">
            <v>638466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  <cell r="IB64">
            <v>708810</v>
          </cell>
        </row>
      </sheetData>
      <sheetData sheetId="19"/>
      <sheetData sheetId="20"/>
      <sheetData sheetId="21"/>
      <sheetData sheetId="22">
        <row r="4">
          <cell r="IB4">
            <v>456</v>
          </cell>
        </row>
        <row r="5">
          <cell r="IB5">
            <v>456</v>
          </cell>
        </row>
        <row r="8">
          <cell r="IB8"/>
        </row>
        <row r="9">
          <cell r="IB9"/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K19">
            <v>994</v>
          </cell>
          <cell r="HL19">
            <v>883</v>
          </cell>
          <cell r="HM19">
            <v>808</v>
          </cell>
          <cell r="HN19">
            <v>751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  <cell r="IB19">
            <v>912</v>
          </cell>
        </row>
        <row r="22">
          <cell r="IB22">
            <v>54996</v>
          </cell>
        </row>
        <row r="23">
          <cell r="IB23">
            <v>55508</v>
          </cell>
        </row>
        <row r="27">
          <cell r="IB27">
            <v>1045</v>
          </cell>
        </row>
        <row r="28">
          <cell r="IB28">
            <v>1062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K41">
            <v>129131</v>
          </cell>
          <cell r="HL41">
            <v>108433</v>
          </cell>
          <cell r="HM41">
            <v>103466</v>
          </cell>
          <cell r="HN41">
            <v>96112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  <cell r="IB41">
            <v>110504</v>
          </cell>
        </row>
        <row r="47">
          <cell r="IB47">
            <v>184009</v>
          </cell>
        </row>
        <row r="48">
          <cell r="IB48"/>
        </row>
        <row r="52">
          <cell r="IB52">
            <v>35731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K64">
            <v>342313</v>
          </cell>
          <cell r="HL64">
            <v>299611</v>
          </cell>
          <cell r="HM64">
            <v>273805</v>
          </cell>
          <cell r="HN64">
            <v>270480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  <cell r="IB64">
            <v>219740</v>
          </cell>
        </row>
        <row r="70">
          <cell r="IB70">
            <v>55407</v>
          </cell>
        </row>
        <row r="71">
          <cell r="IB71">
            <v>101</v>
          </cell>
        </row>
        <row r="73">
          <cell r="IB73"/>
        </row>
        <row r="74">
          <cell r="IB74"/>
        </row>
      </sheetData>
      <sheetData sheetId="23">
        <row r="4">
          <cell r="IB4">
            <v>126</v>
          </cell>
        </row>
        <row r="5">
          <cell r="IB5">
            <v>126</v>
          </cell>
        </row>
        <row r="8">
          <cell r="IB8"/>
        </row>
        <row r="9">
          <cell r="IB9"/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K19">
            <v>292</v>
          </cell>
          <cell r="HL19">
            <v>280</v>
          </cell>
          <cell r="HM19">
            <v>199</v>
          </cell>
          <cell r="HN19">
            <v>270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  <cell r="IB19">
            <v>252</v>
          </cell>
        </row>
        <row r="22">
          <cell r="IB22">
            <v>18505</v>
          </cell>
        </row>
        <row r="23">
          <cell r="IB23">
            <v>16435</v>
          </cell>
        </row>
        <row r="27">
          <cell r="IB27">
            <v>130</v>
          </cell>
        </row>
        <row r="28">
          <cell r="IB28">
            <v>166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K41">
            <v>38855</v>
          </cell>
          <cell r="HL41">
            <v>32799</v>
          </cell>
          <cell r="HM41">
            <v>27009</v>
          </cell>
          <cell r="HN41">
            <v>37391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  <cell r="IB41">
            <v>34940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/>
        </row>
        <row r="71">
          <cell r="IB71"/>
        </row>
        <row r="73">
          <cell r="IB73"/>
        </row>
        <row r="74">
          <cell r="IB74"/>
        </row>
      </sheetData>
      <sheetData sheetId="24">
        <row r="4">
          <cell r="IB4">
            <v>806</v>
          </cell>
        </row>
        <row r="5">
          <cell r="IB5">
            <v>810</v>
          </cell>
        </row>
        <row r="8">
          <cell r="IB8">
            <v>66</v>
          </cell>
        </row>
        <row r="9">
          <cell r="IB9">
            <v>65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  <cell r="HY15">
            <v>23</v>
          </cell>
          <cell r="HZ15">
            <v>5</v>
          </cell>
          <cell r="IA15">
            <v>19</v>
          </cell>
          <cell r="IB15">
            <v>34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  <cell r="HY16">
            <v>25</v>
          </cell>
          <cell r="HZ16">
            <v>1</v>
          </cell>
          <cell r="IA16">
            <v>17</v>
          </cell>
          <cell r="IB16">
            <v>36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K19">
            <v>1846</v>
          </cell>
          <cell r="HL19">
            <v>1284</v>
          </cell>
          <cell r="HM19">
            <v>1632</v>
          </cell>
          <cell r="HN19">
            <v>1636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  <cell r="IB19">
            <v>1817</v>
          </cell>
        </row>
        <row r="22">
          <cell r="IB22">
            <v>126809</v>
          </cell>
        </row>
        <row r="23">
          <cell r="IB23">
            <v>127454</v>
          </cell>
        </row>
        <row r="27">
          <cell r="IB27">
            <v>2190</v>
          </cell>
        </row>
        <row r="28">
          <cell r="IB28">
            <v>2221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  <cell r="HY32">
            <v>2810</v>
          </cell>
          <cell r="HZ32">
            <v>177</v>
          </cell>
          <cell r="IA32">
            <v>1495</v>
          </cell>
          <cell r="IB32">
            <v>4743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  <cell r="HZ33">
            <v>82</v>
          </cell>
          <cell r="IA33">
            <v>2436</v>
          </cell>
          <cell r="IB33">
            <v>5608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  <cell r="HY37">
            <v>25</v>
          </cell>
          <cell r="HZ37">
            <v>1</v>
          </cell>
          <cell r="IA37">
            <v>29</v>
          </cell>
          <cell r="IB37">
            <v>92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  <cell r="HZ38">
            <v>2</v>
          </cell>
          <cell r="IA38">
            <v>42</v>
          </cell>
          <cell r="IB38">
            <v>97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K41">
            <v>246793</v>
          </cell>
          <cell r="HL41">
            <v>137942</v>
          </cell>
          <cell r="HM41">
            <v>199811</v>
          </cell>
          <cell r="HN41">
            <v>212833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  <cell r="IB41">
            <v>264614</v>
          </cell>
        </row>
        <row r="47">
          <cell r="IB47">
            <v>12558</v>
          </cell>
        </row>
        <row r="48">
          <cell r="IB48">
            <v>59529</v>
          </cell>
        </row>
        <row r="52">
          <cell r="IB52"/>
        </row>
        <row r="53">
          <cell r="IB53">
            <v>18112</v>
          </cell>
        </row>
        <row r="57">
          <cell r="IB57"/>
        </row>
        <row r="58">
          <cell r="IB58"/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K64">
            <v>445146</v>
          </cell>
          <cell r="HL64">
            <v>171887</v>
          </cell>
          <cell r="HM64">
            <v>229068</v>
          </cell>
          <cell r="HN64">
            <v>284287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  <cell r="IB64">
            <v>90199</v>
          </cell>
        </row>
        <row r="70">
          <cell r="IB70">
            <v>127454</v>
          </cell>
        </row>
        <row r="71">
          <cell r="IB71"/>
        </row>
        <row r="73">
          <cell r="IB73">
            <v>5608</v>
          </cell>
        </row>
        <row r="74">
          <cell r="IB74"/>
        </row>
      </sheetData>
      <sheetData sheetId="25"/>
      <sheetData sheetId="26"/>
      <sheetData sheetId="27">
        <row r="4">
          <cell r="IB4">
            <v>378</v>
          </cell>
        </row>
        <row r="5">
          <cell r="IB5">
            <v>378</v>
          </cell>
        </row>
        <row r="8">
          <cell r="IB8">
            <v>1</v>
          </cell>
        </row>
        <row r="9">
          <cell r="IB9">
            <v>1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K19">
            <v>508</v>
          </cell>
          <cell r="HL19">
            <v>486</v>
          </cell>
          <cell r="HM19">
            <v>532</v>
          </cell>
          <cell r="HN19">
            <v>510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  <cell r="IB19">
            <v>758</v>
          </cell>
        </row>
        <row r="22">
          <cell r="IB22">
            <v>50820</v>
          </cell>
        </row>
        <row r="23">
          <cell r="IB23">
            <v>50552</v>
          </cell>
        </row>
        <row r="27">
          <cell r="IB27">
            <v>1773</v>
          </cell>
        </row>
        <row r="28">
          <cell r="IB28">
            <v>1684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K41">
            <v>65255</v>
          </cell>
          <cell r="HL41">
            <v>60236</v>
          </cell>
          <cell r="HM41">
            <v>70784</v>
          </cell>
          <cell r="HN41">
            <v>59867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  <cell r="IB41">
            <v>101372</v>
          </cell>
        </row>
        <row r="47">
          <cell r="IB47">
            <v>28693</v>
          </cell>
        </row>
        <row r="48">
          <cell r="IB48">
            <v>34211</v>
          </cell>
        </row>
        <row r="52">
          <cell r="IB52">
            <v>5559</v>
          </cell>
        </row>
        <row r="53">
          <cell r="IB53">
            <v>3178</v>
          </cell>
        </row>
        <row r="57">
          <cell r="IB57"/>
        </row>
        <row r="58">
          <cell r="IB58"/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K64">
            <v>174848</v>
          </cell>
          <cell r="HL64">
            <v>119247</v>
          </cell>
          <cell r="HM64">
            <v>76053</v>
          </cell>
          <cell r="HN64">
            <v>66035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  <cell r="IB64">
            <v>71641</v>
          </cell>
        </row>
      </sheetData>
      <sheetData sheetId="28"/>
      <sheetData sheetId="29"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30">
        <row r="4">
          <cell r="IB4">
            <v>57</v>
          </cell>
        </row>
        <row r="5">
          <cell r="IB5">
            <v>56</v>
          </cell>
        </row>
        <row r="8">
          <cell r="IB8"/>
        </row>
        <row r="9">
          <cell r="IB9"/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K19">
            <v>143</v>
          </cell>
          <cell r="HL19">
            <v>120</v>
          </cell>
          <cell r="HM19">
            <v>28</v>
          </cell>
          <cell r="HN19">
            <v>100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  <cell r="IB19">
            <v>113</v>
          </cell>
        </row>
        <row r="22">
          <cell r="IB22">
            <v>3379</v>
          </cell>
        </row>
        <row r="23">
          <cell r="IB23">
            <v>3677</v>
          </cell>
        </row>
        <row r="27">
          <cell r="IB27">
            <v>279</v>
          </cell>
        </row>
        <row r="28">
          <cell r="IB28">
            <v>229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K41">
            <v>9466</v>
          </cell>
          <cell r="HL41">
            <v>7819</v>
          </cell>
          <cell r="HM41">
            <v>1694</v>
          </cell>
          <cell r="HN41">
            <v>4818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  <cell r="IB41">
            <v>7056</v>
          </cell>
        </row>
        <row r="47">
          <cell r="IB47">
            <v>221</v>
          </cell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K64">
            <v>837</v>
          </cell>
          <cell r="HL64">
            <v>2230</v>
          </cell>
          <cell r="HM64">
            <v>56</v>
          </cell>
          <cell r="HN64">
            <v>500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  <cell r="IB64">
            <v>221</v>
          </cell>
        </row>
      </sheetData>
      <sheetData sheetId="31">
        <row r="4">
          <cell r="IB4"/>
        </row>
        <row r="5">
          <cell r="IB5"/>
        </row>
        <row r="8">
          <cell r="IB8">
            <v>1</v>
          </cell>
        </row>
        <row r="9">
          <cell r="IB9">
            <v>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  <cell r="IB19">
            <v>2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32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K19">
            <v>60</v>
          </cell>
          <cell r="HL19">
            <v>60</v>
          </cell>
          <cell r="HM19">
            <v>12</v>
          </cell>
          <cell r="HN19">
            <v>18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IB32"/>
        </row>
        <row r="33">
          <cell r="IB33"/>
        </row>
        <row r="37">
          <cell r="IB37"/>
        </row>
        <row r="38"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K41">
            <v>4122</v>
          </cell>
          <cell r="HL41">
            <v>3948</v>
          </cell>
          <cell r="HM41">
            <v>765</v>
          </cell>
          <cell r="HN41">
            <v>1236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F58"/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K64">
            <v>3059</v>
          </cell>
          <cell r="HL64">
            <v>3285</v>
          </cell>
          <cell r="HM64">
            <v>720</v>
          </cell>
          <cell r="HN64">
            <v>1099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33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/>
        </row>
        <row r="71">
          <cell r="IB71"/>
        </row>
        <row r="73">
          <cell r="IB73"/>
        </row>
        <row r="74">
          <cell r="IB74"/>
        </row>
      </sheetData>
      <sheetData sheetId="34"/>
      <sheetData sheetId="35"/>
      <sheetData sheetId="36"/>
      <sheetData sheetId="3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</row>
      </sheetData>
      <sheetData sheetId="38"/>
      <sheetData sheetId="39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40"/>
      <sheetData sheetId="41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K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/>
        </row>
        <row r="71">
          <cell r="IB71"/>
        </row>
        <row r="73">
          <cell r="IB73"/>
        </row>
        <row r="74">
          <cell r="IB74"/>
        </row>
      </sheetData>
      <sheetData sheetId="42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AJ57"/>
        </row>
        <row r="58">
          <cell r="AJ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43">
        <row r="4">
          <cell r="IB4">
            <v>4</v>
          </cell>
        </row>
        <row r="5">
          <cell r="IB5">
            <v>4</v>
          </cell>
        </row>
        <row r="8">
          <cell r="IB8"/>
        </row>
        <row r="9">
          <cell r="IB9"/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K19">
            <v>130</v>
          </cell>
          <cell r="HL19">
            <v>119</v>
          </cell>
          <cell r="HM19">
            <v>96</v>
          </cell>
          <cell r="HN19">
            <v>64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  <cell r="IB19">
            <v>8</v>
          </cell>
        </row>
        <row r="22">
          <cell r="IB22">
            <v>275</v>
          </cell>
        </row>
        <row r="23">
          <cell r="IB23">
            <v>279</v>
          </cell>
        </row>
        <row r="27">
          <cell r="IB27">
            <v>7</v>
          </cell>
        </row>
        <row r="28">
          <cell r="IB28">
            <v>19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K41">
            <v>7973</v>
          </cell>
          <cell r="HL41">
            <v>7898</v>
          </cell>
          <cell r="HM41">
            <v>6381</v>
          </cell>
          <cell r="HN41">
            <v>3910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  <cell r="IB41">
            <v>554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44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IB15">
            <v>81</v>
          </cell>
        </row>
        <row r="16">
          <cell r="IB16">
            <v>86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47</v>
          </cell>
          <cell r="HM19">
            <v>62</v>
          </cell>
          <cell r="HN19">
            <v>62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  <cell r="IB19">
            <v>167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32">
          <cell r="IB32">
            <v>4438</v>
          </cell>
        </row>
        <row r="33">
          <cell r="IB33">
            <v>5908</v>
          </cell>
        </row>
        <row r="37">
          <cell r="IB37">
            <v>49</v>
          </cell>
        </row>
        <row r="38">
          <cell r="IB38">
            <v>57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3060</v>
          </cell>
          <cell r="HM41">
            <v>4043</v>
          </cell>
          <cell r="HN41">
            <v>3329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  <cell r="IB41">
            <v>10346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F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  <cell r="IB64">
            <v>0</v>
          </cell>
        </row>
      </sheetData>
      <sheetData sheetId="45">
        <row r="4">
          <cell r="IB4">
            <v>41</v>
          </cell>
        </row>
        <row r="5">
          <cell r="IB5">
            <v>40</v>
          </cell>
        </row>
        <row r="8">
          <cell r="IB8">
            <v>1</v>
          </cell>
        </row>
        <row r="9">
          <cell r="IB9"/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K19">
            <v>242</v>
          </cell>
          <cell r="HL19">
            <v>189</v>
          </cell>
          <cell r="HM19">
            <v>166</v>
          </cell>
          <cell r="HN19">
            <v>256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  <cell r="IB19">
            <v>82</v>
          </cell>
        </row>
        <row r="22">
          <cell r="IB22">
            <v>2603</v>
          </cell>
        </row>
        <row r="23">
          <cell r="IB23">
            <v>2729</v>
          </cell>
        </row>
        <row r="27">
          <cell r="IB27">
            <v>104</v>
          </cell>
        </row>
        <row r="28">
          <cell r="IB28">
            <v>69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K41">
            <v>15461</v>
          </cell>
          <cell r="HL41">
            <v>10999</v>
          </cell>
          <cell r="HM41">
            <v>10491</v>
          </cell>
          <cell r="HN41">
            <v>16208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  <cell r="IB41">
            <v>5332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46"/>
      <sheetData sheetId="47"/>
      <sheetData sheetId="48">
        <row r="4">
          <cell r="IB4">
            <v>593</v>
          </cell>
        </row>
        <row r="5">
          <cell r="IB5">
            <v>590</v>
          </cell>
        </row>
        <row r="8">
          <cell r="IB8"/>
        </row>
        <row r="9">
          <cell r="IB9">
            <v>1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  <cell r="HY15">
            <v>30</v>
          </cell>
          <cell r="HZ15">
            <v>24</v>
          </cell>
          <cell r="IA15">
            <v>5</v>
          </cell>
          <cell r="IB15"/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  <cell r="HY16">
            <v>30</v>
          </cell>
          <cell r="HZ16">
            <v>24</v>
          </cell>
          <cell r="IA16">
            <v>4</v>
          </cell>
          <cell r="IB16"/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K19">
            <v>3987</v>
          </cell>
          <cell r="HL19">
            <v>3593</v>
          </cell>
          <cell r="HM19">
            <v>3385</v>
          </cell>
          <cell r="HN19">
            <v>2225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  <cell r="IB19">
            <v>1184</v>
          </cell>
        </row>
        <row r="22">
          <cell r="IB22">
            <v>30077</v>
          </cell>
        </row>
        <row r="23">
          <cell r="IB23">
            <v>30379</v>
          </cell>
        </row>
        <row r="27">
          <cell r="IB27">
            <v>1292</v>
          </cell>
        </row>
        <row r="28">
          <cell r="IB28">
            <v>1286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  <cell r="HY32">
            <v>1826</v>
          </cell>
          <cell r="HZ32">
            <v>1427</v>
          </cell>
          <cell r="IA32">
            <v>271</v>
          </cell>
          <cell r="IB32"/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  <cell r="HY33">
            <v>1773</v>
          </cell>
          <cell r="HZ33">
            <v>1330</v>
          </cell>
          <cell r="IA33">
            <v>174</v>
          </cell>
          <cell r="IB33"/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  <cell r="HY37">
            <v>40</v>
          </cell>
          <cell r="HZ37">
            <v>12</v>
          </cell>
          <cell r="IA37">
            <v>8</v>
          </cell>
          <cell r="IB37"/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  <cell r="HY38">
            <v>33</v>
          </cell>
          <cell r="HZ38">
            <v>17</v>
          </cell>
          <cell r="IA38">
            <v>6</v>
          </cell>
          <cell r="IB38"/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K41">
            <v>197267</v>
          </cell>
          <cell r="HL41">
            <v>171130</v>
          </cell>
          <cell r="HM41">
            <v>167698</v>
          </cell>
          <cell r="HN41">
            <v>109861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  <cell r="IB41">
            <v>60456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>
            <v>9589</v>
          </cell>
        </row>
        <row r="71">
          <cell r="IB71">
            <v>20790</v>
          </cell>
        </row>
        <row r="73">
          <cell r="IB73">
            <v>0</v>
          </cell>
        </row>
        <row r="74">
          <cell r="IB74">
            <v>0</v>
          </cell>
        </row>
      </sheetData>
      <sheetData sheetId="49">
        <row r="4">
          <cell r="IB4">
            <v>59</v>
          </cell>
        </row>
        <row r="5">
          <cell r="IB5">
            <v>59</v>
          </cell>
        </row>
        <row r="8">
          <cell r="IB8"/>
        </row>
        <row r="9">
          <cell r="IB9"/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K19">
            <v>26</v>
          </cell>
          <cell r="HL19">
            <v>0</v>
          </cell>
          <cell r="HM19">
            <v>100</v>
          </cell>
          <cell r="HN19">
            <v>94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  <cell r="IB19">
            <v>118</v>
          </cell>
        </row>
        <row r="22">
          <cell r="IB22">
            <v>3705</v>
          </cell>
        </row>
        <row r="23">
          <cell r="IB23">
            <v>3399</v>
          </cell>
        </row>
        <row r="27">
          <cell r="IB27">
            <v>83</v>
          </cell>
        </row>
        <row r="28">
          <cell r="IB28">
            <v>89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J41"/>
          <cell r="HK41">
            <v>1405</v>
          </cell>
          <cell r="HL41">
            <v>0</v>
          </cell>
          <cell r="HM41">
            <v>6235</v>
          </cell>
          <cell r="HN41">
            <v>5398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  <cell r="IB41">
            <v>7104</v>
          </cell>
        </row>
        <row r="47">
          <cell r="IB47">
            <v>44</v>
          </cell>
        </row>
        <row r="48">
          <cell r="IB48"/>
        </row>
        <row r="52">
          <cell r="IB52">
            <v>120</v>
          </cell>
        </row>
        <row r="53">
          <cell r="IB53"/>
        </row>
        <row r="57">
          <cell r="IB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  <cell r="IB64">
            <v>164</v>
          </cell>
        </row>
      </sheetData>
      <sheetData sheetId="50">
        <row r="4">
          <cell r="IB4">
            <v>79</v>
          </cell>
        </row>
        <row r="5">
          <cell r="IB5">
            <v>79</v>
          </cell>
        </row>
        <row r="8">
          <cell r="IB8"/>
        </row>
        <row r="9">
          <cell r="IB9"/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K19">
            <v>266</v>
          </cell>
          <cell r="HL19">
            <v>285</v>
          </cell>
          <cell r="HM19">
            <v>253</v>
          </cell>
          <cell r="HN19">
            <v>168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  <cell r="IB19">
            <v>158</v>
          </cell>
        </row>
        <row r="22">
          <cell r="IB22">
            <v>4431</v>
          </cell>
        </row>
        <row r="23">
          <cell r="IB23">
            <v>4853</v>
          </cell>
        </row>
        <row r="27">
          <cell r="IB27">
            <v>138</v>
          </cell>
        </row>
        <row r="28">
          <cell r="IB28">
            <v>151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K41">
            <v>17669</v>
          </cell>
          <cell r="HL41">
            <v>14364</v>
          </cell>
          <cell r="HM41">
            <v>14482</v>
          </cell>
          <cell r="HN41">
            <v>8235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  <cell r="IB41">
            <v>9284</v>
          </cell>
        </row>
        <row r="47">
          <cell r="IB47">
            <v>1347</v>
          </cell>
        </row>
        <row r="48">
          <cell r="IB48"/>
        </row>
        <row r="52">
          <cell r="IB52">
            <v>1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K64">
            <v>629</v>
          </cell>
          <cell r="HL64">
            <v>790</v>
          </cell>
          <cell r="HM64">
            <v>181</v>
          </cell>
          <cell r="HN64">
            <v>1844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  <cell r="IB64">
            <v>1348</v>
          </cell>
        </row>
      </sheetData>
      <sheetData sheetId="51">
        <row r="4">
          <cell r="IB4">
            <v>14</v>
          </cell>
        </row>
        <row r="5">
          <cell r="IB5">
            <v>14</v>
          </cell>
        </row>
        <row r="8">
          <cell r="IB8"/>
        </row>
        <row r="9">
          <cell r="IB9"/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K19">
            <v>70</v>
          </cell>
          <cell r="HL19">
            <v>155</v>
          </cell>
          <cell r="HM19">
            <v>185</v>
          </cell>
          <cell r="HN19">
            <v>152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  <cell r="IB19">
            <v>28</v>
          </cell>
        </row>
        <row r="22">
          <cell r="IB22">
            <v>938</v>
          </cell>
        </row>
        <row r="23">
          <cell r="IB23">
            <v>899</v>
          </cell>
        </row>
        <row r="27">
          <cell r="IB27">
            <v>20</v>
          </cell>
        </row>
        <row r="28">
          <cell r="IB28">
            <v>32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K41">
            <v>4769</v>
          </cell>
          <cell r="HL41">
            <v>9365</v>
          </cell>
          <cell r="HM41">
            <v>11957</v>
          </cell>
          <cell r="HN41">
            <v>9619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  <cell r="IB41">
            <v>1837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52">
        <row r="8">
          <cell r="IB8"/>
        </row>
        <row r="9">
          <cell r="IB9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53">
        <row r="4">
          <cell r="IB4">
            <v>2287</v>
          </cell>
        </row>
        <row r="5">
          <cell r="IB5">
            <v>2282</v>
          </cell>
        </row>
        <row r="8">
          <cell r="IB8"/>
        </row>
        <row r="9">
          <cell r="IB9">
            <v>4</v>
          </cell>
        </row>
        <row r="15">
          <cell r="HR15">
            <v>6</v>
          </cell>
          <cell r="HS15"/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  <cell r="HY15">
            <v>92</v>
          </cell>
          <cell r="HZ15">
            <v>91</v>
          </cell>
          <cell r="IA15">
            <v>110</v>
          </cell>
          <cell r="IB15">
            <v>111</v>
          </cell>
        </row>
        <row r="16">
          <cell r="HR16">
            <v>5</v>
          </cell>
          <cell r="HS16"/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  <cell r="HY16">
            <v>92</v>
          </cell>
          <cell r="HZ16">
            <v>92</v>
          </cell>
          <cell r="IA16">
            <v>111</v>
          </cell>
          <cell r="IB16">
            <v>111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K19">
            <v>6484</v>
          </cell>
          <cell r="HL19">
            <v>6251</v>
          </cell>
          <cell r="HM19">
            <v>5559</v>
          </cell>
          <cell r="HN19">
            <v>5827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  <cell r="IB19">
            <v>4795</v>
          </cell>
        </row>
        <row r="22">
          <cell r="IB22">
            <v>133651</v>
          </cell>
        </row>
        <row r="23">
          <cell r="IB23">
            <v>133206</v>
          </cell>
        </row>
        <row r="27">
          <cell r="IB27">
            <v>4261</v>
          </cell>
        </row>
        <row r="28">
          <cell r="IB28">
            <v>4081</v>
          </cell>
        </row>
        <row r="32">
          <cell r="HR32">
            <v>364</v>
          </cell>
          <cell r="HS32"/>
          <cell r="HT32">
            <v>194</v>
          </cell>
          <cell r="HU32">
            <v>2311</v>
          </cell>
          <cell r="HV32"/>
          <cell r="HW32">
            <v>3052</v>
          </cell>
          <cell r="HX32">
            <v>5283</v>
          </cell>
          <cell r="HY32">
            <v>6042</v>
          </cell>
          <cell r="HZ32">
            <v>5258</v>
          </cell>
          <cell r="IA32">
            <v>6783</v>
          </cell>
          <cell r="IB32">
            <v>6203</v>
          </cell>
        </row>
        <row r="33">
          <cell r="HR33">
            <v>191</v>
          </cell>
          <cell r="HS33"/>
          <cell r="HT33">
            <v>163</v>
          </cell>
          <cell r="HU33">
            <v>2425</v>
          </cell>
          <cell r="HV33"/>
          <cell r="HW33">
            <v>3536</v>
          </cell>
          <cell r="HX33">
            <v>5117</v>
          </cell>
          <cell r="HY33">
            <v>5837</v>
          </cell>
          <cell r="HZ33">
            <v>5747</v>
          </cell>
          <cell r="IA33">
            <v>6677</v>
          </cell>
          <cell r="IB33">
            <v>6108</v>
          </cell>
        </row>
        <row r="37">
          <cell r="HR37">
            <v>0</v>
          </cell>
          <cell r="HS37"/>
          <cell r="HT37">
            <v>1</v>
          </cell>
          <cell r="HU37">
            <v>19</v>
          </cell>
          <cell r="HV37"/>
          <cell r="HW37">
            <v>57</v>
          </cell>
          <cell r="HX37">
            <v>102</v>
          </cell>
          <cell r="HY37">
            <v>105</v>
          </cell>
          <cell r="HZ37">
            <v>87</v>
          </cell>
          <cell r="IA37">
            <v>121</v>
          </cell>
          <cell r="IB37">
            <v>111</v>
          </cell>
        </row>
        <row r="38">
          <cell r="HR38">
            <v>5</v>
          </cell>
          <cell r="HS38"/>
          <cell r="HT38">
            <v>2</v>
          </cell>
          <cell r="HU38">
            <v>24</v>
          </cell>
          <cell r="HV38"/>
          <cell r="HW38">
            <v>42</v>
          </cell>
          <cell r="HX38">
            <v>120</v>
          </cell>
          <cell r="HY38">
            <v>115</v>
          </cell>
          <cell r="HZ38">
            <v>87</v>
          </cell>
          <cell r="IA38">
            <v>112</v>
          </cell>
          <cell r="IB38">
            <v>122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K41">
            <v>322104</v>
          </cell>
          <cell r="HL41">
            <v>344364</v>
          </cell>
          <cell r="HM41">
            <v>301541</v>
          </cell>
          <cell r="HN41">
            <v>318017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  <cell r="IB41">
            <v>279168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>
            <v>51561</v>
          </cell>
        </row>
        <row r="71">
          <cell r="IB71">
            <v>81645</v>
          </cell>
        </row>
        <row r="73">
          <cell r="IB73">
            <v>2364</v>
          </cell>
        </row>
        <row r="74">
          <cell r="IB74">
            <v>3744</v>
          </cell>
        </row>
      </sheetData>
      <sheetData sheetId="54"/>
      <sheetData sheetId="55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K19">
            <v>50</v>
          </cell>
          <cell r="HL19">
            <v>54</v>
          </cell>
          <cell r="HM19">
            <v>98</v>
          </cell>
          <cell r="HN19">
            <v>92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K41">
            <v>2653</v>
          </cell>
          <cell r="HL41">
            <v>2784</v>
          </cell>
          <cell r="HM41">
            <v>5361</v>
          </cell>
          <cell r="HN41">
            <v>5303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K64">
            <v>14</v>
          </cell>
          <cell r="HL64">
            <v>538</v>
          </cell>
          <cell r="HM64">
            <v>148</v>
          </cell>
          <cell r="HN64">
            <v>564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  <cell r="IB64">
            <v>0</v>
          </cell>
        </row>
      </sheetData>
      <sheetData sheetId="56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48</v>
          </cell>
          <cell r="HN19">
            <v>36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3367</v>
          </cell>
          <cell r="HN41">
            <v>2425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2797</v>
          </cell>
          <cell r="HN64">
            <v>3778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57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G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58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22">
          <cell r="IB22"/>
        </row>
        <row r="23">
          <cell r="IB23"/>
        </row>
        <row r="27">
          <cell r="IB27"/>
        </row>
        <row r="28">
          <cell r="IB28"/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BH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  <row r="70">
          <cell r="IB70"/>
        </row>
        <row r="71">
          <cell r="IB71"/>
        </row>
        <row r="73">
          <cell r="IB73"/>
        </row>
        <row r="74">
          <cell r="IB74"/>
        </row>
      </sheetData>
      <sheetData sheetId="59"/>
      <sheetData sheetId="60"/>
      <sheetData sheetId="61"/>
      <sheetData sheetId="62">
        <row r="4">
          <cell r="IB4"/>
        </row>
        <row r="5">
          <cell r="IB5"/>
        </row>
        <row r="15">
          <cell r="HR15"/>
          <cell r="HS15"/>
          <cell r="HT15"/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22">
          <cell r="IB22"/>
        </row>
        <row r="23">
          <cell r="IB23"/>
        </row>
        <row r="32">
          <cell r="HR32"/>
          <cell r="HS32"/>
          <cell r="HT32"/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</sheetData>
      <sheetData sheetId="63">
        <row r="4">
          <cell r="IB4"/>
        </row>
        <row r="5">
          <cell r="IB5"/>
        </row>
        <row r="15">
          <cell r="IB15"/>
        </row>
        <row r="16">
          <cell r="IB16"/>
        </row>
        <row r="22">
          <cell r="IB22"/>
        </row>
        <row r="23">
          <cell r="IB23"/>
        </row>
        <row r="32">
          <cell r="IB32"/>
        </row>
        <row r="33">
          <cell r="IB33"/>
        </row>
      </sheetData>
      <sheetData sheetId="64"/>
      <sheetData sheetId="65">
        <row r="5">
          <cell r="IB5"/>
        </row>
        <row r="15">
          <cell r="HR15"/>
          <cell r="HS15">
            <v>1</v>
          </cell>
          <cell r="HT15"/>
          <cell r="HU15">
            <v>1</v>
          </cell>
          <cell r="HV15"/>
          <cell r="HX15"/>
          <cell r="HY15"/>
          <cell r="HZ15"/>
          <cell r="IA15"/>
          <cell r="IB15"/>
        </row>
        <row r="16">
          <cell r="HR16"/>
          <cell r="HS16">
            <v>1</v>
          </cell>
          <cell r="HT16"/>
          <cell r="HU16">
            <v>1</v>
          </cell>
          <cell r="HV16"/>
          <cell r="HX16"/>
          <cell r="HY16"/>
          <cell r="HZ16"/>
          <cell r="IA16"/>
          <cell r="IB16"/>
        </row>
        <row r="22">
          <cell r="IB22"/>
        </row>
        <row r="23">
          <cell r="IB23"/>
        </row>
        <row r="32">
          <cell r="HR32"/>
          <cell r="HS32">
            <v>105</v>
          </cell>
          <cell r="HT32"/>
          <cell r="HU32">
            <v>103</v>
          </cell>
          <cell r="HV32"/>
          <cell r="HW32"/>
          <cell r="HX32"/>
          <cell r="HY32"/>
          <cell r="HZ32"/>
          <cell r="IA32"/>
          <cell r="IB32"/>
        </row>
        <row r="33">
          <cell r="HR33"/>
          <cell r="HS33">
            <v>103</v>
          </cell>
          <cell r="HT33"/>
          <cell r="HU33">
            <v>104</v>
          </cell>
          <cell r="HV33">
            <v>188</v>
          </cell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</sheetData>
      <sheetData sheetId="66">
        <row r="4">
          <cell r="IB4">
            <v>4</v>
          </cell>
        </row>
        <row r="5">
          <cell r="IB5">
            <v>4</v>
          </cell>
        </row>
        <row r="15">
          <cell r="HR15"/>
          <cell r="HS15"/>
          <cell r="HT15">
            <v>1</v>
          </cell>
          <cell r="HU15"/>
          <cell r="HV15"/>
          <cell r="HX15"/>
          <cell r="HY15"/>
          <cell r="HZ15"/>
          <cell r="IA15"/>
          <cell r="IB15"/>
        </row>
        <row r="16">
          <cell r="HR16"/>
          <cell r="HS16"/>
          <cell r="HT16"/>
          <cell r="HU16"/>
          <cell r="HV16"/>
          <cell r="HX16"/>
          <cell r="HY16"/>
          <cell r="HZ16"/>
          <cell r="IA16"/>
          <cell r="IB16"/>
        </row>
        <row r="22">
          <cell r="IB22">
            <v>313</v>
          </cell>
        </row>
        <row r="23">
          <cell r="IB23">
            <v>313</v>
          </cell>
        </row>
        <row r="32">
          <cell r="HR32"/>
          <cell r="HS32"/>
          <cell r="HT32">
            <v>55</v>
          </cell>
          <cell r="HU32"/>
          <cell r="HV32"/>
          <cell r="HW32"/>
          <cell r="HX32"/>
          <cell r="HY32"/>
          <cell r="HZ32"/>
          <cell r="IA32"/>
          <cell r="IB32"/>
        </row>
        <row r="33">
          <cell r="HR33"/>
          <cell r="HS33"/>
          <cell r="HT33"/>
          <cell r="HU33"/>
          <cell r="HV33"/>
          <cell r="HW33"/>
          <cell r="HX33"/>
          <cell r="HY33"/>
          <cell r="HZ33"/>
          <cell r="IA33"/>
          <cell r="IB33"/>
        </row>
        <row r="37">
          <cell r="HR37"/>
          <cell r="HS37"/>
          <cell r="HT37"/>
          <cell r="HU37"/>
          <cell r="HV37"/>
          <cell r="HW37"/>
          <cell r="HX37"/>
          <cell r="HY37"/>
          <cell r="HZ37"/>
          <cell r="IA37"/>
          <cell r="IB37"/>
        </row>
        <row r="38">
          <cell r="HR38"/>
          <cell r="HS38"/>
          <cell r="HT38"/>
          <cell r="HU38"/>
          <cell r="HV38"/>
          <cell r="HW38"/>
          <cell r="HX38"/>
          <cell r="HY38"/>
          <cell r="HZ38"/>
          <cell r="IA38"/>
          <cell r="IB38"/>
        </row>
      </sheetData>
      <sheetData sheetId="67">
        <row r="4">
          <cell r="IB4">
            <v>29</v>
          </cell>
        </row>
        <row r="5">
          <cell r="IB5">
            <v>29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K19">
            <v>64</v>
          </cell>
          <cell r="HL19">
            <v>62</v>
          </cell>
          <cell r="HM19">
            <v>62</v>
          </cell>
          <cell r="HN19">
            <v>58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  <cell r="IB19">
            <v>58</v>
          </cell>
        </row>
        <row r="47">
          <cell r="IB47">
            <v>1626089</v>
          </cell>
        </row>
        <row r="48">
          <cell r="IB48"/>
        </row>
        <row r="52">
          <cell r="IB52">
            <v>1585842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K64">
            <v>3380053</v>
          </cell>
          <cell r="HL64">
            <v>3502536</v>
          </cell>
          <cell r="HM64">
            <v>3709887</v>
          </cell>
          <cell r="HN64">
            <v>3782104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  <cell r="IB64">
            <v>3211931</v>
          </cell>
        </row>
      </sheetData>
      <sheetData sheetId="68">
        <row r="4">
          <cell r="IB4">
            <v>57</v>
          </cell>
        </row>
        <row r="5">
          <cell r="IB5">
            <v>57</v>
          </cell>
        </row>
        <row r="8">
          <cell r="IB8"/>
        </row>
        <row r="9">
          <cell r="IB9"/>
        </row>
        <row r="15">
          <cell r="IB15"/>
        </row>
        <row r="16">
          <cell r="IB16"/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K19">
            <v>123</v>
          </cell>
          <cell r="HL19">
            <v>122</v>
          </cell>
          <cell r="HM19">
            <v>118</v>
          </cell>
          <cell r="HN19">
            <v>116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  <cell r="IB19">
            <v>114</v>
          </cell>
        </row>
        <row r="47">
          <cell r="IB47">
            <v>1320517</v>
          </cell>
        </row>
        <row r="48">
          <cell r="IB48"/>
        </row>
        <row r="52">
          <cell r="IB52">
            <v>1338606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K64">
            <v>3635608</v>
          </cell>
          <cell r="HL64">
            <v>3545800</v>
          </cell>
          <cell r="HM64">
            <v>3361822</v>
          </cell>
          <cell r="HN64">
            <v>3033268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  <cell r="IB64">
            <v>2659123</v>
          </cell>
        </row>
      </sheetData>
      <sheetData sheetId="69">
        <row r="4">
          <cell r="IB4"/>
        </row>
        <row r="5">
          <cell r="IB5"/>
        </row>
        <row r="15">
          <cell r="IB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0</v>
          </cell>
          <cell r="HM19">
            <v>2</v>
          </cell>
          <cell r="HN19">
            <v>0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59711</v>
          </cell>
          <cell r="HL64">
            <v>0</v>
          </cell>
          <cell r="HM64">
            <v>79231</v>
          </cell>
          <cell r="HN64">
            <v>0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0">
        <row r="4">
          <cell r="IB4"/>
        </row>
        <row r="5">
          <cell r="IB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1">
        <row r="4">
          <cell r="IB4"/>
        </row>
        <row r="5">
          <cell r="IB5"/>
        </row>
        <row r="8">
          <cell r="IB8"/>
        </row>
        <row r="9">
          <cell r="IB9"/>
        </row>
        <row r="15">
          <cell r="IB15"/>
        </row>
        <row r="16">
          <cell r="IB16"/>
        </row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52">
          <cell r="IB52"/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2"/>
      <sheetData sheetId="73">
        <row r="4">
          <cell r="IB4">
            <v>34</v>
          </cell>
        </row>
        <row r="5">
          <cell r="IB5">
            <v>34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28</v>
          </cell>
          <cell r="HL19">
            <v>88</v>
          </cell>
          <cell r="HM19">
            <v>84</v>
          </cell>
          <cell r="HN19">
            <v>80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  <cell r="IB19">
            <v>68</v>
          </cell>
        </row>
        <row r="47">
          <cell r="IB47">
            <v>42393</v>
          </cell>
        </row>
        <row r="48">
          <cell r="IB48"/>
        </row>
        <row r="52">
          <cell r="IB52">
            <v>41713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47962</v>
          </cell>
          <cell r="HL64">
            <v>144602</v>
          </cell>
          <cell r="HM64">
            <v>113821</v>
          </cell>
          <cell r="HN64">
            <v>146634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  <cell r="IB64">
            <v>84106</v>
          </cell>
        </row>
      </sheetData>
      <sheetData sheetId="74">
        <row r="4">
          <cell r="IB4"/>
        </row>
        <row r="5">
          <cell r="IB5"/>
        </row>
        <row r="12">
          <cell r="IB12">
            <v>0</v>
          </cell>
        </row>
        <row r="15">
          <cell r="IB15"/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K19">
            <v>60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K64">
            <v>94771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5">
        <row r="4">
          <cell r="IB4"/>
        </row>
        <row r="5">
          <cell r="IB5"/>
        </row>
        <row r="15">
          <cell r="IB15"/>
        </row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K19">
            <v>8</v>
          </cell>
          <cell r="HL19">
            <v>38</v>
          </cell>
          <cell r="HM19">
            <v>38</v>
          </cell>
          <cell r="HN19">
            <v>0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K64">
            <v>254000.78</v>
          </cell>
          <cell r="HL64">
            <v>1043626</v>
          </cell>
          <cell r="HM64">
            <v>1050933</v>
          </cell>
          <cell r="HN64">
            <v>0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6">
        <row r="4">
          <cell r="IB4">
            <v>41</v>
          </cell>
        </row>
        <row r="5">
          <cell r="IB5">
            <v>41</v>
          </cell>
        </row>
        <row r="12">
          <cell r="IB12">
            <v>82</v>
          </cell>
        </row>
        <row r="15">
          <cell r="IB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  <cell r="IB19">
            <v>82</v>
          </cell>
        </row>
        <row r="47">
          <cell r="IB47">
            <v>855288</v>
          </cell>
        </row>
        <row r="48">
          <cell r="IB48"/>
        </row>
        <row r="52">
          <cell r="IB52">
            <v>402507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  <cell r="IB64">
            <v>1257795</v>
          </cell>
        </row>
      </sheetData>
      <sheetData sheetId="77">
        <row r="4">
          <cell r="IB4"/>
        </row>
        <row r="5">
          <cell r="IB5"/>
        </row>
        <row r="15">
          <cell r="IB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78">
        <row r="4">
          <cell r="IB4">
            <v>5</v>
          </cell>
        </row>
        <row r="5">
          <cell r="IB5">
            <v>5</v>
          </cell>
        </row>
        <row r="15">
          <cell r="IB15"/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K19">
            <v>42</v>
          </cell>
          <cell r="HL19">
            <v>6</v>
          </cell>
          <cell r="HM19">
            <v>4</v>
          </cell>
          <cell r="HN19">
            <v>88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  <cell r="IB19">
            <v>10</v>
          </cell>
        </row>
        <row r="47">
          <cell r="IB47">
            <v>113208</v>
          </cell>
        </row>
        <row r="48">
          <cell r="IB48"/>
        </row>
        <row r="52">
          <cell r="IB52">
            <v>3920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K64">
            <v>1107993</v>
          </cell>
          <cell r="HL64">
            <v>185111</v>
          </cell>
          <cell r="HM64">
            <v>120854</v>
          </cell>
          <cell r="HN64">
            <v>1387767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133471</v>
          </cell>
          <cell r="IB64">
            <v>117128</v>
          </cell>
        </row>
      </sheetData>
      <sheetData sheetId="79">
        <row r="4">
          <cell r="IB4"/>
        </row>
        <row r="5">
          <cell r="IB5"/>
        </row>
        <row r="15">
          <cell r="IB15"/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80"/>
      <sheetData sheetId="81">
        <row r="4">
          <cell r="IB4">
            <v>130</v>
          </cell>
        </row>
        <row r="5">
          <cell r="IB5">
            <v>130</v>
          </cell>
        </row>
        <row r="15">
          <cell r="IB15"/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K19">
            <v>290</v>
          </cell>
          <cell r="HL19">
            <v>284</v>
          </cell>
          <cell r="HM19">
            <v>290</v>
          </cell>
          <cell r="HN19">
            <v>278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  <cell r="IB19">
            <v>260</v>
          </cell>
        </row>
        <row r="47">
          <cell r="IB47">
            <v>8040182</v>
          </cell>
        </row>
        <row r="48">
          <cell r="IB48"/>
        </row>
        <row r="52">
          <cell r="IB52">
            <v>6990049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K64">
            <v>16135313</v>
          </cell>
          <cell r="HL64">
            <v>17783142</v>
          </cell>
          <cell r="HM64">
            <v>17078760</v>
          </cell>
          <cell r="HN64">
            <v>15513033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  <cell r="IB64">
            <v>15030231</v>
          </cell>
        </row>
      </sheetData>
      <sheetData sheetId="82">
        <row r="4">
          <cell r="IB4">
            <v>20</v>
          </cell>
        </row>
        <row r="5">
          <cell r="IB5">
            <v>20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K19">
            <v>42</v>
          </cell>
          <cell r="HL19">
            <v>44</v>
          </cell>
          <cell r="HM19">
            <v>46</v>
          </cell>
          <cell r="HN19">
            <v>40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  <cell r="IB19">
            <v>40</v>
          </cell>
        </row>
        <row r="47">
          <cell r="IB47"/>
        </row>
        <row r="48">
          <cell r="IB48">
            <v>55695</v>
          </cell>
        </row>
        <row r="52">
          <cell r="IB52"/>
        </row>
        <row r="53">
          <cell r="IB53">
            <v>104054</v>
          </cell>
        </row>
        <row r="57">
          <cell r="IB57"/>
        </row>
        <row r="58">
          <cell r="IB58"/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K64">
            <v>170324</v>
          </cell>
          <cell r="HL64">
            <v>199269</v>
          </cell>
          <cell r="HM64">
            <v>186581</v>
          </cell>
          <cell r="HN64">
            <v>167275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  <cell r="IB64">
            <v>159749</v>
          </cell>
        </row>
      </sheetData>
      <sheetData sheetId="83">
        <row r="4">
          <cell r="IB4">
            <v>15</v>
          </cell>
        </row>
        <row r="5">
          <cell r="IB5">
            <v>15</v>
          </cell>
        </row>
        <row r="15">
          <cell r="IB15"/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K19">
            <v>36</v>
          </cell>
          <cell r="HL19">
            <v>32</v>
          </cell>
          <cell r="HM19">
            <v>30</v>
          </cell>
          <cell r="HN19">
            <v>30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  <cell r="IB19">
            <v>30</v>
          </cell>
        </row>
        <row r="47">
          <cell r="IB47">
            <v>57554</v>
          </cell>
        </row>
        <row r="48">
          <cell r="IB48"/>
        </row>
        <row r="52">
          <cell r="IB52">
            <v>4009</v>
          </cell>
        </row>
        <row r="53">
          <cell r="IB53"/>
        </row>
        <row r="57">
          <cell r="IB57"/>
        </row>
        <row r="58">
          <cell r="IB58"/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K64">
            <v>65169</v>
          </cell>
          <cell r="HL64">
            <v>59474</v>
          </cell>
          <cell r="HM64">
            <v>55495</v>
          </cell>
          <cell r="HN64">
            <v>50195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  <cell r="IB64">
            <v>61563</v>
          </cell>
        </row>
      </sheetData>
      <sheetData sheetId="84">
        <row r="4">
          <cell r="IB4">
            <v>131</v>
          </cell>
        </row>
        <row r="5">
          <cell r="IB5">
            <v>116</v>
          </cell>
        </row>
        <row r="15">
          <cell r="IB15"/>
        </row>
        <row r="16">
          <cell r="IB16">
            <v>17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K19">
            <v>305</v>
          </cell>
          <cell r="HL19">
            <v>304</v>
          </cell>
          <cell r="HM19">
            <v>356</v>
          </cell>
          <cell r="HN19">
            <v>284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  <cell r="IB19">
            <v>264</v>
          </cell>
        </row>
        <row r="47">
          <cell r="IB47">
            <v>6108010</v>
          </cell>
        </row>
        <row r="48">
          <cell r="IB48">
            <v>752307</v>
          </cell>
        </row>
        <row r="52">
          <cell r="IB52">
            <v>5440151</v>
          </cell>
        </row>
        <row r="53">
          <cell r="IB53">
            <v>378275</v>
          </cell>
        </row>
        <row r="57">
          <cell r="IB57"/>
        </row>
        <row r="58">
          <cell r="IB58"/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K64">
            <v>13222592</v>
          </cell>
          <cell r="HL64">
            <v>13716653</v>
          </cell>
          <cell r="HM64">
            <v>14080910</v>
          </cell>
          <cell r="HN64">
            <v>13471413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  <cell r="IB64">
            <v>12678743</v>
          </cell>
        </row>
      </sheetData>
      <sheetData sheetId="85"/>
      <sheetData sheetId="86"/>
      <sheetData sheetId="87"/>
      <sheetData sheetId="88">
        <row r="4">
          <cell r="IB4">
            <v>214</v>
          </cell>
        </row>
        <row r="5">
          <cell r="IB5">
            <v>214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K19">
            <v>436</v>
          </cell>
          <cell r="HL19">
            <v>404</v>
          </cell>
          <cell r="HM19">
            <v>386</v>
          </cell>
          <cell r="HN19">
            <v>408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  <cell r="IB19">
            <v>428</v>
          </cell>
        </row>
      </sheetData>
      <sheetData sheetId="89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</row>
      </sheetData>
      <sheetData sheetId="90">
        <row r="4">
          <cell r="IB4"/>
        </row>
        <row r="5">
          <cell r="IB5"/>
        </row>
        <row r="8">
          <cell r="IB8"/>
        </row>
        <row r="9">
          <cell r="IB9"/>
        </row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2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  <cell r="IB19">
            <v>0</v>
          </cell>
        </row>
        <row r="47">
          <cell r="IB47"/>
        </row>
        <row r="48">
          <cell r="IB48"/>
        </row>
        <row r="52">
          <cell r="IB52"/>
        </row>
        <row r="53">
          <cell r="IB53"/>
        </row>
        <row r="57">
          <cell r="IB57"/>
        </row>
        <row r="58">
          <cell r="IB58"/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30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  <cell r="IB64">
            <v>0</v>
          </cell>
        </row>
      </sheetData>
      <sheetData sheetId="91">
        <row r="4">
          <cell r="IB4">
            <v>35</v>
          </cell>
        </row>
        <row r="5">
          <cell r="IB5">
            <v>35</v>
          </cell>
        </row>
      </sheetData>
      <sheetData sheetId="92">
        <row r="4">
          <cell r="IB4">
            <v>734</v>
          </cell>
        </row>
        <row r="5">
          <cell r="IB5">
            <v>733</v>
          </cell>
        </row>
      </sheetData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C20" sqref="C20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44866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1030778</v>
      </c>
      <c r="C5" s="10">
        <f>'Major Airline Stats'!K5</f>
        <v>1037001</v>
      </c>
      <c r="D5" s="2">
        <f>'Major Airline Stats'!K6</f>
        <v>2067779</v>
      </c>
      <c r="E5" s="2">
        <f>'[1]Monthly Summary'!D5</f>
        <v>1831849</v>
      </c>
      <c r="F5" s="3">
        <f>(D5-E5)/E5</f>
        <v>0.12879336670216815</v>
      </c>
      <c r="G5" s="2">
        <f>+'[2]Monthly Summary'!G5+D5</f>
        <v>23139138</v>
      </c>
      <c r="H5" s="2">
        <f>+'[1]Monthly Summary'!G5</f>
        <v>17002649</v>
      </c>
      <c r="I5" s="66">
        <f>(G5-H5)/H5</f>
        <v>0.36091370232956055</v>
      </c>
      <c r="J5" s="2"/>
      <c r="M5" s="2"/>
    </row>
    <row r="6" spans="1:14" x14ac:dyDescent="0.2">
      <c r="A6" s="51" t="s">
        <v>5</v>
      </c>
      <c r="B6" s="231">
        <f>'Regional Major'!M5</f>
        <v>189700</v>
      </c>
      <c r="C6" s="231">
        <f>'Regional Major'!M6</f>
        <v>191437</v>
      </c>
      <c r="D6" s="2">
        <f>B6+C6</f>
        <v>381137</v>
      </c>
      <c r="E6" s="2">
        <f>'[1]Monthly Summary'!D6</f>
        <v>488359</v>
      </c>
      <c r="F6" s="3">
        <f>(D6-E6)/E6</f>
        <v>-0.21955569570746111</v>
      </c>
      <c r="G6" s="2">
        <f>+'[2]Monthly Summary'!G6+D6</f>
        <v>4784620</v>
      </c>
      <c r="H6" s="2">
        <f>+'[1]Monthly Summary'!G6</f>
        <v>5173313</v>
      </c>
      <c r="I6" s="66">
        <f>(G6-H6)/H6</f>
        <v>-7.5134251494158574E-2</v>
      </c>
      <c r="K6" s="2"/>
    </row>
    <row r="7" spans="1:14" x14ac:dyDescent="0.2">
      <c r="A7" s="51" t="s">
        <v>6</v>
      </c>
      <c r="B7" s="2">
        <f>Charter!G5</f>
        <v>313</v>
      </c>
      <c r="C7" s="231">
        <f>Charter!G6</f>
        <v>313</v>
      </c>
      <c r="D7" s="2">
        <f>B7+C7</f>
        <v>626</v>
      </c>
      <c r="E7" s="2">
        <f>'[1]Monthly Summary'!D7</f>
        <v>526</v>
      </c>
      <c r="F7" s="3">
        <f>(D7-E7)/E7</f>
        <v>0.19011406844106463</v>
      </c>
      <c r="G7" s="2">
        <f>+'[2]Monthly Summary'!G7+D7</f>
        <v>6170</v>
      </c>
      <c r="H7" s="2">
        <f>+'[1]Monthly Summary'!G7</f>
        <v>3742</v>
      </c>
      <c r="I7" s="66">
        <f>(G7-H7)/H7</f>
        <v>0.64885088188134687</v>
      </c>
      <c r="K7" s="2"/>
    </row>
    <row r="8" spans="1:14" x14ac:dyDescent="0.2">
      <c r="A8" s="53" t="s">
        <v>7</v>
      </c>
      <c r="B8" s="120">
        <f>SUM(B5:B7)</f>
        <v>1220791</v>
      </c>
      <c r="C8" s="120">
        <f>SUM(C5:C7)</f>
        <v>1228751</v>
      </c>
      <c r="D8" s="120">
        <f>SUM(D5:D7)</f>
        <v>2449542</v>
      </c>
      <c r="E8" s="120">
        <f>SUM(E5:E7)</f>
        <v>2320734</v>
      </c>
      <c r="F8" s="72">
        <f>(D8-E8)/E8</f>
        <v>5.5503129613303379E-2</v>
      </c>
      <c r="G8" s="120">
        <f>SUM(G5:G7)</f>
        <v>27929928</v>
      </c>
      <c r="H8" s="120">
        <f>SUM(H5:H7)</f>
        <v>22179704</v>
      </c>
      <c r="I8" s="71">
        <f>(G8-H8)/H8</f>
        <v>0.25925611991936409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38027</v>
      </c>
      <c r="C10" s="232">
        <f>'Major Airline Stats'!K10+'Regional Major'!M11</f>
        <v>38158</v>
      </c>
      <c r="D10" s="97">
        <f>SUM(B10:C10)</f>
        <v>76185</v>
      </c>
      <c r="E10" s="97">
        <f>'[1]Monthly Summary'!D10</f>
        <v>68822</v>
      </c>
      <c r="F10" s="73">
        <f>(D10-E10)/E10</f>
        <v>0.10698613815349743</v>
      </c>
      <c r="G10" s="448">
        <f>+'[2]Monthly Summary'!G10+D10</f>
        <v>819439</v>
      </c>
      <c r="H10" s="448">
        <f>+'[1]Monthly Summary'!G10</f>
        <v>712834</v>
      </c>
      <c r="I10" s="76">
        <f>(G10-H10)/H10</f>
        <v>0.14955094734538477</v>
      </c>
      <c r="J10" s="170"/>
    </row>
    <row r="11" spans="1:14" ht="15.75" thickBot="1" x14ac:dyDescent="0.3">
      <c r="A11" s="52" t="s">
        <v>13</v>
      </c>
      <c r="B11" s="211">
        <f>B10+B8</f>
        <v>1258818</v>
      </c>
      <c r="C11" s="211">
        <f>C10+C8</f>
        <v>1266909</v>
      </c>
      <c r="D11" s="211">
        <f>D10+D8</f>
        <v>2525727</v>
      </c>
      <c r="E11" s="211">
        <f>E10+E8</f>
        <v>2389556</v>
      </c>
      <c r="F11" s="74">
        <f>(D11-E11)/E11</f>
        <v>5.6985900309513567E-2</v>
      </c>
      <c r="G11" s="211">
        <f>G8+G10</f>
        <v>28749367</v>
      </c>
      <c r="H11" s="211">
        <f>H8+H10</f>
        <v>22892538</v>
      </c>
      <c r="I11" s="77">
        <f>(G11-H11)/H11</f>
        <v>0.25584009077543085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7493</v>
      </c>
      <c r="C16" s="240">
        <f>'Major Airline Stats'!K16+'Major Airline Stats'!K20</f>
        <v>7507</v>
      </c>
      <c r="D16" s="32">
        <f t="shared" ref="D16:D21" si="0">SUM(B16:C16)</f>
        <v>15000</v>
      </c>
      <c r="E16" s="2">
        <f>'[1]Monthly Summary'!D16</f>
        <v>14087</v>
      </c>
      <c r="F16" s="75">
        <f t="shared" ref="F16:F22" si="1">(D16-E16)/E16</f>
        <v>6.4811528359480369E-2</v>
      </c>
      <c r="G16" s="2">
        <f>+'[2]Monthly Summary'!G16+D16</f>
        <v>165517</v>
      </c>
      <c r="H16" s="2">
        <f>+'[1]Monthly Summary'!G16</f>
        <v>137316</v>
      </c>
      <c r="I16" s="202">
        <f t="shared" ref="I16:I22" si="2">(G16-H16)/H16</f>
        <v>0.20537300824375893</v>
      </c>
      <c r="M16" s="2"/>
      <c r="N16" s="96"/>
    </row>
    <row r="17" spans="1:14" x14ac:dyDescent="0.2">
      <c r="A17" s="51" t="s">
        <v>5</v>
      </c>
      <c r="B17" s="32">
        <f>'Regional Major'!M15+'Regional Major'!M18</f>
        <v>3328</v>
      </c>
      <c r="C17" s="32">
        <f>'Regional Major'!M16+'Regional Major'!M19</f>
        <v>3327</v>
      </c>
      <c r="D17" s="32">
        <f t="shared" si="0"/>
        <v>6655</v>
      </c>
      <c r="E17" s="2">
        <f>'[1]Monthly Summary'!D17</f>
        <v>9094</v>
      </c>
      <c r="F17" s="75">
        <f t="shared" si="1"/>
        <v>-0.26819881240378274</v>
      </c>
      <c r="G17" s="2">
        <f>+'[2]Monthly Summary'!G17+D17</f>
        <v>88890</v>
      </c>
      <c r="H17" s="2">
        <f>+'[1]Monthly Summary'!G17</f>
        <v>110526</v>
      </c>
      <c r="I17" s="202">
        <f t="shared" si="2"/>
        <v>-0.19575484501384291</v>
      </c>
      <c r="L17" s="2"/>
      <c r="M17" s="2"/>
    </row>
    <row r="18" spans="1:14" x14ac:dyDescent="0.2">
      <c r="A18" s="51" t="s">
        <v>10</v>
      </c>
      <c r="B18" s="32">
        <f>Charter!G10</f>
        <v>4</v>
      </c>
      <c r="C18" s="32">
        <f>Charter!G11</f>
        <v>4</v>
      </c>
      <c r="D18" s="32">
        <f t="shared" si="0"/>
        <v>8</v>
      </c>
      <c r="E18" s="2">
        <f>'[1]Monthly Summary'!D18</f>
        <v>6</v>
      </c>
      <c r="F18" s="75">
        <f t="shared" si="1"/>
        <v>0.33333333333333331</v>
      </c>
      <c r="G18" s="2">
        <f>+'[2]Monthly Summary'!G18+D18</f>
        <v>60</v>
      </c>
      <c r="H18" s="2">
        <f>+'[1]Monthly Summary'!G18</f>
        <v>34</v>
      </c>
      <c r="I18" s="202">
        <f t="shared" si="2"/>
        <v>0.76470588235294112</v>
      </c>
      <c r="M18" s="2"/>
    </row>
    <row r="19" spans="1:14" x14ac:dyDescent="0.2">
      <c r="A19" s="51" t="s">
        <v>11</v>
      </c>
      <c r="B19" s="32">
        <f>Cargo!S4+Cargo!S8</f>
        <v>676</v>
      </c>
      <c r="C19" s="32">
        <f>Cargo!S5+Cargo!S9</f>
        <v>678</v>
      </c>
      <c r="D19" s="32">
        <f t="shared" si="0"/>
        <v>1354</v>
      </c>
      <c r="E19" s="2">
        <f>'[1]Monthly Summary'!D19</f>
        <v>1384</v>
      </c>
      <c r="F19" s="75">
        <f t="shared" si="1"/>
        <v>-2.1676300578034682E-2</v>
      </c>
      <c r="G19" s="2">
        <f>+'[2]Monthly Summary'!G19+D19</f>
        <v>14245</v>
      </c>
      <c r="H19" s="2">
        <f>+'[1]Monthly Summary'!G19</f>
        <v>15088</v>
      </c>
      <c r="I19" s="202">
        <f t="shared" si="2"/>
        <v>-5.5872216330858961E-2</v>
      </c>
      <c r="L19" s="96"/>
      <c r="M19" s="2"/>
    </row>
    <row r="20" spans="1:14" x14ac:dyDescent="0.2">
      <c r="A20" s="51" t="s">
        <v>148</v>
      </c>
      <c r="B20" s="32">
        <f>'[3]General Avation'!$IB$4</f>
        <v>734</v>
      </c>
      <c r="C20" s="32">
        <f>'[3]General Avation'!$IB$5</f>
        <v>733</v>
      </c>
      <c r="D20" s="32">
        <f t="shared" si="0"/>
        <v>1467</v>
      </c>
      <c r="E20" s="2">
        <f>'[1]Monthly Summary'!D20</f>
        <v>1390</v>
      </c>
      <c r="F20" s="75">
        <f t="shared" si="1"/>
        <v>5.5395683453237407E-2</v>
      </c>
      <c r="G20" s="2">
        <f>+'[2]Monthly Summary'!G20+D20</f>
        <v>16270</v>
      </c>
      <c r="H20" s="2">
        <f>+'[1]Monthly Summary'!G20</f>
        <v>13944</v>
      </c>
      <c r="I20" s="202">
        <f t="shared" si="2"/>
        <v>0.16681009753298909</v>
      </c>
      <c r="M20" s="2"/>
    </row>
    <row r="21" spans="1:14" ht="12.75" customHeight="1" x14ac:dyDescent="0.2">
      <c r="A21" s="51" t="s">
        <v>12</v>
      </c>
      <c r="B21" s="11">
        <f>'[3]Military '!$IB$4</f>
        <v>35</v>
      </c>
      <c r="C21" s="11">
        <f>'[3]Military '!$IB$5</f>
        <v>35</v>
      </c>
      <c r="D21" s="11">
        <f t="shared" si="0"/>
        <v>70</v>
      </c>
      <c r="E21" s="97">
        <f>'[1]Monthly Summary'!D21</f>
        <v>101</v>
      </c>
      <c r="F21" s="200">
        <f t="shared" si="1"/>
        <v>-0.30693069306930693</v>
      </c>
      <c r="G21" s="448">
        <f>+'[2]Monthly Summary'!G21+D21</f>
        <v>850</v>
      </c>
      <c r="H21" s="448">
        <f>+'[1]Monthly Summary'!G21</f>
        <v>1089</v>
      </c>
      <c r="I21" s="203">
        <f t="shared" si="2"/>
        <v>-0.21946740128558309</v>
      </c>
      <c r="M21" s="2"/>
    </row>
    <row r="22" spans="1:14" ht="15.75" thickBot="1" x14ac:dyDescent="0.3">
      <c r="A22" s="52" t="s">
        <v>28</v>
      </c>
      <c r="B22" s="212">
        <f>SUM(B16:B21)</f>
        <v>12270</v>
      </c>
      <c r="C22" s="212">
        <f>SUM(C16:C21)</f>
        <v>12284</v>
      </c>
      <c r="D22" s="212">
        <f>SUM(D16:D21)</f>
        <v>24554</v>
      </c>
      <c r="E22" s="212">
        <f>SUM(E16:E21)</f>
        <v>26062</v>
      </c>
      <c r="F22" s="209">
        <f t="shared" si="1"/>
        <v>-5.7862021333742616E-2</v>
      </c>
      <c r="G22" s="212">
        <f>SUM(G16:G21)</f>
        <v>285832</v>
      </c>
      <c r="H22" s="212">
        <f>SUM(H16:H21)</f>
        <v>277997</v>
      </c>
      <c r="I22" s="210">
        <f t="shared" si="2"/>
        <v>2.818375737867675E-2</v>
      </c>
      <c r="N22" s="96"/>
    </row>
    <row r="23" spans="1:14" x14ac:dyDescent="0.2">
      <c r="B23" s="96"/>
      <c r="C23" s="96"/>
      <c r="L23" s="2"/>
      <c r="M23" s="2"/>
    </row>
    <row r="24" spans="1:14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4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4" x14ac:dyDescent="0.2">
      <c r="A27" s="46" t="s">
        <v>15</v>
      </c>
      <c r="B27" s="14">
        <f>(Cargo!S16+'Major Airline Stats'!K28+'Regional Major'!M25)*0.00045359237</f>
        <v>9788.8585493614301</v>
      </c>
      <c r="C27" s="14">
        <f>(Cargo!S21+'Major Airline Stats'!K33+'Regional Major'!M30)*0.00045359237</f>
        <v>7990.1148729155602</v>
      </c>
      <c r="D27" s="14">
        <f>(SUM(B27:C27)+('Cargo Summary'!E17*0.00045359237))</f>
        <v>17778.973422276991</v>
      </c>
      <c r="E27" s="2">
        <f>'[1]Monthly Summary'!D27</f>
        <v>18296.448380890681</v>
      </c>
      <c r="F27" s="78">
        <f>(D27-E27)/E27</f>
        <v>-2.8282809201055366E-2</v>
      </c>
      <c r="G27" s="2">
        <f>+'[2]Monthly Summary'!G27+D27</f>
        <v>189472.66777554314</v>
      </c>
      <c r="H27" s="2">
        <f>+'[1]Monthly Summary'!G27</f>
        <v>190563.27718695512</v>
      </c>
      <c r="I27" s="80">
        <f>(G27-H27)/H27</f>
        <v>-5.7230827865224904E-3</v>
      </c>
    </row>
    <row r="28" spans="1:14" x14ac:dyDescent="0.2">
      <c r="A28" s="46" t="s">
        <v>16</v>
      </c>
      <c r="B28" s="14">
        <f>(Cargo!S17+'Major Airline Stats'!K29+'Regional Major'!M26)*0.00045359237</f>
        <v>1034.7444398837699</v>
      </c>
      <c r="C28" s="14">
        <f>(Cargo!S22+'Major Airline Stats'!K34+'Regional Major'!M31)*0.00045359237</f>
        <v>900.10325591955996</v>
      </c>
      <c r="D28" s="14">
        <f>SUM(B28:C28)</f>
        <v>1934.8476958033298</v>
      </c>
      <c r="E28" s="2">
        <f>'[1]Monthly Summary'!D28</f>
        <v>2084.9477613295098</v>
      </c>
      <c r="F28" s="78">
        <f>(D28-E28)/E28</f>
        <v>-7.1992242832245187E-2</v>
      </c>
      <c r="G28" s="2">
        <f>+'[2]Monthly Summary'!G28+D28</f>
        <v>26734.373409710424</v>
      </c>
      <c r="H28" s="2">
        <f>+'[1]Monthly Summary'!G28</f>
        <v>20291.87560566936</v>
      </c>
      <c r="I28" s="80">
        <f>(G28-H28)/H28</f>
        <v>0.31749148916727493</v>
      </c>
    </row>
    <row r="29" spans="1:14" ht="15.75" thickBot="1" x14ac:dyDescent="0.3">
      <c r="A29" s="47" t="s">
        <v>62</v>
      </c>
      <c r="B29" s="39">
        <f>SUM(B27:B28)</f>
        <v>10823.602989245201</v>
      </c>
      <c r="C29" s="39">
        <f>SUM(C27:C28)</f>
        <v>8890.2181288351203</v>
      </c>
      <c r="D29" s="39">
        <f>SUM(D27:D28)</f>
        <v>19713.821118080319</v>
      </c>
      <c r="E29" s="39">
        <f>SUM(E27:E28)</f>
        <v>20381.39614222019</v>
      </c>
      <c r="F29" s="79">
        <f>(D29-E29)/E29</f>
        <v>-3.2754136148552902E-2</v>
      </c>
      <c r="G29" s="39">
        <f>SUM(G27:G28)</f>
        <v>216207.04118525356</v>
      </c>
      <c r="H29" s="39">
        <f>SUM(H27:H28)</f>
        <v>210855.15279262449</v>
      </c>
      <c r="I29" s="81">
        <f>(G29-H29)/H29</f>
        <v>2.5381824070918681E-2</v>
      </c>
    </row>
    <row r="30" spans="1:14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4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4" x14ac:dyDescent="0.2">
      <c r="A32" s="315" t="s">
        <v>145</v>
      </c>
      <c r="B32" s="316">
        <f>C8-B33</f>
        <v>836199</v>
      </c>
      <c r="C32" s="317">
        <f>B32/C8</f>
        <v>0.68052762520640875</v>
      </c>
      <c r="D32" s="318">
        <f>+B32+'[2]Monthly Summary'!D32</f>
        <v>9584637</v>
      </c>
      <c r="E32" s="319">
        <f>+D32/D34</f>
        <v>0.68733602990573561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392552</v>
      </c>
      <c r="C33" s="322">
        <f>+B33/C8</f>
        <v>0.3194723747935912</v>
      </c>
      <c r="D33" s="323">
        <f>+B33+'[2]Monthly Summary'!D33</f>
        <v>4359979</v>
      </c>
      <c r="E33" s="324">
        <f>+D33/D34</f>
        <v>0.31266397009426433</v>
      </c>
      <c r="I33" s="332"/>
    </row>
    <row r="34" spans="1:14" ht="13.5" thickBot="1" x14ac:dyDescent="0.25">
      <c r="B34" s="244"/>
      <c r="D34" s="325">
        <f>SUM(D32:D33)</f>
        <v>13944616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755104</v>
      </c>
      <c r="C36" s="317">
        <f>+B36/B38</f>
        <v>0.64909341445740254</v>
      </c>
      <c r="D36" s="318">
        <f>+'[1]Monthly Summary'!D32</f>
        <v>7352569</v>
      </c>
      <c r="E36" s="319">
        <f>+D36/D38</f>
        <v>0.66465937351662119</v>
      </c>
    </row>
    <row r="37" spans="1:14" ht="13.5" thickBot="1" x14ac:dyDescent="0.25">
      <c r="A37" s="320" t="s">
        <v>146</v>
      </c>
      <c r="B37" s="321">
        <f>'[1]Monthly Summary'!$B$33</f>
        <v>408217</v>
      </c>
      <c r="C37" s="324">
        <f>+B37/B38</f>
        <v>0.35090658554259746</v>
      </c>
      <c r="D37" s="323">
        <f>+'[1]Monthly Summary'!D33</f>
        <v>3709592</v>
      </c>
      <c r="E37" s="324">
        <f>+D37/D38</f>
        <v>0.33534062648337881</v>
      </c>
      <c r="M37" s="1"/>
    </row>
    <row r="38" spans="1:14" x14ac:dyDescent="0.2">
      <c r="B38" s="337">
        <f>+SUM(B36:B37)</f>
        <v>1163321</v>
      </c>
      <c r="D38" s="325">
        <f>SUM(D36:D37)</f>
        <v>11062161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E4:E13 B15:I22 B26:I30">
    <cfRule type="expression" dxfId="3" priority="25" stopIfTrue="1">
      <formula>"*.*"</formula>
    </cfRule>
  </conditionalFormatting>
  <conditionalFormatting sqref="B4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zoomScaleNormal="100" zoomScaleSheetLayoutView="100" workbookViewId="0">
      <selection activeCell="F8" sqref="F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44866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[3]Delta!$IB$32</f>
        <v>53600</v>
      </c>
      <c r="C4" s="13">
        <f>'[3]Atlantic Southeast'!$IB$32</f>
        <v>0</v>
      </c>
      <c r="D4" s="13">
        <f>[3]Pinnacle!$IB$32</f>
        <v>0</v>
      </c>
      <c r="E4" s="13">
        <f>'[3]Sky West'!$IB$32</f>
        <v>6203</v>
      </c>
      <c r="F4" s="13">
        <f>'[3]Go Jet'!$IB$32</f>
        <v>0</v>
      </c>
      <c r="G4" s="13">
        <f>'[3]Sun Country'!$IB$32</f>
        <v>4743</v>
      </c>
      <c r="H4" s="13">
        <f>[3]Icelandair!$IB$32</f>
        <v>2029</v>
      </c>
      <c r="I4" s="13">
        <f>[3]KLM!$IB$32</f>
        <v>3875</v>
      </c>
      <c r="J4" s="13">
        <f>'[3]Air Georgian'!$IB$32</f>
        <v>0</v>
      </c>
      <c r="K4" s="13">
        <f>'[3]Sky Regional'!$IB$32</f>
        <v>0</v>
      </c>
      <c r="L4" s="13">
        <f>[3]Condor!$IB$32</f>
        <v>0</v>
      </c>
      <c r="M4" s="13">
        <f>'[3]Aer Lingus'!$IB$32</f>
        <v>0</v>
      </c>
      <c r="N4" s="13">
        <f>'[3]Air France'!$IB$32</f>
        <v>0</v>
      </c>
      <c r="O4" s="13">
        <f>[3]Frontier!$IB$32</f>
        <v>0</v>
      </c>
      <c r="P4" s="13">
        <f>'[3]Charter Misc'!$IB$32+[3]Ryan!$IB$32+[3]Omni!$IB$32</f>
        <v>0</v>
      </c>
      <c r="Q4" s="219">
        <f>SUM(B4:P4)</f>
        <v>70450</v>
      </c>
    </row>
    <row r="5" spans="1:17" x14ac:dyDescent="0.2">
      <c r="A5" s="46" t="s">
        <v>31</v>
      </c>
      <c r="B5" s="7">
        <f>[3]Delta!$IB$33</f>
        <v>57315</v>
      </c>
      <c r="C5" s="7">
        <f>'[3]Atlantic Southeast'!$IB$33</f>
        <v>0</v>
      </c>
      <c r="D5" s="7">
        <f>[3]Pinnacle!$IB$33</f>
        <v>0</v>
      </c>
      <c r="E5" s="7">
        <f>'[3]Sky West'!$IB$33</f>
        <v>6108</v>
      </c>
      <c r="F5" s="7">
        <f>'[3]Go Jet'!$IB$33</f>
        <v>0</v>
      </c>
      <c r="G5" s="7">
        <f>'[3]Sun Country'!$IB$33</f>
        <v>5608</v>
      </c>
      <c r="H5" s="7">
        <f>[3]Icelandair!$IB$33</f>
        <v>1987</v>
      </c>
      <c r="I5" s="7">
        <f>[3]KLM!$IB$33</f>
        <v>3257</v>
      </c>
      <c r="J5" s="7">
        <f>'[3]Air Georgian'!$IB$33</f>
        <v>0</v>
      </c>
      <c r="K5" s="7">
        <f>'[3]Sky Regional'!$IB$33</f>
        <v>0</v>
      </c>
      <c r="L5" s="7">
        <f>[3]Condor!$IB$33</f>
        <v>0</v>
      </c>
      <c r="M5" s="7">
        <f>'[3]Aer Lingus'!$IB$33</f>
        <v>0</v>
      </c>
      <c r="N5" s="7">
        <f>'[3]Air France'!$IB$33</f>
        <v>0</v>
      </c>
      <c r="O5" s="7">
        <f>[3]Frontier!$IB$33</f>
        <v>0</v>
      </c>
      <c r="P5" s="7">
        <f>'[3]Charter Misc'!$IB$33++[3]Ryan!$IB$33+[3]Omni!$IB$33</f>
        <v>0</v>
      </c>
      <c r="Q5" s="220">
        <f>SUM(B5:P5)</f>
        <v>74275</v>
      </c>
    </row>
    <row r="6" spans="1:17" ht="15" x14ac:dyDescent="0.25">
      <c r="A6" s="44" t="s">
        <v>7</v>
      </c>
      <c r="B6" s="25">
        <f t="shared" ref="B6:P6" si="0">SUM(B4:B5)</f>
        <v>110915</v>
      </c>
      <c r="C6" s="25">
        <f t="shared" si="0"/>
        <v>0</v>
      </c>
      <c r="D6" s="25">
        <f t="shared" si="0"/>
        <v>0</v>
      </c>
      <c r="E6" s="25">
        <f t="shared" si="0"/>
        <v>12311</v>
      </c>
      <c r="F6" s="25">
        <f t="shared" ref="F6" si="1">SUM(F4:F5)</f>
        <v>0</v>
      </c>
      <c r="G6" s="25">
        <f t="shared" si="0"/>
        <v>10351</v>
      </c>
      <c r="H6" s="25">
        <f t="shared" si="0"/>
        <v>4016</v>
      </c>
      <c r="I6" s="25">
        <f t="shared" ref="I6" si="2">SUM(I4:I5)</f>
        <v>7132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0</v>
      </c>
      <c r="M6" s="25">
        <f t="shared" si="4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21">
        <f>SUM(B6:P6)</f>
        <v>144725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[3]Delta!$IB$37</f>
        <v>1659</v>
      </c>
      <c r="C9" s="13">
        <f>'[3]Atlantic Southeast'!$IB$37</f>
        <v>0</v>
      </c>
      <c r="D9" s="13">
        <f>[3]Pinnacle!$IB$37</f>
        <v>0</v>
      </c>
      <c r="E9" s="13">
        <f>'[3]Sky West'!$IB$37</f>
        <v>111</v>
      </c>
      <c r="F9" s="13">
        <f>'[3]Go Jet'!$IB$37</f>
        <v>0</v>
      </c>
      <c r="G9" s="13">
        <f>'[3]Sun Country'!$IB$37</f>
        <v>92</v>
      </c>
      <c r="H9" s="13">
        <f>[3]Icelandair!$IB$37</f>
        <v>46</v>
      </c>
      <c r="I9" s="13">
        <f>[3]KLM!$IB$37</f>
        <v>3</v>
      </c>
      <c r="J9" s="13">
        <f>'[3]Air Georgian'!$IB$37</f>
        <v>0</v>
      </c>
      <c r="K9" s="13">
        <f>'[3]Sky Regional'!$IB$37</f>
        <v>0</v>
      </c>
      <c r="L9" s="13">
        <f>[3]Condor!$IB$37</f>
        <v>0</v>
      </c>
      <c r="M9" s="13">
        <f>'[3]Aer Lingus'!$IB$37</f>
        <v>0</v>
      </c>
      <c r="N9" s="13">
        <f>'[3]Air France'!$IB$37</f>
        <v>0</v>
      </c>
      <c r="O9" s="13">
        <f>[3]Frontier!$IB$37</f>
        <v>0</v>
      </c>
      <c r="P9" s="13">
        <f>'[3]Charter Misc'!$IB$37+[3]Ryan!$IB$37+[3]Omni!$IB$37</f>
        <v>0</v>
      </c>
      <c r="Q9" s="219">
        <f>SUM(B9:P9)</f>
        <v>1911</v>
      </c>
    </row>
    <row r="10" spans="1:17" x14ac:dyDescent="0.2">
      <c r="A10" s="46" t="s">
        <v>33</v>
      </c>
      <c r="B10" s="7">
        <f>[3]Delta!$IB$38</f>
        <v>1617</v>
      </c>
      <c r="C10" s="7">
        <f>'[3]Atlantic Southeast'!$IB$38</f>
        <v>0</v>
      </c>
      <c r="D10" s="7">
        <f>[3]Pinnacle!$IB$38</f>
        <v>0</v>
      </c>
      <c r="E10" s="7">
        <f>'[3]Sky West'!$IB$38</f>
        <v>122</v>
      </c>
      <c r="F10" s="7">
        <f>'[3]Go Jet'!$IB$38</f>
        <v>0</v>
      </c>
      <c r="G10" s="7">
        <f>'[3]Sun Country'!$IB$38</f>
        <v>97</v>
      </c>
      <c r="H10" s="7">
        <f>[3]Icelandair!$IB$38</f>
        <v>53</v>
      </c>
      <c r="I10" s="7">
        <f>[3]KLM!$IB$38</f>
        <v>2</v>
      </c>
      <c r="J10" s="7">
        <f>'[3]Air Georgian'!$IB$38</f>
        <v>0</v>
      </c>
      <c r="K10" s="7">
        <f>'[3]Sky Regional'!$IB$38</f>
        <v>0</v>
      </c>
      <c r="L10" s="7">
        <f>[3]Condor!$IB$38</f>
        <v>0</v>
      </c>
      <c r="M10" s="7">
        <f>'[3]Aer Lingus'!$IB$38</f>
        <v>0</v>
      </c>
      <c r="N10" s="7">
        <f>'[3]Air France'!$IB$38</f>
        <v>0</v>
      </c>
      <c r="O10" s="7">
        <f>[3]Frontier!$IB$38</f>
        <v>0</v>
      </c>
      <c r="P10" s="7">
        <f>'[3]Charter Misc'!$IB$38+[3]Ryan!$IB$38+[3]Omni!$IB$38</f>
        <v>0</v>
      </c>
      <c r="Q10" s="220">
        <f>SUM(B10:P10)</f>
        <v>1891</v>
      </c>
    </row>
    <row r="11" spans="1:17" ht="15.75" thickBot="1" x14ac:dyDescent="0.3">
      <c r="A11" s="47" t="s">
        <v>34</v>
      </c>
      <c r="B11" s="222">
        <f t="shared" ref="B11:G11" si="5">SUM(B9:B10)</f>
        <v>3276</v>
      </c>
      <c r="C11" s="222">
        <f t="shared" si="5"/>
        <v>0</v>
      </c>
      <c r="D11" s="222">
        <f t="shared" si="5"/>
        <v>0</v>
      </c>
      <c r="E11" s="222">
        <f t="shared" si="5"/>
        <v>233</v>
      </c>
      <c r="F11" s="222">
        <f t="shared" ref="F11" si="6">SUM(F9:F10)</f>
        <v>0</v>
      </c>
      <c r="G11" s="222">
        <f t="shared" si="5"/>
        <v>189</v>
      </c>
      <c r="H11" s="222">
        <f t="shared" ref="H11:P11" si="7">SUM(H9:H10)</f>
        <v>99</v>
      </c>
      <c r="I11" s="222">
        <f t="shared" ref="I11" si="8">SUM(I9:I10)</f>
        <v>5</v>
      </c>
      <c r="J11" s="222">
        <f t="shared" si="7"/>
        <v>0</v>
      </c>
      <c r="K11" s="222">
        <f t="shared" ref="K11" si="9">SUM(K9:K10)</f>
        <v>0</v>
      </c>
      <c r="L11" s="222">
        <f t="shared" si="7"/>
        <v>0</v>
      </c>
      <c r="M11" s="222">
        <f t="shared" ref="M11" si="10">SUM(M9:M10)</f>
        <v>0</v>
      </c>
      <c r="N11" s="222">
        <f t="shared" si="7"/>
        <v>0</v>
      </c>
      <c r="O11" s="222">
        <f t="shared" si="7"/>
        <v>0</v>
      </c>
      <c r="P11" s="222">
        <f t="shared" si="7"/>
        <v>0</v>
      </c>
      <c r="Q11" s="223">
        <f>SUM(B11:P11)</f>
        <v>3802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SUM([3]Delta!$HR$32:$IB$32)</f>
        <v>612953</v>
      </c>
      <c r="C16" s="13">
        <f>SUM('[3]Atlantic Southeast'!$HR$32:$IB$32)</f>
        <v>0</v>
      </c>
      <c r="D16" s="13">
        <f>SUM([3]Pinnacle!$HR$32:$IB$32)</f>
        <v>13442</v>
      </c>
      <c r="E16" s="13">
        <f>SUM('[3]Sky West'!$HR$32:$IB$32)</f>
        <v>35490</v>
      </c>
      <c r="F16" s="13">
        <f>SUM('[3]Go Jet'!$HR$32:$IB$32)</f>
        <v>0</v>
      </c>
      <c r="G16" s="13">
        <f>SUM('[3]Sun Country'!$HR$32:$IB$32)</f>
        <v>121806</v>
      </c>
      <c r="H16" s="13">
        <f>SUM([3]Icelandair!$HR$32:$IB$32)</f>
        <v>27006</v>
      </c>
      <c r="I16" s="13">
        <f>SUM([3]KLM!$HR$32:$IB$32)</f>
        <v>42437</v>
      </c>
      <c r="J16" s="13">
        <f>SUM('[3]Air Georgian'!$HR$32:$IB$32)</f>
        <v>0</v>
      </c>
      <c r="K16" s="13">
        <f>SUM('[3]Sky Regional'!$HR$32:$IB$32)</f>
        <v>0</v>
      </c>
      <c r="L16" s="13">
        <f>SUM([3]Condor!$HR$32:$IB$32)</f>
        <v>10361</v>
      </c>
      <c r="M16" s="13">
        <f>SUM('[3]Aer Lingus'!$HR$32:$IB$32)</f>
        <v>0</v>
      </c>
      <c r="N16" s="13">
        <f>SUM('[3]Air France'!$HR$32:$IB$32)</f>
        <v>25454</v>
      </c>
      <c r="O16" s="13">
        <f>SUM([3]Frontier!$HR$32:$IB$32)</f>
        <v>9678</v>
      </c>
      <c r="P16" s="13">
        <f>SUM('[3]Charter Misc'!$HR$32:$IB$32)+SUM([3]Ryan!$HR$32:$IB$32)+SUM([3]Omni!$HR$32:$IB$32)</f>
        <v>263</v>
      </c>
      <c r="Q16" s="219">
        <f>SUM(B16:P16)</f>
        <v>898890</v>
      </c>
    </row>
    <row r="17" spans="1:20" x14ac:dyDescent="0.2">
      <c r="A17" s="46" t="s">
        <v>31</v>
      </c>
      <c r="B17" s="7">
        <f>SUM([3]Delta!$HR$33:$IB$33)</f>
        <v>629383</v>
      </c>
      <c r="C17" s="7">
        <f>SUM('[3]Atlantic Southeast'!$HR$33:$IB$33)</f>
        <v>0</v>
      </c>
      <c r="D17" s="7">
        <f>SUM([3]Pinnacle!$HR$33:$IB$33)</f>
        <v>12326</v>
      </c>
      <c r="E17" s="7">
        <f>SUM('[3]Sky West'!$HR$33:$IB$33)</f>
        <v>35801</v>
      </c>
      <c r="F17" s="7">
        <f>SUM('[3]Go Jet'!$HR$33:$IB$33)</f>
        <v>0</v>
      </c>
      <c r="G17" s="7">
        <f>SUM('[3]Sun Country'!$HR$33:$IB$33)</f>
        <v>116759</v>
      </c>
      <c r="H17" s="7">
        <f>SUM([3]Icelandair!$HR$33:$IB$33)</f>
        <v>27115</v>
      </c>
      <c r="I17" s="7">
        <f>SUM([3]KLM!$HR$33:$IB$33)</f>
        <v>36170</v>
      </c>
      <c r="J17" s="7">
        <f>SUM('[3]Air Georgian'!$HR$33:$IB$33)</f>
        <v>0</v>
      </c>
      <c r="K17" s="7">
        <f>SUM('[3]Sky Regional'!$HR$33:$IB$33)</f>
        <v>0</v>
      </c>
      <c r="L17" s="7">
        <f>SUM([3]Condor!$HR$33:$IB$33)</f>
        <v>9033</v>
      </c>
      <c r="M17" s="7">
        <f>SUM('[3]Aer Lingus'!$HR$33:$IB$33)</f>
        <v>0</v>
      </c>
      <c r="N17" s="7">
        <f>SUM('[3]Air France'!$HR$33:$IB$33)</f>
        <v>23751</v>
      </c>
      <c r="O17" s="7">
        <f>SUM([3]Frontier!$HR$33:$IB$33)</f>
        <v>11586</v>
      </c>
      <c r="P17" s="7">
        <f>SUM('[3]Charter Misc'!$HR$33:$IB$33)++SUM([3]Ryan!$HR$33:$IB$33)+SUM([3]Omni!$HR$33:$IB$33)</f>
        <v>395</v>
      </c>
      <c r="Q17" s="220">
        <f>SUM(B17:P17)</f>
        <v>902319</v>
      </c>
    </row>
    <row r="18" spans="1:20" ht="15" x14ac:dyDescent="0.25">
      <c r="A18" s="44" t="s">
        <v>7</v>
      </c>
      <c r="B18" s="25">
        <f t="shared" ref="B18:P18" si="11">SUM(B16:B17)</f>
        <v>1242336</v>
      </c>
      <c r="C18" s="25">
        <f t="shared" si="11"/>
        <v>0</v>
      </c>
      <c r="D18" s="25">
        <f t="shared" si="11"/>
        <v>25768</v>
      </c>
      <c r="E18" s="25">
        <f t="shared" si="11"/>
        <v>71291</v>
      </c>
      <c r="F18" s="25">
        <f t="shared" ref="F18" si="12">SUM(F16:F17)</f>
        <v>0</v>
      </c>
      <c r="G18" s="25">
        <f t="shared" si="11"/>
        <v>238565</v>
      </c>
      <c r="H18" s="25">
        <f t="shared" si="11"/>
        <v>54121</v>
      </c>
      <c r="I18" s="25">
        <f t="shared" ref="I18" si="13">SUM(I16:I17)</f>
        <v>78607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19394</v>
      </c>
      <c r="M18" s="25">
        <f t="shared" si="15"/>
        <v>0</v>
      </c>
      <c r="N18" s="25">
        <f t="shared" si="11"/>
        <v>49205</v>
      </c>
      <c r="O18" s="25">
        <f t="shared" si="11"/>
        <v>21264</v>
      </c>
      <c r="P18" s="25">
        <f t="shared" si="11"/>
        <v>658</v>
      </c>
      <c r="Q18" s="221">
        <f>SUM(B18:P18)</f>
        <v>1801209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SUM([3]Delta!$HR$37:$IB$37)</f>
        <v>13006</v>
      </c>
      <c r="C21" s="13">
        <f>SUM('[3]Atlantic Southeast'!$HR$37:$IB$37)</f>
        <v>0</v>
      </c>
      <c r="D21" s="13">
        <f>SUM([3]Pinnacle!$HR$37:$IB$37)</f>
        <v>224</v>
      </c>
      <c r="E21" s="13">
        <f>SUM('[3]Sky West'!$HR$37:$IB$37)</f>
        <v>603</v>
      </c>
      <c r="F21" s="13">
        <f>SUM('[3]Go Jet'!$HR$37:$IB$37)</f>
        <v>0</v>
      </c>
      <c r="G21" s="13">
        <f>SUM('[3]Sun Country'!$HR$37:$IB$37)</f>
        <v>1628</v>
      </c>
      <c r="H21" s="13">
        <f>SUM([3]Icelandair!$HR$37:$IB$37)</f>
        <v>164</v>
      </c>
      <c r="I21" s="13">
        <f>SUM([3]KLM!$HR$37:$IB$37)</f>
        <v>188</v>
      </c>
      <c r="J21" s="13">
        <f>SUM('[3]Air Georgian'!$HR$37:$IB$37)</f>
        <v>0</v>
      </c>
      <c r="K21" s="13">
        <f>SUM('[3]Sky Regional'!$HR$37:$IB$37)</f>
        <v>0</v>
      </c>
      <c r="L21" s="13">
        <f>SUM([3]Condor!$HR$37:$IB$37)</f>
        <v>24</v>
      </c>
      <c r="M21" s="13">
        <f>SUM('[3]Aer Lingus'!$HR$37:$IB$37)</f>
        <v>0</v>
      </c>
      <c r="N21" s="13">
        <f>SUM('[3]Air France'!$HR$37:$IB$37)</f>
        <v>186</v>
      </c>
      <c r="O21" s="13">
        <f>SUM([3]Frontier!$HR$37:$IB$37)</f>
        <v>21</v>
      </c>
      <c r="P21" s="13">
        <f>SUM('[3]Charter Misc'!$HR$37:$IB$37)++SUM([3]Ryan!$HR$37:$IB$37)+SUM([3]Omni!$HR$37:$IB$37)</f>
        <v>0</v>
      </c>
      <c r="Q21" s="219">
        <f>SUM(B21:P21)</f>
        <v>16044</v>
      </c>
    </row>
    <row r="22" spans="1:20" x14ac:dyDescent="0.2">
      <c r="A22" s="46" t="s">
        <v>33</v>
      </c>
      <c r="B22" s="7">
        <f>SUM([3]Delta!$HR$38:$IB$38)</f>
        <v>13377</v>
      </c>
      <c r="C22" s="7">
        <f>SUM('[3]Atlantic Southeast'!$HR$38:$IB$38)</f>
        <v>0</v>
      </c>
      <c r="D22" s="7">
        <f>SUM([3]Pinnacle!$HR$38:$IB$38)</f>
        <v>213</v>
      </c>
      <c r="E22" s="7">
        <f>SUM('[3]Sky West'!$HR$38:$IB$38)</f>
        <v>629</v>
      </c>
      <c r="F22" s="7">
        <f>SUM('[3]Go Jet'!$HR$38:$IB$38)</f>
        <v>0</v>
      </c>
      <c r="G22" s="7">
        <f>SUM('[3]Sun Country'!$HR$38:$IB$38)</f>
        <v>1633</v>
      </c>
      <c r="H22" s="7">
        <f>SUM([3]Icelandair!$HR$38:$IB$38)</f>
        <v>190</v>
      </c>
      <c r="I22" s="7">
        <f>SUM([3]KLM!$HR$38:$IB$38)</f>
        <v>27</v>
      </c>
      <c r="J22" s="7">
        <f>SUM('[3]Air Georgian'!$HR$38:$IB$38)</f>
        <v>0</v>
      </c>
      <c r="K22" s="7">
        <f>SUM('[3]Sky Regional'!$HR$38:$IB$38)</f>
        <v>0</v>
      </c>
      <c r="L22" s="7">
        <f>SUM([3]Condor!$HR$38:$IB$38)</f>
        <v>28</v>
      </c>
      <c r="M22" s="7">
        <f>SUM('[3]Aer Lingus'!$HR$38:$IB$38)</f>
        <v>0</v>
      </c>
      <c r="N22" s="7">
        <f>SUM('[3]Air France'!$HR$38:$IB$38)</f>
        <v>15</v>
      </c>
      <c r="O22" s="7">
        <f>SUM([3]Frontier!$HR$38:$IB$38)</f>
        <v>11</v>
      </c>
      <c r="P22" s="7">
        <f>SUM('[3]Charter Misc'!$HR$38:$IB$38)++SUM([3]Ryan!$HR$38:$IB$38)+SUM([3]Omni!$HR$38:$IB$38)</f>
        <v>0</v>
      </c>
      <c r="Q22" s="220">
        <f>SUM(B22:P22)</f>
        <v>16123</v>
      </c>
    </row>
    <row r="23" spans="1:20" ht="15.75" thickBot="1" x14ac:dyDescent="0.3">
      <c r="A23" s="47" t="s">
        <v>34</v>
      </c>
      <c r="B23" s="222">
        <f t="shared" ref="B23:P23" si="16">SUM(B21:B22)</f>
        <v>26383</v>
      </c>
      <c r="C23" s="222">
        <f t="shared" si="16"/>
        <v>0</v>
      </c>
      <c r="D23" s="222">
        <f t="shared" si="16"/>
        <v>437</v>
      </c>
      <c r="E23" s="222">
        <f t="shared" si="16"/>
        <v>1232</v>
      </c>
      <c r="F23" s="222">
        <f t="shared" ref="F23" si="17">SUM(F21:F22)</f>
        <v>0</v>
      </c>
      <c r="G23" s="222">
        <f t="shared" si="16"/>
        <v>3261</v>
      </c>
      <c r="H23" s="222">
        <f t="shared" si="16"/>
        <v>354</v>
      </c>
      <c r="I23" s="222">
        <f t="shared" ref="I23" si="18">SUM(I21:I22)</f>
        <v>215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52</v>
      </c>
      <c r="M23" s="222">
        <f t="shared" si="20"/>
        <v>0</v>
      </c>
      <c r="N23" s="222">
        <f t="shared" si="16"/>
        <v>201</v>
      </c>
      <c r="O23" s="222">
        <f t="shared" si="16"/>
        <v>32</v>
      </c>
      <c r="P23" s="222">
        <f t="shared" si="16"/>
        <v>0</v>
      </c>
      <c r="Q23" s="223">
        <f>SUM(B23:P23)</f>
        <v>32167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[3]Delta!$IB$15</f>
        <v>322</v>
      </c>
      <c r="C27" s="13">
        <f>'[3]Atlantic Southeast'!$IB$15</f>
        <v>0</v>
      </c>
      <c r="D27" s="13">
        <f>[3]Pinnacle!$IB$15</f>
        <v>0</v>
      </c>
      <c r="E27" s="13">
        <f>'[3]Sky West'!$IB$15</f>
        <v>111</v>
      </c>
      <c r="F27" s="13">
        <f>'[3]Go Jet'!$IB$15</f>
        <v>0</v>
      </c>
      <c r="G27" s="13">
        <f>'[3]Sun Country'!$IB$15</f>
        <v>34</v>
      </c>
      <c r="H27" s="13">
        <f>[3]Icelandair!$IB$15</f>
        <v>17</v>
      </c>
      <c r="I27" s="13">
        <f>[3]KLM!$IB$15</f>
        <v>17</v>
      </c>
      <c r="J27" s="13">
        <f>'[3]Air Georgian'!$IB$15</f>
        <v>0</v>
      </c>
      <c r="K27" s="13">
        <f>'[3]Sky Regional'!$IB$15</f>
        <v>0</v>
      </c>
      <c r="L27" s="13">
        <f>[3]Condor!$IB$15</f>
        <v>0</v>
      </c>
      <c r="M27" s="13">
        <f>'[3]Aer Lingus'!$IB$15</f>
        <v>0</v>
      </c>
      <c r="N27" s="13">
        <f>'[3]Air France'!$IB$15</f>
        <v>0</v>
      </c>
      <c r="O27" s="13">
        <f>[3]Frontier!$IB$15</f>
        <v>0</v>
      </c>
      <c r="P27" s="13">
        <f>'[3]Charter Misc'!$IB$15+[3]Ryan!$IB$15+[3]Omni!$IB$15</f>
        <v>0</v>
      </c>
      <c r="Q27" s="219">
        <f>SUM(B27:P27)</f>
        <v>501</v>
      </c>
    </row>
    <row r="28" spans="1:20" x14ac:dyDescent="0.2">
      <c r="A28" s="46" t="s">
        <v>23</v>
      </c>
      <c r="B28" s="13">
        <f>[3]Delta!$IB$16</f>
        <v>327</v>
      </c>
      <c r="C28" s="13">
        <f>'[3]Atlantic Southeast'!$IB$16</f>
        <v>0</v>
      </c>
      <c r="D28" s="13">
        <f>[3]Pinnacle!$IB$16</f>
        <v>0</v>
      </c>
      <c r="E28" s="13">
        <f>'[3]Sky West'!$IB$16</f>
        <v>111</v>
      </c>
      <c r="F28" s="13">
        <f>'[3]Go Jet'!$IB$16</f>
        <v>0</v>
      </c>
      <c r="G28" s="13">
        <f>'[3]Sun Country'!$IB$16</f>
        <v>36</v>
      </c>
      <c r="H28" s="13">
        <f>[3]Icelandair!$IB$16</f>
        <v>17</v>
      </c>
      <c r="I28" s="13">
        <f>[3]KLM!$IB$16</f>
        <v>17</v>
      </c>
      <c r="J28" s="13">
        <f>'[3]Air Georgian'!$IB$16</f>
        <v>0</v>
      </c>
      <c r="K28" s="13">
        <f>'[3]Sky Regional'!$IB$16</f>
        <v>0</v>
      </c>
      <c r="L28" s="13">
        <f>[3]Condor!$IB$16</f>
        <v>0</v>
      </c>
      <c r="M28" s="13">
        <f>'[3]Aer Lingus'!$IB$16</f>
        <v>0</v>
      </c>
      <c r="N28" s="13">
        <f>'[3]Air France'!$IB$16</f>
        <v>0</v>
      </c>
      <c r="O28" s="13">
        <f>[3]Frontier!$IB$16</f>
        <v>0</v>
      </c>
      <c r="P28" s="13">
        <f>'[3]Charter Misc'!$IB$16+[3]Ryan!$IB$16+[3]Omni!$IB$16</f>
        <v>0</v>
      </c>
      <c r="Q28" s="219">
        <f>SUM(B28:P28)</f>
        <v>508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649</v>
      </c>
      <c r="C30" s="307">
        <f t="shared" si="21"/>
        <v>0</v>
      </c>
      <c r="D30" s="307">
        <f t="shared" si="21"/>
        <v>0</v>
      </c>
      <c r="E30" s="307">
        <f>SUM(E27:E28)</f>
        <v>222</v>
      </c>
      <c r="F30" s="307">
        <f>SUM(F27:F28)</f>
        <v>0</v>
      </c>
      <c r="G30" s="307">
        <f t="shared" si="21"/>
        <v>70</v>
      </c>
      <c r="H30" s="307">
        <f t="shared" si="21"/>
        <v>34</v>
      </c>
      <c r="I30" s="307">
        <f t="shared" ref="I30" si="22">SUM(I27:I28)</f>
        <v>34</v>
      </c>
      <c r="J30" s="307">
        <f t="shared" si="21"/>
        <v>0</v>
      </c>
      <c r="K30" s="307">
        <f t="shared" ref="K30" si="23">SUM(K27:K28)</f>
        <v>0</v>
      </c>
      <c r="L30" s="307">
        <f>SUM(L27:L28)</f>
        <v>0</v>
      </c>
      <c r="M30" s="307">
        <f>SUM(M27:M28)</f>
        <v>0</v>
      </c>
      <c r="N30" s="307">
        <f>SUM(N27:N28)</f>
        <v>0</v>
      </c>
      <c r="O30" s="307">
        <f t="shared" ref="O30" si="24">SUM(O27:O28)</f>
        <v>0</v>
      </c>
      <c r="P30" s="307">
        <f>SUM(P27:P28)</f>
        <v>0</v>
      </c>
      <c r="Q30" s="308">
        <f>SUM(B30:P30)</f>
        <v>1009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SUM([3]Delta!$HR$15:$IB$15)</f>
        <v>3931</v>
      </c>
      <c r="C34" s="13">
        <f>SUM('[3]Atlantic Southeast'!$HR$15:$IB$15)</f>
        <v>0</v>
      </c>
      <c r="D34" s="13">
        <f>SUM([3]Pinnacle!$HR$15:$IB$15)</f>
        <v>245</v>
      </c>
      <c r="E34" s="13">
        <f>SUM('[3]Sky West'!$HR$15:$IB$15)</f>
        <v>582</v>
      </c>
      <c r="F34" s="13">
        <f>SUM('[3]Go Jet'!$HR$15:$IB$15)</f>
        <v>0</v>
      </c>
      <c r="G34" s="13">
        <f>SUM('[3]Sun Country'!$HR$15:$IB$15)</f>
        <v>924</v>
      </c>
      <c r="H34" s="13">
        <f>SUM([3]Icelandair!$HR$15:$IB$15)</f>
        <v>188</v>
      </c>
      <c r="I34" s="13">
        <f>SUM([3]KLM!$HR$15:$IB$15)</f>
        <v>183</v>
      </c>
      <c r="J34" s="13">
        <f>SUM('[3]Air Georgian'!$HR$15:$IB$15)</f>
        <v>0</v>
      </c>
      <c r="K34" s="13">
        <f>SUM('[3]Sky Regional'!$HR$15:$IB$15)</f>
        <v>0</v>
      </c>
      <c r="L34" s="13">
        <f>SUM([3]Condor!$HR$15:$IB$15)</f>
        <v>49</v>
      </c>
      <c r="M34" s="13">
        <f>SUM('[3]Aer Lingus'!$HR$15:$IB$15)</f>
        <v>0</v>
      </c>
      <c r="N34" s="13">
        <f>SUM('[3]Air France'!$HR$15:$IB$15)</f>
        <v>97</v>
      </c>
      <c r="O34" s="13">
        <f>SUM([3]Frontier!$HR$15:$IB$15)</f>
        <v>99</v>
      </c>
      <c r="P34" s="13">
        <f>SUM('[3]Charter Misc'!$HR$15:$IB$15)+SUM([3]Ryan!$HR$15:$IB$15)+SUM([3]Omni!$HR$15:$IB$15)</f>
        <v>3</v>
      </c>
      <c r="Q34" s="219">
        <f>SUM(B34:P34)</f>
        <v>6301</v>
      </c>
    </row>
    <row r="35" spans="1:17" x14ac:dyDescent="0.2">
      <c r="A35" s="46" t="s">
        <v>23</v>
      </c>
      <c r="B35" s="13">
        <f>SUM([3]Delta!$HR$16:$IB$16)</f>
        <v>3946</v>
      </c>
      <c r="C35" s="13">
        <f>SUM('[3]Atlantic Southeast'!$HR$16:$IB$16)</f>
        <v>0</v>
      </c>
      <c r="D35" s="13">
        <f>SUM([3]Pinnacle!$HR$16:$IB$16)</f>
        <v>244</v>
      </c>
      <c r="E35" s="13">
        <f>SUM('[3]Sky West'!$HR$16:$IB$16)</f>
        <v>585</v>
      </c>
      <c r="F35" s="13">
        <f>SUM('[3]Go Jet'!$HR$16:$IB$16)</f>
        <v>0</v>
      </c>
      <c r="G35" s="13">
        <f>SUM('[3]Sun Country'!$HR$16:$IB$16)</f>
        <v>916</v>
      </c>
      <c r="H35" s="13">
        <f>SUM([3]Icelandair!$HR$16:$IB$16)</f>
        <v>188</v>
      </c>
      <c r="I35" s="13">
        <f>SUM([3]KLM!$HR$16:$IB$16)</f>
        <v>183</v>
      </c>
      <c r="J35" s="13">
        <f>SUM('[3]Air Georgian'!$HR$16:$IB$16)</f>
        <v>0</v>
      </c>
      <c r="K35" s="13">
        <f>SUM('[3]Sky Regional'!$HR$16:$IB$16)</f>
        <v>0</v>
      </c>
      <c r="L35" s="13">
        <f>SUM([3]Condor!$HR$16:$IB$16)</f>
        <v>49</v>
      </c>
      <c r="M35" s="13">
        <f>SUM('[3]Aer Lingus'!$HR$16:$IB$16)</f>
        <v>0</v>
      </c>
      <c r="N35" s="13">
        <f>SUM('[3]Air France'!$HR$16:$IB$16)</f>
        <v>97</v>
      </c>
      <c r="O35" s="13">
        <f>SUM([3]Frontier!$HR$16:$IB$16)</f>
        <v>99</v>
      </c>
      <c r="P35" s="13">
        <f>SUM('[3]Charter Misc'!$HR$16:$IB$16)+SUM([3]Ryan!$HR$16:$IB$16)+SUM([3]Omni!$HR$16:$IB$16)</f>
        <v>2</v>
      </c>
      <c r="Q35" s="219">
        <f>SUM(B35:P35)</f>
        <v>6309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7877</v>
      </c>
      <c r="C37" s="307">
        <f t="shared" si="25"/>
        <v>0</v>
      </c>
      <c r="D37" s="307">
        <f t="shared" si="25"/>
        <v>489</v>
      </c>
      <c r="E37" s="307">
        <f>+SUM(E34:E35)</f>
        <v>1167</v>
      </c>
      <c r="F37" s="307">
        <f>+SUM(F34:F35)</f>
        <v>0</v>
      </c>
      <c r="G37" s="307">
        <f t="shared" si="25"/>
        <v>1840</v>
      </c>
      <c r="H37" s="307">
        <f t="shared" si="25"/>
        <v>376</v>
      </c>
      <c r="I37" s="307">
        <f t="shared" ref="I37" si="26">+SUM(I34:I35)</f>
        <v>366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98</v>
      </c>
      <c r="M37" s="307">
        <f>+SUM(M34:M35)</f>
        <v>0</v>
      </c>
      <c r="N37" s="307">
        <f>+SUM(N34:N35)</f>
        <v>194</v>
      </c>
      <c r="O37" s="307">
        <f t="shared" ref="O37" si="28">+SUM(O34:O35)</f>
        <v>198</v>
      </c>
      <c r="P37" s="307">
        <f>+SUM(P34:P35)</f>
        <v>5</v>
      </c>
      <c r="Q37" s="308">
        <f>SUM(B37:P37)</f>
        <v>12610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&amp;"Arial,Bold"November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pane ySplit="2" topLeftCell="A17" activePane="bottomLeft" state="frozen"/>
      <selection pane="bottomLeft" activeCell="P76" sqref="P76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6" width="10.71093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.7109375" bestFit="1" customWidth="1"/>
    <col min="22" max="22" width="9.85546875" bestFit="1" customWidth="1"/>
    <col min="23" max="23" width="10.71093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44866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44866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44866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Lingus'!$IB$19</f>
        <v>0</v>
      </c>
      <c r="D4" s="286">
        <f>'[3]Aer Lingus'!$HN$19</f>
        <v>0</v>
      </c>
      <c r="E4" s="287" t="e">
        <f>(C4-D4)/D4</f>
        <v>#DIV/0!</v>
      </c>
      <c r="F4" s="286">
        <f>SUM('[3]Aer Lingus'!$HR$19:$IB$19)</f>
        <v>0</v>
      </c>
      <c r="G4" s="286">
        <f>SUM('[3]Aer Lingus'!$HD$19:$HN$19)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Lingus'!$IB$41</f>
        <v>0</v>
      </c>
      <c r="M4" s="286">
        <f>'[3]Aer Lingus'!$HN$41</f>
        <v>0</v>
      </c>
      <c r="N4" s="287" t="e">
        <f>(L4-M4)/M4</f>
        <v>#DIV/0!</v>
      </c>
      <c r="O4" s="284">
        <f>SUM('[3]Aer Lingus'!$HR$41:$IB$41)</f>
        <v>0</v>
      </c>
      <c r="P4" s="286">
        <f>SUM('[3]Aer Lingus'!$HD$41:$HN$41)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Lingus'!$IB$64</f>
        <v>0</v>
      </c>
      <c r="V4" s="286">
        <f>'[3]Aer Lingus'!$HN$64</f>
        <v>0</v>
      </c>
      <c r="W4" s="287" t="e">
        <f>(U4-V4)/V4</f>
        <v>#DIV/0!</v>
      </c>
      <c r="X4" s="284">
        <f>SUM('[3]Aer Lingus'!$HR$64:$IB$64)</f>
        <v>0</v>
      </c>
      <c r="Y4" s="286">
        <f>SUM('[3]Aer Lingus'!$HD$64:$HN$64)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167</v>
      </c>
      <c r="D6" s="286">
        <f>SUM(D7:D10)</f>
        <v>62</v>
      </c>
      <c r="E6" s="287">
        <f>(C6-D6)/D6</f>
        <v>1.6935483870967742</v>
      </c>
      <c r="F6" s="284">
        <f>SUM(F7:F10)</f>
        <v>1705</v>
      </c>
      <c r="G6" s="286">
        <f>SUM(G7:G10)</f>
        <v>171</v>
      </c>
      <c r="H6" s="285">
        <f>(F6-G6)/G6</f>
        <v>8.9707602339181278</v>
      </c>
      <c r="I6" s="287">
        <f>F6/$F$73</f>
        <v>6.7018596186425687E-3</v>
      </c>
      <c r="J6" s="283" t="s">
        <v>98</v>
      </c>
      <c r="K6" s="40"/>
      <c r="L6" s="284">
        <f>SUM(L7:L10)</f>
        <v>10346</v>
      </c>
      <c r="M6" s="286">
        <f>SUM(M7:M10)</f>
        <v>3329</v>
      </c>
      <c r="N6" s="287">
        <f>(L6-M6)/M6</f>
        <v>2.1078401922499248</v>
      </c>
      <c r="O6" s="284">
        <f>SUM(O7:O10)</f>
        <v>92287</v>
      </c>
      <c r="P6" s="286">
        <f>SUM(P7:P10)</f>
        <v>10432</v>
      </c>
      <c r="Q6" s="285">
        <f>(O6-P6)/P6</f>
        <v>7.8465299079754605</v>
      </c>
      <c r="R6" s="287">
        <f>O6/$O$73</f>
        <v>3.3049634651611003E-3</v>
      </c>
      <c r="S6" s="283" t="s">
        <v>98</v>
      </c>
      <c r="T6" s="40"/>
      <c r="U6" s="284">
        <f>SUM(U7:U10)</f>
        <v>0</v>
      </c>
      <c r="V6" s="286">
        <f>SUM(V7:V10)</f>
        <v>0</v>
      </c>
      <c r="W6" s="287" t="e">
        <f>(U6-V6)/V6</f>
        <v>#DIV/0!</v>
      </c>
      <c r="X6" s="284">
        <f>SUM(X7:X10)</f>
        <v>804730</v>
      </c>
      <c r="Y6" s="286">
        <f>SUM(Y7:Y10)</f>
        <v>0</v>
      </c>
      <c r="Z6" s="285" t="e">
        <f>(X6-Y6)/Y6</f>
        <v>#DIV/0!</v>
      </c>
      <c r="AA6" s="287">
        <f>X6/$X$73</f>
        <v>8.7005008931763193E-3</v>
      </c>
    </row>
    <row r="7" spans="1:27" ht="14.1" customHeight="1" x14ac:dyDescent="0.2">
      <c r="A7" s="283"/>
      <c r="B7" s="343" t="s">
        <v>98</v>
      </c>
      <c r="C7" s="288">
        <f>+[3]AirCanada!$IB$19</f>
        <v>0</v>
      </c>
      <c r="D7" s="2">
        <f>+[3]AirCanada!$HN$19</f>
        <v>0</v>
      </c>
      <c r="E7" s="66" t="e">
        <f>(C7-D7)/D7</f>
        <v>#DIV/0!</v>
      </c>
      <c r="F7" s="231">
        <f>SUM([3]AirCanada!$HR$19:$IB$19)</f>
        <v>0</v>
      </c>
      <c r="G7" s="231">
        <f>SUM([3]AirCanada!$HD$19:$HN$19)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+[3]AirCanada!$IB$41</f>
        <v>0</v>
      </c>
      <c r="M7" s="231">
        <f>+[3]AirCanada!$HN$41</f>
        <v>0</v>
      </c>
      <c r="N7" s="349" t="e">
        <f>(L7-M7)/M7</f>
        <v>#DIV/0!</v>
      </c>
      <c r="O7" s="347">
        <f>SUM([3]AirCanada!$HR$41:$IB$41)</f>
        <v>0</v>
      </c>
      <c r="P7" s="231">
        <f>SUM([3]AirCanada!$HD$41:$HN$41)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+[3]AirCanada!$IB$64</f>
        <v>0</v>
      </c>
      <c r="V7" s="231">
        <f>+[3]AirCanada!$HN$64</f>
        <v>0</v>
      </c>
      <c r="W7" s="349" t="e">
        <f>(U7-V7)/V7</f>
        <v>#DIV/0!</v>
      </c>
      <c r="X7" s="347">
        <f>SUM([3]AirCanada!$HR$64:$IB$64)</f>
        <v>0</v>
      </c>
      <c r="Y7" s="231">
        <f>SUM([3]AirCanada!$HD$64:$HN$64)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Georgian'!$IB$19</f>
        <v>0</v>
      </c>
      <c r="D8" s="2">
        <f>'[3]Air Georgian'!$HN$19</f>
        <v>0</v>
      </c>
      <c r="E8" s="66" t="e">
        <f>(C8-D8)/D8</f>
        <v>#DIV/0!</v>
      </c>
      <c r="F8" s="231">
        <f>SUM('[3]Air Georgian'!$HR$19:$IB$19)</f>
        <v>0</v>
      </c>
      <c r="G8" s="231">
        <f>SUM('[3]Air Georgian'!$HD$19:$HN$19)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Georgian'!$IB$41</f>
        <v>0</v>
      </c>
      <c r="M8" s="2">
        <f>'[3]Air Georgian'!$HN$41</f>
        <v>0</v>
      </c>
      <c r="N8" s="66" t="e">
        <f>(L8-M8)/M8</f>
        <v>#DIV/0!</v>
      </c>
      <c r="O8" s="288">
        <f>SUM('[3]Air Georgian'!$HR$41:$IB$41)</f>
        <v>0</v>
      </c>
      <c r="P8" s="2">
        <f>SUM('[3]Air Georgian'!$HD$41:$HN$41)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Georgian'!$IB$64</f>
        <v>0</v>
      </c>
      <c r="V8" s="2">
        <f>'[3]Air Georgian'!$HN$64</f>
        <v>0</v>
      </c>
      <c r="W8" s="66" t="e">
        <f>(U8-V8)/V8</f>
        <v>#DIV/0!</v>
      </c>
      <c r="X8" s="288">
        <f>SUM('[3]Air Georgian'!$HR$64:$IB$64)</f>
        <v>0</v>
      </c>
      <c r="Y8" s="2">
        <f>SUM('[3]Air Georgian'!$HD$64:$HN$64)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[3]Jazz_AC!$IB$19</f>
        <v>167</v>
      </c>
      <c r="D9" s="2">
        <f>[3]Jazz_AC!$HN$19</f>
        <v>62</v>
      </c>
      <c r="E9" s="66">
        <f t="shared" ref="E9" si="0">(C9-D9)/D9</f>
        <v>1.6935483870967742</v>
      </c>
      <c r="F9" s="2">
        <f>SUM([3]Jazz_AC!$HR$19:$IB$19)</f>
        <v>1705</v>
      </c>
      <c r="G9" s="2">
        <f>SUM([3]Jazz_AC!$HD$19:$HN$19)</f>
        <v>171</v>
      </c>
      <c r="H9" s="3">
        <f t="shared" ref="H9" si="1">(F9-G9)/G9</f>
        <v>8.9707602339181278</v>
      </c>
      <c r="I9" s="66">
        <f>F9/$F$73</f>
        <v>6.7018596186425687E-3</v>
      </c>
      <c r="J9" s="283"/>
      <c r="K9" s="343" t="s">
        <v>236</v>
      </c>
      <c r="L9" s="288">
        <f>[3]Jazz_AC!$IB$41</f>
        <v>10346</v>
      </c>
      <c r="M9" s="2">
        <f>[3]Jazz_AC!$HN$41</f>
        <v>3329</v>
      </c>
      <c r="N9" s="66">
        <f t="shared" ref="N9" si="2">(L9-M9)/M9</f>
        <v>2.1078401922499248</v>
      </c>
      <c r="O9" s="288">
        <f>SUM([3]Jazz_AC!$HR$41:$IB$41)</f>
        <v>92287</v>
      </c>
      <c r="P9" s="2">
        <f>SUM([3]Jazz_AC!$HD$41:$HN$41)</f>
        <v>10432</v>
      </c>
      <c r="Q9" s="3">
        <f t="shared" ref="Q9" si="3">(O9-P9)/P9</f>
        <v>7.8465299079754605</v>
      </c>
      <c r="R9" s="66">
        <f>O9/$O$73</f>
        <v>3.3049634651611003E-3</v>
      </c>
      <c r="S9" s="283"/>
      <c r="T9" s="343" t="s">
        <v>236</v>
      </c>
      <c r="U9" s="288">
        <f>[3]Jazz_AC!$IB$64</f>
        <v>0</v>
      </c>
      <c r="V9" s="2">
        <f>[3]Jazz_AC!$HN$64</f>
        <v>0</v>
      </c>
      <c r="W9" s="66" t="e">
        <f t="shared" ref="W9" si="4">(U9-V9)/V9</f>
        <v>#DIV/0!</v>
      </c>
      <c r="X9" s="288">
        <f>SUM([3]Jazz_AC!$HR$64:$IB$64)</f>
        <v>804730</v>
      </c>
      <c r="Y9" s="2">
        <f>SUM([3]Jazz_AC!$HD$64:$HN$64)</f>
        <v>0</v>
      </c>
      <c r="Z9" s="3" t="e">
        <f t="shared" ref="Z9" si="5">(X9-Y9)/Y9</f>
        <v>#DIV/0!</v>
      </c>
      <c r="AA9" s="66">
        <f>X9/$X$73</f>
        <v>8.7005008931763193E-3</v>
      </c>
    </row>
    <row r="10" spans="1:27" ht="14.1" customHeight="1" x14ac:dyDescent="0.2">
      <c r="A10" s="283"/>
      <c r="B10" s="343" t="s">
        <v>192</v>
      </c>
      <c r="C10" s="288">
        <f>'[3]Sky Regional'!$IB$19</f>
        <v>0</v>
      </c>
      <c r="D10" s="2">
        <f>'[3]Sky Regional'!$HN$19</f>
        <v>0</v>
      </c>
      <c r="E10" s="66" t="e">
        <f>(C10-D10)/D10</f>
        <v>#DIV/0!</v>
      </c>
      <c r="F10" s="231">
        <f>SUM('[3]Sky Regional'!$HR$19:$IB$19)</f>
        <v>0</v>
      </c>
      <c r="G10" s="231">
        <f>SUM('[3]Sky Regional'!$HD$19:$HN$19)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Regional'!$IB$41</f>
        <v>0</v>
      </c>
      <c r="M10" s="2">
        <f>'[3]Sky Regional'!$HN$41</f>
        <v>0</v>
      </c>
      <c r="N10" s="66" t="e">
        <f>(L10-M10)/M10</f>
        <v>#DIV/0!</v>
      </c>
      <c r="O10" s="288">
        <f>SUM('[3]Sky Regional'!$HR$41:$IB$41)</f>
        <v>0</v>
      </c>
      <c r="P10" s="2">
        <f>SUM('[3]Sky Regional'!$HD$41:$HN$41)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Regional'!$IB$64</f>
        <v>0</v>
      </c>
      <c r="V10" s="2">
        <f>'[3]Sky Regional'!$HN$64</f>
        <v>0</v>
      </c>
      <c r="W10" s="66" t="e">
        <f>(U10-V10)/V10</f>
        <v>#DIV/0!</v>
      </c>
      <c r="X10" s="288">
        <f>SUM('[3]Sky Regional'!$HR$64:$IB$64)</f>
        <v>0</v>
      </c>
      <c r="Y10" s="2">
        <f>SUM('[3]Sky Regional'!$HD$64:$HN$64)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One'!$IB$19</f>
        <v>0</v>
      </c>
      <c r="D12" s="286">
        <f>'[3]Air Choice One'!$HN$19</f>
        <v>0</v>
      </c>
      <c r="E12" s="287" t="e">
        <f>(C12-D12)/D12</f>
        <v>#DIV/0!</v>
      </c>
      <c r="F12" s="286">
        <f>SUM('[3]Air Choice One'!$HR$19:$IB$19)</f>
        <v>0</v>
      </c>
      <c r="G12" s="286">
        <f>SUM('[3]Air Choice One'!$HD$19:$HN$19)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One'!$IB$41</f>
        <v>0</v>
      </c>
      <c r="M12" s="286">
        <f>'[3]Air Choice One'!$HN$41</f>
        <v>0</v>
      </c>
      <c r="N12" s="287" t="e">
        <f>(L12-M12)/M12</f>
        <v>#DIV/0!</v>
      </c>
      <c r="O12" s="284">
        <f>SUM('[3]Air Choice One'!$HR$41:$IB$41)</f>
        <v>0</v>
      </c>
      <c r="P12" s="286">
        <f>SUM('[3]Air Choice One'!$HD$41:$HN$41)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One'!$IB$64</f>
        <v>0</v>
      </c>
      <c r="V12" s="286">
        <f>'[3]Air Choice One'!$HN$64</f>
        <v>0</v>
      </c>
      <c r="W12" s="287" t="e">
        <f>(U12-V12)/V12</f>
        <v>#DIV/0!</v>
      </c>
      <c r="X12" s="284">
        <f>SUM('[3]Air Choice One'!$HR$64:$IB$64)</f>
        <v>0</v>
      </c>
      <c r="Y12" s="286">
        <f>SUM('[3]Air Choice One'!$HD$64:$HN$64)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France'!$IB$19</f>
        <v>0</v>
      </c>
      <c r="D14" s="286">
        <f>'[3]Air France'!$HN$19</f>
        <v>0</v>
      </c>
      <c r="E14" s="287" t="e">
        <f>(C14-D14)/D14</f>
        <v>#DIV/0!</v>
      </c>
      <c r="F14" s="286">
        <f>SUM('[3]Air France'!$HR$19:$IB$19)</f>
        <v>194</v>
      </c>
      <c r="G14" s="286">
        <f>SUM('[3]Air France'!$HD$19:$HN$19)</f>
        <v>126</v>
      </c>
      <c r="H14" s="285">
        <f>(F14-G14)/G14</f>
        <v>0.53968253968253965</v>
      </c>
      <c r="I14" s="287">
        <f>F14/$F$73</f>
        <v>7.6255763402736563E-4</v>
      </c>
      <c r="J14" s="283" t="s">
        <v>156</v>
      </c>
      <c r="K14" s="40"/>
      <c r="L14" s="284">
        <f>'[3]Air France'!$IB$41</f>
        <v>0</v>
      </c>
      <c r="M14" s="286">
        <f>'[3]Air France'!$HN$41</f>
        <v>0</v>
      </c>
      <c r="N14" s="287" t="e">
        <f>(L14-M14)/M14</f>
        <v>#DIV/0!</v>
      </c>
      <c r="O14" s="284">
        <f>SUM('[3]Air France'!$HR$41:$IB$41)</f>
        <v>49205</v>
      </c>
      <c r="P14" s="286">
        <f>SUM('[3]Air France'!$HD$41:$HN$41)</f>
        <v>21245</v>
      </c>
      <c r="Q14" s="285">
        <f>(O14-P14)/P14</f>
        <v>1.3160743704401034</v>
      </c>
      <c r="R14" s="287">
        <f>O14/$O$73</f>
        <v>1.7621195542519743E-3</v>
      </c>
      <c r="S14" s="283" t="s">
        <v>156</v>
      </c>
      <c r="T14" s="40"/>
      <c r="U14" s="284">
        <f>'[3]Air France'!$IB$64</f>
        <v>0</v>
      </c>
      <c r="V14" s="286">
        <f>'[3]Air France'!$HN$64</f>
        <v>0</v>
      </c>
      <c r="W14" s="287" t="e">
        <f>(U14-V14)/V14</f>
        <v>#DIV/0!</v>
      </c>
      <c r="X14" s="284">
        <f>SUM('[3]Air France'!$HR$64:$IB$64)</f>
        <v>2150435</v>
      </c>
      <c r="Y14" s="286">
        <f>SUM('[3]Air France'!$HD$64:$HN$64)</f>
        <v>1840520</v>
      </c>
      <c r="Z14" s="285">
        <f>(X14-Y14)/Y14</f>
        <v>0.16838447829961098</v>
      </c>
      <c r="AA14" s="287">
        <f>X14/$X$73</f>
        <v>2.3249862237294024E-2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'!$IB$19</f>
        <v>82</v>
      </c>
      <c r="D16" s="2">
        <f>'[3]Allegiant '!$HN$19</f>
        <v>80</v>
      </c>
      <c r="E16" s="66">
        <f t="shared" ref="E16" si="6">(C16-D16)/D16</f>
        <v>2.5000000000000001E-2</v>
      </c>
      <c r="F16" s="2">
        <f>SUM('[3]Allegiant '!$HR$19:$IB$19)</f>
        <v>840</v>
      </c>
      <c r="G16" s="2">
        <f>SUM('[3]Allegiant '!$HD$19:$HN$19)</f>
        <v>144</v>
      </c>
      <c r="H16" s="3">
        <f t="shared" ref="H16" si="7">(F16-G16)/G16</f>
        <v>4.833333333333333</v>
      </c>
      <c r="I16" s="66">
        <f>F16/$F$73</f>
        <v>3.3017959411494181E-3</v>
      </c>
      <c r="J16" s="283" t="s">
        <v>237</v>
      </c>
      <c r="K16" s="40"/>
      <c r="L16" s="288">
        <f>'[3]Allegiant '!$IB$41</f>
        <v>11876</v>
      </c>
      <c r="M16" s="2">
        <f>'[3]Allegiant '!$HN$41</f>
        <v>7424</v>
      </c>
      <c r="N16" s="66">
        <f t="shared" ref="N16" si="8">(L16-M16)/M16</f>
        <v>0.59967672413793105</v>
      </c>
      <c r="O16" s="288">
        <f>SUM('[3]Allegiant '!$HR$41:$IB$41)</f>
        <v>117210</v>
      </c>
      <c r="P16" s="2">
        <f>SUM('[3]Allegiant '!$HD$41:$HN$41)</f>
        <v>12023</v>
      </c>
      <c r="Q16" s="3">
        <f t="shared" ref="Q16" si="9">(O16-P16)/P16</f>
        <v>8.7488147716875986</v>
      </c>
      <c r="R16" s="66">
        <f>O16/$O$73</f>
        <v>4.197500923765347E-3</v>
      </c>
      <c r="S16" s="283" t="s">
        <v>237</v>
      </c>
      <c r="T16" s="40"/>
      <c r="U16" s="288">
        <f>'[3]Allegiant '!$IB$64</f>
        <v>0</v>
      </c>
      <c r="V16" s="2">
        <f>'[3]Allegiant '!$HN$64</f>
        <v>0</v>
      </c>
      <c r="W16" s="66" t="e">
        <f t="shared" ref="W16" si="10">(U16-V16)/V16</f>
        <v>#DIV/0!</v>
      </c>
      <c r="X16" s="288">
        <f>SUM('[3]Allegiant '!$HR$64:$IB$64)</f>
        <v>0</v>
      </c>
      <c r="Y16" s="2">
        <f>SUM('[3]Allegiant '!$HD$64:$HN$64)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112</v>
      </c>
      <c r="D18" s="286">
        <f>SUM(D19:D21)</f>
        <v>147</v>
      </c>
      <c r="E18" s="287">
        <f>(C18-D18)/D18</f>
        <v>-0.23809523809523808</v>
      </c>
      <c r="F18" s="286">
        <f>SUM(F19:F21)</f>
        <v>1811</v>
      </c>
      <c r="G18" s="286">
        <f>SUM(G19:G21)</f>
        <v>1712</v>
      </c>
      <c r="H18" s="285">
        <f>(F18-G18)/G18</f>
        <v>5.7827102803738317E-2</v>
      </c>
      <c r="I18" s="287">
        <f>F18/$F$73</f>
        <v>7.1185148207399953E-3</v>
      </c>
      <c r="J18" s="283" t="s">
        <v>128</v>
      </c>
      <c r="K18" s="40"/>
      <c r="L18" s="284">
        <f>SUM(L19:L21)</f>
        <v>15629</v>
      </c>
      <c r="M18" s="286">
        <f>SUM(M19:M21)</f>
        <v>16595</v>
      </c>
      <c r="N18" s="287">
        <f>(L18-M18)/M18</f>
        <v>-5.8210304308526667E-2</v>
      </c>
      <c r="O18" s="284">
        <f>SUM(O19:O21)</f>
        <v>242422</v>
      </c>
      <c r="P18" s="286">
        <f>SUM(P19:P21)</f>
        <v>207101</v>
      </c>
      <c r="Q18" s="285">
        <f>(O18-P18)/P18</f>
        <v>0.17054963520214775</v>
      </c>
      <c r="R18" s="287">
        <f>O18/$O$73</f>
        <v>8.6815678606009979E-3</v>
      </c>
      <c r="S18" s="283" t="s">
        <v>128</v>
      </c>
      <c r="T18" s="40"/>
      <c r="U18" s="284">
        <f>SUM(U19:U21)</f>
        <v>25709</v>
      </c>
      <c r="V18" s="286">
        <f>SUM(V19:V21)</f>
        <v>19736</v>
      </c>
      <c r="W18" s="287">
        <f>(U18-V18)/V18</f>
        <v>0.30264491284961492</v>
      </c>
      <c r="X18" s="284">
        <f>SUM(X19:X21)</f>
        <v>338995</v>
      </c>
      <c r="Y18" s="286">
        <f>SUM(Y19:Y21)</f>
        <v>295563</v>
      </c>
      <c r="Z18" s="285">
        <f>(X18-Y18)/Y18</f>
        <v>0.14694667465142797</v>
      </c>
      <c r="AA18" s="287">
        <f>X18/$X$73</f>
        <v>3.6651128953590728E-3</v>
      </c>
    </row>
    <row r="19" spans="1:27" ht="14.1" customHeight="1" x14ac:dyDescent="0.2">
      <c r="A19" s="283"/>
      <c r="B19" s="343" t="s">
        <v>128</v>
      </c>
      <c r="C19" s="347">
        <f>[3]Alaska!$IB$19</f>
        <v>112</v>
      </c>
      <c r="D19" s="231">
        <f>[3]Alaska!$HN$19</f>
        <v>93</v>
      </c>
      <c r="E19" s="349">
        <f>(C19-D19)/D19</f>
        <v>0.20430107526881722</v>
      </c>
      <c r="F19" s="231">
        <f>SUM([3]Alaska!$HR$19:$IB$19)</f>
        <v>1719</v>
      </c>
      <c r="G19" s="231">
        <f>SUM([3]Alaska!$HD$19:$HN$19)</f>
        <v>1244</v>
      </c>
      <c r="H19" s="348">
        <f>(F19-G19)/G19</f>
        <v>0.38183279742765275</v>
      </c>
      <c r="I19" s="349">
        <f>F19/$F$73</f>
        <v>6.7568895509950589E-3</v>
      </c>
      <c r="J19" s="283"/>
      <c r="K19" s="343" t="s">
        <v>128</v>
      </c>
      <c r="L19" s="347">
        <f>[3]Alaska!$IB$41</f>
        <v>15629</v>
      </c>
      <c r="M19" s="231">
        <f>[3]Alaska!$HN$41</f>
        <v>12934</v>
      </c>
      <c r="N19" s="349">
        <f>(L19-M19)/M19</f>
        <v>0.20836554816762023</v>
      </c>
      <c r="O19" s="347">
        <f>SUM([3]Alaska!$HR$41:$IB$41)</f>
        <v>237051</v>
      </c>
      <c r="P19" s="231">
        <f>SUM([3]Alaska!$HD$41:$HN$41)</f>
        <v>170508</v>
      </c>
      <c r="Q19" s="348">
        <f>(O19-P19)/P19</f>
        <v>0.39026321345626014</v>
      </c>
      <c r="R19" s="349">
        <f>O19/$O$73</f>
        <v>8.4892226898686061E-3</v>
      </c>
      <c r="S19" s="283"/>
      <c r="T19" s="343" t="s">
        <v>128</v>
      </c>
      <c r="U19" s="347">
        <f>[3]Alaska!$IB$64</f>
        <v>25709</v>
      </c>
      <c r="V19" s="231">
        <f>[3]Alaska!$HN$64</f>
        <v>14859</v>
      </c>
      <c r="W19" s="349">
        <f>(U19-V19)/V19</f>
        <v>0.73019718689010027</v>
      </c>
      <c r="X19" s="347">
        <f>SUM([3]Alaska!$HR$64:$IB$64)</f>
        <v>331396</v>
      </c>
      <c r="Y19" s="231">
        <f>SUM([3]Alaska!$HD$64:$HN$64)</f>
        <v>265558</v>
      </c>
      <c r="Z19" s="348">
        <f>(X19-Y19)/Y19</f>
        <v>0.24792324087393339</v>
      </c>
      <c r="AA19" s="349">
        <f>X19/$X$73</f>
        <v>3.5829547724019976E-3</v>
      </c>
    </row>
    <row r="20" spans="1:27" ht="14.1" customHeight="1" x14ac:dyDescent="0.2">
      <c r="A20" s="283"/>
      <c r="B20" s="343" t="s">
        <v>97</v>
      </c>
      <c r="C20" s="288">
        <f>'[3]Sky West_AS'!$IB$19</f>
        <v>0</v>
      </c>
      <c r="D20" s="2">
        <f>'[3]Sky West_AS'!$HN$19</f>
        <v>36</v>
      </c>
      <c r="E20" s="66">
        <f>(C20-D20)/D20</f>
        <v>-1</v>
      </c>
      <c r="F20" s="2">
        <f>SUM('[3]Sky West_AS'!$HR$19:$IB$19)</f>
        <v>54</v>
      </c>
      <c r="G20" s="2">
        <f>SUM('[3]Sky West_AS'!$HD$19:$HN$19)</f>
        <v>84</v>
      </c>
      <c r="H20" s="3">
        <f>(F20-G20)/G20</f>
        <v>-0.35714285714285715</v>
      </c>
      <c r="I20" s="66">
        <f>F20/$F$73</f>
        <v>2.1225831050246258E-4</v>
      </c>
      <c r="J20" s="283"/>
      <c r="K20" s="343" t="s">
        <v>97</v>
      </c>
      <c r="L20" s="288">
        <f>'[3]Sky West_AS'!$IB$41</f>
        <v>0</v>
      </c>
      <c r="M20" s="2">
        <f>'[3]Sky West_AS'!$HN$41</f>
        <v>2425</v>
      </c>
      <c r="N20" s="66">
        <f>(L20-M20)/M20</f>
        <v>-1</v>
      </c>
      <c r="O20" s="288">
        <f>SUM('[3]Sky West_AS'!$HR$41:$IB$41)</f>
        <v>2767</v>
      </c>
      <c r="P20" s="2">
        <f>SUM('[3]Sky West_AS'!$HD$41:$HN$41)</f>
        <v>5792</v>
      </c>
      <c r="Q20" s="3">
        <f>(O20-P20)/P20</f>
        <v>-0.52227209944751385</v>
      </c>
      <c r="R20" s="349">
        <f>O20/$O$73</f>
        <v>9.9091246958951583E-5</v>
      </c>
      <c r="S20" s="283"/>
      <c r="T20" s="343" t="s">
        <v>97</v>
      </c>
      <c r="U20" s="288">
        <f>'[3]Sky West_AS'!$IB$64</f>
        <v>0</v>
      </c>
      <c r="V20" s="2">
        <f>'[3]Sky West_AS'!$HN$64</f>
        <v>3778</v>
      </c>
      <c r="W20" s="66">
        <f>(U20-V20)/V20</f>
        <v>-1</v>
      </c>
      <c r="X20" s="288">
        <f>SUM('[3]Sky West_AS'!$HR$64:$IB$64)</f>
        <v>4924</v>
      </c>
      <c r="Y20" s="2">
        <f>SUM('[3]Sky West_AS'!$HD$64:$HN$64)</f>
        <v>6575</v>
      </c>
      <c r="Z20" s="3">
        <f>(X20-Y20)/Y20</f>
        <v>-0.25110266159695815</v>
      </c>
      <c r="AA20" s="349">
        <f>X20/$X$73</f>
        <v>5.3236820297491334E-5</v>
      </c>
    </row>
    <row r="21" spans="1:27" ht="14.1" customHeight="1" x14ac:dyDescent="0.2">
      <c r="A21" s="283"/>
      <c r="B21" s="343" t="s">
        <v>193</v>
      </c>
      <c r="C21" s="288">
        <f>[3]Horizon_AS!$IB$19</f>
        <v>0</v>
      </c>
      <c r="D21" s="2">
        <f>[3]Horizon_AS!$HN$19</f>
        <v>18</v>
      </c>
      <c r="E21" s="66">
        <f>(C21-D21)/D21</f>
        <v>-1</v>
      </c>
      <c r="F21" s="2">
        <f>SUM([3]Horizon_AS!$HR$19:$IB$19)</f>
        <v>38</v>
      </c>
      <c r="G21" s="2">
        <f>SUM([3]Horizon_AS!$HD$19:$HN$19)</f>
        <v>384</v>
      </c>
      <c r="H21" s="3">
        <f>(F21-G21)/G21</f>
        <v>-0.90104166666666663</v>
      </c>
      <c r="I21" s="66">
        <f>F21/$F$73</f>
        <v>1.4936695924247368E-4</v>
      </c>
      <c r="J21" s="283"/>
      <c r="K21" s="343" t="s">
        <v>193</v>
      </c>
      <c r="L21" s="288">
        <f>[3]Horizon_AS!$IB$41</f>
        <v>0</v>
      </c>
      <c r="M21" s="2">
        <f>[3]Horizon_AS!$HN$41</f>
        <v>1236</v>
      </c>
      <c r="N21" s="66">
        <f>(L21-M21)/M21</f>
        <v>-1</v>
      </c>
      <c r="O21" s="288">
        <f>SUM([3]Horizon_AS!$HR$41:$IB$41)</f>
        <v>2604</v>
      </c>
      <c r="P21" s="2">
        <f>SUM([3]Horizon_AS!$HD$41:$HN$41)</f>
        <v>30801</v>
      </c>
      <c r="Q21" s="3">
        <f>(O21-P21)/P21</f>
        <v>-0.91545729034771595</v>
      </c>
      <c r="R21" s="349">
        <f>O21/$O$73</f>
        <v>9.3253923773440524E-5</v>
      </c>
      <c r="S21" s="283"/>
      <c r="T21" s="343" t="s">
        <v>193</v>
      </c>
      <c r="U21" s="288">
        <f>[3]Horizon_AS!$IB$64</f>
        <v>0</v>
      </c>
      <c r="V21" s="2">
        <f>[3]Horizon_AS!$HN$64</f>
        <v>1099</v>
      </c>
      <c r="W21" s="66">
        <f>(U21-V21)/V21</f>
        <v>-1</v>
      </c>
      <c r="X21" s="288">
        <f>SUM([3]Horizon_AS!$HR$64:$IB$64)</f>
        <v>2675</v>
      </c>
      <c r="Y21" s="2">
        <f>SUM([3]Horizon_AS!$HD$64:$HN$64)</f>
        <v>23430</v>
      </c>
      <c r="Z21" s="3">
        <f>(X21-Y21)/Y21</f>
        <v>-0.88583013230900554</v>
      </c>
      <c r="AA21" s="349">
        <f>X21/$X$73</f>
        <v>2.8921302659583532E-5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SUM(C24:C29)</f>
        <v>957</v>
      </c>
      <c r="D23" s="286">
        <f>SUM(D24:D29)</f>
        <v>1223</v>
      </c>
      <c r="E23" s="287">
        <f t="shared" ref="E23:E29" si="12">(C23-D23)/D23</f>
        <v>-0.21749795584627965</v>
      </c>
      <c r="F23" s="284">
        <f>SUM(F24:F29)</f>
        <v>11485</v>
      </c>
      <c r="G23" s="286">
        <f>SUM(G24:G29)</f>
        <v>11631</v>
      </c>
      <c r="H23" s="285">
        <f t="shared" ref="H23:H29" si="13">(F23-G23)/G23</f>
        <v>-1.2552660992176081E-2</v>
      </c>
      <c r="I23" s="287">
        <f t="shared" ref="I23:I29" si="14">F23/$F$73</f>
        <v>4.5144198076310794E-2</v>
      </c>
      <c r="J23" s="283" t="s">
        <v>17</v>
      </c>
      <c r="K23" s="290"/>
      <c r="L23" s="284">
        <f>SUM(L24:L29)</f>
        <v>107469</v>
      </c>
      <c r="M23" s="286">
        <f>SUM(M24:M29)</f>
        <v>134358</v>
      </c>
      <c r="N23" s="287">
        <f t="shared" ref="N23:N29" si="15">(L23-M23)/M23</f>
        <v>-0.20012950475595051</v>
      </c>
      <c r="O23" s="284">
        <f>SUM(O24:O29)</f>
        <v>1273762</v>
      </c>
      <c r="P23" s="286">
        <f>SUM(P24:P29)</f>
        <v>1218989</v>
      </c>
      <c r="Q23" s="285">
        <f t="shared" ref="Q23:Q29" si="16">(O23-P23)/P23</f>
        <v>4.4933137214527775E-2</v>
      </c>
      <c r="R23" s="287">
        <f t="shared" ref="R23:R29" si="17">O23/$O$73</f>
        <v>4.5615708315478169E-2</v>
      </c>
      <c r="S23" s="283" t="s">
        <v>17</v>
      </c>
      <c r="T23" s="290"/>
      <c r="U23" s="284">
        <f>SUM(U24:U29)</f>
        <v>90002</v>
      </c>
      <c r="V23" s="286">
        <f>SUM(V24:V29)</f>
        <v>109231</v>
      </c>
      <c r="W23" s="287">
        <f t="shared" ref="W23:W27" si="18">(U23-V23)/V23</f>
        <v>-0.17603976893006565</v>
      </c>
      <c r="X23" s="284">
        <f>SUM(X24:X29)</f>
        <v>1147674</v>
      </c>
      <c r="Y23" s="286">
        <f>SUM(Y24:Y29)</f>
        <v>1498816</v>
      </c>
      <c r="Z23" s="285">
        <f t="shared" ref="Z23:Z27" si="19">(X23-Y23)/Y23</f>
        <v>-0.23427959135744481</v>
      </c>
      <c r="AA23" s="287">
        <f t="shared" ref="AA23:AA29" si="20">X23/$X$73</f>
        <v>1.2408309199452287E-2</v>
      </c>
    </row>
    <row r="24" spans="1:27" ht="14.1" customHeight="1" x14ac:dyDescent="0.2">
      <c r="A24" s="38"/>
      <c r="B24" s="40" t="s">
        <v>17</v>
      </c>
      <c r="C24" s="288">
        <f>[3]American!$IB$19</f>
        <v>568</v>
      </c>
      <c r="D24" s="2">
        <f>[3]American!$HN$19</f>
        <v>769</v>
      </c>
      <c r="E24" s="66">
        <f t="shared" si="12"/>
        <v>-0.26137841352405722</v>
      </c>
      <c r="F24" s="2">
        <f>SUM([3]American!$HR$19:$IB$19)</f>
        <v>6450</v>
      </c>
      <c r="G24" s="2">
        <f>SUM([3]American!$HD$19:$HN$19)</f>
        <v>7272</v>
      </c>
      <c r="H24" s="3">
        <f t="shared" si="13"/>
        <v>-0.11303630363036303</v>
      </c>
      <c r="I24" s="66">
        <f t="shared" si="14"/>
        <v>2.5353075976683032E-2</v>
      </c>
      <c r="J24" s="38"/>
      <c r="K24" s="40" t="s">
        <v>17</v>
      </c>
      <c r="L24" s="288">
        <f>[3]American!$IB$41</f>
        <v>84025</v>
      </c>
      <c r="M24" s="2">
        <f>[3]American!$HN$41</f>
        <v>110604</v>
      </c>
      <c r="N24" s="66">
        <f t="shared" si="15"/>
        <v>-0.24030776463780695</v>
      </c>
      <c r="O24" s="288">
        <f>SUM([3]American!$HR$41:$IB$41)</f>
        <v>976455</v>
      </c>
      <c r="P24" s="2">
        <f>SUM([3]American!$HD$41:$HN$41)</f>
        <v>957816</v>
      </c>
      <c r="Q24" s="3">
        <f t="shared" si="16"/>
        <v>1.94598962640006E-2</v>
      </c>
      <c r="R24" s="66">
        <f t="shared" si="17"/>
        <v>3.4968609884099409E-2</v>
      </c>
      <c r="S24" s="38"/>
      <c r="T24" s="40" t="s">
        <v>17</v>
      </c>
      <c r="U24" s="288">
        <f>[3]American!$IB$64</f>
        <v>88269</v>
      </c>
      <c r="V24" s="2">
        <f>[3]American!$HN$64</f>
        <v>106323</v>
      </c>
      <c r="W24" s="66">
        <f t="shared" si="18"/>
        <v>-0.16980333512034085</v>
      </c>
      <c r="X24" s="288">
        <f>SUM([3]American!$HR$64:$IB$64)</f>
        <v>1110415</v>
      </c>
      <c r="Y24" s="2">
        <f>SUM([3]American!$HD$64:$HN$64)</f>
        <v>1477846</v>
      </c>
      <c r="Z24" s="3">
        <f t="shared" si="19"/>
        <v>-0.2486260408730003</v>
      </c>
      <c r="AA24" s="66">
        <f t="shared" si="20"/>
        <v>1.2005475997286522E-2</v>
      </c>
    </row>
    <row r="25" spans="1:27" ht="14.1" customHeight="1" x14ac:dyDescent="0.2">
      <c r="A25" s="38"/>
      <c r="B25" s="343" t="s">
        <v>165</v>
      </c>
      <c r="C25" s="288">
        <f>'[3]American Eagle'!$IB$19</f>
        <v>113</v>
      </c>
      <c r="D25" s="2">
        <f>'[3]American Eagle'!$HN$19</f>
        <v>100</v>
      </c>
      <c r="E25" s="66">
        <f t="shared" si="12"/>
        <v>0.13</v>
      </c>
      <c r="F25" s="2">
        <f>SUM('[3]American Eagle'!$HR$19:$IB$19)</f>
        <v>1255</v>
      </c>
      <c r="G25" s="2">
        <f>SUM('[3]American Eagle'!$HD$19:$HN$19)</f>
        <v>1534</v>
      </c>
      <c r="H25" s="3">
        <f t="shared" si="13"/>
        <v>-0.18187744458930899</v>
      </c>
      <c r="I25" s="66">
        <f t="shared" si="14"/>
        <v>4.9330403644553805E-3</v>
      </c>
      <c r="J25" s="38"/>
      <c r="K25" s="343" t="s">
        <v>165</v>
      </c>
      <c r="L25" s="288">
        <f>'[3]American Eagle'!$IB$41</f>
        <v>7056</v>
      </c>
      <c r="M25" s="2">
        <f>'[3]American Eagle'!$HN$41</f>
        <v>4818</v>
      </c>
      <c r="N25" s="66">
        <f t="shared" si="15"/>
        <v>0.46450809464508097</v>
      </c>
      <c r="O25" s="288">
        <f>SUM('[3]American Eagle'!$HR$41:$IB$41)</f>
        <v>68799</v>
      </c>
      <c r="P25" s="2">
        <f>SUM('[3]American Eagle'!$HD$41:$HN$41)</f>
        <v>96933</v>
      </c>
      <c r="Q25" s="3">
        <f t="shared" si="16"/>
        <v>-0.29024171334839527</v>
      </c>
      <c r="R25" s="66">
        <f t="shared" si="17"/>
        <v>2.4638159376685616E-3</v>
      </c>
      <c r="S25" s="38"/>
      <c r="T25" s="343" t="s">
        <v>165</v>
      </c>
      <c r="U25" s="288">
        <f>'[3]American Eagle'!$IB$64</f>
        <v>221</v>
      </c>
      <c r="V25" s="2">
        <f>'[3]American Eagle'!$HN$64</f>
        <v>500</v>
      </c>
      <c r="W25" s="66">
        <f t="shared" si="18"/>
        <v>-0.55800000000000005</v>
      </c>
      <c r="X25" s="288">
        <f>SUM('[3]American Eagle'!$HR$64:$IB$64)</f>
        <v>25104</v>
      </c>
      <c r="Y25" s="2">
        <f>SUM('[3]American Eagle'!$HD$64:$HN$64)</f>
        <v>11884</v>
      </c>
      <c r="Z25" s="3">
        <f t="shared" si="19"/>
        <v>1.1124200605856613</v>
      </c>
      <c r="AA25" s="66">
        <f t="shared" si="20"/>
        <v>2.7141696522100373E-4</v>
      </c>
    </row>
    <row r="26" spans="1:27" ht="14.1" customHeight="1" x14ac:dyDescent="0.2">
      <c r="A26" s="38"/>
      <c r="B26" s="343" t="s">
        <v>52</v>
      </c>
      <c r="C26" s="288">
        <f>[3]Republic!$IB$19</f>
        <v>158</v>
      </c>
      <c r="D26" s="2">
        <f>[3]Republic!$HN$19</f>
        <v>168</v>
      </c>
      <c r="E26" s="66">
        <f t="shared" si="12"/>
        <v>-5.9523809523809521E-2</v>
      </c>
      <c r="F26" s="2">
        <f>SUM([3]Republic!$HR$19:$IB$19)</f>
        <v>2014</v>
      </c>
      <c r="G26" s="2">
        <f>SUM([3]Republic!$HD$19:$HN$19)</f>
        <v>1851</v>
      </c>
      <c r="H26" s="3">
        <f t="shared" si="13"/>
        <v>8.806050783360346E-2</v>
      </c>
      <c r="I26" s="66">
        <f t="shared" si="14"/>
        <v>7.9164488398511049E-3</v>
      </c>
      <c r="J26" s="38"/>
      <c r="K26" s="291" t="s">
        <v>52</v>
      </c>
      <c r="L26" s="288">
        <f>[3]Republic!$IB$41</f>
        <v>9284</v>
      </c>
      <c r="M26" s="2">
        <f>[3]Republic!$HN$41</f>
        <v>8235</v>
      </c>
      <c r="N26" s="66">
        <f t="shared" si="15"/>
        <v>0.12738312082574377</v>
      </c>
      <c r="O26" s="288">
        <f>SUM([3]Republic!$HR$41:$IB$41)</f>
        <v>120820</v>
      </c>
      <c r="P26" s="2">
        <f>SUM([3]Republic!$HD$41:$HN$41)</f>
        <v>109838</v>
      </c>
      <c r="Q26" s="3">
        <f t="shared" si="16"/>
        <v>9.9983612228918953E-2</v>
      </c>
      <c r="R26" s="66">
        <f t="shared" si="17"/>
        <v>4.326781517015009E-3</v>
      </c>
      <c r="S26" s="38"/>
      <c r="T26" s="291" t="s">
        <v>52</v>
      </c>
      <c r="U26" s="288">
        <f>[3]Republic!$IB$64</f>
        <v>1348</v>
      </c>
      <c r="V26" s="2">
        <f>[3]Republic!$HN$64</f>
        <v>1844</v>
      </c>
      <c r="W26" s="66">
        <f t="shared" si="18"/>
        <v>-0.26898047722342733</v>
      </c>
      <c r="X26" s="288">
        <f>SUM([3]Republic!$HR$64:$IB$64)</f>
        <v>7793</v>
      </c>
      <c r="Y26" s="2">
        <f>SUM([3]Republic!$HD$64:$HN$64)</f>
        <v>6610</v>
      </c>
      <c r="Z26" s="3">
        <f t="shared" si="19"/>
        <v>0.17897125567322239</v>
      </c>
      <c r="AA26" s="66">
        <f t="shared" si="20"/>
        <v>8.4255593131265225E-5</v>
      </c>
    </row>
    <row r="27" spans="1:27" ht="14.1" customHeight="1" x14ac:dyDescent="0.2">
      <c r="A27" s="38"/>
      <c r="B27" s="343" t="s">
        <v>182</v>
      </c>
      <c r="C27" s="288">
        <f>[3]PSA!$IB$19</f>
        <v>118</v>
      </c>
      <c r="D27" s="2">
        <f>[3]PSA!$HN$19</f>
        <v>94</v>
      </c>
      <c r="E27" s="66">
        <f t="shared" si="12"/>
        <v>0.25531914893617019</v>
      </c>
      <c r="F27" s="2">
        <f>SUM([3]PSA!$HR$19:$IB$19)</f>
        <v>1272</v>
      </c>
      <c r="G27" s="2">
        <f>SUM([3]PSA!$HD$19:$HN$19)</f>
        <v>334</v>
      </c>
      <c r="H27" s="3">
        <f t="shared" si="13"/>
        <v>2.808383233532934</v>
      </c>
      <c r="I27" s="66">
        <f t="shared" si="14"/>
        <v>4.9998624251691185E-3</v>
      </c>
      <c r="J27" s="38"/>
      <c r="K27" s="343" t="s">
        <v>182</v>
      </c>
      <c r="L27" s="288">
        <f>[3]PSA!$IB$41</f>
        <v>7104</v>
      </c>
      <c r="M27" s="2">
        <f>[3]PSA!$HN$41</f>
        <v>5398</v>
      </c>
      <c r="N27" s="66">
        <f t="shared" si="15"/>
        <v>0.31604297888106708</v>
      </c>
      <c r="O27" s="288">
        <f>SUM([3]PSA!$HR$41:$IB$41)</f>
        <v>79898</v>
      </c>
      <c r="P27" s="2">
        <f>SUM([3]PSA!$HD$41:$HN$41)</f>
        <v>18814</v>
      </c>
      <c r="Q27" s="3">
        <f t="shared" si="16"/>
        <v>3.2467311576485596</v>
      </c>
      <c r="R27" s="66">
        <f t="shared" si="17"/>
        <v>2.8612910912635754E-3</v>
      </c>
      <c r="S27" s="38"/>
      <c r="T27" s="343" t="s">
        <v>182</v>
      </c>
      <c r="U27" s="288">
        <f>[3]PSA!$IB$64</f>
        <v>164</v>
      </c>
      <c r="V27" s="2">
        <f>[3]PSA!$HN$64</f>
        <v>0</v>
      </c>
      <c r="W27" s="66" t="e">
        <f t="shared" si="18"/>
        <v>#DIV/0!</v>
      </c>
      <c r="X27" s="288">
        <f>SUM([3]PSA!$HR$64:$IB$64)</f>
        <v>1624</v>
      </c>
      <c r="Y27" s="2">
        <f>SUM([3]PSA!$HD$64:$HN$64)</f>
        <v>31</v>
      </c>
      <c r="Z27" s="3">
        <f t="shared" si="19"/>
        <v>51.387096774193552</v>
      </c>
      <c r="AA27" s="66">
        <f t="shared" si="20"/>
        <v>1.7558203932397628E-5</v>
      </c>
    </row>
    <row r="28" spans="1:27" ht="14.1" customHeight="1" x14ac:dyDescent="0.2">
      <c r="A28" s="38"/>
      <c r="B28" s="343" t="s">
        <v>97</v>
      </c>
      <c r="C28" s="288">
        <f>'[3]Sky West_AA'!$IB$19</f>
        <v>0</v>
      </c>
      <c r="D28" s="2">
        <f>'[3]Sky West_AA'!$HN$19</f>
        <v>92</v>
      </c>
      <c r="E28" s="66">
        <f>(C28-D28)/D28</f>
        <v>-1</v>
      </c>
      <c r="F28" s="2">
        <f>SUM('[3]Sky West_AA'!$HR$19:$IB$19)</f>
        <v>494</v>
      </c>
      <c r="G28" s="2">
        <f>SUM('[3]Sky West_AA'!$HD$19:$HN$19)</f>
        <v>640</v>
      </c>
      <c r="H28" s="3">
        <f>(F28-G28)/G28</f>
        <v>-0.22812499999999999</v>
      </c>
      <c r="I28" s="66">
        <f t="shared" si="14"/>
        <v>1.9417704701521577E-3</v>
      </c>
      <c r="J28" s="38"/>
      <c r="K28" s="343" t="s">
        <v>97</v>
      </c>
      <c r="L28" s="288">
        <f>'[3]Sky West_AA'!$IB$41</f>
        <v>0</v>
      </c>
      <c r="M28" s="2">
        <f>'[3]Sky West_AA'!$HN$41</f>
        <v>5303</v>
      </c>
      <c r="N28" s="66">
        <f>(L28-M28)/M28</f>
        <v>-1</v>
      </c>
      <c r="O28" s="288">
        <f>SUM('[3]Sky West_AA'!$HR$41:$IB$41)</f>
        <v>27790</v>
      </c>
      <c r="P28" s="2">
        <f>SUM('[3]Sky West_AA'!$HD$41:$HN$41)</f>
        <v>35588</v>
      </c>
      <c r="Q28" s="3">
        <f>(O28-P28)/P28</f>
        <v>-0.21911880409126672</v>
      </c>
      <c r="R28" s="349">
        <f t="shared" si="17"/>
        <v>9.9520988543160991E-4</v>
      </c>
      <c r="S28" s="38"/>
      <c r="T28" s="343" t="s">
        <v>97</v>
      </c>
      <c r="U28" s="288">
        <f>'[3]Sky West_AA'!$IB$64</f>
        <v>0</v>
      </c>
      <c r="V28" s="2">
        <f>'[3]Sky West_AA'!$HN$64</f>
        <v>564</v>
      </c>
      <c r="W28" s="66">
        <f>(U28-V28)/V28</f>
        <v>-1</v>
      </c>
      <c r="X28" s="288">
        <f>SUM('[3]Sky West_AA'!$HR$64:$IB$64)</f>
        <v>2738</v>
      </c>
      <c r="Y28" s="2">
        <f>SUM('[3]Sky West_AA'!$HD$64:$HN$64)</f>
        <v>2445</v>
      </c>
      <c r="Z28" s="3">
        <f>(X28-Y28)/Y28</f>
        <v>0.11983640081799592</v>
      </c>
      <c r="AA28" s="349">
        <f t="shared" si="20"/>
        <v>2.9602439881098955E-5</v>
      </c>
    </row>
    <row r="29" spans="1:27" ht="14.1" customHeight="1" x14ac:dyDescent="0.2">
      <c r="A29" s="38"/>
      <c r="B29" s="343" t="s">
        <v>51</v>
      </c>
      <c r="C29" s="288">
        <f>[3]MESA!$IB$19</f>
        <v>0</v>
      </c>
      <c r="D29" s="2">
        <f>[3]MESA!$HN$19</f>
        <v>0</v>
      </c>
      <c r="E29" s="66" t="e">
        <f t="shared" si="12"/>
        <v>#DIV/0!</v>
      </c>
      <c r="F29" s="2">
        <f>SUM([3]MESA!$HR$19:$IB$19)</f>
        <v>0</v>
      </c>
      <c r="G29" s="2">
        <f>SUM([3]MESA!$HD$19:$HN$19)</f>
        <v>0</v>
      </c>
      <c r="H29" s="3" t="e">
        <f t="shared" si="13"/>
        <v>#DIV/0!</v>
      </c>
      <c r="I29" s="66">
        <f t="shared" si="14"/>
        <v>0</v>
      </c>
      <c r="J29" s="38"/>
      <c r="K29" s="343" t="s">
        <v>51</v>
      </c>
      <c r="L29" s="288">
        <f>[3]MESA!$IB$41</f>
        <v>0</v>
      </c>
      <c r="M29" s="2">
        <f>[3]MESA!$HN$41</f>
        <v>0</v>
      </c>
      <c r="N29" s="66" t="e">
        <f t="shared" si="15"/>
        <v>#DIV/0!</v>
      </c>
      <c r="O29" s="288">
        <f>SUM([3]MESA!$HR$41:$IB$41)</f>
        <v>0</v>
      </c>
      <c r="P29" s="2">
        <f>SUM([3]MESA!$HD$41:$HN$41)</f>
        <v>0</v>
      </c>
      <c r="Q29" s="3" t="e">
        <f t="shared" si="16"/>
        <v>#DIV/0!</v>
      </c>
      <c r="R29" s="66">
        <f t="shared" si="17"/>
        <v>0</v>
      </c>
      <c r="S29" s="38"/>
      <c r="T29" s="343" t="s">
        <v>51</v>
      </c>
      <c r="U29" s="288">
        <f>[3]MESA!$IB$64</f>
        <v>0</v>
      </c>
      <c r="V29" s="2">
        <f>[3]MESA!$HN$64</f>
        <v>0</v>
      </c>
      <c r="W29" s="66" t="e">
        <f t="shared" ref="W29" si="21">(U29-V29)/V29</f>
        <v>#DIV/0!</v>
      </c>
      <c r="X29" s="288">
        <f>SUM([3]MESA!$HR$64:$IB$64)</f>
        <v>0</v>
      </c>
      <c r="Y29" s="2">
        <f>SUM([3]MESA!$HD$64:$HN$64)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8"/>
      <c r="E30" s="66"/>
      <c r="F30" s="2"/>
      <c r="I30" s="66"/>
      <c r="J30" s="38"/>
      <c r="K30" s="40"/>
      <c r="L30" s="288"/>
      <c r="N30" s="66"/>
      <c r="O30" s="288"/>
      <c r="P30" s="2"/>
      <c r="Q30" s="3"/>
      <c r="R30" s="66"/>
      <c r="S30" s="38"/>
      <c r="T30" s="40"/>
      <c r="U30" s="288"/>
      <c r="V30" s="2"/>
      <c r="W30" s="66"/>
      <c r="X30" s="288"/>
      <c r="Y30" s="2"/>
      <c r="Z30" s="3"/>
      <c r="AA30" s="66"/>
    </row>
    <row r="31" spans="1:27" ht="14.1" customHeight="1" x14ac:dyDescent="0.2">
      <c r="A31" s="283" t="s">
        <v>179</v>
      </c>
      <c r="B31" s="40"/>
      <c r="C31" s="284">
        <f>'[3]Boutique Air'!$IB$19</f>
        <v>0</v>
      </c>
      <c r="D31" s="286">
        <f>'[3]Boutique Air'!$HN$19</f>
        <v>0</v>
      </c>
      <c r="E31" s="287" t="e">
        <f>(C31-D31)/D31</f>
        <v>#DIV/0!</v>
      </c>
      <c r="F31" s="286">
        <f>SUM('[3]Boutique Air'!$HR$19:$IB$19)</f>
        <v>0</v>
      </c>
      <c r="G31" s="286">
        <f>SUM('[3]Boutique Air'!$HD$19:$HN$19)</f>
        <v>416</v>
      </c>
      <c r="H31" s="285">
        <f>(F31-G31)/G31</f>
        <v>-1</v>
      </c>
      <c r="I31" s="287">
        <f>F31/$F$73</f>
        <v>0</v>
      </c>
      <c r="J31" s="283" t="s">
        <v>179</v>
      </c>
      <c r="K31" s="40"/>
      <c r="L31" s="284">
        <f>'[3]Boutique Air'!$IB$41</f>
        <v>0</v>
      </c>
      <c r="M31" s="286">
        <f>'[3]Boutique Air'!$HN$41</f>
        <v>0</v>
      </c>
      <c r="N31" s="287" t="e">
        <f>(L31-M31)/M31</f>
        <v>#DIV/0!</v>
      </c>
      <c r="O31" s="284">
        <f>SUM('[3]Boutique Air'!$HR$41:$IB$41)</f>
        <v>0</v>
      </c>
      <c r="P31" s="286">
        <f>SUM('[3]Boutique Air'!$HD$41:$HN$41)</f>
        <v>1900</v>
      </c>
      <c r="Q31" s="285">
        <f>(O31-P31)/P31</f>
        <v>-1</v>
      </c>
      <c r="R31" s="287">
        <f>O31/$O$73</f>
        <v>0</v>
      </c>
      <c r="S31" s="283" t="s">
        <v>179</v>
      </c>
      <c r="T31" s="40"/>
      <c r="U31" s="284">
        <f>'[3]Boutique Air'!$IB$64</f>
        <v>0</v>
      </c>
      <c r="V31" s="286">
        <f>'[3]Boutique Air'!$HN$64</f>
        <v>0</v>
      </c>
      <c r="W31" s="287" t="e">
        <f>(U31-V31)/V31</f>
        <v>#DIV/0!</v>
      </c>
      <c r="X31" s="284">
        <f>SUM('[3]Boutique Air'!$HR$64:$IB$64)</f>
        <v>0</v>
      </c>
      <c r="Y31" s="286">
        <f>SUM('[3]Boutique Air'!$HD$64:$HN$64)</f>
        <v>0</v>
      </c>
      <c r="Z31" s="285" t="e">
        <f>(X31-Y31)/Y31</f>
        <v>#DIV/0!</v>
      </c>
      <c r="AA31" s="287">
        <f>X31/$X$73</f>
        <v>0</v>
      </c>
    </row>
    <row r="32" spans="1:27" ht="14.1" customHeight="1" x14ac:dyDescent="0.2">
      <c r="A32" s="38"/>
      <c r="B32" s="40"/>
      <c r="C32" s="288"/>
      <c r="E32" s="66"/>
      <c r="F32" s="2"/>
      <c r="I32" s="66"/>
      <c r="J32" s="38"/>
      <c r="K32" s="40"/>
      <c r="L32" s="288"/>
      <c r="N32" s="66"/>
      <c r="O32" s="288"/>
      <c r="P32" s="2"/>
      <c r="Q32" s="3"/>
      <c r="R32" s="66"/>
      <c r="S32" s="38"/>
      <c r="T32" s="40"/>
      <c r="U32" s="288"/>
      <c r="V32" s="2"/>
      <c r="W32" s="66"/>
      <c r="X32" s="288"/>
      <c r="Y32" s="2"/>
      <c r="Z32" s="3"/>
      <c r="AA32" s="66"/>
    </row>
    <row r="33" spans="1:27" ht="14.1" customHeight="1" x14ac:dyDescent="0.2">
      <c r="A33" s="283" t="s">
        <v>161</v>
      </c>
      <c r="B33" s="40"/>
      <c r="C33" s="284">
        <f>[3]Condor!$IB$19</f>
        <v>0</v>
      </c>
      <c r="D33" s="286">
        <f>[3]Condor!$HN$19</f>
        <v>0</v>
      </c>
      <c r="E33" s="287" t="e">
        <f>(C33-D33)/D33</f>
        <v>#DIV/0!</v>
      </c>
      <c r="F33" s="286">
        <f>SUM([3]Condor!$HR$19:$IB$19)</f>
        <v>98</v>
      </c>
      <c r="G33" s="286">
        <f>SUM([3]Condor!$HD$19:$HN$19)</f>
        <v>0</v>
      </c>
      <c r="H33" s="285" t="e">
        <f>(F33-G33)/G33</f>
        <v>#DIV/0!</v>
      </c>
      <c r="I33" s="287">
        <f>F33/$F$73</f>
        <v>3.8520952646743211E-4</v>
      </c>
      <c r="J33" s="283" t="s">
        <v>161</v>
      </c>
      <c r="K33" s="40"/>
      <c r="L33" s="284">
        <f>[3]Condor!$IB$41</f>
        <v>0</v>
      </c>
      <c r="M33" s="286">
        <f>[3]Condor!$HN$41</f>
        <v>0</v>
      </c>
      <c r="N33" s="287" t="e">
        <f>(L33-M33)/M33</f>
        <v>#DIV/0!</v>
      </c>
      <c r="O33" s="284">
        <f>SUM([3]Condor!$HR$41:$IB$41)</f>
        <v>19394</v>
      </c>
      <c r="P33" s="286">
        <f>SUM([3]Condor!$HD$41:$HN$41)</f>
        <v>0</v>
      </c>
      <c r="Q33" s="285" t="e">
        <f>(O33-P33)/P33</f>
        <v>#DIV/0!</v>
      </c>
      <c r="R33" s="287">
        <f>O33/$O$73</f>
        <v>6.94534023679764E-4</v>
      </c>
      <c r="S33" s="283" t="s">
        <v>161</v>
      </c>
      <c r="T33" s="40"/>
      <c r="U33" s="284">
        <f>[3]Condor!$IB$64</f>
        <v>0</v>
      </c>
      <c r="V33" s="286">
        <f>[3]Condor!$HN$64</f>
        <v>0</v>
      </c>
      <c r="W33" s="287" t="e">
        <f>(U33-V33)/V33</f>
        <v>#DIV/0!</v>
      </c>
      <c r="X33" s="284">
        <f>SUM([3]Condor!$HR$64:$IB$64)</f>
        <v>606468</v>
      </c>
      <c r="Y33" s="286">
        <f>SUM([3]Condor!$HD$64:$HN$64)</f>
        <v>0</v>
      </c>
      <c r="Z33" s="285" t="e">
        <f>(X33-Y33)/Y33</f>
        <v>#DIV/0!</v>
      </c>
      <c r="AA33" s="287">
        <f>X33/$X$73</f>
        <v>6.5569512453653479E-3</v>
      </c>
    </row>
    <row r="34" spans="1:27" ht="14.1" customHeight="1" x14ac:dyDescent="0.2">
      <c r="A34" s="38"/>
      <c r="B34" s="40"/>
      <c r="C34" s="288"/>
      <c r="E34" s="66"/>
      <c r="F34" s="2"/>
      <c r="I34" s="66"/>
      <c r="J34" s="38"/>
      <c r="K34" s="40"/>
      <c r="L34" s="288"/>
      <c r="N34" s="66"/>
      <c r="O34" s="288"/>
      <c r="P34" s="2"/>
      <c r="Q34" s="3"/>
      <c r="R34" s="66"/>
      <c r="S34" s="38"/>
      <c r="T34" s="40"/>
      <c r="U34" s="288"/>
      <c r="V34" s="2"/>
      <c r="W34" s="66"/>
      <c r="X34" s="288"/>
      <c r="Y34" s="2"/>
      <c r="Z34" s="3"/>
      <c r="AA34" s="66"/>
    </row>
    <row r="35" spans="1:27" ht="14.1" customHeight="1" x14ac:dyDescent="0.2">
      <c r="A35" s="283" t="s">
        <v>229</v>
      </c>
      <c r="B35" s="40"/>
      <c r="C35" s="284">
        <f>'[3]Denver Air'!$IB$19</f>
        <v>152</v>
      </c>
      <c r="D35" s="286">
        <f>'[3]Denver Air'!$HN$19</f>
        <v>152</v>
      </c>
      <c r="E35" s="287">
        <f>(C35-D35)/D35</f>
        <v>0</v>
      </c>
      <c r="F35" s="286">
        <f>SUM('[3]Denver Air'!$HR$19:$IB$19)</f>
        <v>1726</v>
      </c>
      <c r="G35" s="286">
        <f>SUM('[3]Denver Air'!$HD$19:$HN$19)</f>
        <v>1288</v>
      </c>
      <c r="H35" s="285">
        <f>(F35-G35)/G35</f>
        <v>0.34006211180124224</v>
      </c>
      <c r="I35" s="287">
        <f>F35/$F$73</f>
        <v>6.784404517171304E-3</v>
      </c>
      <c r="J35" s="283" t="s">
        <v>229</v>
      </c>
      <c r="K35" s="40"/>
      <c r="L35" s="284">
        <f>'[3]Denver Air'!$IB$41</f>
        <v>1347</v>
      </c>
      <c r="M35" s="286">
        <f>'[3]Denver Air'!$HN$41</f>
        <v>1723</v>
      </c>
      <c r="N35" s="287">
        <f>(L35-M35)/M35</f>
        <v>-0.21822402785838654</v>
      </c>
      <c r="O35" s="284">
        <f>SUM('[3]Denver Air'!$HR$41:$IB$41)</f>
        <v>17247</v>
      </c>
      <c r="P35" s="286">
        <f>SUM('[3]Denver Air'!$HD$41:$HN$41)</f>
        <v>10228</v>
      </c>
      <c r="Q35" s="285">
        <f>(O35-P35)/P35</f>
        <v>0.68625342197888151</v>
      </c>
      <c r="R35" s="287">
        <f>O35/$O$73</f>
        <v>6.1764609190496499E-4</v>
      </c>
      <c r="S35" s="283" t="s">
        <v>229</v>
      </c>
      <c r="T35" s="40"/>
      <c r="U35" s="284">
        <f>'[3]Denver Air'!$IB$64</f>
        <v>0</v>
      </c>
      <c r="V35" s="286">
        <f>'[3]Denver Air'!$HN$64</f>
        <v>0</v>
      </c>
      <c r="W35" s="287" t="e">
        <f>(U35-V35)/V35</f>
        <v>#DIV/0!</v>
      </c>
      <c r="X35" s="284">
        <f>SUM('[3]Denver Air'!$HR$64:$IB$64)</f>
        <v>0</v>
      </c>
      <c r="Y35" s="286">
        <f>SUM('[3]Denver Air'!$HD$64:$HN$64)</f>
        <v>0</v>
      </c>
      <c r="Z35" s="285" t="e">
        <f>(X35-Y35)/Y35</f>
        <v>#DIV/0!</v>
      </c>
      <c r="AA35" s="287">
        <f>X35/$X$71</f>
        <v>0</v>
      </c>
    </row>
    <row r="36" spans="1:27" ht="14.1" customHeight="1" x14ac:dyDescent="0.2">
      <c r="A36" s="38"/>
      <c r="B36" s="40"/>
      <c r="C36" s="288"/>
      <c r="E36" s="66"/>
      <c r="F36" s="2"/>
      <c r="I36" s="66"/>
      <c r="J36" s="38"/>
      <c r="K36" s="40"/>
      <c r="L36" s="288"/>
      <c r="N36" s="66"/>
      <c r="O36" s="288"/>
      <c r="P36" s="2"/>
      <c r="Q36" s="3"/>
      <c r="R36" s="66"/>
      <c r="S36" s="38"/>
      <c r="T36" s="40"/>
      <c r="U36" s="288"/>
      <c r="V36" s="2"/>
      <c r="W36" s="66"/>
      <c r="X36" s="288"/>
      <c r="Y36" s="2"/>
      <c r="Z36" s="3"/>
      <c r="AA36" s="66"/>
    </row>
    <row r="37" spans="1:27" ht="14.1" customHeight="1" x14ac:dyDescent="0.2">
      <c r="A37" s="283" t="s">
        <v>18</v>
      </c>
      <c r="B37" s="290"/>
      <c r="C37" s="284">
        <f>SUM(C38:C44)</f>
        <v>16013</v>
      </c>
      <c r="D37" s="286">
        <f>SUM(D38:D44)</f>
        <v>17656</v>
      </c>
      <c r="E37" s="287">
        <f t="shared" ref="E37:E44" si="23">(C37-D37)/D37</f>
        <v>-9.3056184866334393E-2</v>
      </c>
      <c r="F37" s="289">
        <f>SUM(F38:F44)</f>
        <v>189908</v>
      </c>
      <c r="G37" s="289">
        <f>SUM(G38:G44)</f>
        <v>192431</v>
      </c>
      <c r="H37" s="285">
        <f>(F37-G37)/G37</f>
        <v>-1.3111193102982368E-2</v>
      </c>
      <c r="I37" s="287">
        <f t="shared" ref="I37:I44" si="24">F37/$F$73</f>
        <v>0.74647317094262344</v>
      </c>
      <c r="J37" s="283" t="s">
        <v>18</v>
      </c>
      <c r="K37" s="290"/>
      <c r="L37" s="284">
        <f>SUM(L38:L44)</f>
        <v>1745886</v>
      </c>
      <c r="M37" s="286">
        <f>SUM(M38:M44)</f>
        <v>1696706</v>
      </c>
      <c r="N37" s="287">
        <f t="shared" ref="N37:N44" si="25">(L37-M37)/M37</f>
        <v>2.8985575579976733E-2</v>
      </c>
      <c r="O37" s="284">
        <f>SUM(O38:O44)</f>
        <v>19879236</v>
      </c>
      <c r="P37" s="286">
        <f>SUM(P38:P44)</f>
        <v>15968144</v>
      </c>
      <c r="Q37" s="285">
        <f t="shared" ref="Q37:Q44" si="26">(O37-P37)/P37</f>
        <v>0.24493090743670648</v>
      </c>
      <c r="R37" s="287">
        <f t="shared" ref="R37:R44" si="27">O37/$O$73</f>
        <v>0.71191119762605015</v>
      </c>
      <c r="S37" s="283" t="s">
        <v>18</v>
      </c>
      <c r="T37" s="290"/>
      <c r="U37" s="284">
        <f>SUM(U38:U44)</f>
        <v>6993350</v>
      </c>
      <c r="V37" s="286">
        <f>SUM(V38:V44)</f>
        <v>5993333</v>
      </c>
      <c r="W37" s="287">
        <f t="shared" ref="W37:W44" si="28">(U37-V37)/V37</f>
        <v>0.16685490360705804</v>
      </c>
      <c r="X37" s="284">
        <f>SUM(X38:X44)</f>
        <v>74435124</v>
      </c>
      <c r="Y37" s="286">
        <f>SUM(Y38:Y44)</f>
        <v>43862936</v>
      </c>
      <c r="Z37" s="285">
        <f t="shared" ref="Z37:Z40" si="29">(X37-Y37)/Y37</f>
        <v>0.69699365313803896</v>
      </c>
      <c r="AA37" s="287">
        <f t="shared" ref="AA37:AA44" si="30">X37/$X$73</f>
        <v>0.8047703737224785</v>
      </c>
    </row>
    <row r="38" spans="1:27" ht="14.1" customHeight="1" x14ac:dyDescent="0.2">
      <c r="A38" s="38"/>
      <c r="B38" s="40" t="s">
        <v>18</v>
      </c>
      <c r="C38" s="288">
        <f>[3]Delta!$IB$19</f>
        <v>10034</v>
      </c>
      <c r="D38" s="2">
        <f>[3]Delta!$HN$19</f>
        <v>9604</v>
      </c>
      <c r="E38" s="66">
        <f t="shared" si="23"/>
        <v>4.4773011245314451E-2</v>
      </c>
      <c r="F38" s="2">
        <f>SUM([3]Delta!$HR$19:$IB$19)</f>
        <v>110538</v>
      </c>
      <c r="G38" s="2">
        <f>SUM([3]Delta!$HD$19:$HN$19)</f>
        <v>90804</v>
      </c>
      <c r="H38" s="3">
        <f t="shared" ref="H38:H44" si="31">(F38-G38)/G38</f>
        <v>0.21732522796352582</v>
      </c>
      <c r="I38" s="66">
        <f t="shared" si="24"/>
        <v>0.43449276159854094</v>
      </c>
      <c r="J38" s="38"/>
      <c r="K38" s="40" t="s">
        <v>18</v>
      </c>
      <c r="L38" s="288">
        <f>[3]Delta!$IB$41</f>
        <v>1406262</v>
      </c>
      <c r="M38" s="2">
        <f>[3]Delta!$HN$41</f>
        <v>1268828</v>
      </c>
      <c r="N38" s="66">
        <f t="shared" si="25"/>
        <v>0.10831570551721746</v>
      </c>
      <c r="O38" s="288">
        <f>SUM([3]Delta!$HR$41:$IB$41)</f>
        <v>15662284</v>
      </c>
      <c r="P38" s="2">
        <f>SUM([3]Delta!$HD$41:$HN$41)</f>
        <v>11339222</v>
      </c>
      <c r="Q38" s="3">
        <f t="shared" si="26"/>
        <v>0.38124855479502917</v>
      </c>
      <c r="R38" s="66">
        <f t="shared" si="27"/>
        <v>0.56089456154146589</v>
      </c>
      <c r="S38" s="38"/>
      <c r="T38" s="40" t="s">
        <v>18</v>
      </c>
      <c r="U38" s="288">
        <f>[3]Delta!$IB$64</f>
        <v>6993350</v>
      </c>
      <c r="V38" s="2">
        <f>[3]Delta!$HN$64</f>
        <v>5993333</v>
      </c>
      <c r="W38" s="66">
        <f t="shared" si="28"/>
        <v>0.16685490360705804</v>
      </c>
      <c r="X38" s="288">
        <f>SUM([3]Delta!$HR$64:$IB$64)</f>
        <v>74435124</v>
      </c>
      <c r="Y38" s="2">
        <f>SUM([3]Delta!$HD$64:$HN$64)</f>
        <v>43862936</v>
      </c>
      <c r="Z38" s="3">
        <f t="shared" si="29"/>
        <v>0.69699365313803896</v>
      </c>
      <c r="AA38" s="66">
        <f t="shared" si="30"/>
        <v>0.8047703737224785</v>
      </c>
    </row>
    <row r="39" spans="1:27" ht="14.1" customHeight="1" x14ac:dyDescent="0.2">
      <c r="A39" s="38"/>
      <c r="B39" s="291" t="s">
        <v>117</v>
      </c>
      <c r="C39" s="288">
        <f>[3]Compass!$IB$19</f>
        <v>0</v>
      </c>
      <c r="D39" s="2">
        <f>[3]Compass!$HN$19</f>
        <v>0</v>
      </c>
      <c r="E39" s="66" t="e">
        <f t="shared" si="23"/>
        <v>#DIV/0!</v>
      </c>
      <c r="F39" s="2">
        <f>SUM([3]Compass!$HR$19:$IB$19)</f>
        <v>0</v>
      </c>
      <c r="G39" s="2">
        <f>SUM([3]Compass!$HD$19:$HN$19)</f>
        <v>0</v>
      </c>
      <c r="H39" s="3" t="e">
        <f t="shared" si="31"/>
        <v>#DIV/0!</v>
      </c>
      <c r="I39" s="66">
        <f t="shared" si="24"/>
        <v>0</v>
      </c>
      <c r="J39" s="38"/>
      <c r="K39" s="291" t="s">
        <v>117</v>
      </c>
      <c r="L39" s="288">
        <f>[3]Compass!$IB$41</f>
        <v>0</v>
      </c>
      <c r="M39" s="2">
        <f>[3]Compass!$HN$41</f>
        <v>0</v>
      </c>
      <c r="N39" s="66" t="e">
        <f t="shared" si="25"/>
        <v>#DIV/0!</v>
      </c>
      <c r="O39" s="288">
        <f>SUM([3]Compass!$HR$41:$IB$41)</f>
        <v>0</v>
      </c>
      <c r="P39" s="2">
        <f>SUM([3]Compass!$HD$41:$HN$41)</f>
        <v>0</v>
      </c>
      <c r="Q39" s="3" t="e">
        <f t="shared" si="26"/>
        <v>#DIV/0!</v>
      </c>
      <c r="R39" s="66">
        <f t="shared" si="27"/>
        <v>0</v>
      </c>
      <c r="S39" s="38"/>
      <c r="T39" s="291" t="s">
        <v>117</v>
      </c>
      <c r="U39" s="288">
        <f>[3]Compass!$IB$64</f>
        <v>0</v>
      </c>
      <c r="V39" s="2">
        <f>[3]Compass!$HN$64</f>
        <v>0</v>
      </c>
      <c r="W39" s="66" t="e">
        <f t="shared" si="28"/>
        <v>#DIV/0!</v>
      </c>
      <c r="X39" s="288">
        <f>SUM([3]Compass!$HR$64:$IB$64)</f>
        <v>0</v>
      </c>
      <c r="Y39" s="2">
        <f>SUM([3]Compass!$HD$64:$HN$64)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8">
        <f>[3]Pinnacle!$IB$19</f>
        <v>1184</v>
      </c>
      <c r="D40" s="2">
        <f>[3]Pinnacle!$HN$19</f>
        <v>2225</v>
      </c>
      <c r="E40" s="66">
        <f t="shared" si="23"/>
        <v>-0.46786516853932586</v>
      </c>
      <c r="F40" s="2">
        <f>SUM([3]Pinnacle!$HR$19:$IB$19)</f>
        <v>16266</v>
      </c>
      <c r="G40" s="2">
        <f>SUM([3]Pinnacle!$HD$19:$HN$19)</f>
        <v>37549</v>
      </c>
      <c r="H40" s="3">
        <f t="shared" si="31"/>
        <v>-0.56680604010759272</v>
      </c>
      <c r="I40" s="66">
        <f t="shared" si="24"/>
        <v>6.3936919974686229E-2</v>
      </c>
      <c r="J40" s="38"/>
      <c r="K40" s="40" t="s">
        <v>158</v>
      </c>
      <c r="L40" s="288">
        <f>[3]Pinnacle!$IB$41</f>
        <v>60456</v>
      </c>
      <c r="M40" s="2">
        <f>[3]Pinnacle!$HN$41</f>
        <v>109861</v>
      </c>
      <c r="N40" s="66">
        <f t="shared" si="25"/>
        <v>-0.44970462675562756</v>
      </c>
      <c r="O40" s="288">
        <f>SUM([3]Pinnacle!$HR$41:$IB$41)</f>
        <v>820098</v>
      </c>
      <c r="P40" s="2">
        <f>SUM([3]Pinnacle!$HD$41:$HN$41)</f>
        <v>1635197</v>
      </c>
      <c r="Q40" s="3">
        <f t="shared" si="26"/>
        <v>-0.49847143799799043</v>
      </c>
      <c r="R40" s="66">
        <f t="shared" si="27"/>
        <v>2.9369184477246939E-2</v>
      </c>
      <c r="S40" s="38"/>
      <c r="T40" s="40" t="s">
        <v>158</v>
      </c>
      <c r="U40" s="288">
        <f>[3]Pinnacle!$IB$64</f>
        <v>0</v>
      </c>
      <c r="V40" s="2">
        <f>[3]Pinnacle!$HN$64</f>
        <v>0</v>
      </c>
      <c r="W40" s="66" t="e">
        <f t="shared" si="28"/>
        <v>#DIV/0!</v>
      </c>
      <c r="X40" s="288">
        <f>SUM([3]Pinnacle!$HR$64:$IB$64)</f>
        <v>0</v>
      </c>
      <c r="Y40" s="2">
        <f>SUM([3]Pinnacle!$HD$64:$HN$64)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8">
        <f>'[3]Go Jet'!$IB$19</f>
        <v>0</v>
      </c>
      <c r="D41" s="2">
        <f>'[3]Go Jet'!$HN$19</f>
        <v>0</v>
      </c>
      <c r="E41" s="66" t="e">
        <f t="shared" si="23"/>
        <v>#DIV/0!</v>
      </c>
      <c r="F41" s="2">
        <f>SUM('[3]Go Jet'!$HR$19:$IB$19)</f>
        <v>0</v>
      </c>
      <c r="G41" s="2">
        <f>SUM('[3]Go Jet'!$HD$19:$HN$19)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8">
        <f>'[3]Go Jet'!$IB$41</f>
        <v>0</v>
      </c>
      <c r="M41" s="2">
        <f>'[3]Go Jet'!$HN$41</f>
        <v>0</v>
      </c>
      <c r="N41" s="66" t="e">
        <f t="shared" si="25"/>
        <v>#DIV/0!</v>
      </c>
      <c r="O41" s="288">
        <f>SUM('[3]Go Jet'!$HR$41:$IB$41)</f>
        <v>0</v>
      </c>
      <c r="P41" s="2">
        <f>SUM('[3]Go Jet'!$HD$41:$HN$41)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8">
        <f>'[3]Go Jet'!$IB$64</f>
        <v>0</v>
      </c>
      <c r="V41" s="2">
        <f>'[3]Go Jet'!$HN$64</f>
        <v>0</v>
      </c>
      <c r="W41" s="66" t="e">
        <f t="shared" si="28"/>
        <v>#DIV/0!</v>
      </c>
      <c r="X41" s="288">
        <f>SUM('[3]Go Jet'!$HR$64:$IB$64)</f>
        <v>0</v>
      </c>
      <c r="Y41" s="2">
        <f>SUM('[3]Go Jet'!$HD$64:$HN$64)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8">
        <f>'[3]Sky West'!$IB$19</f>
        <v>4795</v>
      </c>
      <c r="D42" s="2">
        <f>'[3]Sky West'!$HN$19</f>
        <v>5827</v>
      </c>
      <c r="E42" s="66">
        <f t="shared" si="23"/>
        <v>-0.17710657285052342</v>
      </c>
      <c r="F42" s="2">
        <f>SUM('[3]Sky West'!$HR$19:$IB$19)</f>
        <v>63104</v>
      </c>
      <c r="G42" s="2">
        <f>SUM('[3]Sky West'!$HD$19:$HN$19)</f>
        <v>64078</v>
      </c>
      <c r="H42" s="3">
        <f t="shared" si="31"/>
        <v>-1.5200224726115047E-2</v>
      </c>
      <c r="I42" s="66">
        <f t="shared" si="24"/>
        <v>0.24804348936939627</v>
      </c>
      <c r="J42" s="38"/>
      <c r="K42" s="40" t="s">
        <v>97</v>
      </c>
      <c r="L42" s="288">
        <f>'[3]Sky West'!$IB$41</f>
        <v>279168</v>
      </c>
      <c r="M42" s="2">
        <f>'[3]Sky West'!$HN$41</f>
        <v>318017</v>
      </c>
      <c r="N42" s="66">
        <f t="shared" si="25"/>
        <v>-0.12216013609335349</v>
      </c>
      <c r="O42" s="288">
        <f>SUM('[3]Sky West'!$HR$41:$IB$41)</f>
        <v>3396854</v>
      </c>
      <c r="P42" s="2">
        <f>SUM('[3]Sky West'!$HD$41:$HN$41)</f>
        <v>2993725</v>
      </c>
      <c r="Q42" s="3">
        <f t="shared" si="26"/>
        <v>0.13465799296862604</v>
      </c>
      <c r="R42" s="66">
        <f t="shared" si="27"/>
        <v>0.12164745160733738</v>
      </c>
      <c r="S42" s="38"/>
      <c r="T42" s="40" t="s">
        <v>97</v>
      </c>
      <c r="U42" s="288">
        <f>'[3]Sky West'!$IB$64</f>
        <v>0</v>
      </c>
      <c r="V42" s="2">
        <f>'[3]Sky West'!$HN$64</f>
        <v>0</v>
      </c>
      <c r="W42" s="66" t="e">
        <f t="shared" si="28"/>
        <v>#DIV/0!</v>
      </c>
      <c r="X42" s="288">
        <f>SUM('[3]Sky West'!$HR$64:$IB$64)</f>
        <v>0</v>
      </c>
      <c r="Y42" s="2">
        <f>SUM('[3]Sky West'!$HD$64:$HN$64)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8">
        <f>'[3]Shuttle America_Delta'!$IB$19</f>
        <v>0</v>
      </c>
      <c r="D43" s="2">
        <f>'[3]Shuttle America_Delta'!$HN$19</f>
        <v>0</v>
      </c>
      <c r="E43" s="66" t="e">
        <f t="shared" si="23"/>
        <v>#DIV/0!</v>
      </c>
      <c r="F43" s="2">
        <f>SUM('[3]Shuttle America_Delta'!$HR$19:$IB$19)</f>
        <v>0</v>
      </c>
      <c r="G43" s="2">
        <f>SUM('[3]Shuttle America_Delta'!$HD$19:$HN$19)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8">
        <f>'[3]Shuttle America_Delta'!$IB$41</f>
        <v>0</v>
      </c>
      <c r="M43" s="2">
        <f>'[3]Shuttle America_Delta'!$HN$41</f>
        <v>0</v>
      </c>
      <c r="N43" s="66" t="e">
        <f t="shared" si="25"/>
        <v>#DIV/0!</v>
      </c>
      <c r="O43" s="288">
        <f>SUM('[3]Shuttle America_Delta'!$HR$41:$IB$41)</f>
        <v>0</v>
      </c>
      <c r="P43" s="2">
        <f>SUM('[3]Shuttle America_Delta'!$HD$41:$HN$41)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8">
        <f>'[3]Shuttle America_Delta'!$IB$64</f>
        <v>0</v>
      </c>
      <c r="V43" s="2">
        <f>'[3]Shuttle America_Delta'!$HN$64</f>
        <v>0</v>
      </c>
      <c r="W43" s="66" t="e">
        <f t="shared" si="28"/>
        <v>#DIV/0!</v>
      </c>
      <c r="X43" s="288">
        <f>SUM('[3]Shuttle America_Delta'!$HR$64:$IB$64)</f>
        <v>0</v>
      </c>
      <c r="Y43" s="2">
        <f>SUM('[3]Shuttle America_Delta'!$HD$64:$HN$64)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3" t="s">
        <v>166</v>
      </c>
      <c r="C44" s="288">
        <f>'[3]Atlantic Southeast'!$IB$19</f>
        <v>0</v>
      </c>
      <c r="D44" s="2">
        <f>'[3]Atlantic Southeast'!$HN$19</f>
        <v>0</v>
      </c>
      <c r="E44" s="66" t="e">
        <f t="shared" si="23"/>
        <v>#DIV/0!</v>
      </c>
      <c r="F44" s="2">
        <f>SUM('[3]Atlantic Southeast'!$HR$19:$IB$19)</f>
        <v>0</v>
      </c>
      <c r="G44" s="2">
        <f>SUM('[3]Atlantic Southeast'!$HD$19:$HN$19)</f>
        <v>0</v>
      </c>
      <c r="H44" s="3" t="e">
        <f t="shared" si="31"/>
        <v>#DIV/0!</v>
      </c>
      <c r="I44" s="66">
        <f t="shared" si="24"/>
        <v>0</v>
      </c>
      <c r="J44" s="38"/>
      <c r="K44" s="343" t="s">
        <v>166</v>
      </c>
      <c r="L44" s="288">
        <f>'[3]Atlantic Southeast'!$IB$41</f>
        <v>0</v>
      </c>
      <c r="M44" s="2">
        <f>'[3]Atlantic Southeast'!$HN$41</f>
        <v>0</v>
      </c>
      <c r="N44" s="66" t="e">
        <f t="shared" si="25"/>
        <v>#DIV/0!</v>
      </c>
      <c r="O44" s="288">
        <f>SUM('[3]Atlantic Southeast'!$HR$41:$IB$41)</f>
        <v>0</v>
      </c>
      <c r="P44" s="2">
        <f>SUM('[3]Atlantic Southeast'!$HD$41:$HN$41)</f>
        <v>0</v>
      </c>
      <c r="Q44" s="3" t="e">
        <f t="shared" si="26"/>
        <v>#DIV/0!</v>
      </c>
      <c r="R44" s="66">
        <f t="shared" si="27"/>
        <v>0</v>
      </c>
      <c r="S44" s="38"/>
      <c r="T44" s="343" t="s">
        <v>166</v>
      </c>
      <c r="U44" s="288">
        <f>'[3]Atlantic Southeast'!$IB$64</f>
        <v>0</v>
      </c>
      <c r="V44" s="2">
        <f>'[3]Atlantic Southeast'!$HN$64</f>
        <v>0</v>
      </c>
      <c r="W44" s="66" t="e">
        <f t="shared" si="28"/>
        <v>#DIV/0!</v>
      </c>
      <c r="X44" s="288">
        <f>SUM('[3]Atlantic Southeast'!$HR$64:$IB$64)</f>
        <v>0</v>
      </c>
      <c r="Y44" s="2">
        <f>SUM('[3]Atlantic Southeast'!$HD$64:$HN$64)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3"/>
      <c r="C45" s="288"/>
      <c r="E45" s="66"/>
      <c r="F45" s="2"/>
      <c r="I45" s="66"/>
      <c r="J45" s="38"/>
      <c r="K45" s="343"/>
      <c r="L45" s="288"/>
      <c r="N45" s="66"/>
      <c r="O45" s="288"/>
      <c r="P45" s="2"/>
      <c r="Q45" s="3"/>
      <c r="R45" s="66"/>
      <c r="S45" s="38"/>
      <c r="T45" s="343"/>
      <c r="U45" s="288"/>
      <c r="V45" s="2"/>
      <c r="W45" s="66"/>
      <c r="X45" s="288"/>
      <c r="Y45" s="2"/>
      <c r="Z45" s="3"/>
      <c r="AA45" s="66"/>
    </row>
    <row r="46" spans="1:27" ht="14.1" customHeight="1" x14ac:dyDescent="0.2">
      <c r="A46" s="283" t="s">
        <v>47</v>
      </c>
      <c r="B46" s="40"/>
      <c r="C46" s="284">
        <f>[3]Frontier!$IB$19</f>
        <v>68</v>
      </c>
      <c r="D46" s="286">
        <f>[3]Frontier!$HN$19</f>
        <v>107</v>
      </c>
      <c r="E46" s="287">
        <f>(C46-D46)/D46</f>
        <v>-0.3644859813084112</v>
      </c>
      <c r="F46" s="286">
        <f>SUM([3]Frontier!$HR$19:$IB$19)</f>
        <v>1178</v>
      </c>
      <c r="G46" s="286">
        <f>SUM([3]Frontier!$HD$19:$HN$19)</f>
        <v>1051</v>
      </c>
      <c r="H46" s="285">
        <f>(F46-G46)/G46</f>
        <v>0.120837297811608</v>
      </c>
      <c r="I46" s="287">
        <f>F46/$F$73</f>
        <v>4.6303757365166835E-3</v>
      </c>
      <c r="J46" s="283" t="s">
        <v>47</v>
      </c>
      <c r="K46" s="40"/>
      <c r="L46" s="284">
        <f>[3]Frontier!$IB$41</f>
        <v>10676</v>
      </c>
      <c r="M46" s="286">
        <f>[3]Frontier!$HN$41</f>
        <v>13512</v>
      </c>
      <c r="N46" s="287">
        <f>(L46-M46)/M46</f>
        <v>-0.2098875074008289</v>
      </c>
      <c r="O46" s="284">
        <f>SUM([3]Frontier!$HR$41:$IB$41)</f>
        <v>174613</v>
      </c>
      <c r="P46" s="286">
        <f>SUM([3]Frontier!$HD$41:$HN$41)</f>
        <v>160304</v>
      </c>
      <c r="Q46" s="285">
        <f>(O46-P46)/P46</f>
        <v>8.9261652859566817E-2</v>
      </c>
      <c r="R46" s="287">
        <f>O46/$O$73</f>
        <v>6.2532056036297117E-3</v>
      </c>
      <c r="S46" s="283" t="s">
        <v>47</v>
      </c>
      <c r="T46" s="40"/>
      <c r="U46" s="284">
        <f>[3]Frontier!$IB$64</f>
        <v>0</v>
      </c>
      <c r="V46" s="286">
        <f>[3]Frontier!$HN$64</f>
        <v>0</v>
      </c>
      <c r="W46" s="287" t="e">
        <f>(U46-V46)/V46</f>
        <v>#DIV/0!</v>
      </c>
      <c r="X46" s="284">
        <f>SUM([3]Frontier!$HR$64:$IB$64)</f>
        <v>0</v>
      </c>
      <c r="Y46" s="286">
        <f>SUM([3]Frontier!$HD$64:$HN$64)</f>
        <v>0</v>
      </c>
      <c r="Z46" s="285" t="e">
        <f>(X46-Y46)/Y46</f>
        <v>#DIV/0!</v>
      </c>
      <c r="AA46" s="287">
        <f>X46/$X$73</f>
        <v>0</v>
      </c>
    </row>
    <row r="47" spans="1:27" ht="14.1" customHeight="1" x14ac:dyDescent="0.2">
      <c r="A47" s="283"/>
      <c r="B47" s="40"/>
      <c r="C47" s="284"/>
      <c r="D47" s="286"/>
      <c r="E47" s="287"/>
      <c r="F47" s="286"/>
      <c r="G47" s="286"/>
      <c r="H47" s="285"/>
      <c r="I47" s="287"/>
      <c r="J47" s="283"/>
      <c r="K47" s="40"/>
      <c r="L47" s="288"/>
      <c r="N47" s="66"/>
      <c r="O47" s="288"/>
      <c r="P47" s="2"/>
      <c r="Q47" s="3"/>
      <c r="R47" s="66"/>
      <c r="S47" s="283"/>
      <c r="T47" s="40"/>
      <c r="U47" s="288"/>
      <c r="V47" s="2"/>
      <c r="W47" s="66"/>
      <c r="X47" s="288"/>
      <c r="Y47" s="2"/>
      <c r="Z47" s="3"/>
      <c r="AA47" s="66"/>
    </row>
    <row r="48" spans="1:27" ht="14.1" customHeight="1" x14ac:dyDescent="0.2">
      <c r="A48" s="283" t="s">
        <v>48</v>
      </c>
      <c r="B48" s="40"/>
      <c r="C48" s="284">
        <f>[3]Icelandair!$IB$19</f>
        <v>34</v>
      </c>
      <c r="D48" s="286">
        <f>[3]Icelandair!$HN$19</f>
        <v>0</v>
      </c>
      <c r="E48" s="287" t="e">
        <f>(C48-D48)/D48</f>
        <v>#DIV/0!</v>
      </c>
      <c r="F48" s="286">
        <f>SUM([3]Icelandair!$HR$19:$IB$19)</f>
        <v>376</v>
      </c>
      <c r="G48" s="286">
        <f>SUM([3]Icelandair!$HD$19:$HN$19)</f>
        <v>163</v>
      </c>
      <c r="H48" s="285">
        <f>(F48-G48)/G48</f>
        <v>1.3067484662576687</v>
      </c>
      <c r="I48" s="287">
        <f>F48/$F$73</f>
        <v>1.4779467546097394E-3</v>
      </c>
      <c r="J48" s="283" t="s">
        <v>48</v>
      </c>
      <c r="K48" s="40"/>
      <c r="L48" s="284">
        <f>[3]Icelandair!$IB$41</f>
        <v>4016</v>
      </c>
      <c r="M48" s="286">
        <f>[3]Icelandair!$HN$41</f>
        <v>0</v>
      </c>
      <c r="N48" s="287" t="e">
        <f>(L48-M48)/M48</f>
        <v>#DIV/0!</v>
      </c>
      <c r="O48" s="284">
        <f>SUM([3]Icelandair!$HR$41:$IB$41)</f>
        <v>54121</v>
      </c>
      <c r="P48" s="286">
        <f>SUM([3]Icelandair!$HD$41:$HN$41)</f>
        <v>16678</v>
      </c>
      <c r="Q48" s="285">
        <f>(O48-P48)/P48</f>
        <v>2.2450533637126755</v>
      </c>
      <c r="R48" s="287">
        <f>O48/$O$73</f>
        <v>1.938170356583093E-3</v>
      </c>
      <c r="S48" s="283" t="s">
        <v>48</v>
      </c>
      <c r="T48" s="40"/>
      <c r="U48" s="284">
        <f>[3]Icelandair!$IB$64</f>
        <v>1716</v>
      </c>
      <c r="V48" s="286">
        <f>[3]Icelandair!$HN$64</f>
        <v>0</v>
      </c>
      <c r="W48" s="287" t="e">
        <f>(U48-V48)/V48</f>
        <v>#DIV/0!</v>
      </c>
      <c r="X48" s="284">
        <f>SUM([3]Icelandair!$HR$64:$IB$64)</f>
        <v>61319</v>
      </c>
      <c r="Y48" s="286">
        <f>SUM([3]Icelandair!$HD$64:$HN$64)</f>
        <v>26796</v>
      </c>
      <c r="Z48" s="285">
        <f>(X48-Y48)/Y48</f>
        <v>1.288363934915659</v>
      </c>
      <c r="AA48" s="287">
        <f>X48/$X$73</f>
        <v>6.6296275057308503E-4</v>
      </c>
    </row>
    <row r="49" spans="1:27" ht="14.1" customHeight="1" x14ac:dyDescent="0.2">
      <c r="A49" s="283"/>
      <c r="B49" s="40"/>
      <c r="C49" s="284"/>
      <c r="D49" s="286"/>
      <c r="E49" s="287"/>
      <c r="F49" s="286"/>
      <c r="G49" s="286"/>
      <c r="H49" s="285"/>
      <c r="I49" s="287"/>
      <c r="J49" s="283"/>
      <c r="K49" s="40"/>
      <c r="L49" s="288"/>
      <c r="N49" s="66"/>
      <c r="O49" s="288"/>
      <c r="P49" s="2"/>
      <c r="Q49" s="3"/>
      <c r="R49" s="66"/>
      <c r="S49" s="283"/>
      <c r="T49" s="40"/>
      <c r="U49" s="288"/>
      <c r="V49" s="2"/>
      <c r="W49" s="66"/>
      <c r="X49" s="288"/>
      <c r="Y49" s="2"/>
      <c r="Z49" s="3"/>
      <c r="AA49" s="66"/>
    </row>
    <row r="50" spans="1:27" ht="14.1" customHeight="1" x14ac:dyDescent="0.2">
      <c r="A50" s="283" t="s">
        <v>199</v>
      </c>
      <c r="B50" s="40"/>
      <c r="C50" s="284">
        <f>'[3]Jet Blue'!$IB$19</f>
        <v>177</v>
      </c>
      <c r="D50" s="286">
        <f>'[3]Jet Blue'!$HN$19</f>
        <v>93</v>
      </c>
      <c r="E50" s="287">
        <f>(C50-D50)/D50</f>
        <v>0.90322580645161288</v>
      </c>
      <c r="F50" s="286">
        <f>SUM('[3]Jet Blue'!$HR$19:$IB$19)</f>
        <v>1758</v>
      </c>
      <c r="G50" s="286">
        <f>SUM('[3]Jet Blue'!$HD$19:$HN$19)</f>
        <v>723</v>
      </c>
      <c r="H50" s="285">
        <f>(F50-G50)/G50</f>
        <v>1.4315352697095436</v>
      </c>
      <c r="I50" s="287">
        <f>F50/$F$73</f>
        <v>6.9101872196912825E-3</v>
      </c>
      <c r="J50" s="283" t="s">
        <v>199</v>
      </c>
      <c r="K50" s="40"/>
      <c r="L50" s="284">
        <f>'[3]Jet Blue'!$IB$41</f>
        <v>15386</v>
      </c>
      <c r="M50" s="286">
        <f>'[3]Jet Blue'!$HN$41</f>
        <v>6458</v>
      </c>
      <c r="N50" s="287">
        <f>(L50-M50)/M50</f>
        <v>1.3824713533601733</v>
      </c>
      <c r="O50" s="284">
        <f>SUM('[3]Jet Blue'!$HR$41:$IB$41)</f>
        <v>162327</v>
      </c>
      <c r="P50" s="286">
        <f>SUM('[3]Jet Blue'!$HD$41:$HN$41)</f>
        <v>55041</v>
      </c>
      <c r="Q50" s="285">
        <f>(O50-P50)/P50</f>
        <v>1.9492015043331334</v>
      </c>
      <c r="R50" s="287">
        <f>O50/$O$73</f>
        <v>5.8132218449966511E-3</v>
      </c>
      <c r="S50" s="283" t="s">
        <v>199</v>
      </c>
      <c r="T50" s="40"/>
      <c r="U50" s="284">
        <f>'[3]Jet Blue'!$IB$64</f>
        <v>0</v>
      </c>
      <c r="V50" s="286">
        <f>'[3]Jet Blue'!$HN$64</f>
        <v>0</v>
      </c>
      <c r="W50" s="287" t="e">
        <f>(U50-V50)/V50</f>
        <v>#DIV/0!</v>
      </c>
      <c r="X50" s="284">
        <f>SUM('[3]Jet Blue'!$HR$64:$IB$64)</f>
        <v>0</v>
      </c>
      <c r="Y50" s="286">
        <f>SUM('[3]Jet Blue'!$HD$64:$HN$64)</f>
        <v>0</v>
      </c>
      <c r="Z50" s="285" t="e">
        <f>(X50-Y50)/Y50</f>
        <v>#DIV/0!</v>
      </c>
      <c r="AA50" s="287">
        <f>X50/$X$73</f>
        <v>0</v>
      </c>
    </row>
    <row r="51" spans="1:27" ht="14.1" customHeight="1" x14ac:dyDescent="0.2">
      <c r="A51" s="283"/>
      <c r="B51" s="40"/>
      <c r="C51" s="284"/>
      <c r="D51" s="286"/>
      <c r="E51" s="287"/>
      <c r="F51" s="286"/>
      <c r="G51" s="286"/>
      <c r="H51" s="285"/>
      <c r="I51" s="287"/>
      <c r="J51" s="283"/>
      <c r="K51" s="40"/>
      <c r="L51" s="288"/>
      <c r="N51" s="66"/>
      <c r="O51" s="288"/>
      <c r="P51" s="2"/>
      <c r="Q51" s="3"/>
      <c r="R51" s="66"/>
      <c r="S51" s="283"/>
      <c r="T51" s="40"/>
      <c r="U51" s="288"/>
      <c r="V51" s="2"/>
      <c r="W51" s="66"/>
      <c r="X51" s="288"/>
      <c r="Y51" s="2"/>
      <c r="Z51" s="3"/>
      <c r="AA51" s="66"/>
    </row>
    <row r="52" spans="1:27" ht="14.1" customHeight="1" x14ac:dyDescent="0.2">
      <c r="A52" s="283" t="s">
        <v>194</v>
      </c>
      <c r="B52" s="40"/>
      <c r="C52" s="284">
        <f>[3]KLM!$IB$19</f>
        <v>34</v>
      </c>
      <c r="D52" s="286">
        <f>[3]KLM!$HN$19</f>
        <v>22</v>
      </c>
      <c r="E52" s="287">
        <f>(C52-D52)/D52</f>
        <v>0.54545454545454541</v>
      </c>
      <c r="F52" s="286">
        <f>SUM([3]KLM!$HR$19:$IB$19)</f>
        <v>366</v>
      </c>
      <c r="G52" s="286">
        <f>SUM([3]KLM!$HD$19:$HN$19)</f>
        <v>76</v>
      </c>
      <c r="H52" s="285">
        <f>(F52-G52)/G52</f>
        <v>3.8157894736842106</v>
      </c>
      <c r="I52" s="287">
        <f>F52/$F$73</f>
        <v>1.4386396600722464E-3</v>
      </c>
      <c r="J52" s="283" t="s">
        <v>194</v>
      </c>
      <c r="K52" s="40"/>
      <c r="L52" s="284">
        <f>[3]KLM!$IB$41</f>
        <v>7132</v>
      </c>
      <c r="M52" s="286">
        <f>[3]KLM!$HN$41</f>
        <v>4163</v>
      </c>
      <c r="N52" s="287">
        <f>(L52-M52)/M52</f>
        <v>0.71318760509248136</v>
      </c>
      <c r="O52" s="284">
        <f>SUM([3]KLM!$HR$41:$IB$41)</f>
        <v>78607</v>
      </c>
      <c r="P52" s="286">
        <f>SUM([3]KLM!$HD$41:$HN$41)</f>
        <v>11705</v>
      </c>
      <c r="Q52" s="285">
        <f>(O52-P52)/P52</f>
        <v>5.7156770610850067</v>
      </c>
      <c r="R52" s="287">
        <f>O52/$O$73</f>
        <v>2.8150580591623808E-3</v>
      </c>
      <c r="S52" s="283" t="s">
        <v>194</v>
      </c>
      <c r="T52" s="40"/>
      <c r="U52" s="284">
        <f>[3]KLM!$IB$64</f>
        <v>708810</v>
      </c>
      <c r="V52" s="286">
        <f>[3]KLM!$HN$64</f>
        <v>638466</v>
      </c>
      <c r="W52" s="287">
        <f>(U52-V52)/V52</f>
        <v>0.1101765794889626</v>
      </c>
      <c r="X52" s="284">
        <f>SUM([3]KLM!$HR$64:$IB$64)</f>
        <v>5874120</v>
      </c>
      <c r="Y52" s="286">
        <f>SUM([3]KLM!$HD$64:$HN$64)</f>
        <v>1659608</v>
      </c>
      <c r="Z52" s="285">
        <f>(X52-Y52)/Y52</f>
        <v>2.5394623308636737</v>
      </c>
      <c r="AA52" s="287">
        <f>X52/$X$73</f>
        <v>6.3509234534098249E-2</v>
      </c>
    </row>
    <row r="53" spans="1:27" ht="14.1" customHeight="1" x14ac:dyDescent="0.2">
      <c r="A53" s="283"/>
      <c r="B53" s="40"/>
      <c r="C53" s="284"/>
      <c r="D53" s="286"/>
      <c r="E53" s="287"/>
      <c r="F53" s="286"/>
      <c r="G53" s="286"/>
      <c r="H53" s="285"/>
      <c r="I53" s="287"/>
      <c r="J53" s="283"/>
      <c r="K53" s="40"/>
      <c r="L53" s="288"/>
      <c r="N53" s="66"/>
      <c r="O53" s="288"/>
      <c r="P53" s="2"/>
      <c r="Q53" s="3"/>
      <c r="R53" s="66"/>
      <c r="S53" s="283"/>
      <c r="T53" s="40"/>
      <c r="U53" s="288"/>
      <c r="V53" s="2"/>
      <c r="W53" s="66"/>
      <c r="X53" s="288"/>
      <c r="Y53" s="2"/>
      <c r="Z53" s="3"/>
      <c r="AA53" s="66"/>
    </row>
    <row r="54" spans="1:27" ht="14.1" customHeight="1" x14ac:dyDescent="0.2">
      <c r="A54" s="283" t="s">
        <v>129</v>
      </c>
      <c r="B54" s="40"/>
      <c r="C54" s="284">
        <f>[3]Southwest!$IB$19</f>
        <v>912</v>
      </c>
      <c r="D54" s="286">
        <f>[3]Southwest!$HN$19</f>
        <v>751</v>
      </c>
      <c r="E54" s="287">
        <f>(C54-D54)/D54</f>
        <v>0.21438082556591212</v>
      </c>
      <c r="F54" s="286">
        <f>SUM([3]Southwest!$HR$19:$IB$19)</f>
        <v>9772</v>
      </c>
      <c r="G54" s="286">
        <f>SUM([3]Southwest!$HD$19:$HN$19)</f>
        <v>8588</v>
      </c>
      <c r="H54" s="285">
        <f>(F54-G54)/G54</f>
        <v>0.13786679087098277</v>
      </c>
      <c r="I54" s="287">
        <f>F54/$F$73</f>
        <v>3.8410892782038228E-2</v>
      </c>
      <c r="J54" s="283" t="s">
        <v>129</v>
      </c>
      <c r="K54" s="40"/>
      <c r="L54" s="284">
        <f>[3]Southwest!$IB$41</f>
        <v>110504</v>
      </c>
      <c r="M54" s="286">
        <f>[3]Southwest!$HN$41</f>
        <v>96112</v>
      </c>
      <c r="N54" s="287">
        <f>(L54-M54)/M54</f>
        <v>0.14974196770434492</v>
      </c>
      <c r="O54" s="284">
        <f>SUM([3]Southwest!$HR$41:$IB$41)</f>
        <v>1250956</v>
      </c>
      <c r="P54" s="286">
        <f>SUM([3]Southwest!$HD$41:$HN$41)</f>
        <v>1059414</v>
      </c>
      <c r="Q54" s="285">
        <f>(O54-P54)/P54</f>
        <v>0.1807999516713957</v>
      </c>
      <c r="R54" s="287">
        <f>O54/$O$73</f>
        <v>4.4798984434688195E-2</v>
      </c>
      <c r="S54" s="283" t="s">
        <v>129</v>
      </c>
      <c r="T54" s="40"/>
      <c r="U54" s="284">
        <f>[3]Southwest!$IB$64</f>
        <v>219740</v>
      </c>
      <c r="V54" s="286">
        <f>[3]Southwest!$HN$64</f>
        <v>270480</v>
      </c>
      <c r="W54" s="287">
        <f>(U54-V54)/V54</f>
        <v>-0.18759242827565809</v>
      </c>
      <c r="X54" s="284">
        <f>SUM([3]Southwest!$HR$64:$IB$64)</f>
        <v>2372575</v>
      </c>
      <c r="Y54" s="286">
        <f>SUM([3]Southwest!$HD$64:$HN$64)</f>
        <v>3356513</v>
      </c>
      <c r="Z54" s="285">
        <f>(X54-Y54)/Y54</f>
        <v>-0.29314291349385507</v>
      </c>
      <c r="AA54" s="287">
        <f>X54/$X$73</f>
        <v>2.5651573703761268E-2</v>
      </c>
    </row>
    <row r="55" spans="1:27" ht="14.1" customHeight="1" x14ac:dyDescent="0.2">
      <c r="A55" s="283"/>
      <c r="B55" s="40"/>
      <c r="C55" s="284"/>
      <c r="D55" s="286"/>
      <c r="E55" s="287"/>
      <c r="F55" s="286"/>
      <c r="G55" s="286"/>
      <c r="H55" s="285"/>
      <c r="I55" s="287"/>
      <c r="J55" s="283"/>
      <c r="K55" s="40"/>
      <c r="L55" s="288"/>
      <c r="N55" s="66"/>
      <c r="O55" s="288"/>
      <c r="P55" s="2"/>
      <c r="Q55" s="3"/>
      <c r="R55" s="66"/>
      <c r="S55" s="283"/>
      <c r="T55" s="40"/>
      <c r="U55" s="288"/>
      <c r="V55" s="2"/>
      <c r="W55" s="66"/>
      <c r="X55" s="288"/>
      <c r="Y55" s="2"/>
      <c r="Z55" s="3"/>
      <c r="AA55" s="66"/>
    </row>
    <row r="56" spans="1:27" ht="14.1" customHeight="1" x14ac:dyDescent="0.2">
      <c r="A56" s="283" t="s">
        <v>155</v>
      </c>
      <c r="B56" s="40"/>
      <c r="C56" s="284">
        <f>[3]Spirit!$IB$19</f>
        <v>252</v>
      </c>
      <c r="D56" s="286">
        <f>[3]Spirit!$HN$19</f>
        <v>270</v>
      </c>
      <c r="E56" s="287">
        <f>(C56-D56)/D56</f>
        <v>-6.6666666666666666E-2</v>
      </c>
      <c r="F56" s="286">
        <f>SUM([3]Spirit!$HR$19:$IB$19)</f>
        <v>2640</v>
      </c>
      <c r="G56" s="286">
        <f>SUM([3]Spirit!$HD$19:$HN$19)</f>
        <v>3196</v>
      </c>
      <c r="H56" s="285">
        <f>(F56-G56)/G56</f>
        <v>-0.17396745932415519</v>
      </c>
      <c r="I56" s="287">
        <f>F56/$F$73</f>
        <v>1.0377072957898172E-2</v>
      </c>
      <c r="J56" s="283" t="s">
        <v>155</v>
      </c>
      <c r="K56" s="40"/>
      <c r="L56" s="284">
        <f>[3]Spirit!$IB$41</f>
        <v>34940</v>
      </c>
      <c r="M56" s="286">
        <f>[3]Spirit!$HN$41</f>
        <v>37391</v>
      </c>
      <c r="N56" s="287">
        <f>(L56-M56)/M56</f>
        <v>-6.5550533550854481E-2</v>
      </c>
      <c r="O56" s="284">
        <f>SUM([3]Spirit!$HR$41:$IB$41)</f>
        <v>395245</v>
      </c>
      <c r="P56" s="286">
        <f>SUM([3]Spirit!$HD$41:$HN$41)</f>
        <v>450549</v>
      </c>
      <c r="Q56" s="285">
        <f>(O56-P56)/P56</f>
        <v>-0.12274802518704958</v>
      </c>
      <c r="R56" s="287">
        <f>O56/$O$73</f>
        <v>1.4154434370903801E-2</v>
      </c>
      <c r="S56" s="283" t="s">
        <v>155</v>
      </c>
      <c r="T56" s="40"/>
      <c r="U56" s="284">
        <f>[3]Spirit!$IB$64</f>
        <v>0</v>
      </c>
      <c r="V56" s="286">
        <f>[3]Spirit!$HN$64</f>
        <v>0</v>
      </c>
      <c r="W56" s="287" t="e">
        <f>(U56-V56)/V56</f>
        <v>#DIV/0!</v>
      </c>
      <c r="X56" s="284">
        <f>SUM([3]Spirit!$HR$64:$IB$64)</f>
        <v>0</v>
      </c>
      <c r="Y56" s="286">
        <f>SUM([3]Spirit!$HD$64:$HN$64)</f>
        <v>0</v>
      </c>
      <c r="Z56" s="285" t="e">
        <f>(X56-Y56)/Y56</f>
        <v>#DIV/0!</v>
      </c>
      <c r="AA56" s="287">
        <f>X56/$X$73</f>
        <v>0</v>
      </c>
    </row>
    <row r="57" spans="1:27" ht="14.1" customHeight="1" x14ac:dyDescent="0.2">
      <c r="A57" s="283"/>
      <c r="B57" s="40"/>
      <c r="C57" s="284"/>
      <c r="D57" s="286"/>
      <c r="E57" s="287"/>
      <c r="F57" s="286"/>
      <c r="G57" s="286"/>
      <c r="H57" s="285"/>
      <c r="I57" s="287"/>
      <c r="J57" s="283"/>
      <c r="K57" s="40"/>
      <c r="L57" s="288"/>
      <c r="N57" s="66"/>
      <c r="O57" s="288"/>
      <c r="P57" s="2"/>
      <c r="Q57" s="3"/>
      <c r="R57" s="66">
        <f>O57/$O$73</f>
        <v>0</v>
      </c>
      <c r="S57" s="283"/>
      <c r="T57" s="40"/>
      <c r="U57" s="288"/>
      <c r="V57" s="2"/>
      <c r="W57" s="66"/>
      <c r="X57" s="288"/>
      <c r="Y57" s="2"/>
      <c r="Z57" s="3"/>
      <c r="AA57" s="66">
        <f>X57/$X$73</f>
        <v>0</v>
      </c>
    </row>
    <row r="58" spans="1:27" ht="14.1" customHeight="1" x14ac:dyDescent="0.2">
      <c r="A58" s="283" t="s">
        <v>49</v>
      </c>
      <c r="B58" s="40"/>
      <c r="C58" s="284">
        <f>'[3]Sun Country'!$IB$19</f>
        <v>1817</v>
      </c>
      <c r="D58" s="286">
        <f>'[3]Sun Country'!$HN$19</f>
        <v>1636</v>
      </c>
      <c r="E58" s="287">
        <f>(C58-D58)/D58</f>
        <v>0.11063569682151589</v>
      </c>
      <c r="F58" s="286">
        <f>SUM('[3]Sun Country'!$HR$19:$IB$19)</f>
        <v>20300</v>
      </c>
      <c r="G58" s="286">
        <f>SUM('[3]Sun Country'!$HD$19:$HN$19)</f>
        <v>17523</v>
      </c>
      <c r="H58" s="285">
        <f>(F58-G58)/G58</f>
        <v>0.15847742966387035</v>
      </c>
      <c r="I58" s="287">
        <f>F58/$F$73</f>
        <v>7.9793401911110937E-2</v>
      </c>
      <c r="J58" s="283" t="s">
        <v>49</v>
      </c>
      <c r="K58" s="40"/>
      <c r="L58" s="284">
        <f>'[3]Sun Country'!$IB$41</f>
        <v>264614</v>
      </c>
      <c r="M58" s="286">
        <f>'[3]Sun Country'!$HN$41</f>
        <v>212833</v>
      </c>
      <c r="N58" s="287">
        <f>(L58-M58)/M58</f>
        <v>0.24329403804861088</v>
      </c>
      <c r="O58" s="284">
        <f>SUM('[3]Sun Country'!$HR$41:$IB$41)</f>
        <v>2945767</v>
      </c>
      <c r="P58" s="286">
        <f>SUM('[3]Sun Country'!$HD$41:$HN$41)</f>
        <v>2185223</v>
      </c>
      <c r="Q58" s="285">
        <f>(O58-P58)/P58</f>
        <v>0.34803953646836044</v>
      </c>
      <c r="R58" s="287">
        <f>O58/$O$73</f>
        <v>0.10549321477431511</v>
      </c>
      <c r="S58" s="283" t="s">
        <v>49</v>
      </c>
      <c r="T58" s="40"/>
      <c r="U58" s="284">
        <f>'[3]Sun Country'!$IB$64</f>
        <v>90199</v>
      </c>
      <c r="V58" s="286">
        <f>'[3]Sun Country'!$HN$64</f>
        <v>284287</v>
      </c>
      <c r="W58" s="287">
        <f>(U58-V58)/V58</f>
        <v>-0.68271852036850089</v>
      </c>
      <c r="X58" s="284">
        <f>SUM('[3]Sun Country'!$HR$64:$IB$64)</f>
        <v>3468721</v>
      </c>
      <c r="Y58" s="286">
        <f>SUM('[3]Sun Country'!$HD$64:$HN$64)</f>
        <v>4102228</v>
      </c>
      <c r="Z58" s="285">
        <f>(X58-Y58)/Y58</f>
        <v>-0.15442998292635124</v>
      </c>
      <c r="AA58" s="287">
        <f>X58/$X$73</f>
        <v>3.7502777526225516E-2</v>
      </c>
    </row>
    <row r="59" spans="1:27" ht="14.1" customHeight="1" x14ac:dyDescent="0.2">
      <c r="A59" s="283"/>
      <c r="B59" s="40"/>
      <c r="C59" s="284"/>
      <c r="D59" s="286"/>
      <c r="E59" s="287"/>
      <c r="F59" s="286"/>
      <c r="G59" s="286"/>
      <c r="H59" s="285"/>
      <c r="I59" s="287"/>
      <c r="J59" s="283"/>
      <c r="K59" s="40"/>
      <c r="L59" s="288"/>
      <c r="N59" s="66"/>
      <c r="O59" s="288"/>
      <c r="P59" s="2"/>
      <c r="Q59" s="3"/>
      <c r="R59" s="66"/>
      <c r="S59" s="283"/>
      <c r="T59" s="40"/>
      <c r="U59" s="288"/>
      <c r="V59" s="2"/>
      <c r="W59" s="66"/>
      <c r="X59" s="288"/>
      <c r="Y59" s="2"/>
      <c r="Z59" s="3"/>
      <c r="AA59" s="66"/>
    </row>
    <row r="60" spans="1:27" ht="14.1" customHeight="1" x14ac:dyDescent="0.2">
      <c r="A60" s="283" t="s">
        <v>19</v>
      </c>
      <c r="B60" s="290"/>
      <c r="C60" s="284">
        <f>SUM(C61:C68)</f>
        <v>878</v>
      </c>
      <c r="D60" s="286">
        <f>SUM(D61:D68)</f>
        <v>982</v>
      </c>
      <c r="E60" s="287">
        <f t="shared" ref="E60:E68" si="33">(C60-D60)/D60</f>
        <v>-0.10590631364562118</v>
      </c>
      <c r="F60" s="286">
        <f>SUM(F61:F68)</f>
        <v>10250</v>
      </c>
      <c r="G60" s="286">
        <f>SUM(G61:G68)</f>
        <v>8339</v>
      </c>
      <c r="H60" s="285">
        <f t="shared" ref="H60:H68" si="34">(F60-G60)/G60</f>
        <v>0.22916416836551146</v>
      </c>
      <c r="I60" s="287">
        <f t="shared" ref="I60:I68" si="35">F60/$F$73</f>
        <v>4.0289771900930402E-2</v>
      </c>
      <c r="J60" s="283" t="s">
        <v>19</v>
      </c>
      <c r="K60" s="290"/>
      <c r="L60" s="284">
        <f>SUM(L61:L68)</f>
        <v>109095</v>
      </c>
      <c r="M60" s="286">
        <f>SUM(M61:M68)</f>
        <v>89604</v>
      </c>
      <c r="N60" s="287">
        <f t="shared" ref="N60:N68" si="36">(L60-M60)/M60</f>
        <v>0.21752377126021161</v>
      </c>
      <c r="O60" s="284">
        <f>SUM(O61:O68)</f>
        <v>1171359</v>
      </c>
      <c r="P60" s="286">
        <f>SUM(P61:P68)</f>
        <v>786515</v>
      </c>
      <c r="Q60" s="285">
        <f t="shared" ref="Q60:Q68" si="37">(O60-P60)/P60</f>
        <v>0.48930281049948188</v>
      </c>
      <c r="R60" s="287">
        <f t="shared" ref="R60:R68" si="38">O60/$O$73</f>
        <v>4.1948472694828542E-2</v>
      </c>
      <c r="S60" s="283" t="s">
        <v>19</v>
      </c>
      <c r="T60" s="290"/>
      <c r="U60" s="284">
        <f>SUM(U61:U68)</f>
        <v>71641</v>
      </c>
      <c r="V60" s="286">
        <f>SUM(V61:V68)</f>
        <v>66035</v>
      </c>
      <c r="W60" s="287">
        <f t="shared" ref="W60:W68" si="39">(U60-V60)/V60</f>
        <v>8.4894374195502387E-2</v>
      </c>
      <c r="X60" s="284">
        <f>SUM(X61:X68)</f>
        <v>1232215</v>
      </c>
      <c r="Y60" s="286">
        <f>SUM(Y61:Y68)</f>
        <v>1268524</v>
      </c>
      <c r="Z60" s="285">
        <f t="shared" ref="Z60:Z68" si="40">(X60-Y60)/Y60</f>
        <v>-2.8623029599755306E-2</v>
      </c>
      <c r="AA60" s="287">
        <f t="shared" ref="AA60:AA68" si="41">X60/$X$73</f>
        <v>1.3322341292216345E-2</v>
      </c>
    </row>
    <row r="61" spans="1:27" ht="14.1" customHeight="1" x14ac:dyDescent="0.2">
      <c r="A61" s="38"/>
      <c r="B61" s="343" t="s">
        <v>19</v>
      </c>
      <c r="C61" s="288">
        <f>[3]United!$IB$19</f>
        <v>758</v>
      </c>
      <c r="D61" s="2">
        <f>[3]United!$HN$19+[3]Continental!$HN$19</f>
        <v>510</v>
      </c>
      <c r="E61" s="66">
        <f t="shared" si="33"/>
        <v>0.48627450980392156</v>
      </c>
      <c r="F61" s="2">
        <f>SUM([3]United!$HR$19:$IB$19)</f>
        <v>7562</v>
      </c>
      <c r="G61" s="2">
        <f>SUM([3]United!$HD$19:$HN$19)+SUM([3]Continental!$HD$19:$HN$19)</f>
        <v>4438</v>
      </c>
      <c r="H61" s="3">
        <f t="shared" si="34"/>
        <v>0.70392068499324023</v>
      </c>
      <c r="I61" s="66">
        <f t="shared" si="35"/>
        <v>2.972402488925226E-2</v>
      </c>
      <c r="J61" s="38"/>
      <c r="K61" s="343" t="s">
        <v>19</v>
      </c>
      <c r="L61" s="288">
        <f>[3]United!$IB$41</f>
        <v>101372</v>
      </c>
      <c r="M61" s="2">
        <f>[3]United!$HN$41+[3]Continental!$HN$41</f>
        <v>59867</v>
      </c>
      <c r="N61" s="66">
        <f t="shared" si="36"/>
        <v>0.69328678570832014</v>
      </c>
      <c r="O61" s="288">
        <f>SUM([3]United!$HR$41:$IB$41)</f>
        <v>998656</v>
      </c>
      <c r="P61" s="2">
        <f>SUM([3]United!$HD$41:$HN$41)+SUM([3]Continental!$HD$41:$HN$41)</f>
        <v>550322</v>
      </c>
      <c r="Q61" s="3">
        <f t="shared" si="37"/>
        <v>0.81467577163914939</v>
      </c>
      <c r="R61" s="66">
        <f t="shared" si="38"/>
        <v>3.5763667626685494E-2</v>
      </c>
      <c r="S61" s="38"/>
      <c r="T61" s="343" t="s">
        <v>19</v>
      </c>
      <c r="U61" s="288">
        <f>[3]United!$IB$64</f>
        <v>71641</v>
      </c>
      <c r="V61" s="2">
        <f>[3]United!$HN$64+[3]Continental!$HN$64</f>
        <v>66035</v>
      </c>
      <c r="W61" s="66">
        <f t="shared" si="39"/>
        <v>8.4894374195502387E-2</v>
      </c>
      <c r="X61" s="288">
        <f>SUM([3]United!$HR$64:$IB$64)</f>
        <v>1232215</v>
      </c>
      <c r="Y61" s="2">
        <f>SUM([3]United!$HD$64:$HN$64)+SUM([3]Continental!$HD$64:$HN$64)</f>
        <v>1268524</v>
      </c>
      <c r="Z61" s="3">
        <f t="shared" si="40"/>
        <v>-2.8623029599755306E-2</v>
      </c>
      <c r="AA61" s="66">
        <f t="shared" si="41"/>
        <v>1.3322341292216345E-2</v>
      </c>
    </row>
    <row r="62" spans="1:27" ht="14.1" customHeight="1" x14ac:dyDescent="0.2">
      <c r="A62" s="38"/>
      <c r="B62" s="343" t="s">
        <v>166</v>
      </c>
      <c r="C62" s="288">
        <f>'[3]Continental Express'!$IB$19</f>
        <v>0</v>
      </c>
      <c r="D62" s="2">
        <f>'[3]Continental Express'!$HN$19</f>
        <v>0</v>
      </c>
      <c r="E62" s="66" t="e">
        <f t="shared" si="33"/>
        <v>#DIV/0!</v>
      </c>
      <c r="F62" s="2">
        <f>SUM('[3]Continental Express'!$HR$19:$IB$19)</f>
        <v>0</v>
      </c>
      <c r="G62" s="2">
        <f>SUM('[3]Continental Express'!$HD$19:$HN$19)</f>
        <v>0</v>
      </c>
      <c r="H62" s="3" t="e">
        <f t="shared" si="34"/>
        <v>#DIV/0!</v>
      </c>
      <c r="I62" s="66">
        <f t="shared" si="35"/>
        <v>0</v>
      </c>
      <c r="J62" s="38"/>
      <c r="K62" s="343" t="s">
        <v>166</v>
      </c>
      <c r="L62" s="288">
        <f>'[3]Continental Express'!$IB$41</f>
        <v>0</v>
      </c>
      <c r="M62" s="2">
        <f>'[3]Continental Express'!$HN$41</f>
        <v>0</v>
      </c>
      <c r="N62" s="66" t="e">
        <f t="shared" si="36"/>
        <v>#DIV/0!</v>
      </c>
      <c r="O62" s="288">
        <f>SUM('[3]Continental Express'!$HR$41:$IB$41)</f>
        <v>0</v>
      </c>
      <c r="P62" s="2">
        <f>SUM('[3]Continental Express'!$HD$41:$HN$41)</f>
        <v>0</v>
      </c>
      <c r="Q62" s="3" t="e">
        <f t="shared" si="37"/>
        <v>#DIV/0!</v>
      </c>
      <c r="R62" s="66">
        <f t="shared" si="38"/>
        <v>0</v>
      </c>
      <c r="S62" s="38"/>
      <c r="T62" s="343" t="s">
        <v>166</v>
      </c>
      <c r="U62" s="288">
        <f>'[3]Continental Express'!$IB$64</f>
        <v>0</v>
      </c>
      <c r="V62" s="2">
        <f>'[3]Continental Express'!$HN$64</f>
        <v>0</v>
      </c>
      <c r="W62" s="66" t="e">
        <f t="shared" si="39"/>
        <v>#DIV/0!</v>
      </c>
      <c r="X62" s="288">
        <f>SUM('[3]Continental Express'!$HR$64:$IB$64)</f>
        <v>0</v>
      </c>
      <c r="Y62" s="2">
        <f>SUM('[3]Continental Express'!$HD$64:$HN$64)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8">
        <f>'[3]Go Jet_UA'!$IB$19</f>
        <v>0</v>
      </c>
      <c r="D63" s="2">
        <f>'[3]Go Jet_UA'!$HN$19</f>
        <v>0</v>
      </c>
      <c r="E63" s="66" t="e">
        <f t="shared" si="33"/>
        <v>#DIV/0!</v>
      </c>
      <c r="F63" s="2">
        <f>SUM('[3]Go Jet_UA'!$HR$19:$IB$19)</f>
        <v>2</v>
      </c>
      <c r="G63" s="2">
        <f>SUM('[3]Go Jet_UA'!$HD$19:$HN$19)</f>
        <v>2</v>
      </c>
      <c r="H63" s="3">
        <f t="shared" si="34"/>
        <v>0</v>
      </c>
      <c r="I63" s="66">
        <f t="shared" si="35"/>
        <v>7.8614189074986143E-6</v>
      </c>
      <c r="J63" s="38"/>
      <c r="K63" s="40" t="s">
        <v>154</v>
      </c>
      <c r="L63" s="288">
        <f>'[3]Go Jet_UA'!$IB$41</f>
        <v>0</v>
      </c>
      <c r="M63" s="2">
        <f>'[3]Go Jet_UA'!$HN$41</f>
        <v>0</v>
      </c>
      <c r="N63" s="66" t="e">
        <f t="shared" si="36"/>
        <v>#DIV/0!</v>
      </c>
      <c r="O63" s="288">
        <f>SUM('[3]Go Jet_UA'!$HR$41:$IB$41)</f>
        <v>37</v>
      </c>
      <c r="P63" s="2">
        <f>SUM('[3]Go Jet_UA'!$HD$41:$HN$41)</f>
        <v>0</v>
      </c>
      <c r="Q63" s="3" t="e">
        <f t="shared" si="37"/>
        <v>#DIV/0!</v>
      </c>
      <c r="R63" s="66">
        <f t="shared" si="38"/>
        <v>1.325036551312327E-6</v>
      </c>
      <c r="S63" s="38"/>
      <c r="T63" s="40" t="s">
        <v>154</v>
      </c>
      <c r="U63" s="288">
        <f>'[3]Go Jet_UA'!$IB$64</f>
        <v>0</v>
      </c>
      <c r="V63" s="2">
        <f>'[3]Go Jet_UA'!$HN$64</f>
        <v>0</v>
      </c>
      <c r="W63" s="66" t="e">
        <f t="shared" si="39"/>
        <v>#DIV/0!</v>
      </c>
      <c r="X63" s="288">
        <f>SUM('[3]Go Jet_UA'!$HR$64:$IB$64)</f>
        <v>0</v>
      </c>
      <c r="Y63" s="2">
        <f>SUM('[3]Go Jet_UA'!$HD$64:$HN$64)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8">
        <f>[3]MESA_UA!$IB$19</f>
        <v>82</v>
      </c>
      <c r="D64" s="2">
        <f>[3]MESA_UA!$HN$19</f>
        <v>256</v>
      </c>
      <c r="E64" s="66">
        <f t="shared" si="33"/>
        <v>-0.6796875</v>
      </c>
      <c r="F64" s="2">
        <f>SUM([3]MESA_UA!$HR$19:$IB$19)</f>
        <v>1234</v>
      </c>
      <c r="G64" s="2">
        <f>SUM([3]MESA_UA!$HD$19:$HN$19)</f>
        <v>1540</v>
      </c>
      <c r="H64" s="3">
        <f>(F64-G64)/G64</f>
        <v>-0.19870129870129871</v>
      </c>
      <c r="I64" s="66">
        <f t="shared" si="35"/>
        <v>4.8504954659266452E-3</v>
      </c>
      <c r="J64" s="38"/>
      <c r="K64" s="40" t="s">
        <v>51</v>
      </c>
      <c r="L64" s="288">
        <f>[3]MESA_UA!$IB$41</f>
        <v>5332</v>
      </c>
      <c r="M64" s="2">
        <f>[3]MESA_UA!$HN$41</f>
        <v>16208</v>
      </c>
      <c r="N64" s="66">
        <f t="shared" si="36"/>
        <v>-0.67102665350444224</v>
      </c>
      <c r="O64" s="288">
        <f>SUM([3]MESA_UA!$HR$41:$IB$41)</f>
        <v>82987</v>
      </c>
      <c r="P64" s="2">
        <f>SUM([3]MESA_UA!$HD$41:$HN$41)</f>
        <v>93663</v>
      </c>
      <c r="Q64" s="3">
        <f t="shared" si="37"/>
        <v>-0.11398310965909697</v>
      </c>
      <c r="R64" s="66">
        <f t="shared" si="38"/>
        <v>2.9719137373988127E-3</v>
      </c>
      <c r="S64" s="38"/>
      <c r="T64" s="40" t="s">
        <v>51</v>
      </c>
      <c r="U64" s="288">
        <f>[3]MESA_UA!$IB$64</f>
        <v>0</v>
      </c>
      <c r="V64" s="2">
        <f>[3]MESA_UA!$HN$64</f>
        <v>0</v>
      </c>
      <c r="W64" s="66" t="e">
        <f t="shared" si="39"/>
        <v>#DIV/0!</v>
      </c>
      <c r="X64" s="288">
        <f>SUM([3]MESA_UA!$HR$64:$IB$64)</f>
        <v>0</v>
      </c>
      <c r="Y64" s="2">
        <f>SUM([3]MESA_UA!$HD$64:$HN$64)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3" t="s">
        <v>52</v>
      </c>
      <c r="C65" s="288">
        <f>[3]Republic_UA!$IB$19</f>
        <v>28</v>
      </c>
      <c r="D65" s="2">
        <f>[3]Republic_UA!$HN$19</f>
        <v>152</v>
      </c>
      <c r="E65" s="66">
        <f t="shared" si="33"/>
        <v>-0.81578947368421051</v>
      </c>
      <c r="F65" s="2">
        <f>SUM([3]Republic_UA!$HR$19:$IB$19)</f>
        <v>1048</v>
      </c>
      <c r="G65" s="2">
        <f>SUM([3]Republic_UA!$HD$19:$HN$19)</f>
        <v>1459</v>
      </c>
      <c r="H65" s="3">
        <f t="shared" ref="H65:H66" si="42">(F65-G65)/G65</f>
        <v>-0.28169979437971215</v>
      </c>
      <c r="I65" s="66">
        <f t="shared" si="35"/>
        <v>4.1193835075292737E-3</v>
      </c>
      <c r="J65" s="38"/>
      <c r="K65" s="343" t="s">
        <v>52</v>
      </c>
      <c r="L65" s="288">
        <f>[3]Republic_UA!$IB$41</f>
        <v>1837</v>
      </c>
      <c r="M65" s="2">
        <f>[3]Republic_UA!$HN$41</f>
        <v>9619</v>
      </c>
      <c r="N65" s="66">
        <f t="shared" si="36"/>
        <v>-0.8090238070485497</v>
      </c>
      <c r="O65" s="288">
        <f>SUM([3]Republic_UA!$HR$41:$IB$41)</f>
        <v>64406</v>
      </c>
      <c r="P65" s="2">
        <f>SUM([3]Republic_UA!$HD$41:$HN$41)</f>
        <v>86486</v>
      </c>
      <c r="Q65" s="3">
        <f t="shared" si="37"/>
        <v>-0.25530143607057787</v>
      </c>
      <c r="R65" s="66">
        <f t="shared" si="38"/>
        <v>2.3064947060492361E-3</v>
      </c>
      <c r="S65" s="38"/>
      <c r="T65" s="343" t="s">
        <v>52</v>
      </c>
      <c r="U65" s="288">
        <f>[3]Republic_UA!$IB$64</f>
        <v>0</v>
      </c>
      <c r="V65" s="2">
        <f>[3]Republic_UA!$HN$64</f>
        <v>0</v>
      </c>
      <c r="W65" s="66" t="e">
        <f t="shared" si="39"/>
        <v>#DIV/0!</v>
      </c>
      <c r="X65" s="288">
        <f>SUM([3]Republic_UA!$HR$64:$IB$64)</f>
        <v>0</v>
      </c>
      <c r="Y65" s="2">
        <f>SUM([3]Republic_UA!$HD$64:$HN$64)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3" t="s">
        <v>50</v>
      </c>
      <c r="C66" s="288">
        <f>'[3]Air Wisconsin'!$IB$19</f>
        <v>2</v>
      </c>
      <c r="D66" s="2">
        <f>'[3]Air Wisconsin'!$HN$19</f>
        <v>0</v>
      </c>
      <c r="E66" s="66" t="e">
        <f t="shared" si="33"/>
        <v>#DIV/0!</v>
      </c>
      <c r="F66" s="2">
        <f>SUM('[3]Air Wisconsin'!$HR$19:$IB$19)</f>
        <v>8</v>
      </c>
      <c r="G66" s="2">
        <f>SUM('[3]Air Wisconsin'!$HD$19:$HN$19)</f>
        <v>0</v>
      </c>
      <c r="H66" s="379" t="e">
        <f t="shared" si="42"/>
        <v>#DIV/0!</v>
      </c>
      <c r="I66" s="66">
        <f t="shared" si="35"/>
        <v>3.1445675629994457E-5</v>
      </c>
      <c r="J66" s="38"/>
      <c r="K66" s="291" t="s">
        <v>50</v>
      </c>
      <c r="L66" s="288">
        <f>'[3]Air Wisconsin'!$IB$41</f>
        <v>0</v>
      </c>
      <c r="M66" s="2">
        <f>'[3]Air Wisconsin'!$HN$41</f>
        <v>0</v>
      </c>
      <c r="N66" s="66" t="e">
        <f t="shared" si="36"/>
        <v>#DIV/0!</v>
      </c>
      <c r="O66" s="288">
        <f>SUM('[3]Air Wisconsin'!$HR$41:$IB$41)</f>
        <v>92</v>
      </c>
      <c r="P66" s="2">
        <f>SUM('[3]Air Wisconsin'!$HD$41:$HN$41)</f>
        <v>0</v>
      </c>
      <c r="Q66" s="3" t="e">
        <f t="shared" si="37"/>
        <v>#DIV/0!</v>
      </c>
      <c r="R66" s="66">
        <f t="shared" si="38"/>
        <v>3.294685478938759E-6</v>
      </c>
      <c r="S66" s="38"/>
      <c r="T66" s="291" t="s">
        <v>50</v>
      </c>
      <c r="U66" s="288">
        <f>'[3]Air Wisconsin'!$IB$64</f>
        <v>0</v>
      </c>
      <c r="V66" s="2">
        <f>'[3]Air Wisconsin'!$HN$64</f>
        <v>0</v>
      </c>
      <c r="W66" s="66" t="e">
        <f t="shared" si="39"/>
        <v>#DIV/0!</v>
      </c>
      <c r="X66" s="288">
        <f>SUM('[3]Air Wisconsin'!$HR$64:$IB$64)</f>
        <v>0</v>
      </c>
      <c r="Y66" s="2">
        <f>SUM('[3]Air Wisconsin'!$HD$64:$HN$64)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8">
        <f>'[3]Sky West_UA'!$IB$19</f>
        <v>8</v>
      </c>
      <c r="D67" s="2">
        <f>'[3]Sky West_UA'!$HN$19+'[3]Sky West_CO'!$HN$19</f>
        <v>64</v>
      </c>
      <c r="E67" s="66">
        <f t="shared" si="33"/>
        <v>-0.875</v>
      </c>
      <c r="F67" s="2">
        <f>SUM('[3]Sky West_UA'!$HR$19:$IB$19)</f>
        <v>396</v>
      </c>
      <c r="G67" s="2">
        <f>SUM('[3]Sky West_UA'!$HD$19:$HN$19)+SUM('[3]Sky West_CO'!$HD$19:$HN$19)</f>
        <v>900</v>
      </c>
      <c r="H67" s="3">
        <f t="shared" si="34"/>
        <v>-0.56000000000000005</v>
      </c>
      <c r="I67" s="66">
        <f t="shared" si="35"/>
        <v>1.5565609436847257E-3</v>
      </c>
      <c r="J67" s="38"/>
      <c r="K67" s="40" t="s">
        <v>97</v>
      </c>
      <c r="L67" s="288">
        <f>'[3]Sky West_UA'!$IB$41</f>
        <v>554</v>
      </c>
      <c r="M67" s="2">
        <f>'[3]Sky West_UA'!$HN$41+'[3]Sky West_CO'!$HN$41</f>
        <v>3910</v>
      </c>
      <c r="N67" s="66">
        <f t="shared" si="36"/>
        <v>-0.85831202046035804</v>
      </c>
      <c r="O67" s="288">
        <f>SUM('[3]Sky West_UA'!$HR$41:$IB$41)</f>
        <v>25181</v>
      </c>
      <c r="P67" s="2">
        <f>SUM('[3]Sky West_UA'!$HD$41:$HN$41)+SUM('[3]Sky West_CO'!$HD$41:$HN$41)</f>
        <v>56044</v>
      </c>
      <c r="Q67" s="3">
        <f t="shared" si="37"/>
        <v>-0.55069231318249945</v>
      </c>
      <c r="R67" s="66">
        <f t="shared" si="38"/>
        <v>9.017769026647488E-4</v>
      </c>
      <c r="S67" s="38"/>
      <c r="T67" s="40" t="s">
        <v>97</v>
      </c>
      <c r="U67" s="288">
        <f>'[3]Sky West_UA'!$IB$64</f>
        <v>0</v>
      </c>
      <c r="V67" s="2">
        <f>'[3]Sky West_UA'!$HN$64+'[3]Sky West_CO'!$HN$64</f>
        <v>0</v>
      </c>
      <c r="W67" s="66" t="e">
        <f t="shared" si="39"/>
        <v>#DIV/0!</v>
      </c>
      <c r="X67" s="288">
        <f>SUM('[3]Sky West_UA'!$HR$64:$IB$64)</f>
        <v>0</v>
      </c>
      <c r="Y67" s="2">
        <f>SUM('[3]Sky West_UA'!$HD$64:$HN$64)+SUM('[3]Sky West_CO'!$HD$64:$HN$64)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91" t="s">
        <v>131</v>
      </c>
      <c r="C68" s="288">
        <f>'[3]Shuttle America'!$IB$19</f>
        <v>0</v>
      </c>
      <c r="D68" s="2">
        <f>'[3]Shuttle America'!$HN$19</f>
        <v>0</v>
      </c>
      <c r="E68" s="66" t="e">
        <f t="shared" si="33"/>
        <v>#DIV/0!</v>
      </c>
      <c r="F68" s="2">
        <f>SUM('[3]Shuttle America'!$HR$19:$IB$19)</f>
        <v>0</v>
      </c>
      <c r="G68" s="2">
        <f>SUM('[3]Shuttle America'!$HD$19:$HN$19)</f>
        <v>0</v>
      </c>
      <c r="H68" s="3" t="e">
        <f t="shared" si="34"/>
        <v>#DIV/0!</v>
      </c>
      <c r="I68" s="66">
        <f t="shared" si="35"/>
        <v>0</v>
      </c>
      <c r="J68" s="38"/>
      <c r="K68" s="291" t="s">
        <v>131</v>
      </c>
      <c r="L68" s="288">
        <f>'[3]Shuttle America'!$IB$41</f>
        <v>0</v>
      </c>
      <c r="M68" s="2">
        <f>'[3]Shuttle America'!$HN$41</f>
        <v>0</v>
      </c>
      <c r="N68" s="66" t="e">
        <f t="shared" si="36"/>
        <v>#DIV/0!</v>
      </c>
      <c r="O68" s="288">
        <f>SUM('[3]Shuttle America'!$HR$41:$IB$41)</f>
        <v>0</v>
      </c>
      <c r="P68" s="2">
        <f>SUM('[3]Shuttle America'!$HD$41:$HN$41)</f>
        <v>0</v>
      </c>
      <c r="Q68" s="3" t="e">
        <f t="shared" si="37"/>
        <v>#DIV/0!</v>
      </c>
      <c r="R68" s="66">
        <f t="shared" si="38"/>
        <v>0</v>
      </c>
      <c r="S68" s="38"/>
      <c r="T68" s="291" t="s">
        <v>131</v>
      </c>
      <c r="U68" s="288">
        <f>'[3]Shuttle America'!$IB$64</f>
        <v>0</v>
      </c>
      <c r="V68" s="2">
        <f>'[3]Shuttle America'!$HN$64</f>
        <v>0</v>
      </c>
      <c r="W68" s="66" t="e">
        <f t="shared" si="39"/>
        <v>#DIV/0!</v>
      </c>
      <c r="X68" s="288">
        <f>SUM('[3]Shuttle America'!$HR$64:$IB$64)</f>
        <v>0</v>
      </c>
      <c r="Y68" s="2">
        <f>SUM('[3]Shuttle America'!$HD$64:$HN$64)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15000</v>
      </c>
      <c r="D71" s="353">
        <f>+D73-D72</f>
        <v>14087</v>
      </c>
      <c r="E71" s="354">
        <f>(C71-D71)/D71</f>
        <v>6.4811528359480369E-2</v>
      </c>
      <c r="F71" s="353">
        <f>+F73-F72</f>
        <v>165517</v>
      </c>
      <c r="G71" s="353">
        <f>+G73-G72</f>
        <v>137316</v>
      </c>
      <c r="H71" s="354">
        <f>(F71-G71)/G71</f>
        <v>0.20537300824375893</v>
      </c>
      <c r="I71" s="386">
        <f>F71/$F$73</f>
        <v>0.6505992366562241</v>
      </c>
      <c r="K71" s="299" t="s">
        <v>133</v>
      </c>
      <c r="L71" s="353">
        <f>+L73-L72</f>
        <v>2067779</v>
      </c>
      <c r="M71" s="353">
        <f>+M73-M72</f>
        <v>1831849</v>
      </c>
      <c r="N71" s="354">
        <f>(L71-M71)/M71</f>
        <v>0.12879336670216815</v>
      </c>
      <c r="O71" s="353">
        <f>+O73-O72</f>
        <v>23139138</v>
      </c>
      <c r="P71" s="353">
        <f>+P73-P72</f>
        <v>17002649</v>
      </c>
      <c r="Q71" s="382">
        <f>(O71-P71)/P71</f>
        <v>0.36091370232956055</v>
      </c>
      <c r="R71" s="444">
        <f>+O71/O73</f>
        <v>0.82865415178000035</v>
      </c>
      <c r="S71" s="3"/>
      <c r="T71" s="299" t="s">
        <v>133</v>
      </c>
      <c r="U71" s="353">
        <f>+U73-U72</f>
        <v>8199434</v>
      </c>
      <c r="V71" s="353">
        <f>+V73-V72</f>
        <v>7373783</v>
      </c>
      <c r="W71" s="354">
        <f>(U71-V71)/V71</f>
        <v>0.11197115510451013</v>
      </c>
      <c r="X71" s="353">
        <f>+X73-X72</f>
        <v>91642788</v>
      </c>
      <c r="Y71" s="353">
        <f>+Y73-Y72</f>
        <v>57860529</v>
      </c>
      <c r="Z71" s="382">
        <f>(X71-Y71)/Y71</f>
        <v>0.5838567255408259</v>
      </c>
      <c r="AA71" s="444">
        <f>+X71/X73</f>
        <v>0.99081450778170088</v>
      </c>
    </row>
    <row r="72" spans="1:27" ht="14.1" customHeight="1" x14ac:dyDescent="0.2">
      <c r="B72" s="170" t="s">
        <v>134</v>
      </c>
      <c r="C72" s="355">
        <f>C68+C44+C42+C40+C39+C43+C25+C67+C63+C41+C62+C64+C66+C29+C26+C20+C8+C65+C27+C28+C10+C21+C9</f>
        <v>6655</v>
      </c>
      <c r="D72" s="355">
        <f>D68+D44+D42+D40+D39+D43+D25+D67+D63+D41+D62+D64+D66+D29+D26+D20+D8+D65+D27+D28+D10+D21+D9</f>
        <v>9094</v>
      </c>
      <c r="E72" s="300">
        <f>(C72-D72)/D72</f>
        <v>-0.26819881240378274</v>
      </c>
      <c r="F72" s="355">
        <f>F68+F44+F42+F40+F39+F43+F25+F67+F63+F41+F62+F64+F66+F29+F26+F20+F8+F65+F27+F28+F10+F21+F9</f>
        <v>88890</v>
      </c>
      <c r="G72" s="355">
        <f>G68+G44+G42+G40+G39+G43+G25+G67+G63+G41+G62+G64+G66+G29+G26+G20+G8+G65+G27+G28+G10+G21+G9</f>
        <v>110526</v>
      </c>
      <c r="H72" s="300">
        <f>(F72-G72)/G72</f>
        <v>-0.19575484501384291</v>
      </c>
      <c r="I72" s="387">
        <f>F72/$F$73</f>
        <v>0.3494007633437759</v>
      </c>
      <c r="K72" s="170" t="s">
        <v>134</v>
      </c>
      <c r="L72" s="355">
        <f>L68+L44+L42+L40+L39+L43+L25+L67+L63+L41+L62+L64+L66+L29+L26+L20+L8+L65+L27+L28+L10+L21+L9</f>
        <v>381137</v>
      </c>
      <c r="M72" s="355">
        <f>M68+M44+M42+M40+M39+M43+M25+M67+M63+M41+M62+M64+M66+M29+M26+M20+M8+M65+M27+M28+M10+M21+M9</f>
        <v>488359</v>
      </c>
      <c r="N72" s="300">
        <f>(L72-M72)/M72</f>
        <v>-0.21955569570746111</v>
      </c>
      <c r="O72" s="355">
        <f>O68+O44+O42+O40+O39+O43+O25+O67+O63+O41+O62+O64+O66+O29+O26+O20+O8+O65+O27+O28+O10+O21+O9</f>
        <v>4784620</v>
      </c>
      <c r="P72" s="355">
        <f>P68+P44+P42+P40+P39+P43+P25+P67+P63+P41+P62+P64+P66+P29+P26+P20+P8+P65+P27+P28+P10+P21+P9</f>
        <v>5173313</v>
      </c>
      <c r="Q72" s="380">
        <f>(O72-P72)/P72</f>
        <v>-7.5134251494158574E-2</v>
      </c>
      <c r="R72" s="445">
        <f>+O72/O73</f>
        <v>0.17134584821999962</v>
      </c>
      <c r="S72" s="3"/>
      <c r="T72" s="170" t="s">
        <v>134</v>
      </c>
      <c r="U72" s="355">
        <f>U68+U44+U42+U40+U39+U43+U25+U67+U63+U41+U62+U64+U66+U29+U26+U20+U8+U65+U27+U28+U10+U21+U9</f>
        <v>1733</v>
      </c>
      <c r="V72" s="355">
        <f>V68+V44+V42+V40+V39+V43+V25+V67+V63+V41+V62+V64+V66+V29+V26+V20+V8+V65+V27+V28+V10+V21+V9</f>
        <v>7785</v>
      </c>
      <c r="W72" s="300">
        <f>(U72-V72)/V72</f>
        <v>-0.77739242132305719</v>
      </c>
      <c r="X72" s="355">
        <f>X68+X44+X42+X40+X39+X43+X25+X67+X63+X41+X62+X64+X66+X29+X26+X20+X8+X65+X27+X28+X10+X21+X9</f>
        <v>849588</v>
      </c>
      <c r="Y72" s="355">
        <f>Y68+Y44+Y42+Y40+Y39+Y43+Y25+Y67+Y63+Y41+Y62+Y64+Y66+Y29+Y26+Y20+Y8+Y65+Y27+Y28+Y10+Y21+Y9</f>
        <v>50975</v>
      </c>
      <c r="Z72" s="380">
        <f>(X72-Y72)/Y72</f>
        <v>15.666758214811182</v>
      </c>
      <c r="AA72" s="445">
        <f>+X72/X73</f>
        <v>9.18549221829916E-3</v>
      </c>
    </row>
    <row r="73" spans="1:27" ht="14.1" customHeight="1" thickBot="1" x14ac:dyDescent="0.25">
      <c r="B73" s="170" t="s">
        <v>135</v>
      </c>
      <c r="C73" s="356">
        <f>C60+C58+C54+C48+C46+C37+C23+C18+C6+C56+C33+C31+C12+C52+C14+C50+C4+C35+C16</f>
        <v>21655</v>
      </c>
      <c r="D73" s="356">
        <f>D60+D58+D54+D48+D46+D37+D23+D18+D6+D56+D33+D31+D12+D52+D14+D50+D4+D35+D16</f>
        <v>23181</v>
      </c>
      <c r="E73" s="357">
        <f>(C73-D73)/D73</f>
        <v>-6.5829774384193948E-2</v>
      </c>
      <c r="F73" s="356">
        <f>F60+F58+F54+F48+F46+F37+F23+F18+F6+F56+F33+F31+F12+F52+F14+F50+F4+F35+F16</f>
        <v>254407</v>
      </c>
      <c r="G73" s="356">
        <f>G60+G58+G54+G48+G46+G37+G23+G18+G6+G56+G33+G31+G12+G52+G14+G50+G4+G35+G16</f>
        <v>247842</v>
      </c>
      <c r="H73" s="357">
        <f>(F73-G73)/G73</f>
        <v>2.648865002703335E-2</v>
      </c>
      <c r="I73" s="388">
        <f>+H73/H73</f>
        <v>1</v>
      </c>
      <c r="K73" s="170" t="s">
        <v>135</v>
      </c>
      <c r="L73" s="356">
        <f>L60+L58+L54+L48+L46+L37+L23+L18+L6+L56+L33+L31+L12+L52+L14+L50+L4+L35+L16</f>
        <v>2448916</v>
      </c>
      <c r="M73" s="356">
        <f>M60+M58+M54+M48+M46+M37+M23+M18+M6+M56+M33+M31+M12+M52+M14+M50+M4+M35+M16</f>
        <v>2320208</v>
      </c>
      <c r="N73" s="357">
        <f>(L73-M73)/M73</f>
        <v>5.5472612800231705E-2</v>
      </c>
      <c r="O73" s="356">
        <f>O60+O58+O54+O48+O46+O37+O23+O18+O6+O56+O33+O31+O12+O52+O14+O50+O4+O35+O16</f>
        <v>27923758</v>
      </c>
      <c r="P73" s="356">
        <f>P60+P58+P54+P48+P46+P37+P23+P18+P6+P56+P33+P31+P12+P52+P14+P50+P4+P35+P16</f>
        <v>22175962</v>
      </c>
      <c r="Q73" s="443">
        <f>(O73-P73)/P73</f>
        <v>0.25919037920429339</v>
      </c>
      <c r="R73" s="388">
        <f>+Q73/Q73</f>
        <v>1</v>
      </c>
      <c r="S73" s="3"/>
      <c r="T73" s="170" t="s">
        <v>135</v>
      </c>
      <c r="U73" s="356">
        <f>U60+U58+U54+U48+U46+U37+U23+U18+U6+U56+U33+U31+U12+U52+U14+U50+U4+U35+U16</f>
        <v>8201167</v>
      </c>
      <c r="V73" s="356">
        <f>V60+V58+V54+V48+V46+V37+V23+V18+V6+V56+V33+V31+V12+V52+V14+V50+V4+V35+V16</f>
        <v>7381568</v>
      </c>
      <c r="W73" s="357">
        <f>(U73-V73)/V73</f>
        <v>0.11103318427737846</v>
      </c>
      <c r="X73" s="356">
        <f>X60+X58+X54+X48+X46+X37+X23+X18+X6+X56+X33+X31+X12+X52+X14+X50+X4+X35+X16</f>
        <v>92492376</v>
      </c>
      <c r="Y73" s="356">
        <f>Y60+Y58+Y54+Y48+Y46+Y37+Y23+Y18+Y6+Y56+Y33+Y31+Y12+Y52+Y14+Y50+Y4+Y35+Y16</f>
        <v>57911504</v>
      </c>
      <c r="Z73" s="443">
        <f>(X73-Y73)/Y73</f>
        <v>0.59713303249730831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 s="2"/>
      <c r="F75" s="2"/>
      <c r="H75" s="2"/>
      <c r="I75"/>
      <c r="J75"/>
      <c r="K75"/>
      <c r="N75" s="2"/>
      <c r="O75" s="2"/>
      <c r="P75" s="2"/>
      <c r="Q75" s="2"/>
      <c r="U75" s="96"/>
      <c r="V75" s="96"/>
      <c r="W75" s="96"/>
    </row>
    <row r="76" spans="1:27" x14ac:dyDescent="0.2">
      <c r="E76" s="2"/>
      <c r="F76" s="2"/>
      <c r="H76" s="2"/>
      <c r="I76"/>
      <c r="J76"/>
      <c r="K76"/>
      <c r="N76" s="2"/>
      <c r="O76" s="2"/>
      <c r="P76" s="2">
        <f>+P73*1%</f>
        <v>221759.62</v>
      </c>
      <c r="Q76" s="2"/>
      <c r="U76" s="96"/>
      <c r="V76" s="96"/>
      <c r="W76" s="96"/>
    </row>
    <row r="77" spans="1:27" x14ac:dyDescent="0.2">
      <c r="E77" s="2"/>
      <c r="F77" s="2"/>
      <c r="H77" s="2"/>
      <c r="I77"/>
      <c r="J77"/>
      <c r="K77"/>
      <c r="N77" s="2"/>
      <c r="O77" s="2"/>
      <c r="P77" s="2"/>
      <c r="Q77" s="2"/>
      <c r="U77" s="96"/>
    </row>
    <row r="78" spans="1:27" x14ac:dyDescent="0.2">
      <c r="E78" s="2"/>
      <c r="F78" s="2"/>
      <c r="H78" s="2"/>
      <c r="I78"/>
      <c r="J78"/>
      <c r="K78"/>
      <c r="N78" s="2"/>
      <c r="O78" s="2"/>
      <c r="P78" s="2"/>
      <c r="Q78" s="2"/>
      <c r="U78" s="96"/>
    </row>
    <row r="79" spans="1:27" x14ac:dyDescent="0.2">
      <c r="E79"/>
      <c r="F79" s="2"/>
      <c r="H79"/>
      <c r="I79"/>
      <c r="J79"/>
      <c r="K79"/>
      <c r="N79"/>
      <c r="O79" s="2"/>
      <c r="P79" s="2"/>
      <c r="U79" s="96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November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I5" sqref="I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44866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[3]American!$IB$22</f>
        <v>42093</v>
      </c>
      <c r="C4" s="13">
        <f>[3]Delta!$IB$22+[3]Delta!$IB$32</f>
        <v>699288</v>
      </c>
      <c r="D4" s="13">
        <f>[3]United!$IB$22</f>
        <v>50820</v>
      </c>
      <c r="E4" s="13">
        <f>[3]Spirit!$IB$22</f>
        <v>18505</v>
      </c>
      <c r="F4" s="13">
        <f>[3]Condor!$IB$32</f>
        <v>0</v>
      </c>
      <c r="G4" s="13">
        <f>'[3]Air France'!$IB$32</f>
        <v>0</v>
      </c>
      <c r="H4" s="13">
        <f>'[3]Jet Blue'!$IB$22</f>
        <v>7643</v>
      </c>
      <c r="I4" s="13">
        <f>[3]KLM!$IB$22+[3]KLM!$IB$32</f>
        <v>3875</v>
      </c>
      <c r="J4" s="13">
        <f>'Other Major Airline Stats'!K5</f>
        <v>208554</v>
      </c>
      <c r="K4" s="219">
        <f>SUM(B4:J4)</f>
        <v>1030778</v>
      </c>
    </row>
    <row r="5" spans="1:20" x14ac:dyDescent="0.2">
      <c r="A5" s="46" t="s">
        <v>31</v>
      </c>
      <c r="B5" s="7">
        <f>[3]American!$IB$23</f>
        <v>41932</v>
      </c>
      <c r="C5" s="7">
        <f>[3]Delta!$IB$23+[3]Delta!$IB$33</f>
        <v>706974</v>
      </c>
      <c r="D5" s="7">
        <f>[3]United!$IB$23</f>
        <v>50552</v>
      </c>
      <c r="E5" s="7">
        <f>[3]Spirit!$IB$23</f>
        <v>16435</v>
      </c>
      <c r="F5" s="7">
        <f>[3]Condor!$IB$33</f>
        <v>0</v>
      </c>
      <c r="G5" s="7">
        <f>'[3]Air France'!$IB$33</f>
        <v>0</v>
      </c>
      <c r="H5" s="7">
        <f>'[3]Jet Blue'!$IB$23</f>
        <v>7743</v>
      </c>
      <c r="I5" s="7">
        <f>[3]KLM!$IB$23+[3]KLM!$IB$33</f>
        <v>3257</v>
      </c>
      <c r="J5" s="7">
        <f>'Other Major Airline Stats'!K6</f>
        <v>210108</v>
      </c>
      <c r="K5" s="220">
        <f>SUM(B5:J5)</f>
        <v>1037001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84025</v>
      </c>
      <c r="C6" s="25">
        <f t="shared" si="0"/>
        <v>1406262</v>
      </c>
      <c r="D6" s="25">
        <f t="shared" si="0"/>
        <v>101372</v>
      </c>
      <c r="E6" s="25">
        <f t="shared" si="0"/>
        <v>34940</v>
      </c>
      <c r="F6" s="25">
        <f t="shared" ref="F6:I6" si="1">SUM(F4:F5)</f>
        <v>0</v>
      </c>
      <c r="G6" s="25">
        <f t="shared" si="1"/>
        <v>0</v>
      </c>
      <c r="H6" s="25">
        <f t="shared" ref="H6" si="2">SUM(H4:H5)</f>
        <v>15386</v>
      </c>
      <c r="I6" s="25">
        <f t="shared" si="1"/>
        <v>7132</v>
      </c>
      <c r="J6" s="25">
        <f>SUM(J4:J5)</f>
        <v>418662</v>
      </c>
      <c r="K6" s="221">
        <f>SUM(B6:J6)</f>
        <v>2067779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[3]American!$IB$27</f>
        <v>1363</v>
      </c>
      <c r="C9" s="13">
        <f>[3]Delta!$IB$27+[3]Delta!$IB$37</f>
        <v>24391</v>
      </c>
      <c r="D9" s="13">
        <f>[3]United!$IB$27</f>
        <v>1773</v>
      </c>
      <c r="E9" s="13">
        <f>[3]Spirit!$IB$27</f>
        <v>130</v>
      </c>
      <c r="F9" s="13">
        <f>[3]Condor!$IB$37</f>
        <v>0</v>
      </c>
      <c r="G9" s="13">
        <f>'[3]Air France'!$IB$37</f>
        <v>0</v>
      </c>
      <c r="H9" s="13">
        <f>'[3]Jet Blue'!$IB$27</f>
        <v>263</v>
      </c>
      <c r="I9" s="13">
        <f>[3]KLM!$IB$27+[3]KLM!$IB$37</f>
        <v>3</v>
      </c>
      <c r="J9" s="13">
        <f>'Other Major Airline Stats'!K10</f>
        <v>3760</v>
      </c>
      <c r="K9" s="219">
        <f>SUM(B9:J9)</f>
        <v>31683</v>
      </c>
      <c r="N9" s="244"/>
    </row>
    <row r="10" spans="1:20" x14ac:dyDescent="0.2">
      <c r="A10" s="46" t="s">
        <v>33</v>
      </c>
      <c r="B10" s="7">
        <f>[3]American!$IB$28</f>
        <v>1635</v>
      </c>
      <c r="C10" s="7">
        <f>[3]Delta!$IB$28+[3]Delta!$IB$38</f>
        <v>24376</v>
      </c>
      <c r="D10" s="7">
        <f>[3]United!$IB$28</f>
        <v>1684</v>
      </c>
      <c r="E10" s="7">
        <f>[3]Spirit!$IB$28</f>
        <v>166</v>
      </c>
      <c r="F10" s="7">
        <f>[3]Condor!$IB$38</f>
        <v>0</v>
      </c>
      <c r="G10" s="7">
        <f>'[3]Air France'!$IB$38</f>
        <v>0</v>
      </c>
      <c r="H10" s="7">
        <f>'[3]Jet Blue'!$IB$28</f>
        <v>281</v>
      </c>
      <c r="I10" s="7">
        <f>[3]KLM!$IB$28+[3]KLM!$IB$38</f>
        <v>2</v>
      </c>
      <c r="J10" s="7">
        <f>'Other Major Airline Stats'!K11</f>
        <v>3879</v>
      </c>
      <c r="K10" s="220">
        <f>SUM(B10:J10)</f>
        <v>32023</v>
      </c>
    </row>
    <row r="11" spans="1:20" ht="15.75" thickBot="1" x14ac:dyDescent="0.3">
      <c r="A11" s="47" t="s">
        <v>34</v>
      </c>
      <c r="B11" s="222">
        <f t="shared" ref="B11:J11" si="3">SUM(B9:B10)</f>
        <v>2998</v>
      </c>
      <c r="C11" s="222">
        <f t="shared" si="3"/>
        <v>48767</v>
      </c>
      <c r="D11" s="222">
        <f t="shared" si="3"/>
        <v>3457</v>
      </c>
      <c r="E11" s="222">
        <f t="shared" si="3"/>
        <v>296</v>
      </c>
      <c r="F11" s="222">
        <f t="shared" ref="F11:I11" si="4">SUM(F9:F10)</f>
        <v>0</v>
      </c>
      <c r="G11" s="222">
        <f t="shared" si="4"/>
        <v>0</v>
      </c>
      <c r="H11" s="222">
        <f t="shared" ref="H11" si="5">SUM(H9:H10)</f>
        <v>544</v>
      </c>
      <c r="I11" s="222">
        <f t="shared" si="4"/>
        <v>5</v>
      </c>
      <c r="J11" s="222">
        <f t="shared" si="3"/>
        <v>7639</v>
      </c>
      <c r="K11" s="223">
        <f>SUM(B11:J11)</f>
        <v>63706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[3]American!$IB$4</f>
        <v>284</v>
      </c>
      <c r="C15" s="13">
        <f>[3]Delta!$IB$4+[3]Delta!$IB$15</f>
        <v>5010</v>
      </c>
      <c r="D15" s="13">
        <f>[3]United!$IB$4</f>
        <v>378</v>
      </c>
      <c r="E15" s="13">
        <f>[3]Spirit!$IB$4</f>
        <v>126</v>
      </c>
      <c r="F15" s="13">
        <f>[3]Condor!$IB$15</f>
        <v>0</v>
      </c>
      <c r="G15" s="13">
        <f>'[3]Air France'!$IB$15</f>
        <v>0</v>
      </c>
      <c r="H15" s="13">
        <f>'[3]Jet Blue'!$IB$4</f>
        <v>88</v>
      </c>
      <c r="I15" s="13">
        <f>[3]KLM!$IB$4+[3]KLM!$IB$15</f>
        <v>17</v>
      </c>
      <c r="J15" s="13">
        <f>'Other Major Airline Stats'!K16</f>
        <v>1517</v>
      </c>
      <c r="K15" s="18">
        <f>SUM(B15:J15)</f>
        <v>7420</v>
      </c>
    </row>
    <row r="16" spans="1:20" x14ac:dyDescent="0.2">
      <c r="A16" s="46" t="s">
        <v>23</v>
      </c>
      <c r="B16" s="7">
        <f>[3]American!$IB$5</f>
        <v>284</v>
      </c>
      <c r="C16" s="7">
        <f>[3]Delta!$IB$5+[3]Delta!$IB$16</f>
        <v>5016</v>
      </c>
      <c r="D16" s="7">
        <f>[3]United!$IB$5</f>
        <v>378</v>
      </c>
      <c r="E16" s="7">
        <f>[3]Spirit!$IB$5</f>
        <v>126</v>
      </c>
      <c r="F16" s="7">
        <f>[3]Condor!$IB$16</f>
        <v>0</v>
      </c>
      <c r="G16" s="7">
        <f>'[3]Air France'!$IB$16</f>
        <v>0</v>
      </c>
      <c r="H16" s="7">
        <f>'[3]Jet Blue'!$IB$5</f>
        <v>88</v>
      </c>
      <c r="I16" s="7">
        <f>[3]KLM!$IB$5+[3]KLM!$IB$16</f>
        <v>17</v>
      </c>
      <c r="J16" s="7">
        <f>'Other Major Airline Stats'!K17</f>
        <v>1523</v>
      </c>
      <c r="K16" s="24">
        <f>SUM(B16:J16)</f>
        <v>7432</v>
      </c>
    </row>
    <row r="17" spans="1:11" x14ac:dyDescent="0.2">
      <c r="A17" s="46" t="s">
        <v>24</v>
      </c>
      <c r="B17" s="226">
        <f t="shared" ref="B17:J17" si="6">SUM(B15:B16)</f>
        <v>568</v>
      </c>
      <c r="C17" s="224">
        <f t="shared" si="6"/>
        <v>10026</v>
      </c>
      <c r="D17" s="224">
        <f t="shared" si="6"/>
        <v>756</v>
      </c>
      <c r="E17" s="224">
        <f t="shared" si="6"/>
        <v>252</v>
      </c>
      <c r="F17" s="224">
        <f t="shared" ref="F17:I17" si="7">SUM(F15:F16)</f>
        <v>0</v>
      </c>
      <c r="G17" s="224">
        <f t="shared" si="7"/>
        <v>0</v>
      </c>
      <c r="H17" s="224">
        <f t="shared" ref="H17" si="8">SUM(H15:H16)</f>
        <v>176</v>
      </c>
      <c r="I17" s="224">
        <f t="shared" si="7"/>
        <v>34</v>
      </c>
      <c r="J17" s="224">
        <f t="shared" si="6"/>
        <v>3040</v>
      </c>
      <c r="K17" s="225">
        <f>SUM(B17:J17)</f>
        <v>14852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[3]American!$IB$8</f>
        <v>0</v>
      </c>
      <c r="C19" s="13">
        <f>[3]Delta!$IB$8</f>
        <v>3</v>
      </c>
      <c r="D19" s="13">
        <f>[3]United!$IB$8</f>
        <v>1</v>
      </c>
      <c r="E19" s="13">
        <f>[3]Spirit!$IB$8</f>
        <v>0</v>
      </c>
      <c r="F19" s="13">
        <f>[3]Condor!$IB$8</f>
        <v>0</v>
      </c>
      <c r="G19" s="13">
        <f>'[3]Air France'!$IB$8</f>
        <v>0</v>
      </c>
      <c r="H19" s="13">
        <f>'[3]Jet Blue'!$IB$8</f>
        <v>0</v>
      </c>
      <c r="I19" s="13">
        <f>[3]KLM!$IB$8</f>
        <v>0</v>
      </c>
      <c r="J19" s="13">
        <f>'Other Major Airline Stats'!K20</f>
        <v>69</v>
      </c>
      <c r="K19" s="18">
        <f>SUM(B19:J19)</f>
        <v>73</v>
      </c>
    </row>
    <row r="20" spans="1:11" x14ac:dyDescent="0.2">
      <c r="A20" s="46" t="s">
        <v>26</v>
      </c>
      <c r="B20" s="7">
        <f>[3]American!$IB$9</f>
        <v>0</v>
      </c>
      <c r="C20" s="7">
        <f>[3]Delta!$IB$9</f>
        <v>5</v>
      </c>
      <c r="D20" s="7">
        <f>[3]United!$IB$9</f>
        <v>1</v>
      </c>
      <c r="E20" s="7">
        <f>[3]Spirit!$IB$9</f>
        <v>0</v>
      </c>
      <c r="F20" s="7">
        <f>[3]Condor!$IB$9</f>
        <v>0</v>
      </c>
      <c r="G20" s="7">
        <f>'[3]Air France'!$IB$9</f>
        <v>0</v>
      </c>
      <c r="H20" s="7">
        <f>'[3]Jet Blue'!$IB$9</f>
        <v>1</v>
      </c>
      <c r="I20" s="7">
        <f>[3]KLM!$IB$9</f>
        <v>0</v>
      </c>
      <c r="J20" s="7">
        <f>'Other Major Airline Stats'!K21</f>
        <v>68</v>
      </c>
      <c r="K20" s="24">
        <f>SUM(B20:J20)</f>
        <v>75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8</v>
      </c>
      <c r="D21" s="224">
        <f t="shared" si="9"/>
        <v>2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1</v>
      </c>
      <c r="I21" s="224">
        <f t="shared" si="10"/>
        <v>0</v>
      </c>
      <c r="J21" s="224">
        <f t="shared" si="9"/>
        <v>137</v>
      </c>
      <c r="K21" s="146">
        <f>SUM(B21:J21)</f>
        <v>148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568</v>
      </c>
      <c r="C23" s="19">
        <f t="shared" si="12"/>
        <v>10034</v>
      </c>
      <c r="D23" s="19">
        <f t="shared" si="12"/>
        <v>758</v>
      </c>
      <c r="E23" s="19">
        <f>E17+E21</f>
        <v>252</v>
      </c>
      <c r="F23" s="19">
        <f t="shared" ref="F23:I23" si="13">F17+F21</f>
        <v>0</v>
      </c>
      <c r="G23" s="19">
        <f t="shared" si="13"/>
        <v>0</v>
      </c>
      <c r="H23" s="19">
        <f t="shared" ref="H23" si="14">H17+H21</f>
        <v>177</v>
      </c>
      <c r="I23" s="19">
        <f t="shared" si="13"/>
        <v>34</v>
      </c>
      <c r="J23" s="19">
        <f t="shared" si="12"/>
        <v>3177</v>
      </c>
      <c r="K23" s="20">
        <f>SUM(B23:J23)</f>
        <v>15000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[3]American!$IB$47</f>
        <v>24275</v>
      </c>
      <c r="C28" s="13">
        <f>[3]Delta!$IB$47</f>
        <v>2625342</v>
      </c>
      <c r="D28" s="13">
        <f>[3]United!$IB$47</f>
        <v>28693</v>
      </c>
      <c r="E28" s="13">
        <f>[3]Spirit!$IB$47</f>
        <v>0</v>
      </c>
      <c r="F28" s="13">
        <f>[3]Condor!$IB$47</f>
        <v>0</v>
      </c>
      <c r="G28" s="13">
        <f>'[3]Air France'!$IB$47</f>
        <v>0</v>
      </c>
      <c r="H28" s="13">
        <f>'[3]Jet Blue'!$IB$47</f>
        <v>0</v>
      </c>
      <c r="I28" s="13">
        <f>[3]KLM!$IB$47</f>
        <v>525218</v>
      </c>
      <c r="J28" s="13">
        <f>'Other Major Airline Stats'!K28</f>
        <v>212358</v>
      </c>
      <c r="K28" s="18">
        <f>SUM(B28:J28)</f>
        <v>3415886</v>
      </c>
    </row>
    <row r="29" spans="1:11" x14ac:dyDescent="0.2">
      <c r="A29" s="46" t="s">
        <v>38</v>
      </c>
      <c r="B29" s="7">
        <f>[3]American!$IB$48</f>
        <v>48119</v>
      </c>
      <c r="C29" s="7">
        <f>[3]Delta!$IB$48</f>
        <v>1331360</v>
      </c>
      <c r="D29" s="7">
        <f>[3]United!$IB$48</f>
        <v>34211</v>
      </c>
      <c r="E29" s="7">
        <f>[3]Spirit!$IB$48</f>
        <v>0</v>
      </c>
      <c r="F29" s="7">
        <f>[3]Condor!$IB$48</f>
        <v>0</v>
      </c>
      <c r="G29" s="7">
        <f>'[3]Air France'!$IB$48</f>
        <v>0</v>
      </c>
      <c r="H29" s="7">
        <f>'[3]Jet Blue'!$IB$48</f>
        <v>0</v>
      </c>
      <c r="I29" s="7">
        <f>[3]KLM!$IB$48</f>
        <v>0</v>
      </c>
      <c r="J29" s="7">
        <f>'Other Major Airline Stats'!K29</f>
        <v>59529</v>
      </c>
      <c r="K29" s="24">
        <f>SUM(B29:J29)</f>
        <v>1473219</v>
      </c>
    </row>
    <row r="30" spans="1:11" x14ac:dyDescent="0.2">
      <c r="A30" s="50" t="s">
        <v>39</v>
      </c>
      <c r="B30" s="226">
        <f t="shared" ref="B30:J30" si="15">SUM(B28:B29)</f>
        <v>72394</v>
      </c>
      <c r="C30" s="226">
        <f t="shared" si="15"/>
        <v>3956702</v>
      </c>
      <c r="D30" s="226">
        <f t="shared" si="15"/>
        <v>62904</v>
      </c>
      <c r="E30" s="226">
        <f t="shared" si="15"/>
        <v>0</v>
      </c>
      <c r="F30" s="226">
        <f t="shared" ref="F30:I30" si="16">SUM(F28:F29)</f>
        <v>0</v>
      </c>
      <c r="G30" s="226">
        <f t="shared" si="16"/>
        <v>0</v>
      </c>
      <c r="H30" s="226">
        <f t="shared" ref="H30" si="17">SUM(H28:H29)</f>
        <v>0</v>
      </c>
      <c r="I30" s="226">
        <f t="shared" si="16"/>
        <v>525218</v>
      </c>
      <c r="J30" s="226">
        <f t="shared" si="15"/>
        <v>271887</v>
      </c>
      <c r="K30" s="18">
        <f>SUM(B30:J30)</f>
        <v>4889105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[3]American!$IB$52</f>
        <v>7153</v>
      </c>
      <c r="C33" s="13">
        <f>[3]Delta!$IB$52</f>
        <v>1564601</v>
      </c>
      <c r="D33" s="13">
        <f>[3]United!$IB$52</f>
        <v>5559</v>
      </c>
      <c r="E33" s="13">
        <f>[3]Spirit!$IB$52</f>
        <v>0</v>
      </c>
      <c r="F33" s="13">
        <f>[3]Condor!$IB$52</f>
        <v>0</v>
      </c>
      <c r="G33" s="13">
        <f>'[3]Air France'!$IB$52</f>
        <v>0</v>
      </c>
      <c r="H33" s="13">
        <f>'[3]Jet Blue'!$IB$52</f>
        <v>0</v>
      </c>
      <c r="I33" s="13">
        <f>[3]KLM!$IB$52</f>
        <v>183592</v>
      </c>
      <c r="J33" s="13">
        <f>'Other Major Airline Stats'!K33</f>
        <v>47365</v>
      </c>
      <c r="K33" s="18">
        <f t="shared" si="18"/>
        <v>1808270</v>
      </c>
    </row>
    <row r="34" spans="1:11" x14ac:dyDescent="0.2">
      <c r="A34" s="46" t="s">
        <v>38</v>
      </c>
      <c r="B34" s="7">
        <f>[3]American!$IB$53</f>
        <v>8722</v>
      </c>
      <c r="C34" s="7">
        <f>[3]Delta!$IB$53</f>
        <v>1472047</v>
      </c>
      <c r="D34" s="7">
        <f>[3]United!$IB$53</f>
        <v>3178</v>
      </c>
      <c r="E34" s="7">
        <f>[3]Spirit!$IB$53</f>
        <v>0</v>
      </c>
      <c r="F34" s="7">
        <f>[3]Condor!$IB$53</f>
        <v>0</v>
      </c>
      <c r="G34" s="7">
        <f>'[3]Air France'!$IB$53</f>
        <v>0</v>
      </c>
      <c r="H34" s="7">
        <f>'[3]Jet Blue'!$IB$53</f>
        <v>0</v>
      </c>
      <c r="I34" s="7">
        <f>[3]KLM!$IB$53</f>
        <v>0</v>
      </c>
      <c r="J34" s="7">
        <f>'Other Major Airline Stats'!K34</f>
        <v>18112</v>
      </c>
      <c r="K34" s="24">
        <f t="shared" si="18"/>
        <v>1502059</v>
      </c>
    </row>
    <row r="35" spans="1:11" x14ac:dyDescent="0.2">
      <c r="A35" s="50" t="s">
        <v>41</v>
      </c>
      <c r="B35" s="226">
        <f t="shared" ref="B35:J35" si="19">SUM(B33:B34)</f>
        <v>15875</v>
      </c>
      <c r="C35" s="226">
        <f t="shared" si="19"/>
        <v>3036648</v>
      </c>
      <c r="D35" s="226">
        <f t="shared" si="19"/>
        <v>8737</v>
      </c>
      <c r="E35" s="226">
        <f t="shared" si="19"/>
        <v>0</v>
      </c>
      <c r="F35" s="226">
        <f t="shared" ref="F35:I35" si="20">SUM(F33:F34)</f>
        <v>0</v>
      </c>
      <c r="G35" s="226">
        <f t="shared" si="20"/>
        <v>0</v>
      </c>
      <c r="H35" s="226">
        <f t="shared" ref="H35" si="21">SUM(H33:H34)</f>
        <v>0</v>
      </c>
      <c r="I35" s="226">
        <f t="shared" si="20"/>
        <v>183592</v>
      </c>
      <c r="J35" s="226">
        <f t="shared" si="19"/>
        <v>65477</v>
      </c>
      <c r="K35" s="18">
        <f t="shared" si="18"/>
        <v>3310329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[3]American!$IB$57</f>
        <v>0</v>
      </c>
      <c r="C38" s="13">
        <f>[3]Delta!$IB$57</f>
        <v>0</v>
      </c>
      <c r="D38" s="13">
        <f>[3]United!$IB$57</f>
        <v>0</v>
      </c>
      <c r="E38" s="13">
        <f>[3]Spirit!$IB$57</f>
        <v>0</v>
      </c>
      <c r="F38" s="13">
        <f>[3]Condor!$IB$57</f>
        <v>0</v>
      </c>
      <c r="G38" s="13">
        <f>'[3]Air France'!$IB$57</f>
        <v>0</v>
      </c>
      <c r="H38" s="13">
        <f>'[3]Jet Blue'!$IB$57</f>
        <v>0</v>
      </c>
      <c r="I38" s="13">
        <f>[3]KLM!$IB$57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[3]American!$IB$58</f>
        <v>0</v>
      </c>
      <c r="C39" s="7">
        <f>[3]Delta!$IB$58</f>
        <v>0</v>
      </c>
      <c r="D39" s="7">
        <f>[3]United!$IB$58</f>
        <v>0</v>
      </c>
      <c r="E39" s="7">
        <f>[3]Spirit!$IB$58</f>
        <v>0</v>
      </c>
      <c r="F39" s="7">
        <f>[3]Condor!$IB$58</f>
        <v>0</v>
      </c>
      <c r="G39" s="7">
        <f>'[3]Air France'!$IB$58</f>
        <v>0</v>
      </c>
      <c r="H39" s="7">
        <f>'[3]Jet Blue'!$IB$58</f>
        <v>0</v>
      </c>
      <c r="I39" s="7">
        <f>[3]KLM!$IB$58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31428</v>
      </c>
      <c r="C43" s="13">
        <f t="shared" si="25"/>
        <v>4189943</v>
      </c>
      <c r="D43" s="13">
        <f t="shared" si="25"/>
        <v>34252</v>
      </c>
      <c r="E43" s="13">
        <f>E28+E33+E38</f>
        <v>0</v>
      </c>
      <c r="F43" s="13">
        <f t="shared" ref="F43:I43" si="26">F28+F33+F38</f>
        <v>0</v>
      </c>
      <c r="G43" s="13">
        <f t="shared" si="26"/>
        <v>0</v>
      </c>
      <c r="H43" s="13">
        <f t="shared" ref="H43" si="27">H28+H33+H38</f>
        <v>0</v>
      </c>
      <c r="I43" s="13">
        <f t="shared" si="26"/>
        <v>708810</v>
      </c>
      <c r="J43" s="13">
        <f t="shared" si="25"/>
        <v>259723</v>
      </c>
      <c r="K43" s="18">
        <f>SUM(B43:J43)</f>
        <v>5224156</v>
      </c>
    </row>
    <row r="44" spans="1:11" x14ac:dyDescent="0.2">
      <c r="A44" s="46" t="s">
        <v>38</v>
      </c>
      <c r="B44" s="7">
        <f t="shared" si="25"/>
        <v>56841</v>
      </c>
      <c r="C44" s="7">
        <f t="shared" si="25"/>
        <v>2803407</v>
      </c>
      <c r="D44" s="7">
        <f t="shared" si="25"/>
        <v>37389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77641</v>
      </c>
      <c r="K44" s="18">
        <f>SUM(B44:J44)</f>
        <v>2975278</v>
      </c>
    </row>
    <row r="45" spans="1:11" ht="15.75" thickBot="1" x14ac:dyDescent="0.3">
      <c r="A45" s="47" t="s">
        <v>46</v>
      </c>
      <c r="B45" s="227">
        <f t="shared" ref="B45:J45" si="30">SUM(B43:B44)</f>
        <v>88269</v>
      </c>
      <c r="C45" s="227">
        <f t="shared" si="30"/>
        <v>6993350</v>
      </c>
      <c r="D45" s="227">
        <f t="shared" si="30"/>
        <v>71641</v>
      </c>
      <c r="E45" s="227">
        <f t="shared" si="30"/>
        <v>0</v>
      </c>
      <c r="F45" s="227">
        <f t="shared" ref="F45:I45" si="31">SUM(F43:F44)</f>
        <v>0</v>
      </c>
      <c r="G45" s="227">
        <f t="shared" si="31"/>
        <v>0</v>
      </c>
      <c r="H45" s="227">
        <f t="shared" ref="H45" si="32">SUM(H43:H44)</f>
        <v>0</v>
      </c>
      <c r="I45" s="227">
        <f t="shared" si="31"/>
        <v>708810</v>
      </c>
      <c r="J45" s="227">
        <f t="shared" si="30"/>
        <v>337364</v>
      </c>
      <c r="K45" s="228">
        <f>SUM(B45:J45)</f>
        <v>8199434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[3]Delta!$IB$70+[3]Delta!$IB$73</f>
        <v>420702</v>
      </c>
      <c r="D47" s="241"/>
      <c r="E47" s="241"/>
      <c r="F47" s="241"/>
      <c r="G47" s="241"/>
      <c r="H47" s="241"/>
      <c r="I47" s="241"/>
      <c r="J47" s="241"/>
      <c r="K47" s="242">
        <f>SUM(B47:J47)</f>
        <v>420702</v>
      </c>
    </row>
    <row r="48" spans="1:11" hidden="1" x14ac:dyDescent="0.2">
      <c r="A48" s="302" t="s">
        <v>122</v>
      </c>
      <c r="C48" s="253">
        <f>[3]Delta!$IB$71+[3]Delta!$IB$74</f>
        <v>286272</v>
      </c>
      <c r="D48" s="241"/>
      <c r="E48" s="241"/>
      <c r="F48" s="241"/>
      <c r="G48" s="241"/>
      <c r="H48" s="241"/>
      <c r="I48" s="241"/>
      <c r="J48" s="241"/>
      <c r="K48" s="242">
        <f>SUM(B48:J48)</f>
        <v>286272</v>
      </c>
    </row>
    <row r="49" spans="1:11" hidden="1" x14ac:dyDescent="0.2">
      <c r="A49" s="303" t="s">
        <v>123</v>
      </c>
      <c r="C49" s="254">
        <f>SUM(C47:C48)</f>
        <v>706974</v>
      </c>
      <c r="K49" s="242">
        <f>SUM(B49:J49)</f>
        <v>706974</v>
      </c>
    </row>
    <row r="50" spans="1:11" x14ac:dyDescent="0.2">
      <c r="A50" s="301" t="s">
        <v>121</v>
      </c>
      <c r="B50" s="312"/>
      <c r="C50" s="256">
        <f>[3]Delta!$IB$70+[3]Delta!$IB$73</f>
        <v>420702</v>
      </c>
      <c r="D50" s="312"/>
      <c r="E50" s="256">
        <f>[3]Spirit!$IB$70+[3]Spirit!$IB$73</f>
        <v>0</v>
      </c>
      <c r="F50" s="312"/>
      <c r="G50" s="312"/>
      <c r="H50" s="312"/>
      <c r="I50" s="312"/>
      <c r="J50" s="255">
        <f>'Other Major Airline Stats'!K48</f>
        <v>188469</v>
      </c>
      <c r="K50" s="245">
        <f>SUM(B50:J50)</f>
        <v>609171</v>
      </c>
    </row>
    <row r="51" spans="1:11" x14ac:dyDescent="0.2">
      <c r="A51" s="314" t="s">
        <v>122</v>
      </c>
      <c r="B51" s="312"/>
      <c r="C51" s="256">
        <f>[3]Delta!$IB$71+[3]Delta!$IB$74</f>
        <v>286272</v>
      </c>
      <c r="D51" s="312"/>
      <c r="E51" s="256">
        <f>[3]Spirit!$IB$71+[3]Spirit!$IB$74</f>
        <v>0</v>
      </c>
      <c r="F51" s="312"/>
      <c r="G51" s="312"/>
      <c r="H51" s="312"/>
      <c r="I51" s="312"/>
      <c r="J51" s="255">
        <f>+'Other Major Airline Stats'!K49</f>
        <v>101</v>
      </c>
      <c r="K51" s="245">
        <f>SUM(B51:J51)</f>
        <v>286373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E4" sqref="E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44866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[3]Frontier!$IB$22+[3]Frontier!$IB$32</f>
        <v>5382</v>
      </c>
      <c r="C5" s="96">
        <f>'[3]Allegiant '!$IB$22</f>
        <v>5909</v>
      </c>
      <c r="D5" s="96">
        <f>'[3]Aer Lingus'!$IB$22+'[3]Aer Lingus'!$IB$32</f>
        <v>0</v>
      </c>
      <c r="E5" s="96">
        <f>'[3]Denver Air'!$IB$22+'[3]Denver Air'!$IB$32</f>
        <v>691</v>
      </c>
      <c r="F5" s="96">
        <f>'[3]Boutique Air'!$IB$22</f>
        <v>0</v>
      </c>
      <c r="G5" s="96">
        <f>[3]Icelandair!$IB$32</f>
        <v>2029</v>
      </c>
      <c r="H5" s="96">
        <f>[3]Southwest!$IB$22</f>
        <v>54996</v>
      </c>
      <c r="I5" s="96">
        <f>'[3]Sun Country'!$IB$22+'[3]Sun Country'!$IB$32</f>
        <v>131552</v>
      </c>
      <c r="J5" s="96">
        <f>[3]Alaska!$IB$22</f>
        <v>7995</v>
      </c>
      <c r="K5" s="119">
        <f>SUM(B5:J5)</f>
        <v>208554</v>
      </c>
      <c r="N5" s="96"/>
    </row>
    <row r="6" spans="1:14" x14ac:dyDescent="0.2">
      <c r="A6" s="46" t="s">
        <v>31</v>
      </c>
      <c r="B6" s="96">
        <f>[3]Frontier!$IB$23+[3]Frontier!$IB$33</f>
        <v>5294</v>
      </c>
      <c r="C6" s="96">
        <f>'[3]Allegiant '!$IB$23</f>
        <v>5967</v>
      </c>
      <c r="D6" s="96">
        <f>'[3]Aer Lingus'!$IB$23+'[3]Aer Lingus'!$IB$33</f>
        <v>0</v>
      </c>
      <c r="E6" s="96">
        <f>'[3]Denver Air'!$IB$23+'[3]Denver Air'!$IB$33</f>
        <v>656</v>
      </c>
      <c r="F6" s="96">
        <f>'[3]Boutique Air'!$IB$23</f>
        <v>0</v>
      </c>
      <c r="G6" s="96">
        <f>[3]Icelandair!$IB$33</f>
        <v>1987</v>
      </c>
      <c r="H6" s="96">
        <f>[3]Southwest!$IB$23</f>
        <v>55508</v>
      </c>
      <c r="I6" s="96">
        <f>'[3]Sun Country'!$IB$23+'[3]Sun Country'!$IB$33</f>
        <v>133062</v>
      </c>
      <c r="J6" s="96">
        <f>[3]Alaska!$IB$23</f>
        <v>7634</v>
      </c>
      <c r="K6" s="119">
        <f>SUM(B6:J6)</f>
        <v>210108</v>
      </c>
    </row>
    <row r="7" spans="1:14" ht="15" x14ac:dyDescent="0.25">
      <c r="A7" s="44" t="s">
        <v>7</v>
      </c>
      <c r="B7" s="127">
        <f>SUM(B5:B6)</f>
        <v>10676</v>
      </c>
      <c r="C7" s="127">
        <f t="shared" ref="C7:F7" si="0">SUM(C5:C6)</f>
        <v>11876</v>
      </c>
      <c r="D7" s="127">
        <f>SUM(D5:D6)</f>
        <v>0</v>
      </c>
      <c r="E7" s="127">
        <f>SUM(E5:E6)</f>
        <v>1347</v>
      </c>
      <c r="F7" s="127">
        <f t="shared" si="0"/>
        <v>0</v>
      </c>
      <c r="G7" s="127">
        <f t="shared" ref="G7:J7" si="1">SUM(G5:G6)</f>
        <v>4016</v>
      </c>
      <c r="H7" s="127">
        <f t="shared" si="1"/>
        <v>110504</v>
      </c>
      <c r="I7" s="127">
        <f>SUM(I5:I6)</f>
        <v>264614</v>
      </c>
      <c r="J7" s="127">
        <f t="shared" si="1"/>
        <v>15629</v>
      </c>
      <c r="K7" s="128">
        <f>SUM(B7:J7)</f>
        <v>418662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[3]Frontier!$IB$27+[3]Frontier!$IB$37</f>
        <v>34</v>
      </c>
      <c r="C10" s="126">
        <f>'[3]Allegiant '!$IB$27</f>
        <v>0</v>
      </c>
      <c r="D10" s="395">
        <f>'[3]Aer Lingus'!$IB$27+'[3]Aer Lingus'!$IB$37</f>
        <v>0</v>
      </c>
      <c r="E10" s="126">
        <f>'[3]Denver Air'!$IB$27+'[3]Denver Air'!$IB$37</f>
        <v>58</v>
      </c>
      <c r="F10" s="126">
        <f>'[3]Boutique Air'!$IB$27</f>
        <v>0</v>
      </c>
      <c r="G10" s="126">
        <f>[3]Icelandair!$IB$37</f>
        <v>46</v>
      </c>
      <c r="H10" s="126">
        <f>[3]Southwest!$IB$27</f>
        <v>1045</v>
      </c>
      <c r="I10" s="126">
        <f>'[3]Sun Country'!$IB$27+'[3]Sun Country'!$IB$37</f>
        <v>2282</v>
      </c>
      <c r="J10" s="126">
        <f>[3]Alaska!$IB$27</f>
        <v>295</v>
      </c>
      <c r="K10" s="119">
        <f>SUM(B10:J10)</f>
        <v>3760</v>
      </c>
    </row>
    <row r="11" spans="1:14" x14ac:dyDescent="0.2">
      <c r="A11" s="46" t="s">
        <v>33</v>
      </c>
      <c r="B11" s="129">
        <f>[3]Frontier!$IB$28+[3]Frontier!$IB$38</f>
        <v>38</v>
      </c>
      <c r="C11" s="129">
        <f>'[3]Allegiant '!$IB$28</f>
        <v>0</v>
      </c>
      <c r="D11" s="129">
        <f>'[3]Aer Lingus'!$IB$28+'[3]Aer Lingus'!$IB$38</f>
        <v>0</v>
      </c>
      <c r="E11" s="129">
        <f>'[3]Denver Air'!$IB$28+'[3]Denver Air'!$IB$38</f>
        <v>72</v>
      </c>
      <c r="F11" s="129">
        <f>'[3]Boutique Air'!$IB$28</f>
        <v>0</v>
      </c>
      <c r="G11" s="129">
        <f>[3]Icelandair!$IB$38</f>
        <v>53</v>
      </c>
      <c r="H11" s="129">
        <f>[3]Southwest!$IB$28</f>
        <v>1062</v>
      </c>
      <c r="I11" s="129">
        <f>'[3]Sun Country'!$IB$28+'[3]Sun Country'!$IB$38</f>
        <v>2318</v>
      </c>
      <c r="J11" s="129">
        <f>[3]Alaska!$IB$28</f>
        <v>336</v>
      </c>
      <c r="K11" s="119">
        <f>SUM(B11:J11)</f>
        <v>3879</v>
      </c>
    </row>
    <row r="12" spans="1:14" ht="15.75" thickBot="1" x14ac:dyDescent="0.3">
      <c r="A12" s="47" t="s">
        <v>34</v>
      </c>
      <c r="B12" s="122">
        <f>SUM(B10:B11)</f>
        <v>72</v>
      </c>
      <c r="C12" s="122">
        <f t="shared" ref="C12:F12" si="2">SUM(C10:C11)</f>
        <v>0</v>
      </c>
      <c r="D12" s="122">
        <f>SUM(D10:D11)</f>
        <v>0</v>
      </c>
      <c r="E12" s="122">
        <f>SUM(E10:E11)</f>
        <v>130</v>
      </c>
      <c r="F12" s="122">
        <f t="shared" si="2"/>
        <v>0</v>
      </c>
      <c r="G12" s="122">
        <f t="shared" ref="G12:J12" si="3">SUM(G10:G11)</f>
        <v>99</v>
      </c>
      <c r="H12" s="122">
        <f t="shared" si="3"/>
        <v>2107</v>
      </c>
      <c r="I12" s="122">
        <f>SUM(I10:I11)</f>
        <v>4600</v>
      </c>
      <c r="J12" s="122">
        <f t="shared" si="3"/>
        <v>631</v>
      </c>
      <c r="K12" s="130">
        <f>SUM(B12:J12)</f>
        <v>7639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[3]Frontier!$IB$4+[3]Frontier!$IB$15</f>
        <v>34</v>
      </c>
      <c r="C16" s="86">
        <f>'[3]Allegiant '!$IB$4</f>
        <v>41</v>
      </c>
      <c r="D16" s="96">
        <f>'[3]Aer Lingus'!$IB$4+'[3]Aer Lingus'!$IB$15</f>
        <v>0</v>
      </c>
      <c r="E16" s="96">
        <f>'[3]Denver Air'!$IB$4+'[3]Denver Air'!$IB$15</f>
        <v>73</v>
      </c>
      <c r="F16" s="86">
        <f>'[3]Boutique Air'!$IB$4</f>
        <v>0</v>
      </c>
      <c r="G16" s="96">
        <f>[3]Icelandair!$IB$15</f>
        <v>17</v>
      </c>
      <c r="H16" s="86">
        <f>[3]Southwest!$IB$4</f>
        <v>456</v>
      </c>
      <c r="I16" s="96">
        <f>'[3]Sun Country'!$IB$4+'[3]Sun Country'!$IB$15</f>
        <v>840</v>
      </c>
      <c r="J16" s="96">
        <f>[3]Alaska!$IB$4</f>
        <v>56</v>
      </c>
      <c r="K16" s="119">
        <f>SUM(B16:J16)</f>
        <v>1517</v>
      </c>
    </row>
    <row r="17" spans="1:258" x14ac:dyDescent="0.2">
      <c r="A17" s="46" t="s">
        <v>23</v>
      </c>
      <c r="B17" s="96">
        <f>[3]Frontier!$IB$5+[3]Frontier!$IB$16</f>
        <v>34</v>
      </c>
      <c r="C17" s="86">
        <f>'[3]Allegiant '!$IB$5</f>
        <v>41</v>
      </c>
      <c r="D17" s="96">
        <f>'[3]Aer Lingus'!$IB$5+'[3]Aer Lingus'!$IB$16</f>
        <v>0</v>
      </c>
      <c r="E17" s="96">
        <f>'[3]Denver Air'!$IB$5+'[3]Denver Air'!$IB$16</f>
        <v>73</v>
      </c>
      <c r="F17" s="86">
        <f>'[3]Boutique Air'!$IB$5</f>
        <v>0</v>
      </c>
      <c r="G17" s="96">
        <f>[3]Icelandair!$IB$16</f>
        <v>17</v>
      </c>
      <c r="H17" s="86">
        <f>[3]Southwest!$IB$5</f>
        <v>456</v>
      </c>
      <c r="I17" s="96">
        <f>'[3]Sun Country'!$IB$5+'[3]Sun Country'!$IB$16</f>
        <v>846</v>
      </c>
      <c r="J17" s="96">
        <f>[3]Alaska!$IB$5</f>
        <v>56</v>
      </c>
      <c r="K17" s="119">
        <f>SUM(B17:J17)</f>
        <v>1523</v>
      </c>
    </row>
    <row r="18" spans="1:258" x14ac:dyDescent="0.2">
      <c r="A18" s="50" t="s">
        <v>24</v>
      </c>
      <c r="B18" s="120">
        <f t="shared" ref="B18" si="4">SUM(B16:B17)</f>
        <v>68</v>
      </c>
      <c r="C18" s="120">
        <f t="shared" ref="C18:F18" si="5">SUM(C16:C17)</f>
        <v>82</v>
      </c>
      <c r="D18" s="120">
        <f t="shared" si="5"/>
        <v>0</v>
      </c>
      <c r="E18" s="120">
        <f t="shared" si="5"/>
        <v>146</v>
      </c>
      <c r="F18" s="120">
        <f t="shared" si="5"/>
        <v>0</v>
      </c>
      <c r="G18" s="120">
        <f t="shared" ref="G18:J18" si="6">SUM(G16:G17)</f>
        <v>34</v>
      </c>
      <c r="H18" s="120">
        <f t="shared" si="6"/>
        <v>912</v>
      </c>
      <c r="I18" s="120">
        <f t="shared" si="6"/>
        <v>1686</v>
      </c>
      <c r="J18" s="120">
        <f t="shared" si="6"/>
        <v>112</v>
      </c>
      <c r="K18" s="121">
        <f>SUM(B18:J18)</f>
        <v>3040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[3]Frontier!$IB$8</f>
        <v>0</v>
      </c>
      <c r="C20" s="96">
        <f>'[3]Allegiant '!$IB$8</f>
        <v>0</v>
      </c>
      <c r="D20" s="96">
        <f>'[3]Aer Lingus'!$IB$8</f>
        <v>0</v>
      </c>
      <c r="E20" s="96">
        <f>'[3]Denver Air'!$IB$8</f>
        <v>3</v>
      </c>
      <c r="F20" s="96">
        <f>'[3]Boutique Air'!$IB$8</f>
        <v>0</v>
      </c>
      <c r="G20" s="96">
        <f>[3]Icelandair!$IB$8</f>
        <v>0</v>
      </c>
      <c r="H20" s="96">
        <f>[3]Southwest!$IB$8</f>
        <v>0</v>
      </c>
      <c r="I20" s="96">
        <f>'[3]Sun Country'!$IB$8</f>
        <v>66</v>
      </c>
      <c r="J20" s="96">
        <f>[3]Alaska!$IB$8</f>
        <v>0</v>
      </c>
      <c r="K20" s="119">
        <f>SUM(B20:J20)</f>
        <v>69</v>
      </c>
    </row>
    <row r="21" spans="1:258" x14ac:dyDescent="0.2">
      <c r="A21" s="46" t="s">
        <v>26</v>
      </c>
      <c r="B21" s="96">
        <f>[3]Frontier!$IB$9</f>
        <v>0</v>
      </c>
      <c r="C21" s="96">
        <f>'[3]Allegiant '!$IB$9</f>
        <v>0</v>
      </c>
      <c r="D21" s="96">
        <f>'[3]Aer Lingus'!$IB$9</f>
        <v>0</v>
      </c>
      <c r="E21" s="96">
        <f>'[3]Denver Air'!$IB$9</f>
        <v>3</v>
      </c>
      <c r="F21" s="96">
        <f>'[3]Boutique Air'!$IB$9</f>
        <v>0</v>
      </c>
      <c r="G21" s="96">
        <f>[3]Icelandair!$IB$9</f>
        <v>0</v>
      </c>
      <c r="H21" s="96">
        <f>[3]Southwest!$IB$9</f>
        <v>0</v>
      </c>
      <c r="I21" s="96">
        <f>'[3]Sun Country'!$IB$9</f>
        <v>65</v>
      </c>
      <c r="J21" s="96">
        <f>[3]Alaska!$IB$9</f>
        <v>0</v>
      </c>
      <c r="K21" s="119">
        <f>SUM(B21:J21)</f>
        <v>68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6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131</v>
      </c>
      <c r="J22" s="120">
        <f t="shared" si="9"/>
        <v>0</v>
      </c>
      <c r="K22" s="121">
        <f>SUM(B22:J22)</f>
        <v>137</v>
      </c>
    </row>
    <row r="23" spans="1:258" ht="15.75" thickBot="1" x14ac:dyDescent="0.3">
      <c r="A23" s="47" t="s">
        <v>28</v>
      </c>
      <c r="B23" s="122">
        <f t="shared" ref="B23" si="10">B22+B18</f>
        <v>68</v>
      </c>
      <c r="C23" s="122">
        <f t="shared" ref="C23:F23" si="11">C22+C18</f>
        <v>82</v>
      </c>
      <c r="D23" s="122">
        <f t="shared" si="11"/>
        <v>0</v>
      </c>
      <c r="E23" s="122">
        <f t="shared" si="11"/>
        <v>152</v>
      </c>
      <c r="F23" s="122">
        <f t="shared" si="11"/>
        <v>0</v>
      </c>
      <c r="G23" s="122">
        <f t="shared" ref="G23:J23" si="12">G22+G18</f>
        <v>34</v>
      </c>
      <c r="H23" s="122">
        <f t="shared" si="12"/>
        <v>912</v>
      </c>
      <c r="I23" s="122">
        <f t="shared" si="12"/>
        <v>1817</v>
      </c>
      <c r="J23" s="122">
        <f t="shared" si="12"/>
        <v>112</v>
      </c>
      <c r="K23" s="123">
        <f>SUM(B23:J23)</f>
        <v>3177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[3]Frontier!$IB$47</f>
        <v>0</v>
      </c>
      <c r="C28" s="96">
        <f>'[3]Allegiant '!$IB$47</f>
        <v>0</v>
      </c>
      <c r="D28" s="96">
        <f>'[3]Aer Lingus'!$IB$47</f>
        <v>0</v>
      </c>
      <c r="E28" s="96">
        <f>'[3]Denver Air'!$IB$47</f>
        <v>0</v>
      </c>
      <c r="F28" s="96">
        <f>'[3]Boutique Air'!$IB$47</f>
        <v>0</v>
      </c>
      <c r="G28" s="96">
        <f>[3]Icelandair!$IB$47</f>
        <v>112</v>
      </c>
      <c r="H28" s="96">
        <f>[3]Southwest!$IB$47</f>
        <v>184009</v>
      </c>
      <c r="I28" s="96">
        <f>'[3]Sun Country'!$IB$47</f>
        <v>12558</v>
      </c>
      <c r="J28" s="96">
        <f>[3]Alaska!$IB$47</f>
        <v>15679</v>
      </c>
      <c r="K28" s="119">
        <f>SUM(B28:J28)</f>
        <v>212358</v>
      </c>
    </row>
    <row r="29" spans="1:258" x14ac:dyDescent="0.2">
      <c r="A29" s="46" t="s">
        <v>38</v>
      </c>
      <c r="B29" s="96">
        <f>[3]Frontier!$IB$48</f>
        <v>0</v>
      </c>
      <c r="C29" s="96">
        <f>'[3]Allegiant '!$IB$48</f>
        <v>0</v>
      </c>
      <c r="D29" s="96">
        <f>'[3]Aer Lingus'!$IB$48</f>
        <v>0</v>
      </c>
      <c r="E29" s="96">
        <f>'[3]Denver Air'!$IB$48</f>
        <v>0</v>
      </c>
      <c r="F29" s="96">
        <f>'[3]Boutique Air'!$IB$48</f>
        <v>0</v>
      </c>
      <c r="G29" s="96">
        <f>[3]Icelandair!$IB$48</f>
        <v>0</v>
      </c>
      <c r="H29" s="96">
        <f>[3]Southwest!$IB$48</f>
        <v>0</v>
      </c>
      <c r="I29" s="96">
        <f>'[3]Sun Country'!$IB$48</f>
        <v>59529</v>
      </c>
      <c r="J29" s="96">
        <f>[3]Alaska!$IB$48</f>
        <v>0</v>
      </c>
      <c r="K29" s="119">
        <f>SUM(B29:J29)</f>
        <v>59529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112</v>
      </c>
      <c r="H30" s="134">
        <f t="shared" si="15"/>
        <v>184009</v>
      </c>
      <c r="I30" s="134">
        <f t="shared" si="15"/>
        <v>72087</v>
      </c>
      <c r="J30" s="134">
        <f t="shared" si="15"/>
        <v>15679</v>
      </c>
      <c r="K30" s="136">
        <f>SUM(B30:J30)</f>
        <v>271887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[3]Frontier!$IB$52</f>
        <v>0</v>
      </c>
      <c r="C33" s="96">
        <f>'[3]Allegiant '!$IB$52</f>
        <v>0</v>
      </c>
      <c r="D33" s="96">
        <f>'[3]Aer Lingus'!$IB$52</f>
        <v>0</v>
      </c>
      <c r="E33" s="96">
        <f>'[3]Denver Air'!$IB$52</f>
        <v>0</v>
      </c>
      <c r="F33" s="96">
        <f>'[3]Boutique Air'!$IB$52</f>
        <v>0</v>
      </c>
      <c r="G33" s="96">
        <f>[3]Icelandair!$IB$52</f>
        <v>1604</v>
      </c>
      <c r="H33" s="96">
        <f>[3]Southwest!$IB$52</f>
        <v>35731</v>
      </c>
      <c r="I33" s="96">
        <f>'[3]Sun Country'!$IB$52</f>
        <v>0</v>
      </c>
      <c r="J33" s="96">
        <f>[3]Alaska!$IB$52</f>
        <v>10030</v>
      </c>
      <c r="K33" s="119">
        <f>SUM(B33:J33)</f>
        <v>47365</v>
      </c>
    </row>
    <row r="34" spans="1:11" x14ac:dyDescent="0.2">
      <c r="A34" s="46" t="s">
        <v>38</v>
      </c>
      <c r="B34" s="96">
        <f>[3]Frontier!$IB$53</f>
        <v>0</v>
      </c>
      <c r="C34" s="96">
        <f>'[3]Allegiant '!$IB$53</f>
        <v>0</v>
      </c>
      <c r="D34" s="96">
        <f>'[3]Aer Lingus'!$IB$53</f>
        <v>0</v>
      </c>
      <c r="E34" s="96">
        <f>'[3]Denver Air'!$IB$53</f>
        <v>0</v>
      </c>
      <c r="F34" s="96">
        <f>'[3]Boutique Air'!$IB$53</f>
        <v>0</v>
      </c>
      <c r="G34" s="96">
        <f>[3]Icelandair!$IB$53</f>
        <v>0</v>
      </c>
      <c r="H34" s="96">
        <f>[3]Southwest!$IB$53</f>
        <v>0</v>
      </c>
      <c r="I34" s="96">
        <f>'[3]Sun Country'!$IB$53</f>
        <v>18112</v>
      </c>
      <c r="J34" s="96">
        <f>[3]Alaska!$IB$53</f>
        <v>0</v>
      </c>
      <c r="K34" s="135">
        <f>SUM(B34:J34)</f>
        <v>18112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1604</v>
      </c>
      <c r="H35" s="120">
        <f t="shared" si="18"/>
        <v>35731</v>
      </c>
      <c r="I35" s="120">
        <f t="shared" si="18"/>
        <v>18112</v>
      </c>
      <c r="J35" s="120">
        <f t="shared" si="18"/>
        <v>10030</v>
      </c>
      <c r="K35" s="136">
        <f>SUM(B35:J35)</f>
        <v>65477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[3]Frontier!$IB$57</f>
        <v>0</v>
      </c>
      <c r="C38" s="126">
        <f>'[3]Allegiant '!$IB$57</f>
        <v>0</v>
      </c>
      <c r="D38" s="395">
        <f>'[3]Aer Lingus'!$IB$57</f>
        <v>0</v>
      </c>
      <c r="E38" s="126">
        <f>'[3]Denver Air'!$IB$57</f>
        <v>0</v>
      </c>
      <c r="F38" s="126">
        <f>'[3]Boutique Air'!$IB$57</f>
        <v>0</v>
      </c>
      <c r="G38" s="126">
        <f>[3]Icelandair!$IB$57</f>
        <v>0</v>
      </c>
      <c r="H38" s="126">
        <f>[3]Southwest!$IB$57</f>
        <v>0</v>
      </c>
      <c r="I38" s="126">
        <f>'[3]Sun Country'!$IB$57</f>
        <v>0</v>
      </c>
      <c r="J38" s="126">
        <f>[3]Alaska!$IB$57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[3]Frontier!$IB$58</f>
        <v>0</v>
      </c>
      <c r="C39" s="129">
        <f>'[3]Allegiant '!$IB$58</f>
        <v>0</v>
      </c>
      <c r="D39" s="129">
        <f>'[3]Aer Lingus'!$IB$58</f>
        <v>0</v>
      </c>
      <c r="E39" s="129">
        <f>'[3]Denver Air'!$IB$58</f>
        <v>0</v>
      </c>
      <c r="F39" s="129">
        <f>'[3]Boutique Air'!$IB$58</f>
        <v>0</v>
      </c>
      <c r="G39" s="129">
        <f>[3]Icelandair!$IB$58</f>
        <v>0</v>
      </c>
      <c r="H39" s="129">
        <f>[3]Southwest!$IB$58</f>
        <v>0</v>
      </c>
      <c r="I39" s="129">
        <f>'[3]Sun Country'!$IB$58</f>
        <v>0</v>
      </c>
      <c r="J39" s="129">
        <f>[3]Alaska!$IB$58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1716</v>
      </c>
      <c r="H43" s="126">
        <f t="shared" si="24"/>
        <v>219740</v>
      </c>
      <c r="I43" s="126">
        <f t="shared" si="24"/>
        <v>12558</v>
      </c>
      <c r="J43" s="126">
        <f t="shared" si="24"/>
        <v>25709</v>
      </c>
      <c r="K43" s="119">
        <f>SUM(B43:J43)</f>
        <v>259723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77641</v>
      </c>
      <c r="J44" s="129">
        <f t="shared" si="27"/>
        <v>0</v>
      </c>
      <c r="K44" s="119">
        <f>SUM(B44:J44)</f>
        <v>77641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1716</v>
      </c>
      <c r="H45" s="138">
        <f t="shared" si="30"/>
        <v>219740</v>
      </c>
      <c r="I45" s="138">
        <f t="shared" si="30"/>
        <v>90199</v>
      </c>
      <c r="J45" s="138">
        <f t="shared" si="30"/>
        <v>25709</v>
      </c>
      <c r="K45" s="139">
        <f>SUM(B45:J45)</f>
        <v>337364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[3]Southwest!$IB$70+[3]Southwest!$IB$73</f>
        <v>55407</v>
      </c>
      <c r="I48" s="256">
        <f>'[3]Sun Country'!$IB$70+'[3]Sun Country'!$IB$73</f>
        <v>133062</v>
      </c>
      <c r="J48" s="312"/>
      <c r="K48" s="245">
        <f>SUM(B48:J48)</f>
        <v>188469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[3]Southwest!$IB$71+[3]Southwest!$IB$74</f>
        <v>101</v>
      </c>
      <c r="I49" s="256">
        <f>'[3]Sun Country'!$IB$71+'[3]Sun Country'!$IB$74</f>
        <v>0</v>
      </c>
      <c r="J49" s="312"/>
      <c r="K49" s="245">
        <f>SUM(B49:J49)</f>
        <v>101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November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I43" sqref="I4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44866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[3]Pinnacle!$IB$22+[3]Pinnacle!$IB$32</f>
        <v>30077</v>
      </c>
      <c r="C5" s="88">
        <f>[3]MESA_UA!$IB$22</f>
        <v>2603</v>
      </c>
      <c r="D5" s="96">
        <f>'[3]Sky West'!$IB$22+'[3]Sky West'!$IB$32</f>
        <v>139854</v>
      </c>
      <c r="E5" s="96">
        <f>'[3]Sky West_UA'!$IB$22</f>
        <v>275</v>
      </c>
      <c r="F5" s="96">
        <f>'[3]Sky West_AS'!$IB$22</f>
        <v>0</v>
      </c>
      <c r="G5" s="96">
        <f>'[3]Sky West_AA'!$IB$22</f>
        <v>0</v>
      </c>
      <c r="H5" s="96">
        <f>[3]Republic!$IB$22</f>
        <v>4431</v>
      </c>
      <c r="I5" s="96">
        <f>[3]Republic_UA!$IB$22</f>
        <v>938</v>
      </c>
      <c r="J5" s="96">
        <f>'[3]Sky Regional'!$IB$32</f>
        <v>0</v>
      </c>
      <c r="K5" s="96">
        <f>'[3]American Eagle'!$IB$22</f>
        <v>3379</v>
      </c>
      <c r="L5" s="96">
        <f>'Other Regional'!L5</f>
        <v>8143</v>
      </c>
      <c r="M5" s="89">
        <f>SUM(B5:L5)</f>
        <v>189700</v>
      </c>
    </row>
    <row r="6" spans="1:16" s="6" customFormat="1" x14ac:dyDescent="0.2">
      <c r="A6" s="46" t="s">
        <v>31</v>
      </c>
      <c r="B6" s="88">
        <f>[3]Pinnacle!$IB$23+[3]Pinnacle!$IB$33</f>
        <v>30379</v>
      </c>
      <c r="C6" s="88">
        <f>[3]MESA_UA!$IB$23</f>
        <v>2729</v>
      </c>
      <c r="D6" s="96">
        <f>'[3]Sky West'!$IB$23+'[3]Sky West'!$IB$33</f>
        <v>139314</v>
      </c>
      <c r="E6" s="96">
        <f>'[3]Sky West_UA'!$IB$23</f>
        <v>279</v>
      </c>
      <c r="F6" s="96">
        <f>'[3]Sky West_AS'!$IB$23</f>
        <v>0</v>
      </c>
      <c r="G6" s="96">
        <f>'[3]Sky West_AA'!$IB$23</f>
        <v>0</v>
      </c>
      <c r="H6" s="96">
        <f>[3]Republic!$IB$23</f>
        <v>4853</v>
      </c>
      <c r="I6" s="96">
        <f>[3]Republic_UA!$IB$23</f>
        <v>899</v>
      </c>
      <c r="J6" s="96">
        <f>'[3]Sky Regional'!$IB$33</f>
        <v>0</v>
      </c>
      <c r="K6" s="96">
        <f>'[3]American Eagle'!$IB$23</f>
        <v>3677</v>
      </c>
      <c r="L6" s="96">
        <f>'Other Regional'!L6</f>
        <v>9307</v>
      </c>
      <c r="M6" s="93">
        <f>SUM(B6:L6)</f>
        <v>191437</v>
      </c>
    </row>
    <row r="7" spans="1:16" ht="15" thickBot="1" x14ac:dyDescent="0.25">
      <c r="A7" s="55" t="s">
        <v>7</v>
      </c>
      <c r="B7" s="106">
        <f>SUM(B5:B6)</f>
        <v>60456</v>
      </c>
      <c r="C7" s="106">
        <f t="shared" ref="C7:L7" si="0">SUM(C5:C6)</f>
        <v>5332</v>
      </c>
      <c r="D7" s="106">
        <f t="shared" si="0"/>
        <v>279168</v>
      </c>
      <c r="E7" s="106">
        <f t="shared" si="0"/>
        <v>554</v>
      </c>
      <c r="F7" s="106">
        <f t="shared" ref="F7:G7" si="1">SUM(F5:F6)</f>
        <v>0</v>
      </c>
      <c r="G7" s="106">
        <f t="shared" si="1"/>
        <v>0</v>
      </c>
      <c r="H7" s="106">
        <f t="shared" si="0"/>
        <v>9284</v>
      </c>
      <c r="I7" s="106">
        <f t="shared" si="0"/>
        <v>1837</v>
      </c>
      <c r="J7" s="106">
        <f t="shared" si="0"/>
        <v>0</v>
      </c>
      <c r="K7" s="106">
        <f t="shared" si="0"/>
        <v>7056</v>
      </c>
      <c r="L7" s="106">
        <f t="shared" si="0"/>
        <v>17450</v>
      </c>
      <c r="M7" s="107">
        <f>SUM(B7:L7)</f>
        <v>381137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[3]Pinnacle!$IB$27+[3]Pinnacle!$IB$37</f>
        <v>1292</v>
      </c>
      <c r="C10" s="88">
        <f>[3]MESA_UA!$IB$27</f>
        <v>104</v>
      </c>
      <c r="D10" s="96">
        <f>'[3]Sky West'!$IB$27+'[3]Sky West'!$IB$37</f>
        <v>4372</v>
      </c>
      <c r="E10" s="96">
        <f>'[3]Sky West_UA'!$IB$27</f>
        <v>7</v>
      </c>
      <c r="F10" s="96">
        <f>'[3]Sky West_AS'!$IB$27</f>
        <v>0</v>
      </c>
      <c r="G10" s="96">
        <f>'[3]Sky West_AA'!$IB$27</f>
        <v>0</v>
      </c>
      <c r="H10" s="96">
        <f>[3]Republic!$IB$27</f>
        <v>138</v>
      </c>
      <c r="I10" s="96">
        <f>[3]Republic_UA!$IB$27</f>
        <v>20</v>
      </c>
      <c r="J10" s="96">
        <f>'[3]Sky Regional'!$IB$37</f>
        <v>0</v>
      </c>
      <c r="K10" s="96">
        <f>'[3]American Eagle'!$IB$27</f>
        <v>279</v>
      </c>
      <c r="L10" s="96">
        <f>'Other Regional'!L10</f>
        <v>132</v>
      </c>
      <c r="M10" s="89">
        <f>SUM(B10:L10)</f>
        <v>6344</v>
      </c>
    </row>
    <row r="11" spans="1:16" x14ac:dyDescent="0.2">
      <c r="A11" s="46" t="s">
        <v>33</v>
      </c>
      <c r="B11" s="88">
        <f>[3]Pinnacle!$IB$28+[3]Pinnacle!$IB$38</f>
        <v>1286</v>
      </c>
      <c r="C11" s="88">
        <f>[3]MESA_UA!$IB$28</f>
        <v>69</v>
      </c>
      <c r="D11" s="96">
        <f>'[3]Sky West'!$IB$28+'[3]Sky West'!$IB$38</f>
        <v>4203</v>
      </c>
      <c r="E11" s="96">
        <f>'[3]Sky West_UA'!$IB$28</f>
        <v>19</v>
      </c>
      <c r="F11" s="96">
        <f>'[3]Sky West_AS'!$IB$28</f>
        <v>0</v>
      </c>
      <c r="G11" s="96">
        <f>'[3]Sky West_AA'!$IB$28</f>
        <v>0</v>
      </c>
      <c r="H11" s="96">
        <f>[3]Republic!$IB$28</f>
        <v>151</v>
      </c>
      <c r="I11" s="96">
        <f>[3]Republic_UA!$IB$28</f>
        <v>32</v>
      </c>
      <c r="J11" s="96">
        <f>'[3]Sky Regional'!$IB$38</f>
        <v>0</v>
      </c>
      <c r="K11" s="96">
        <f>'[3]American Eagle'!$IB$28</f>
        <v>229</v>
      </c>
      <c r="L11" s="96">
        <f>'Other Regional'!L11</f>
        <v>146</v>
      </c>
      <c r="M11" s="93">
        <f>SUM(B11:L11)</f>
        <v>6135</v>
      </c>
    </row>
    <row r="12" spans="1:16" ht="15" thickBot="1" x14ac:dyDescent="0.25">
      <c r="A12" s="56" t="s">
        <v>34</v>
      </c>
      <c r="B12" s="109">
        <f t="shared" ref="B12:L12" si="2">SUM(B10:B11)</f>
        <v>2578</v>
      </c>
      <c r="C12" s="109">
        <f t="shared" si="2"/>
        <v>173</v>
      </c>
      <c r="D12" s="109">
        <f t="shared" si="2"/>
        <v>8575</v>
      </c>
      <c r="E12" s="109">
        <f t="shared" si="2"/>
        <v>26</v>
      </c>
      <c r="F12" s="109">
        <f t="shared" ref="F12:G12" si="3">SUM(F10:F11)</f>
        <v>0</v>
      </c>
      <c r="G12" s="109">
        <f t="shared" si="3"/>
        <v>0</v>
      </c>
      <c r="H12" s="109">
        <f t="shared" si="2"/>
        <v>289</v>
      </c>
      <c r="I12" s="109">
        <f t="shared" si="2"/>
        <v>52</v>
      </c>
      <c r="J12" s="109">
        <f t="shared" si="2"/>
        <v>0</v>
      </c>
      <c r="K12" s="109">
        <f t="shared" si="2"/>
        <v>508</v>
      </c>
      <c r="L12" s="109">
        <f t="shared" si="2"/>
        <v>278</v>
      </c>
      <c r="M12" s="110">
        <f>SUM(B12:L12)</f>
        <v>12479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[3]Pinnacle!$IB$4+[3]Pinnacle!$IB$15</f>
        <v>593</v>
      </c>
      <c r="C15" s="87">
        <f>[3]MESA_UA!$IB$4</f>
        <v>41</v>
      </c>
      <c r="D15" s="86">
        <f>'[3]Sky West'!$IB$4+'[3]Sky West'!$IB$15</f>
        <v>2398</v>
      </c>
      <c r="E15" s="86">
        <f>'[3]Sky West_UA'!$IB$4</f>
        <v>4</v>
      </c>
      <c r="F15" s="86">
        <f>'[3]Sky West_AS'!$IB$4</f>
        <v>0</v>
      </c>
      <c r="G15" s="86">
        <f>'[3]Sky West_AA'!$IB$4</f>
        <v>0</v>
      </c>
      <c r="H15" s="88">
        <f>[3]Republic!$IB$4</f>
        <v>79</v>
      </c>
      <c r="I15" s="363">
        <f>[3]Republic_UA!$IB$4</f>
        <v>14</v>
      </c>
      <c r="J15" s="363">
        <f>'[3]Sky Regional'!$IB$15</f>
        <v>0</v>
      </c>
      <c r="K15" s="88">
        <f>'[3]American Eagle'!$IB$4</f>
        <v>57</v>
      </c>
      <c r="L15" s="87">
        <f>'Other Regional'!L15</f>
        <v>140</v>
      </c>
      <c r="M15" s="89">
        <f>SUM(B15:L15)</f>
        <v>3326</v>
      </c>
    </row>
    <row r="16" spans="1:16" x14ac:dyDescent="0.2">
      <c r="A16" s="46" t="s">
        <v>54</v>
      </c>
      <c r="B16" s="7">
        <f>[3]Pinnacle!$IB$5+[3]Pinnacle!$IB$16</f>
        <v>590</v>
      </c>
      <c r="C16" s="91">
        <f>[3]MESA_UA!$IB$5</f>
        <v>40</v>
      </c>
      <c r="D16" s="90">
        <f>'[3]Sky West'!$IB$5+'[3]Sky West'!$IB$16</f>
        <v>2393</v>
      </c>
      <c r="E16" s="90">
        <f>'[3]Sky West_UA'!$IB$5</f>
        <v>4</v>
      </c>
      <c r="F16" s="90">
        <f>'[3]Sky West_AS'!$IB$5</f>
        <v>0</v>
      </c>
      <c r="G16" s="90">
        <f>'[3]Sky West_AA'!$IB$5</f>
        <v>0</v>
      </c>
      <c r="H16" s="92">
        <f>[3]Republic!$IB$5</f>
        <v>79</v>
      </c>
      <c r="I16" s="232">
        <f>[3]Republic_UA!$IB$5</f>
        <v>14</v>
      </c>
      <c r="J16" s="232">
        <f>'[3]Sky Regional'!$IB$16</f>
        <v>0</v>
      </c>
      <c r="K16" s="92">
        <f>'[3]American Eagle'!$IB$5</f>
        <v>56</v>
      </c>
      <c r="L16" s="91">
        <f>'Other Regional'!L16</f>
        <v>145</v>
      </c>
      <c r="M16" s="93">
        <f>SUM(B16:L16)</f>
        <v>3321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1183</v>
      </c>
      <c r="C17" s="94">
        <f t="shared" si="5"/>
        <v>81</v>
      </c>
      <c r="D17" s="94">
        <f t="shared" si="5"/>
        <v>4791</v>
      </c>
      <c r="E17" s="94">
        <f t="shared" si="5"/>
        <v>8</v>
      </c>
      <c r="F17" s="94">
        <f t="shared" ref="F17:G17" si="6">SUM(F15:F16)</f>
        <v>0</v>
      </c>
      <c r="G17" s="94">
        <f t="shared" si="6"/>
        <v>0</v>
      </c>
      <c r="H17" s="94">
        <f>SUM(H15:H16)</f>
        <v>158</v>
      </c>
      <c r="I17" s="94">
        <f t="shared" ref="I17:J17" si="7">SUM(I15:I16)</f>
        <v>28</v>
      </c>
      <c r="J17" s="94">
        <f t="shared" si="7"/>
        <v>0</v>
      </c>
      <c r="K17" s="94">
        <f>SUM(K15:K16)</f>
        <v>113</v>
      </c>
      <c r="L17" s="94">
        <f>SUM(L15:L16)</f>
        <v>285</v>
      </c>
      <c r="M17" s="95">
        <f t="shared" ref="M17:M21" si="8">SUM(B17:L17)</f>
        <v>6647</v>
      </c>
    </row>
    <row r="18" spans="1:13" x14ac:dyDescent="0.2">
      <c r="A18" s="46" t="s">
        <v>56</v>
      </c>
      <c r="B18" s="96">
        <f>[3]Pinnacle!$IB$8</f>
        <v>0</v>
      </c>
      <c r="C18" s="88">
        <f>[3]MESA_UA!$IB$8</f>
        <v>1</v>
      </c>
      <c r="D18" s="96">
        <f>'[3]Sky West'!$IB$8</f>
        <v>0</v>
      </c>
      <c r="E18" s="96">
        <f>'[3]Sky West_UA'!$IB$8</f>
        <v>0</v>
      </c>
      <c r="F18" s="96">
        <f>'[3]Sky West_AS'!$IB$8</f>
        <v>0</v>
      </c>
      <c r="G18" s="96">
        <f>'[3]Sky West_AA'!$IB$8</f>
        <v>0</v>
      </c>
      <c r="H18" s="96">
        <f>[3]Republic!$IB$8</f>
        <v>0</v>
      </c>
      <c r="I18" s="96">
        <f>[3]Republic_UA!$IB$8</f>
        <v>0</v>
      </c>
      <c r="J18" s="96">
        <f>'[3]Sky Regional'!$IB$8</f>
        <v>0</v>
      </c>
      <c r="K18" s="96">
        <f>'[3]American Eagle'!$IB$8</f>
        <v>0</v>
      </c>
      <c r="L18" s="96">
        <f>'Other Regional'!L18</f>
        <v>1</v>
      </c>
      <c r="M18" s="89">
        <f t="shared" si="8"/>
        <v>2</v>
      </c>
    </row>
    <row r="19" spans="1:13" x14ac:dyDescent="0.2">
      <c r="A19" s="46" t="s">
        <v>57</v>
      </c>
      <c r="B19" s="97">
        <f>[3]Pinnacle!$IB$9</f>
        <v>1</v>
      </c>
      <c r="C19" s="92">
        <f>[3]MESA_UA!$IB$9</f>
        <v>0</v>
      </c>
      <c r="D19" s="97">
        <f>'[3]Sky West'!$IB$9</f>
        <v>4</v>
      </c>
      <c r="E19" s="97">
        <f>'[3]Sky West_UA'!$IB$9</f>
        <v>0</v>
      </c>
      <c r="F19" s="97">
        <f>'[3]Sky West_AS'!$IB$9</f>
        <v>0</v>
      </c>
      <c r="G19" s="97">
        <f>'[3]Sky West_AA'!$IB$9</f>
        <v>0</v>
      </c>
      <c r="H19" s="97">
        <f>[3]Republic!$IB$9</f>
        <v>0</v>
      </c>
      <c r="I19" s="97">
        <f>[3]Republic_UA!$IB$9</f>
        <v>0</v>
      </c>
      <c r="J19" s="97">
        <f>'[3]Sky Regional'!$IB$9</f>
        <v>0</v>
      </c>
      <c r="K19" s="97">
        <f>'[3]American Eagle'!$IB$9</f>
        <v>0</v>
      </c>
      <c r="L19" s="97">
        <f>'Other Regional'!L19</f>
        <v>1</v>
      </c>
      <c r="M19" s="93">
        <f t="shared" si="8"/>
        <v>6</v>
      </c>
    </row>
    <row r="20" spans="1:13" x14ac:dyDescent="0.2">
      <c r="A20" s="50" t="s">
        <v>58</v>
      </c>
      <c r="B20" s="94">
        <f t="shared" ref="B20:L20" si="9">SUM(B18:B19)</f>
        <v>1</v>
      </c>
      <c r="C20" s="94">
        <f t="shared" si="9"/>
        <v>1</v>
      </c>
      <c r="D20" s="94">
        <f t="shared" si="9"/>
        <v>4</v>
      </c>
      <c r="E20" s="94">
        <f t="shared" si="9"/>
        <v>0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0</v>
      </c>
      <c r="J20" s="94">
        <f t="shared" si="9"/>
        <v>0</v>
      </c>
      <c r="K20" s="94">
        <f t="shared" si="9"/>
        <v>0</v>
      </c>
      <c r="L20" s="94">
        <f t="shared" si="9"/>
        <v>2</v>
      </c>
      <c r="M20" s="95">
        <f t="shared" si="8"/>
        <v>8</v>
      </c>
    </row>
    <row r="21" spans="1:13" ht="15.75" thickBot="1" x14ac:dyDescent="0.3">
      <c r="A21" s="54" t="s">
        <v>28</v>
      </c>
      <c r="B21" s="98">
        <f>SUM(B20,B17)</f>
        <v>1184</v>
      </c>
      <c r="C21" s="98">
        <f t="shared" ref="C21:K21" si="11">SUM(C20,C17)</f>
        <v>82</v>
      </c>
      <c r="D21" s="98">
        <f t="shared" si="11"/>
        <v>4795</v>
      </c>
      <c r="E21" s="98">
        <f t="shared" si="11"/>
        <v>8</v>
      </c>
      <c r="F21" s="98">
        <f t="shared" ref="F21:G21" si="12">SUM(F20,F17)</f>
        <v>0</v>
      </c>
      <c r="G21" s="98">
        <f t="shared" si="12"/>
        <v>0</v>
      </c>
      <c r="H21" s="98">
        <f t="shared" si="11"/>
        <v>158</v>
      </c>
      <c r="I21" s="98">
        <f t="shared" si="11"/>
        <v>28</v>
      </c>
      <c r="J21" s="98">
        <f t="shared" si="11"/>
        <v>0</v>
      </c>
      <c r="K21" s="98">
        <f t="shared" si="11"/>
        <v>113</v>
      </c>
      <c r="L21" s="98">
        <f>SUM(L20,L17)</f>
        <v>287</v>
      </c>
      <c r="M21" s="99">
        <f t="shared" si="8"/>
        <v>6655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[3]Pinnacle!$IB$47</f>
        <v>0</v>
      </c>
      <c r="C25" s="88">
        <f>[3]MESA_UA!$IB$47</f>
        <v>0</v>
      </c>
      <c r="D25" s="96">
        <f>'[3]Sky West'!$IB$47</f>
        <v>0</v>
      </c>
      <c r="E25" s="96">
        <f>'[3]Sky West_UA'!$IB$47</f>
        <v>0</v>
      </c>
      <c r="F25" s="96">
        <f>'[3]Sky West_AS'!$IB$47</f>
        <v>0</v>
      </c>
      <c r="G25" s="96">
        <f>'[3]Sky West_AA'!$IB$47</f>
        <v>0</v>
      </c>
      <c r="H25" s="96">
        <f>[3]Republic!$IB$47</f>
        <v>1347</v>
      </c>
      <c r="I25" s="96">
        <f>[3]Republic_UA!$IB$47</f>
        <v>0</v>
      </c>
      <c r="J25" s="96">
        <f>'[3]Sky Regional'!$IB$47</f>
        <v>0</v>
      </c>
      <c r="K25" s="96">
        <f>'[3]American Eagle'!$IB$47</f>
        <v>221</v>
      </c>
      <c r="L25" s="96">
        <f>'Other Regional'!L25</f>
        <v>44</v>
      </c>
      <c r="M25" s="89">
        <f>SUM(B25:L25)</f>
        <v>1612</v>
      </c>
    </row>
    <row r="26" spans="1:13" x14ac:dyDescent="0.2">
      <c r="A26" s="46" t="s">
        <v>38</v>
      </c>
      <c r="B26" s="96">
        <f>[3]Pinnacle!$IB$48</f>
        <v>0</v>
      </c>
      <c r="C26" s="88">
        <f>[3]MESA_UA!$IB$48</f>
        <v>0</v>
      </c>
      <c r="D26" s="96">
        <f>'[3]Sky West'!$IB$48</f>
        <v>0</v>
      </c>
      <c r="E26" s="96">
        <f>'[3]Sky West_UA'!$IB$48</f>
        <v>0</v>
      </c>
      <c r="F26" s="96">
        <f>'[3]Sky West_AS'!$IB$48</f>
        <v>0</v>
      </c>
      <c r="G26" s="96">
        <f>'[3]Sky West_AA'!$IB$48</f>
        <v>0</v>
      </c>
      <c r="H26" s="96">
        <f>[3]Republic!$IB$48</f>
        <v>0</v>
      </c>
      <c r="I26" s="96">
        <f>[3]Republic_UA!$IB$48</f>
        <v>0</v>
      </c>
      <c r="J26" s="96">
        <f>'[3]Sky Regional'!$IB$48</f>
        <v>0</v>
      </c>
      <c r="K26" s="96">
        <f>'[3]American Eagle'!$IB$48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0</v>
      </c>
      <c r="H27" s="106">
        <f t="shared" si="13"/>
        <v>1347</v>
      </c>
      <c r="I27" s="106">
        <f t="shared" si="13"/>
        <v>0</v>
      </c>
      <c r="J27" s="106">
        <f t="shared" si="13"/>
        <v>0</v>
      </c>
      <c r="K27" s="106">
        <f t="shared" si="13"/>
        <v>221</v>
      </c>
      <c r="L27" s="106">
        <f t="shared" si="13"/>
        <v>44</v>
      </c>
      <c r="M27" s="107">
        <f>SUM(B27:L27)</f>
        <v>1612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[3]Pinnacle!$IB$52</f>
        <v>0</v>
      </c>
      <c r="C30" s="88">
        <f>[3]MESA_UA!$IB$52</f>
        <v>0</v>
      </c>
      <c r="D30" s="96">
        <f>'[3]Sky West'!$IB$52</f>
        <v>0</v>
      </c>
      <c r="E30" s="96">
        <f>'[3]Sky West_UA'!$IB$52</f>
        <v>0</v>
      </c>
      <c r="F30" s="96">
        <f>'[3]Sky West_AS'!$IB$52</f>
        <v>0</v>
      </c>
      <c r="G30" s="96">
        <f>'[3]Sky West_AA'!$IB$52</f>
        <v>0</v>
      </c>
      <c r="H30" s="96">
        <f>[3]Republic!$IB$52</f>
        <v>1</v>
      </c>
      <c r="I30" s="96">
        <f>[3]Republic_UA!$IB$52</f>
        <v>0</v>
      </c>
      <c r="J30" s="96">
        <f>'[3]Sky Regional'!$IB$52</f>
        <v>0</v>
      </c>
      <c r="K30" s="96">
        <f>'[3]American Eagle'!$IB$52</f>
        <v>0</v>
      </c>
      <c r="L30" s="96">
        <f>'Other Regional'!L30</f>
        <v>120</v>
      </c>
      <c r="M30" s="89">
        <f t="shared" ref="M30:M37" si="15">SUM(B30:L30)</f>
        <v>121</v>
      </c>
    </row>
    <row r="31" spans="1:13" x14ac:dyDescent="0.2">
      <c r="A31" s="46" t="s">
        <v>60</v>
      </c>
      <c r="B31" s="96">
        <f>[3]Pinnacle!$IB$53</f>
        <v>0</v>
      </c>
      <c r="C31" s="88">
        <f>[3]MESA_UA!$IB$53</f>
        <v>0</v>
      </c>
      <c r="D31" s="96">
        <f>'[3]Sky West'!$IB$53</f>
        <v>0</v>
      </c>
      <c r="E31" s="96">
        <f>'[3]Sky West_UA'!$IB$53</f>
        <v>0</v>
      </c>
      <c r="F31" s="96">
        <f>'[3]Sky West_AS'!$IB$53</f>
        <v>0</v>
      </c>
      <c r="G31" s="96">
        <f>'[3]Sky West_AA'!$IB$53</f>
        <v>0</v>
      </c>
      <c r="H31" s="96">
        <f>[3]Republic!$IB$53</f>
        <v>0</v>
      </c>
      <c r="I31" s="96">
        <f>[3]Republic_UA!$IB$53</f>
        <v>0</v>
      </c>
      <c r="J31" s="96">
        <f>'[3]Sky Regional'!$IB$53</f>
        <v>0</v>
      </c>
      <c r="K31" s="96">
        <f>'[3]American Eagle'!$IB$53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1</v>
      </c>
      <c r="I32" s="106">
        <f t="shared" si="16"/>
        <v>0</v>
      </c>
      <c r="J32" s="106">
        <f t="shared" si="16"/>
        <v>0</v>
      </c>
      <c r="K32" s="106">
        <f t="shared" si="16"/>
        <v>0</v>
      </c>
      <c r="L32" s="106">
        <f>SUM(L30:L31)</f>
        <v>120</v>
      </c>
      <c r="M32" s="107">
        <f t="shared" si="15"/>
        <v>121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[3]Pinnacle!$IB$57</f>
        <v>0</v>
      </c>
      <c r="C35" s="88">
        <f>[3]MESA_UA!$IB$57</f>
        <v>0</v>
      </c>
      <c r="D35" s="96">
        <f>'[3]Sky West'!$IB$57</f>
        <v>0</v>
      </c>
      <c r="E35" s="96">
        <f>'[3]Sky West_UA'!$IB$57</f>
        <v>0</v>
      </c>
      <c r="F35" s="96">
        <f>'[3]Sky West_AS'!$IB$57</f>
        <v>0</v>
      </c>
      <c r="G35" s="96">
        <f>'[3]Sky West_AA'!$IB$57</f>
        <v>0</v>
      </c>
      <c r="H35" s="96">
        <f>[3]Republic!$IB$57</f>
        <v>0</v>
      </c>
      <c r="I35" s="96">
        <f>[3]Republic!$IB$57</f>
        <v>0</v>
      </c>
      <c r="J35" s="96">
        <f>[3]Republic!$IB$57</f>
        <v>0</v>
      </c>
      <c r="K35" s="96">
        <f>'[3]American Eagle'!$IB$57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[3]Pinnacle!$IB$58</f>
        <v>0</v>
      </c>
      <c r="C36" s="88">
        <f>[3]MESA_UA!$IB$58</f>
        <v>0</v>
      </c>
      <c r="D36" s="96">
        <f>'[3]Sky West'!$IB$58</f>
        <v>0</v>
      </c>
      <c r="E36" s="96">
        <f>'[3]Sky West_UA'!$IB$58</f>
        <v>0</v>
      </c>
      <c r="F36" s="96">
        <f>'[3]Sky West_AS'!$IB$58</f>
        <v>0</v>
      </c>
      <c r="G36" s="96">
        <f>'[3]Sky West_AA'!$IB$58</f>
        <v>0</v>
      </c>
      <c r="H36" s="96">
        <f>[3]Republic!$IB$58</f>
        <v>0</v>
      </c>
      <c r="I36" s="96">
        <f>[3]Republic!$IB$58</f>
        <v>0</v>
      </c>
      <c r="J36" s="96">
        <f>[3]Republic!$IB$58</f>
        <v>0</v>
      </c>
      <c r="K36" s="96">
        <f>'[3]American Eagle'!$IB$58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0</v>
      </c>
      <c r="H40" s="96">
        <f t="shared" si="20"/>
        <v>1348</v>
      </c>
      <c r="I40" s="96">
        <f t="shared" si="20"/>
        <v>0</v>
      </c>
      <c r="J40" s="96">
        <f t="shared" si="20"/>
        <v>0</v>
      </c>
      <c r="K40" s="96">
        <f>SUM(K35,K30,K25)</f>
        <v>221</v>
      </c>
      <c r="L40" s="96">
        <f>L35+L30+L25</f>
        <v>164</v>
      </c>
      <c r="M40" s="89">
        <f>SUM(B40:L40)</f>
        <v>1733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0</v>
      </c>
      <c r="H42" s="109">
        <f t="shared" si="20"/>
        <v>1348</v>
      </c>
      <c r="I42" s="109">
        <f t="shared" si="20"/>
        <v>0</v>
      </c>
      <c r="J42" s="109">
        <f t="shared" si="20"/>
        <v>0</v>
      </c>
      <c r="K42" s="109">
        <f>SUM(K37,K32,K27)</f>
        <v>221</v>
      </c>
      <c r="L42" s="109">
        <f>SUM(L37,L32,L27)</f>
        <v>164</v>
      </c>
      <c r="M42" s="110">
        <f>SUM(B42:L42)</f>
        <v>1733</v>
      </c>
    </row>
    <row r="44" spans="1:13" x14ac:dyDescent="0.2">
      <c r="A44" s="301" t="s">
        <v>121</v>
      </c>
      <c r="B44" s="255">
        <f>[3]Pinnacle!$IB$70+[3]Pinnacle!$IB$73</f>
        <v>9589</v>
      </c>
      <c r="D44" s="256">
        <f>'[3]Sky West'!$IB$70+'[3]Sky West'!$IB$73</f>
        <v>53925</v>
      </c>
      <c r="E44" s="2"/>
      <c r="F44" s="2"/>
      <c r="G44" s="2"/>
      <c r="L44" s="256">
        <f>+'Other Regional'!L46</f>
        <v>0</v>
      </c>
      <c r="M44" s="245">
        <f>SUM(B44:L44)</f>
        <v>63514</v>
      </c>
    </row>
    <row r="45" spans="1:13" x14ac:dyDescent="0.2">
      <c r="A45" s="314" t="s">
        <v>122</v>
      </c>
      <c r="B45" s="255">
        <f>[3]Pinnacle!$IB$71+[3]Pinnacle!$IB$74</f>
        <v>20790</v>
      </c>
      <c r="D45" s="256">
        <f>'[3]Sky West'!$IB$71+'[3]Sky West'!$IB$74</f>
        <v>85389</v>
      </c>
      <c r="E45" s="2"/>
      <c r="F45" s="2"/>
      <c r="G45" s="2"/>
      <c r="L45" s="256">
        <f>+'Other Regional'!L47</f>
        <v>0</v>
      </c>
      <c r="M45" s="245">
        <f>SUM(B45:L45)</f>
        <v>106179</v>
      </c>
    </row>
    <row r="46" spans="1:13" x14ac:dyDescent="0.2">
      <c r="A46" s="246" t="s">
        <v>123</v>
      </c>
      <c r="B46" s="247">
        <f>SUM(B44:B45)</f>
        <v>30379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November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E5" sqref="E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44866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America'!$IB$22</f>
        <v>0</v>
      </c>
      <c r="C5" s="88">
        <f>'[3]Shuttle America_Delta'!$IB$22</f>
        <v>0</v>
      </c>
      <c r="D5" s="363">
        <f>[3]Horizon_AS!$IB$22+[3]Horizon_AS!$IB$32</f>
        <v>0</v>
      </c>
      <c r="E5" s="363">
        <f>'[3]Air Wisconsin'!$IB$22</f>
        <v>0</v>
      </c>
      <c r="F5" s="363">
        <f>[3]Jazz_AC!$IB$22+[3]Jazz_AC!$IB$32</f>
        <v>4438</v>
      </c>
      <c r="G5" s="363">
        <f>[3]PSA!$IB$22</f>
        <v>3705</v>
      </c>
      <c r="H5" s="88">
        <f>'[3]Atlantic Southeast'!$IB$22+'[3]Atlantic Southeast'!$IB$32</f>
        <v>0</v>
      </c>
      <c r="I5" s="88">
        <f>'[3]Continental Express'!$IB$22</f>
        <v>0</v>
      </c>
      <c r="J5" s="96">
        <f>'[3]Go Jet_UA'!$IB$22</f>
        <v>0</v>
      </c>
      <c r="K5" s="13">
        <f>'[3]Go Jet'!$IB$22+'[3]Go Jet'!$IB$32</f>
        <v>0</v>
      </c>
      <c r="L5" s="89">
        <f>SUM(B5:K5)</f>
        <v>8143</v>
      </c>
    </row>
    <row r="6" spans="1:12" s="6" customFormat="1" x14ac:dyDescent="0.2">
      <c r="A6" s="46" t="s">
        <v>31</v>
      </c>
      <c r="B6" s="88">
        <f>'[3]Shuttle America'!$IB$23</f>
        <v>0</v>
      </c>
      <c r="C6" s="88">
        <f>'[3]Shuttle America_Delta'!$IB$23</f>
        <v>0</v>
      </c>
      <c r="D6" s="363">
        <f>[3]Horizon_AS!$IB$23+[3]Horizon_AS!$IB$33</f>
        <v>0</v>
      </c>
      <c r="E6" s="363">
        <f>'[3]Air Wisconsin'!$IB$23</f>
        <v>0</v>
      </c>
      <c r="F6" s="363">
        <f>[3]Jazz_AC!$IB$23+[3]Jazz_AC!$IB$33</f>
        <v>5908</v>
      </c>
      <c r="G6" s="363">
        <f>[3]PSA!$IB$23</f>
        <v>3399</v>
      </c>
      <c r="H6" s="88">
        <f>'[3]Atlantic Southeast'!$IB$23+'[3]Atlantic Southeast'!$IB$33</f>
        <v>0</v>
      </c>
      <c r="I6" s="88">
        <f>'[3]Continental Express'!$IB$23</f>
        <v>0</v>
      </c>
      <c r="J6" s="96">
        <f>'[3]Go Jet_UA'!$IB$23</f>
        <v>0</v>
      </c>
      <c r="K6" s="7">
        <f>'[3]Go Jet'!$IB$23+'[3]Go Jet'!$IB$33</f>
        <v>0</v>
      </c>
      <c r="L6" s="93">
        <f>SUM(B6:K6)</f>
        <v>9307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10346</v>
      </c>
      <c r="G7" s="106">
        <f t="shared" si="0"/>
        <v>7104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17450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America'!$IB$27</f>
        <v>0</v>
      </c>
      <c r="C10" s="88">
        <f>'[3]Shuttle America_Delta'!$IB$27</f>
        <v>0</v>
      </c>
      <c r="D10" s="363">
        <f>[3]Horizon_AS!$IB$27+[3]Horizon_AS!$IB$37</f>
        <v>0</v>
      </c>
      <c r="E10" s="363">
        <f>'[3]Air Wisconsin'!$IB$27</f>
        <v>0</v>
      </c>
      <c r="F10" s="363">
        <f>[3]Jazz_AC!$IB$27+[3]Jazz_AC!$IB$37</f>
        <v>49</v>
      </c>
      <c r="G10" s="363">
        <f>[3]PSA!$IB$27</f>
        <v>83</v>
      </c>
      <c r="H10" s="13">
        <f>'[3]Atlantic Southeast'!$IB$27+'[3]Atlantic Southeast'!$IB$37</f>
        <v>0</v>
      </c>
      <c r="I10" s="88">
        <f>'[3]Continental Express'!$IB$27</f>
        <v>0</v>
      </c>
      <c r="J10" s="96">
        <f>'[3]Go Jet_UA'!$IB$27</f>
        <v>0</v>
      </c>
      <c r="K10" s="13">
        <f>'[3]Go Jet'!$IB$27+'[3]Go Jet'!$IB$37</f>
        <v>0</v>
      </c>
      <c r="L10" s="89">
        <f>SUM(B10:K10)</f>
        <v>132</v>
      </c>
    </row>
    <row r="11" spans="1:12" x14ac:dyDescent="0.2">
      <c r="A11" s="46" t="s">
        <v>33</v>
      </c>
      <c r="B11" s="88">
        <f>'[3]Shuttle America'!$IB$28</f>
        <v>0</v>
      </c>
      <c r="C11" s="88">
        <f>'[3]Shuttle America_Delta'!$IB$28</f>
        <v>0</v>
      </c>
      <c r="D11" s="363">
        <f>[3]Horizon_AS!$IB$28+[3]Horizon_AS!$IB$38</f>
        <v>0</v>
      </c>
      <c r="E11" s="363">
        <f>'[3]Air Wisconsin'!$IB$28</f>
        <v>0</v>
      </c>
      <c r="F11" s="363">
        <f>[3]Jazz_AC!$IB$28+[3]Jazz_AC!$IB$38</f>
        <v>57</v>
      </c>
      <c r="G11" s="363">
        <f>[3]PSA!$IB$28</f>
        <v>89</v>
      </c>
      <c r="H11" s="7">
        <f>'[3]Atlantic Southeast'!$IB$28+'[3]Atlantic Southeast'!$IB$38</f>
        <v>0</v>
      </c>
      <c r="I11" s="88">
        <f>'[3]Continental Express'!$IB$28</f>
        <v>0</v>
      </c>
      <c r="J11" s="96">
        <f>'[3]Go Jet_UA'!$IB$28</f>
        <v>0</v>
      </c>
      <c r="K11" s="7">
        <f>'[3]Go Jet'!$IB$28+'[3]Go Jet'!$IB$38</f>
        <v>0</v>
      </c>
      <c r="L11" s="93">
        <f>SUM(B11:K11)</f>
        <v>146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106</v>
      </c>
      <c r="G12" s="109">
        <f t="shared" si="2"/>
        <v>172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278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America'!$IB$4</f>
        <v>0</v>
      </c>
      <c r="C15" s="86">
        <f>'[3]Shuttle America_Delta'!$IB$4</f>
        <v>0</v>
      </c>
      <c r="D15" s="364">
        <f>[3]Horizon_AS!$IB$4</f>
        <v>0</v>
      </c>
      <c r="E15" s="364">
        <f>'[3]Air Wisconsin'!$IB$4</f>
        <v>0</v>
      </c>
      <c r="F15" s="364">
        <f>[3]Jazz_AC!$IB$4+[3]Jazz_AC!$IB$15</f>
        <v>81</v>
      </c>
      <c r="G15" s="364">
        <f>[3]PSA!$IB$4</f>
        <v>59</v>
      </c>
      <c r="H15" s="87">
        <f>'[3]Atlantic Southeast'!$IB$4+'[3]Atlantic Southeast'!$IB$15</f>
        <v>0</v>
      </c>
      <c r="I15" s="87">
        <f>'[3]Continental Express'!$IB$4</f>
        <v>0</v>
      </c>
      <c r="J15" s="86">
        <f>'[3]Go Jet_UA'!$IB$4</f>
        <v>0</v>
      </c>
      <c r="K15" s="13">
        <f>'[3]Go Jet'!$IB$4+'[3]Go Jet'!$IB$15</f>
        <v>0</v>
      </c>
      <c r="L15" s="89">
        <f>SUM(B15:K15)</f>
        <v>140</v>
      </c>
    </row>
    <row r="16" spans="1:12" x14ac:dyDescent="0.2">
      <c r="A16" s="46" t="s">
        <v>54</v>
      </c>
      <c r="B16" s="90">
        <f>'[3]Shuttle America'!$IB$5</f>
        <v>0</v>
      </c>
      <c r="C16" s="90">
        <f>'[3]Shuttle America_Delta'!$IB$5</f>
        <v>0</v>
      </c>
      <c r="D16" s="365">
        <f>[3]Horizon_AS!$IB$5</f>
        <v>0</v>
      </c>
      <c r="E16" s="365">
        <f>'[3]Air Wisconsin'!$IB$5</f>
        <v>0</v>
      </c>
      <c r="F16" s="365">
        <f>[3]Jazz_AC!$IB$5+[3]Jazz_AC!$IB$16</f>
        <v>86</v>
      </c>
      <c r="G16" s="365">
        <f>[3]PSA!$IB$5</f>
        <v>59</v>
      </c>
      <c r="H16" s="91">
        <f>'[3]Atlantic Southeast'!$IB$5+'[3]Atlantic Southeast'!$IB$16</f>
        <v>0</v>
      </c>
      <c r="I16" s="91">
        <f>'[3]Continental Express'!$IB$5</f>
        <v>0</v>
      </c>
      <c r="J16" s="90">
        <f>'[3]Go Jet_UA'!$IB$5</f>
        <v>0</v>
      </c>
      <c r="K16" s="7">
        <f>'[3]Go Jet'!$IB$5+'[3]Go Jet'!$IB$16</f>
        <v>0</v>
      </c>
      <c r="L16" s="93">
        <f>SUM(B16:K16)</f>
        <v>145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167</v>
      </c>
      <c r="G17" s="94">
        <f t="shared" si="6"/>
        <v>118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285</v>
      </c>
    </row>
    <row r="18" spans="1:15" x14ac:dyDescent="0.2">
      <c r="A18" s="46" t="s">
        <v>56</v>
      </c>
      <c r="B18" s="96">
        <f>'[3]Shuttle America'!$IB$8</f>
        <v>0</v>
      </c>
      <c r="C18" s="96">
        <f>'[3]Shuttle America_Delta'!$IB$8</f>
        <v>0</v>
      </c>
      <c r="D18" s="96">
        <f>[3]Horizon_AS!$IB$8</f>
        <v>0</v>
      </c>
      <c r="E18" s="96">
        <f>'[3]Air Wisconsin'!$IB$8</f>
        <v>1</v>
      </c>
      <c r="F18" s="96">
        <f>[3]Jazz_AC!$IB$8</f>
        <v>0</v>
      </c>
      <c r="G18" s="96">
        <f>[3]PSA!$IB$8</f>
        <v>0</v>
      </c>
      <c r="H18" s="88">
        <f>'[3]Atlantic Southeast'!$IB$8</f>
        <v>0</v>
      </c>
      <c r="I18" s="88">
        <f>'[3]Continental Express'!$IB$8</f>
        <v>0</v>
      </c>
      <c r="J18" s="96">
        <f>'[3]Go Jet_UA'!$IB$8</f>
        <v>0</v>
      </c>
      <c r="K18" s="13">
        <f>'[3]Go Jet'!$IB$8</f>
        <v>0</v>
      </c>
      <c r="L18" s="89">
        <f t="shared" si="9"/>
        <v>1</v>
      </c>
      <c r="O18" s="304"/>
    </row>
    <row r="19" spans="1:15" x14ac:dyDescent="0.2">
      <c r="A19" s="46" t="s">
        <v>57</v>
      </c>
      <c r="B19" s="97">
        <f>'[3]Shuttle America'!$IB$9</f>
        <v>0</v>
      </c>
      <c r="C19" s="97">
        <f>'[3]Shuttle America_Delta'!$IB$9</f>
        <v>0</v>
      </c>
      <c r="D19" s="97">
        <f>[3]Horizon_AS!$IB$9</f>
        <v>0</v>
      </c>
      <c r="E19" s="97">
        <f>'[3]Air Wisconsin'!$IB$9</f>
        <v>1</v>
      </c>
      <c r="F19" s="97">
        <f>[3]Jazz_AC!$IB$9</f>
        <v>0</v>
      </c>
      <c r="G19" s="97">
        <f>[3]PSA!$IB$9</f>
        <v>0</v>
      </c>
      <c r="H19" s="92">
        <f>'[3]Atlantic Southeast'!$IB$9</f>
        <v>0</v>
      </c>
      <c r="I19" s="92">
        <f>'[3]Continental Express'!$IB$9</f>
        <v>0</v>
      </c>
      <c r="J19" s="97">
        <f>'[3]Go Jet_UA'!$IB$9</f>
        <v>0</v>
      </c>
      <c r="K19" s="7">
        <f>'[3]Go Jet'!$IB$9</f>
        <v>0</v>
      </c>
      <c r="L19" s="93">
        <f t="shared" si="9"/>
        <v>1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2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2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2</v>
      </c>
      <c r="F21" s="98">
        <f t="shared" si="14"/>
        <v>167</v>
      </c>
      <c r="G21" s="98">
        <f t="shared" si="13"/>
        <v>118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287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America'!$IB$47</f>
        <v>0</v>
      </c>
      <c r="C25" s="96">
        <f>'[3]Shuttle America_Delta'!$IB$47</f>
        <v>0</v>
      </c>
      <c r="D25" s="96">
        <f>[3]Horizon_AS!$IB$47</f>
        <v>0</v>
      </c>
      <c r="E25" s="96">
        <f>'[3]Air Wisconsin'!$IB$47</f>
        <v>0</v>
      </c>
      <c r="F25" s="96">
        <f>[3]Jazz_AC!$IB$47</f>
        <v>0</v>
      </c>
      <c r="G25" s="96">
        <f>[3]PSA!$IB$47</f>
        <v>44</v>
      </c>
      <c r="H25" s="88">
        <f>'[3]Atlantic Southeast'!$IB$47</f>
        <v>0</v>
      </c>
      <c r="I25" s="88">
        <f>'[3]Continental Express'!$IB$47</f>
        <v>0</v>
      </c>
      <c r="J25" s="96">
        <f>'[3]Go Jet_UA'!$IB$47</f>
        <v>0</v>
      </c>
      <c r="K25" s="96">
        <f>'[3]Go Jet'!$IB$47</f>
        <v>0</v>
      </c>
      <c r="L25" s="89">
        <f>SUM(B25:K25)</f>
        <v>44</v>
      </c>
    </row>
    <row r="26" spans="1:15" x14ac:dyDescent="0.2">
      <c r="A26" s="46" t="s">
        <v>38</v>
      </c>
      <c r="B26" s="96">
        <f>'[3]Shuttle America'!$IB$48</f>
        <v>0</v>
      </c>
      <c r="C26" s="96">
        <f>'[3]Shuttle America_Delta'!$IB$48</f>
        <v>0</v>
      </c>
      <c r="D26" s="96">
        <f>[3]Horizon_AS!$IB$48</f>
        <v>0</v>
      </c>
      <c r="E26" s="96">
        <f>'[3]Air Wisconsin'!$IB$48</f>
        <v>0</v>
      </c>
      <c r="F26" s="96">
        <f>[3]Jazz_AC!$IB$48</f>
        <v>0</v>
      </c>
      <c r="G26" s="96">
        <f>[3]PSA!$IB$48</f>
        <v>0</v>
      </c>
      <c r="H26" s="88">
        <f>'[3]Atlantic Southeast'!$IB$48</f>
        <v>0</v>
      </c>
      <c r="I26" s="88">
        <f>'[3]Continental Express'!$IB$48</f>
        <v>0</v>
      </c>
      <c r="J26" s="96">
        <f>'[3]Go Jet_UA'!$IB$48</f>
        <v>0</v>
      </c>
      <c r="K26" s="96">
        <f>'[3]Go Jet'!$IB$48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0</v>
      </c>
      <c r="G27" s="106">
        <f t="shared" si="17"/>
        <v>44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44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America'!$IB$52</f>
        <v>0</v>
      </c>
      <c r="C30" s="96">
        <f>'[3]Shuttle America_Delta'!$IB$52</f>
        <v>0</v>
      </c>
      <c r="D30" s="96">
        <f>[3]Horizon_AS!$IB$52</f>
        <v>0</v>
      </c>
      <c r="E30" s="96">
        <f>'[3]Air Wisconsin'!$IB$52</f>
        <v>0</v>
      </c>
      <c r="F30" s="96">
        <f>[3]Jazz_AC!$IB$52</f>
        <v>0</v>
      </c>
      <c r="G30" s="96">
        <f>[3]PSA!$IB$52</f>
        <v>120</v>
      </c>
      <c r="H30" s="88">
        <f>'[3]Atlantic Southeast'!$IB$52</f>
        <v>0</v>
      </c>
      <c r="I30" s="88">
        <f>'[3]Continental Express'!$IB$52</f>
        <v>0</v>
      </c>
      <c r="J30" s="96">
        <f>'[3]Go Jet_UA'!$IB$52</f>
        <v>0</v>
      </c>
      <c r="K30" s="96">
        <f>'[3]Go Jet'!$IB$52</f>
        <v>0</v>
      </c>
      <c r="L30" s="89">
        <f>SUM(B30:K30)</f>
        <v>120</v>
      </c>
    </row>
    <row r="31" spans="1:15" x14ac:dyDescent="0.2">
      <c r="A31" s="46" t="s">
        <v>60</v>
      </c>
      <c r="B31" s="96">
        <f>'[3]Shuttle America'!$IB$53</f>
        <v>0</v>
      </c>
      <c r="C31" s="96">
        <f>'[3]Shuttle America_Delta'!$IB$53</f>
        <v>0</v>
      </c>
      <c r="D31" s="96">
        <f>[3]Horizon_AS!$IB$53</f>
        <v>0</v>
      </c>
      <c r="E31" s="96">
        <f>'[3]Air Wisconsin'!$IB$53</f>
        <v>0</v>
      </c>
      <c r="F31" s="96">
        <f>[3]Jazz_AC!$IB$53</f>
        <v>0</v>
      </c>
      <c r="G31" s="96">
        <f>[3]PSA!$IB$53</f>
        <v>0</v>
      </c>
      <c r="H31" s="88">
        <f>'[3]Atlantic Southeast'!$IB$53</f>
        <v>0</v>
      </c>
      <c r="I31" s="88">
        <f>'[3]Continental Express'!$IB$53</f>
        <v>0</v>
      </c>
      <c r="J31" s="96">
        <f>'[3]Go Jet_UA'!$IB$53</f>
        <v>0</v>
      </c>
      <c r="K31" s="96">
        <f>'[3]Go Jet'!$IB$53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0</v>
      </c>
      <c r="G32" s="106">
        <f t="shared" si="20"/>
        <v>120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120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America'!$IB$57</f>
        <v>0</v>
      </c>
      <c r="C35" s="96">
        <f>'[3]Shuttle America_Delta'!$IB$57</f>
        <v>0</v>
      </c>
      <c r="D35" s="96">
        <f>[3]Horizon_AS!$IB$57</f>
        <v>0</v>
      </c>
      <c r="E35" s="96">
        <f>'[3]Air Wisconsin'!$IB$57</f>
        <v>0</v>
      </c>
      <c r="F35" s="96">
        <f>[3]Jazz_AC!$IB$57</f>
        <v>0</v>
      </c>
      <c r="G35" s="96">
        <f>[3]PSA!$IB$57</f>
        <v>0</v>
      </c>
      <c r="H35" s="88">
        <f>'[3]Atlantic Southeast'!$IB$57</f>
        <v>0</v>
      </c>
      <c r="I35" s="88">
        <f>'[3]Continental Express'!$IB$57</f>
        <v>0</v>
      </c>
      <c r="J35" s="96">
        <f>'[3]Go Jet_UA'!$AJ$57</f>
        <v>0</v>
      </c>
      <c r="K35" s="96">
        <f>'[3]Go Jet'!$IB$57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0</v>
      </c>
      <c r="G40" s="96">
        <f t="shared" si="27"/>
        <v>164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164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0</v>
      </c>
      <c r="G42" s="109">
        <f t="shared" si="33"/>
        <v>164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164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America_Delta'!$IB$70+'[3]Shuttle America_Delta'!$IB$73</f>
        <v>0</v>
      </c>
      <c r="D46" s="2"/>
      <c r="E46" s="2"/>
      <c r="H46" s="256">
        <f>'[3]Atlantic Southeast'!$IB$70+'[3]Atlantic Southeast'!$IB$73</f>
        <v>0</v>
      </c>
      <c r="K46" s="256">
        <f>'[3]Go Jet'!$IB$70+'[3]Go Jet'!$IB$73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America_Delta'!$IB$71+'[3]Shuttle America_Delta'!$IB$74</f>
        <v>0</v>
      </c>
      <c r="D47" s="2"/>
      <c r="E47" s="2"/>
      <c r="H47" s="256">
        <f>'[3]Atlantic Southeast'!$IB$71+'[3]Atlantic Southeast'!$IB$74</f>
        <v>0</v>
      </c>
      <c r="K47" s="256">
        <f>'[3]Go Jet'!$IB$71+'[3]Go Jet'!$IB$74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November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A34" sqref="A3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44866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Misc'!$IB$22</f>
        <v>313</v>
      </c>
      <c r="C5" s="152">
        <f>[3]Ryan!$IB$22</f>
        <v>0</v>
      </c>
      <c r="D5" s="152">
        <f>'[3]Charter Misc'!$IB$32</f>
        <v>0</v>
      </c>
      <c r="E5" s="152">
        <f>[3]Omni!$IB$32+[3]Omni!$IB$22</f>
        <v>0</v>
      </c>
      <c r="F5" s="152">
        <f>[3]Xtra!$IB$32+[3]Xtra!$IB$22</f>
        <v>0</v>
      </c>
      <c r="G5" s="273">
        <f>SUM(B5:F5)</f>
        <v>313</v>
      </c>
    </row>
    <row r="6" spans="1:17" x14ac:dyDescent="0.2">
      <c r="A6" s="46" t="s">
        <v>31</v>
      </c>
      <c r="B6" s="339">
        <f>'[3]Charter Misc'!$IB$23</f>
        <v>313</v>
      </c>
      <c r="C6" s="155">
        <f>[3]Ryan!$IB$23</f>
        <v>0</v>
      </c>
      <c r="D6" s="155">
        <f>'[3]Charter Misc'!$IB$33</f>
        <v>0</v>
      </c>
      <c r="E6" s="155">
        <f>[3]Omni!$IB$33+[3]Omni!$IB$23</f>
        <v>0</v>
      </c>
      <c r="F6" s="155">
        <f>[3]Xtra!$IB$33+[3]Xtra!$IB$23</f>
        <v>0</v>
      </c>
      <c r="G6" s="272">
        <f>SUM(B6:F6)</f>
        <v>313</v>
      </c>
    </row>
    <row r="7" spans="1:17" ht="15.75" thickBot="1" x14ac:dyDescent="0.3">
      <c r="A7" s="151" t="s">
        <v>7</v>
      </c>
      <c r="B7" s="340">
        <f>SUM(B5:B6)</f>
        <v>626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626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Misc'!$IB$4</f>
        <v>4</v>
      </c>
      <c r="C10" s="152">
        <f>[3]Ryan!$IB$4</f>
        <v>0</v>
      </c>
      <c r="D10" s="152">
        <f>'[3]Charter Misc'!$IB$15</f>
        <v>0</v>
      </c>
      <c r="E10" s="152">
        <f>[3]Omni!$IB$15</f>
        <v>0</v>
      </c>
      <c r="F10" s="152">
        <f>[3]Xtra!$IB$15+[3]Xtra!$IB$4</f>
        <v>0</v>
      </c>
      <c r="G10" s="272">
        <f>SUM(B10:F10)</f>
        <v>4</v>
      </c>
    </row>
    <row r="11" spans="1:17" x14ac:dyDescent="0.2">
      <c r="A11" s="150" t="s">
        <v>80</v>
      </c>
      <c r="B11" s="338">
        <f>'[3]Charter Misc'!$IB$5</f>
        <v>4</v>
      </c>
      <c r="C11" s="152">
        <f>[3]Ryan!$IB$5</f>
        <v>0</v>
      </c>
      <c r="D11" s="152">
        <f>'[3]Charter Misc'!$IB$16</f>
        <v>0</v>
      </c>
      <c r="E11" s="152">
        <f>[3]Omni!$IB$16+[3]Omni!$IB$5</f>
        <v>0</v>
      </c>
      <c r="F11" s="152">
        <f>[3]Xtra!$IB$16+[3]Xtra!$IB$5</f>
        <v>0</v>
      </c>
      <c r="G11" s="272">
        <f>SUM(B11:F11)</f>
        <v>4</v>
      </c>
    </row>
    <row r="12" spans="1:17" ht="15.75" thickBot="1" x14ac:dyDescent="0.3">
      <c r="A12" s="215" t="s">
        <v>28</v>
      </c>
      <c r="B12" s="342">
        <f>SUM(B10:B11)</f>
        <v>8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8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+[12]Charter!B25</f>
        <v>57347</v>
      </c>
      <c r="C25" s="437">
        <f>+[12]Charter!C25</f>
        <v>73929</v>
      </c>
      <c r="D25" s="437">
        <f t="shared" ref="D25" si="17">SUM(B25:C25)</f>
        <v>131276</v>
      </c>
      <c r="E25" s="270">
        <f>[13]Charter!D25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[13]Charter!I25</f>
        <v>2056407</v>
      </c>
      <c r="K25" s="184">
        <f t="shared" si="2"/>
        <v>0.24772819777407876</v>
      </c>
      <c r="L25" s="438">
        <f>+[12]Charter!L25</f>
        <v>1361702</v>
      </c>
      <c r="M25" s="437">
        <f>+[12]Charter!M25</f>
        <v>1335411</v>
      </c>
      <c r="N25" s="437">
        <f t="shared" si="3"/>
        <v>2697113</v>
      </c>
      <c r="O25" s="270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+[14]Charter!B26</f>
        <v>85825</v>
      </c>
      <c r="C26" s="437">
        <f>+[14]Charter!C26</f>
        <v>94178</v>
      </c>
      <c r="D26" s="437">
        <f t="shared" ref="D26" si="21">SUM(B26:C26)</f>
        <v>180003</v>
      </c>
      <c r="E26" s="270">
        <f>[15]Charter!D26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[15]Charter!I26</f>
        <v>2395931</v>
      </c>
      <c r="K26" s="190">
        <f t="shared" si="2"/>
        <v>0.11308631175104793</v>
      </c>
      <c r="L26" s="438">
        <f>+[14]Charter!L26</f>
        <v>1429723</v>
      </c>
      <c r="M26" s="437">
        <f>+[14]Charter!M26</f>
        <v>1417158</v>
      </c>
      <c r="N26" s="437">
        <f t="shared" si="3"/>
        <v>2846881</v>
      </c>
      <c r="O26" s="270">
        <f>[15]Charter!N26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8">
        <f>+[16]Charter!B27</f>
        <v>94721</v>
      </c>
      <c r="C27" s="437">
        <f>+[16]Charter!C27</f>
        <v>85909</v>
      </c>
      <c r="D27" s="437">
        <f t="shared" ref="D27" si="25">SUM(B27:C27)</f>
        <v>180630</v>
      </c>
      <c r="E27" s="270">
        <f>[17]Charter!D27</f>
        <v>63577</v>
      </c>
      <c r="F27" s="178">
        <f t="shared" si="0"/>
        <v>1.8411217893263288</v>
      </c>
      <c r="G27" s="438">
        <f t="shared" ref="G27" si="26">L27-B27</f>
        <v>1385146</v>
      </c>
      <c r="H27" s="437">
        <f t="shared" ref="H27" si="27">M27-C27</f>
        <v>1393042</v>
      </c>
      <c r="I27" s="437">
        <f t="shared" ref="I27" si="28">SUM(G27:H27)</f>
        <v>2778188</v>
      </c>
      <c r="J27" s="270">
        <f>[17]Charter!I27</f>
        <v>2795105</v>
      </c>
      <c r="K27" s="184">
        <f t="shared" si="2"/>
        <v>-6.0523665479472145E-3</v>
      </c>
      <c r="L27" s="438">
        <f>+[16]Charter!L27</f>
        <v>1479867</v>
      </c>
      <c r="M27" s="437">
        <f>+[16]Charter!M27</f>
        <v>1478951</v>
      </c>
      <c r="N27" s="437">
        <f t="shared" ref="N27" si="29">SUM(L27:M27)</f>
        <v>2958818</v>
      </c>
      <c r="O27" s="270">
        <f>[17]Charter!N27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438">
        <f>+[18]Charter!B28</f>
        <v>94137</v>
      </c>
      <c r="C28" s="437">
        <f>+[18]Charter!C28</f>
        <v>87466</v>
      </c>
      <c r="D28" s="437">
        <f t="shared" ref="D28" si="30">SUM(B28:C28)</f>
        <v>181603</v>
      </c>
      <c r="E28" s="270">
        <f>[19]Charter!D28</f>
        <v>67922</v>
      </c>
      <c r="F28" s="189">
        <f t="shared" si="0"/>
        <v>1.6736992432496098</v>
      </c>
      <c r="G28" s="438">
        <f t="shared" ref="G28" si="31">L28-B28</f>
        <v>1367706</v>
      </c>
      <c r="H28" s="437">
        <f t="shared" ref="H28" si="32">M28-C28</f>
        <v>1363902</v>
      </c>
      <c r="I28" s="437">
        <f t="shared" ref="I28" si="33">SUM(G28:H28)</f>
        <v>2731608</v>
      </c>
      <c r="J28" s="270">
        <f>[19]Charter!I28</f>
        <v>2595445</v>
      </c>
      <c r="K28" s="190">
        <f t="shared" si="2"/>
        <v>5.2462294519822227E-2</v>
      </c>
      <c r="L28" s="438">
        <f>+[18]Charter!L28</f>
        <v>1461843</v>
      </c>
      <c r="M28" s="437">
        <f>+[18]Charter!M28</f>
        <v>1451368</v>
      </c>
      <c r="N28" s="437">
        <f t="shared" ref="N28" si="34">SUM(L28:M28)</f>
        <v>2913211</v>
      </c>
      <c r="O28" s="270">
        <f>[19]Charter!N28</f>
        <v>2663367</v>
      </c>
      <c r="P28" s="189">
        <f t="shared" si="8"/>
        <v>9.3807575148299127E-2</v>
      </c>
    </row>
    <row r="29" spans="1:16" ht="14.1" customHeight="1" x14ac:dyDescent="0.2">
      <c r="A29" s="175" t="s">
        <v>109</v>
      </c>
      <c r="B29" s="438">
        <f>+[20]Charter!B29</f>
        <v>72885</v>
      </c>
      <c r="C29" s="437">
        <f>+[20]Charter!C29</f>
        <v>73450</v>
      </c>
      <c r="D29" s="437">
        <f t="shared" ref="D29" si="35">SUM(B29:C29)</f>
        <v>146335</v>
      </c>
      <c r="E29" s="270">
        <f>[21]Charter!D29</f>
        <v>60381</v>
      </c>
      <c r="F29" s="178">
        <f t="shared" si="0"/>
        <v>1.4235272685116178</v>
      </c>
      <c r="G29" s="438">
        <f t="shared" ref="G29" si="36">L29-B29</f>
        <v>1224486</v>
      </c>
      <c r="H29" s="437">
        <f t="shared" ref="H29" si="37">M29-C29</f>
        <v>1226782</v>
      </c>
      <c r="I29" s="437">
        <f t="shared" ref="I29" si="38">SUM(G29:H29)</f>
        <v>2451268</v>
      </c>
      <c r="J29" s="270">
        <f>[21]Charter!I29</f>
        <v>2267332</v>
      </c>
      <c r="K29" s="184">
        <f t="shared" si="2"/>
        <v>8.1124422889987002E-2</v>
      </c>
      <c r="L29" s="438">
        <f>+[20]Charter!L29</f>
        <v>1297371</v>
      </c>
      <c r="M29" s="437">
        <f>+[20]Charter!M29</f>
        <v>1300232</v>
      </c>
      <c r="N29" s="437">
        <f t="shared" ref="N29" si="39">SUM(L29:M29)</f>
        <v>2597603</v>
      </c>
      <c r="O29" s="270">
        <f>[21]Charter!N29</f>
        <v>2327713</v>
      </c>
      <c r="P29" s="178">
        <f t="shared" si="8"/>
        <v>0.11594642466661483</v>
      </c>
    </row>
    <row r="30" spans="1:16" ht="14.1" customHeight="1" x14ac:dyDescent="0.2">
      <c r="A30" s="188" t="s">
        <v>110</v>
      </c>
      <c r="B30" s="438">
        <f>+[2]Charter!B30</f>
        <v>70829</v>
      </c>
      <c r="C30" s="437">
        <f>+[2]Charter!C30</f>
        <v>67477</v>
      </c>
      <c r="D30" s="437">
        <f t="shared" ref="D30" si="40">SUM(B30:C30)</f>
        <v>138306</v>
      </c>
      <c r="E30" s="270">
        <f>[22]Charter!D30</f>
        <v>57177</v>
      </c>
      <c r="F30" s="189">
        <f t="shared" si="0"/>
        <v>1.4189097014533816</v>
      </c>
      <c r="G30" s="438">
        <f t="shared" ref="G30" si="41">L30-B30</f>
        <v>1267295</v>
      </c>
      <c r="H30" s="437">
        <f t="shared" ref="H30" si="42">M30-C30</f>
        <v>1284252</v>
      </c>
      <c r="I30" s="437">
        <f t="shared" ref="I30" si="43">SUM(G30:H30)</f>
        <v>2551547</v>
      </c>
      <c r="J30" s="270">
        <f>[22]Charter!I30</f>
        <v>2429943</v>
      </c>
      <c r="K30" s="190">
        <f t="shared" si="2"/>
        <v>5.0043972224862884E-2</v>
      </c>
      <c r="L30" s="438">
        <f>+[2]Charter!L30</f>
        <v>1338124</v>
      </c>
      <c r="M30" s="437">
        <f>+[2]Charter!M30</f>
        <v>1351729</v>
      </c>
      <c r="N30" s="437">
        <f t="shared" ref="N30" si="44">SUM(L30:M30)</f>
        <v>2689853</v>
      </c>
      <c r="O30" s="270">
        <f>[22]Charter!N30</f>
        <v>2487120</v>
      </c>
      <c r="P30" s="189">
        <f t="shared" si="8"/>
        <v>8.1513155778571197E-2</v>
      </c>
    </row>
    <row r="31" spans="1:16" ht="14.1" customHeight="1" x14ac:dyDescent="0.2">
      <c r="A31" s="175" t="s">
        <v>111</v>
      </c>
      <c r="B31" s="438">
        <f>+'Intl Detail'!$Q$4+'Intl Detail'!$Q$9</f>
        <v>72361</v>
      </c>
      <c r="C31" s="437">
        <f>+'Intl Detail'!$Q$5+'Intl Detail'!$Q$10</f>
        <v>76166</v>
      </c>
      <c r="D31" s="437">
        <f t="shared" ref="D31" si="45">SUM(B31:C31)</f>
        <v>148527</v>
      </c>
      <c r="E31" s="270">
        <f>[1]Charter!D31</f>
        <v>65728</v>
      </c>
      <c r="F31" s="178">
        <f t="shared" si="0"/>
        <v>1.2597218841285296</v>
      </c>
      <c r="G31" s="438">
        <f t="shared" ref="G31" si="46">L31-B31</f>
        <v>1186457</v>
      </c>
      <c r="H31" s="437">
        <f t="shared" ref="H31" si="47">M31-C31</f>
        <v>1190743</v>
      </c>
      <c r="I31" s="437">
        <f t="shared" ref="I31" si="48">SUM(G31:H31)</f>
        <v>2377200</v>
      </c>
      <c r="J31" s="270">
        <f>[1]Charter!I31</f>
        <v>2323828</v>
      </c>
      <c r="K31" s="184">
        <f t="shared" si="2"/>
        <v>2.2967276407720366E-2</v>
      </c>
      <c r="L31" s="438">
        <f>+'Monthly Summary'!$B$11</f>
        <v>1258818</v>
      </c>
      <c r="M31" s="437">
        <f>+'Monthly Summary'!$C$11</f>
        <v>1266909</v>
      </c>
      <c r="N31" s="437">
        <f t="shared" ref="N31" si="49">SUM(L31:M31)</f>
        <v>2525727</v>
      </c>
      <c r="O31" s="270">
        <f>[1]Charter!N31</f>
        <v>2389556</v>
      </c>
      <c r="P31" s="178">
        <f t="shared" si="8"/>
        <v>5.6985900309513567E-2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914934</v>
      </c>
      <c r="C33" s="196">
        <f>SUM(C21:C32)</f>
        <v>918442</v>
      </c>
      <c r="D33" s="196">
        <f>SUM(D21:D32)</f>
        <v>1833376</v>
      </c>
      <c r="E33" s="197">
        <f>SUM(E21:E32)</f>
        <v>619925</v>
      </c>
      <c r="F33" s="180">
        <f>(D33-E33)/E33</f>
        <v>1.9574158164294069</v>
      </c>
      <c r="G33" s="198">
        <f>SUM(G21:G32)</f>
        <v>13479288</v>
      </c>
      <c r="H33" s="196">
        <f>SUM(H21:H32)</f>
        <v>13436703</v>
      </c>
      <c r="I33" s="196">
        <f>SUM(I21:I32)</f>
        <v>26915991</v>
      </c>
      <c r="J33" s="199">
        <f>SUM(J21:J32)</f>
        <v>22272613</v>
      </c>
      <c r="K33" s="181">
        <f>(I33-J33)/J33</f>
        <v>0.20847926554463997</v>
      </c>
      <c r="L33" s="198">
        <f>SUM(L21:L32)</f>
        <v>14394222</v>
      </c>
      <c r="M33" s="196">
        <f>SUM(M21:M32)</f>
        <v>14355145</v>
      </c>
      <c r="N33" s="196">
        <f>SUM(N21:N32)</f>
        <v>28749367</v>
      </c>
      <c r="O33" s="197">
        <f>SUM(O21:O32)</f>
        <v>22892538</v>
      </c>
      <c r="P33" s="179">
        <f>(N33-O33)/O33</f>
        <v>0.25584009077543085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November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9" sqref="H9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44866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Air'!$IB$4</f>
        <v>29</v>
      </c>
      <c r="C4" s="133">
        <f>[3]DHL!$IB$4+[3]DHL_Atlas!$IB$4+[3]DHL_Atlas!$IB$8+[3]DHL_Atlas!$IB$15</f>
        <v>0</v>
      </c>
      <c r="D4" s="133">
        <f>[3]Airborne!$IB$4+[3]Airborne!$IB$15</f>
        <v>0</v>
      </c>
      <c r="E4" s="96">
        <f>[3]DHL_Bemidji!$IB$4</f>
        <v>34</v>
      </c>
      <c r="F4" s="96">
        <f>[3]Bemidji!$IB$4</f>
        <v>214</v>
      </c>
      <c r="G4" s="133">
        <f>[3]DHL_Encore!$IB$4+[3]DHL_Encore!$IB$15</f>
        <v>0</v>
      </c>
      <c r="H4" s="133">
        <f>[3]DHL_Mesa!$IB$4+[3]DHL_Mesa!$IB$15</f>
        <v>41</v>
      </c>
      <c r="I4" s="133">
        <f>[3]Encore!$IB$4+[3]Encore!$IB$15</f>
        <v>0</v>
      </c>
      <c r="J4" s="133">
        <f>[3]FedEx!$IB$4+[3]FedEx!$IB$15</f>
        <v>130</v>
      </c>
      <c r="K4" s="133">
        <f>[3]IFL!$IB$4+[3]IFL!$IB$15</f>
        <v>15</v>
      </c>
      <c r="L4" s="133">
        <f>[3]DHL_Kalitta!$IB$4+[3]DHL_Kalitta!$IB$15</f>
        <v>0</v>
      </c>
      <c r="M4" s="96">
        <f>'[3]Mountain Cargo'!$IB$4</f>
        <v>20</v>
      </c>
      <c r="N4" s="133">
        <f>[3]DHL_Southair!$IB$4+[3]DHL_Southair!$IB$15</f>
        <v>0</v>
      </c>
      <c r="O4" s="133">
        <f>[3]DHL_Swift!$IB$4+[3]DHL_Swift!$IB$15</f>
        <v>5</v>
      </c>
      <c r="P4" s="133">
        <f>+'[3]Sun Country Cargo'!$IB$4+'[3]Sun Country Cargo'!$IB$8+'[3]Sun Country Cargo'!$IB$15</f>
        <v>57</v>
      </c>
      <c r="Q4" s="133">
        <f>[3]UPS!$IB$4+[3]UPS!$IB$15</f>
        <v>131</v>
      </c>
      <c r="R4" s="96">
        <f>'[3]Misc Cargo'!$IB$4</f>
        <v>0</v>
      </c>
      <c r="S4" s="403">
        <f>SUM(B4:R4)</f>
        <v>676</v>
      </c>
      <c r="U4" s="370"/>
      <c r="V4" s="363"/>
      <c r="W4" s="231"/>
    </row>
    <row r="5" spans="1:23" x14ac:dyDescent="0.2">
      <c r="A5" s="38" t="s">
        <v>54</v>
      </c>
      <c r="B5" s="404">
        <f>'[3]Atlas Air'!$IB$5</f>
        <v>29</v>
      </c>
      <c r="C5" s="157">
        <f>[3]DHL!$IB$5+[3]DHL_Atlas!$IB$5+[3]DHL_Atlas!$IB$9+[3]DHL_Atlas!$IB$16</f>
        <v>0</v>
      </c>
      <c r="D5" s="157">
        <f>[3]Airborne!$IB$5</f>
        <v>0</v>
      </c>
      <c r="E5" s="97">
        <f>[3]DHL_Bemidji!$IB$5</f>
        <v>34</v>
      </c>
      <c r="F5" s="97">
        <f>[3]Bemidji!$IB$5</f>
        <v>214</v>
      </c>
      <c r="G5" s="157">
        <f>[3]DHL_Encore!$IB$5</f>
        <v>0</v>
      </c>
      <c r="H5" s="157">
        <f>[3]DHL_Mesa!$IB$5</f>
        <v>41</v>
      </c>
      <c r="I5" s="157">
        <f>[3]Encore!$IB$5</f>
        <v>0</v>
      </c>
      <c r="J5" s="157">
        <f>[3]FedEx!$IB$5</f>
        <v>130</v>
      </c>
      <c r="K5" s="157">
        <f>[3]IFL!$IB$5</f>
        <v>15</v>
      </c>
      <c r="L5" s="157">
        <f>[3]DHL_Kalitta!$IB$5</f>
        <v>0</v>
      </c>
      <c r="M5" s="97">
        <f>'[3]Mountain Cargo'!$IB$5</f>
        <v>20</v>
      </c>
      <c r="N5" s="157">
        <f>[3]DHL_Southair!$IB$5</f>
        <v>0</v>
      </c>
      <c r="O5" s="157">
        <f>[3]DHL_Swift!$IB$5</f>
        <v>5</v>
      </c>
      <c r="P5" s="157">
        <f>+'[3]Sun Country Cargo'!$IB$5+'[3]Sun Country Cargo'!$IB$9+'[3]Sun Country Cargo'!$IB$16</f>
        <v>57</v>
      </c>
      <c r="Q5" s="157">
        <f>[3]UPS!$IB$5+[3]UPS!$IB$16</f>
        <v>133</v>
      </c>
      <c r="R5" s="97">
        <f>'[3]Misc Cargo'!$IB$5</f>
        <v>0</v>
      </c>
      <c r="S5" s="403">
        <f>SUM(B5:R5)</f>
        <v>678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58</v>
      </c>
      <c r="C6" s="406">
        <f t="shared" si="0"/>
        <v>0</v>
      </c>
      <c r="D6" s="406">
        <f t="shared" ref="D6:E6" si="1">SUM(D4:D5)</f>
        <v>0</v>
      </c>
      <c r="E6" s="94">
        <f t="shared" si="1"/>
        <v>68</v>
      </c>
      <c r="F6" s="94">
        <f t="shared" si="0"/>
        <v>428</v>
      </c>
      <c r="G6" s="406">
        <f t="shared" si="0"/>
        <v>0</v>
      </c>
      <c r="H6" s="406">
        <f t="shared" ref="H6" si="2">SUM(H4:H5)</f>
        <v>82</v>
      </c>
      <c r="I6" s="406">
        <f t="shared" si="0"/>
        <v>0</v>
      </c>
      <c r="J6" s="406">
        <f t="shared" si="0"/>
        <v>260</v>
      </c>
      <c r="K6" s="406">
        <f t="shared" si="0"/>
        <v>30</v>
      </c>
      <c r="L6" s="406">
        <f t="shared" si="0"/>
        <v>0</v>
      </c>
      <c r="M6" s="94">
        <f t="shared" si="0"/>
        <v>40</v>
      </c>
      <c r="N6" s="406">
        <f t="shared" si="0"/>
        <v>0</v>
      </c>
      <c r="O6" s="406">
        <f t="shared" si="0"/>
        <v>10</v>
      </c>
      <c r="P6" s="406">
        <f t="shared" si="0"/>
        <v>114</v>
      </c>
      <c r="Q6" s="406">
        <f t="shared" si="0"/>
        <v>264</v>
      </c>
      <c r="R6" s="94">
        <f t="shared" si="0"/>
        <v>0</v>
      </c>
      <c r="S6" s="403">
        <f t="shared" ref="S6:S10" si="3">SUM(B6:R6)</f>
        <v>1354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Cargo'!$IB$8</f>
        <v>0</v>
      </c>
      <c r="S8" s="403">
        <f t="shared" si="3"/>
        <v>0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Cargo'!$IB$9</f>
        <v>0</v>
      </c>
      <c r="S9" s="403">
        <f t="shared" si="3"/>
        <v>0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0</v>
      </c>
      <c r="S10" s="403">
        <f t="shared" si="3"/>
        <v>0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58</v>
      </c>
      <c r="C12" s="162">
        <f t="shared" si="7"/>
        <v>0</v>
      </c>
      <c r="D12" s="162">
        <f t="shared" ref="D12:E12" si="8">D6+D10</f>
        <v>0</v>
      </c>
      <c r="E12" s="163">
        <f t="shared" si="8"/>
        <v>68</v>
      </c>
      <c r="F12" s="163">
        <f t="shared" si="7"/>
        <v>428</v>
      </c>
      <c r="G12" s="162">
        <f t="shared" si="7"/>
        <v>0</v>
      </c>
      <c r="H12" s="162">
        <f t="shared" ref="H12" si="9">H6+H10</f>
        <v>82</v>
      </c>
      <c r="I12" s="162">
        <f t="shared" si="7"/>
        <v>0</v>
      </c>
      <c r="J12" s="162">
        <f t="shared" si="7"/>
        <v>260</v>
      </c>
      <c r="K12" s="162">
        <f t="shared" si="7"/>
        <v>30</v>
      </c>
      <c r="L12" s="162">
        <f t="shared" si="7"/>
        <v>0</v>
      </c>
      <c r="M12" s="163">
        <f t="shared" si="7"/>
        <v>40</v>
      </c>
      <c r="N12" s="162">
        <f t="shared" si="7"/>
        <v>0</v>
      </c>
      <c r="O12" s="162">
        <f t="shared" si="7"/>
        <v>10</v>
      </c>
      <c r="P12" s="162">
        <f t="shared" si="7"/>
        <v>114</v>
      </c>
      <c r="Q12" s="162">
        <f t="shared" si="7"/>
        <v>264</v>
      </c>
      <c r="R12" s="163">
        <f t="shared" si="7"/>
        <v>0</v>
      </c>
      <c r="S12" s="409">
        <f>SUM(B12:R12)</f>
        <v>1354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Air'!$IB$47</f>
        <v>1626089</v>
      </c>
      <c r="C16" s="133">
        <f>[3]DHL!$IB$47+[3]DHL_Atlas!$IB$47</f>
        <v>0</v>
      </c>
      <c r="D16" s="133">
        <f>[3]Airborne!$IB$47</f>
        <v>0</v>
      </c>
      <c r="E16" s="133">
        <f>[3]DHL_Bemidji!$IB$47</f>
        <v>42393</v>
      </c>
      <c r="F16" s="475" t="s">
        <v>86</v>
      </c>
      <c r="G16" s="133">
        <f>[3]DHL_Encore!$IB$47</f>
        <v>0</v>
      </c>
      <c r="H16" s="133">
        <f>[3]DHL_Mesa!$IB$47</f>
        <v>855288</v>
      </c>
      <c r="I16" s="133">
        <f>[3]Encore!$IB$47</f>
        <v>0</v>
      </c>
      <c r="J16" s="133">
        <f>[3]FedEx!$IB$47</f>
        <v>8040182</v>
      </c>
      <c r="K16" s="133">
        <f>[3]IFL!$IB$47</f>
        <v>57554</v>
      </c>
      <c r="L16" s="133">
        <f>[3]DHL_Kalitta!$IB$47</f>
        <v>0</v>
      </c>
      <c r="M16" s="96">
        <f>'[3]Mountain Cargo'!$IB$47</f>
        <v>0</v>
      </c>
      <c r="N16" s="133">
        <f>[3]DHL_Southair!$IB$47</f>
        <v>0</v>
      </c>
      <c r="O16" s="133">
        <f>[3]DHL_Swift!$IB$47</f>
        <v>113208</v>
      </c>
      <c r="P16" s="133">
        <f>+'[3]Sun Country Cargo'!$IB$47</f>
        <v>1320517</v>
      </c>
      <c r="Q16" s="133">
        <f>[3]UPS!$IB$47</f>
        <v>6108010</v>
      </c>
      <c r="R16" s="96">
        <f>'[3]Misc Cargo'!$IB$47</f>
        <v>0</v>
      </c>
      <c r="S16" s="403">
        <f>SUM(B16:E16)+SUM(G16:R16)</f>
        <v>18163241</v>
      </c>
      <c r="U16" s="370"/>
      <c r="V16" s="370"/>
      <c r="W16" s="231"/>
    </row>
    <row r="17" spans="1:23" x14ac:dyDescent="0.2">
      <c r="A17" s="38" t="s">
        <v>38</v>
      </c>
      <c r="B17" s="193">
        <f>'[3]Atlas Air'!$IB$48</f>
        <v>0</v>
      </c>
      <c r="C17" s="133">
        <f>[3]DHL!$IB$48</f>
        <v>0</v>
      </c>
      <c r="D17" s="133">
        <f>[3]Airborne!$IB$48</f>
        <v>0</v>
      </c>
      <c r="E17" s="133">
        <f>[3]DHL_Bemidji!$IB$48</f>
        <v>0</v>
      </c>
      <c r="F17" s="476"/>
      <c r="G17" s="133">
        <f>[3]DHL_Encore!$IB$48</f>
        <v>0</v>
      </c>
      <c r="H17" s="133">
        <f>[3]DHL_Mesa!$IB$48</f>
        <v>0</v>
      </c>
      <c r="I17" s="133">
        <f>[3]Encore!$IB$48</f>
        <v>0</v>
      </c>
      <c r="J17" s="133">
        <f>[3]FedEx!$IB$48</f>
        <v>0</v>
      </c>
      <c r="K17" s="133">
        <f>[3]IFL!$IB$48</f>
        <v>0</v>
      </c>
      <c r="L17" s="133">
        <f>[3]DHL_Kalitta!$IB$48</f>
        <v>0</v>
      </c>
      <c r="M17" s="96">
        <f>'[3]Mountain Cargo'!$IB$48</f>
        <v>55695</v>
      </c>
      <c r="N17" s="133">
        <f>[3]DHL_Southair!$IB$48</f>
        <v>0</v>
      </c>
      <c r="O17" s="133">
        <f>[3]DHL_Swift!$IB$48</f>
        <v>0</v>
      </c>
      <c r="P17" s="133">
        <f>+'[3]Sun Country Cargo'!$IB$48</f>
        <v>0</v>
      </c>
      <c r="Q17" s="133">
        <f>[3]UPS!$IB$48</f>
        <v>752307</v>
      </c>
      <c r="R17" s="96">
        <f>'[3]Misc Cargo'!$IB$48</f>
        <v>0</v>
      </c>
      <c r="S17" s="403">
        <f>SUM(B17:E17)+SUM(G17:R17)</f>
        <v>808002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1626089</v>
      </c>
      <c r="C18" s="237">
        <f>SUM(C16:C17)</f>
        <v>0</v>
      </c>
      <c r="D18" s="237">
        <f>SUM(D16:D17)</f>
        <v>0</v>
      </c>
      <c r="E18" s="237">
        <f>SUM(E16:E17)</f>
        <v>42393</v>
      </c>
      <c r="F18" s="476"/>
      <c r="G18" s="237">
        <f>SUM(G16:G17)</f>
        <v>0</v>
      </c>
      <c r="H18" s="237">
        <f>SUM(H16:H17)</f>
        <v>855288</v>
      </c>
      <c r="I18" s="237">
        <f>SUM(I16:I17)</f>
        <v>0</v>
      </c>
      <c r="J18" s="237">
        <f>SUM(J16:J17)</f>
        <v>8040182</v>
      </c>
      <c r="K18" s="237">
        <f>SUM(K16:K17)</f>
        <v>57554</v>
      </c>
      <c r="L18" s="237">
        <f t="shared" ref="L18:R18" si="10">SUM(L16:L17)</f>
        <v>0</v>
      </c>
      <c r="M18" s="238">
        <f t="shared" si="10"/>
        <v>55695</v>
      </c>
      <c r="N18" s="237">
        <f t="shared" si="10"/>
        <v>0</v>
      </c>
      <c r="O18" s="237">
        <f t="shared" si="10"/>
        <v>113208</v>
      </c>
      <c r="P18" s="237">
        <f t="shared" si="10"/>
        <v>1320517</v>
      </c>
      <c r="Q18" s="237">
        <f t="shared" si="10"/>
        <v>6860317</v>
      </c>
      <c r="R18" s="238">
        <f t="shared" si="10"/>
        <v>0</v>
      </c>
      <c r="S18" s="415">
        <f>SUM(B18:E18)+SUM(G18:R18)</f>
        <v>18971243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Air'!$IB$52</f>
        <v>1585842</v>
      </c>
      <c r="C21" s="133">
        <f>[3]DHL!$IB$52+[3]DHL_Atlas!$IB$52</f>
        <v>0</v>
      </c>
      <c r="D21" s="133">
        <f>[3]Airborne!$IB$52</f>
        <v>0</v>
      </c>
      <c r="E21" s="133">
        <f>[3]DHL_Bemidji!$IB$52</f>
        <v>41713</v>
      </c>
      <c r="F21" s="476"/>
      <c r="G21" s="133">
        <f>[3]DHL_Encore!$IB$52</f>
        <v>0</v>
      </c>
      <c r="H21" s="133">
        <f>[3]DHL_Mesa!$IB$52</f>
        <v>402507</v>
      </c>
      <c r="I21" s="133">
        <f>[3]Encore!$IB$52</f>
        <v>0</v>
      </c>
      <c r="J21" s="133">
        <f>[3]FedEx!$IB$52</f>
        <v>6990049</v>
      </c>
      <c r="K21" s="133">
        <f>[3]IFL!$IB$52</f>
        <v>4009</v>
      </c>
      <c r="L21" s="133">
        <f>[3]DHL_Kalitta!$IB$52</f>
        <v>0</v>
      </c>
      <c r="M21" s="96">
        <f>'[3]Mountain Cargo'!$IB$52</f>
        <v>0</v>
      </c>
      <c r="N21" s="133">
        <f>[3]DHL_Southair!$IB$52</f>
        <v>0</v>
      </c>
      <c r="O21" s="133">
        <f>[3]DHL_Swift!$IB$52</f>
        <v>3920</v>
      </c>
      <c r="P21" s="133">
        <f>+'[3]Sun Country Cargo'!$IB$52</f>
        <v>1338606</v>
      </c>
      <c r="Q21" s="133">
        <f>[3]UPS!$IB$52</f>
        <v>5440151</v>
      </c>
      <c r="R21" s="96">
        <f>'[3]Misc Cargo'!$IB$52</f>
        <v>0</v>
      </c>
      <c r="S21" s="403">
        <f>SUM(B21:E21)+SUM(G21:R21)</f>
        <v>15806797</v>
      </c>
      <c r="U21" s="370"/>
      <c r="V21" s="370"/>
      <c r="W21" s="231"/>
    </row>
    <row r="22" spans="1:23" x14ac:dyDescent="0.2">
      <c r="A22" s="38" t="s">
        <v>60</v>
      </c>
      <c r="B22" s="193">
        <f>'[3]Atlas Air'!$IB$53</f>
        <v>0</v>
      </c>
      <c r="C22" s="133">
        <f>[3]DHL!$IB$53</f>
        <v>0</v>
      </c>
      <c r="D22" s="133">
        <f>[3]Airborne!$IB$53</f>
        <v>0</v>
      </c>
      <c r="E22" s="133">
        <f>[3]DHL_Bemidji!$IB$53</f>
        <v>0</v>
      </c>
      <c r="F22" s="476"/>
      <c r="G22" s="133">
        <f>[3]DHL_Encore!$IB$53</f>
        <v>0</v>
      </c>
      <c r="H22" s="133">
        <f>[3]DHL_Mesa!$IB$53</f>
        <v>0</v>
      </c>
      <c r="I22" s="133">
        <f>[3]Encore!$IB$53</f>
        <v>0</v>
      </c>
      <c r="J22" s="133">
        <f>[3]FedEx!$IB$53</f>
        <v>0</v>
      </c>
      <c r="K22" s="133">
        <f>[3]IFL!$IB$53</f>
        <v>0</v>
      </c>
      <c r="L22" s="133">
        <f>[3]DHL_Kalitta!$IB$53</f>
        <v>0</v>
      </c>
      <c r="M22" s="96">
        <f>'[3]Mountain Cargo'!$IB$53</f>
        <v>104054</v>
      </c>
      <c r="N22" s="133">
        <f>[3]DHL_Southair!$IB$53</f>
        <v>0</v>
      </c>
      <c r="O22" s="133">
        <f>[3]DHL_Swift!$IB$53</f>
        <v>0</v>
      </c>
      <c r="P22" s="133">
        <f>+'[3]Sun Country Cargo'!$IB$53</f>
        <v>0</v>
      </c>
      <c r="Q22" s="133">
        <f>[3]UPS!$IB$53</f>
        <v>378275</v>
      </c>
      <c r="R22" s="96">
        <f>'[3]Misc Cargo'!$IB$53</f>
        <v>0</v>
      </c>
      <c r="S22" s="403">
        <f>SUM(B22:E22)+SUM(G22:R22)</f>
        <v>482329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1585842</v>
      </c>
      <c r="C23" s="237">
        <f>SUM(C21:C22)</f>
        <v>0</v>
      </c>
      <c r="D23" s="237">
        <f t="shared" ref="D23:E23" si="11">SUM(D21:D22)</f>
        <v>0</v>
      </c>
      <c r="E23" s="237">
        <f t="shared" si="11"/>
        <v>41713</v>
      </c>
      <c r="F23" s="476"/>
      <c r="G23" s="237">
        <f t="shared" ref="G23:R23" si="12">SUM(G21:G22)</f>
        <v>0</v>
      </c>
      <c r="H23" s="237">
        <f t="shared" ref="H23" si="13">SUM(H21:H22)</f>
        <v>402507</v>
      </c>
      <c r="I23" s="237">
        <f t="shared" si="12"/>
        <v>0</v>
      </c>
      <c r="J23" s="237">
        <f t="shared" si="12"/>
        <v>6990049</v>
      </c>
      <c r="K23" s="237">
        <f t="shared" si="12"/>
        <v>4009</v>
      </c>
      <c r="L23" s="237">
        <f t="shared" si="12"/>
        <v>0</v>
      </c>
      <c r="M23" s="238">
        <f t="shared" si="12"/>
        <v>104054</v>
      </c>
      <c r="N23" s="237">
        <f t="shared" si="12"/>
        <v>0</v>
      </c>
      <c r="O23" s="237">
        <f t="shared" si="12"/>
        <v>3920</v>
      </c>
      <c r="P23" s="237">
        <f t="shared" si="12"/>
        <v>1338606</v>
      </c>
      <c r="Q23" s="237">
        <f t="shared" si="12"/>
        <v>5818426</v>
      </c>
      <c r="R23" s="238">
        <f t="shared" si="12"/>
        <v>0</v>
      </c>
      <c r="S23" s="415">
        <f>SUM(B23:E23)+SUM(G23:R23)</f>
        <v>16289126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Air'!$IB$57</f>
        <v>0</v>
      </c>
      <c r="C26" s="133">
        <f>[3]DHL!$IB$57</f>
        <v>0</v>
      </c>
      <c r="D26" s="133">
        <f>[3]Airborne!$IB$57</f>
        <v>0</v>
      </c>
      <c r="E26" s="133">
        <f>[3]DHL_Bemidji!$IB$57</f>
        <v>0</v>
      </c>
      <c r="F26" s="476"/>
      <c r="G26" s="133">
        <f>[3]DHL_Encore!$IB$57</f>
        <v>0</v>
      </c>
      <c r="H26" s="133">
        <f>[3]DHL_Mesa!$IB$57</f>
        <v>0</v>
      </c>
      <c r="I26" s="133">
        <f>[3]Encore!$IB$57</f>
        <v>0</v>
      </c>
      <c r="J26" s="133">
        <f>[3]FedEx!$IB$57</f>
        <v>0</v>
      </c>
      <c r="K26" s="133">
        <f>[3]IFL!$IB$57</f>
        <v>0</v>
      </c>
      <c r="L26" s="133">
        <f>[3]DHL_Kalitta!$IB$57</f>
        <v>0</v>
      </c>
      <c r="M26" s="96">
        <f>'[3]Mountain Cargo'!$IB$57</f>
        <v>0</v>
      </c>
      <c r="N26" s="133">
        <f>[3]DHL_Southair!$IB$57</f>
        <v>0</v>
      </c>
      <c r="O26" s="133">
        <f>[3]DHL_Swift!$IB$57</f>
        <v>0</v>
      </c>
      <c r="P26" s="133">
        <f>+'[3]Sun Country Cargo'!$IB$57</f>
        <v>0</v>
      </c>
      <c r="Q26" s="133">
        <f>[3]UPS!$IB$57</f>
        <v>0</v>
      </c>
      <c r="R26" s="96">
        <f>'[3]Misc Cargo'!$IB$57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Air'!$IB$58</f>
        <v>0</v>
      </c>
      <c r="C27" s="133">
        <f>[3]DHL!$IB$58</f>
        <v>0</v>
      </c>
      <c r="D27" s="133">
        <f>[3]Airborne!$IB$58</f>
        <v>0</v>
      </c>
      <c r="E27" s="133">
        <f>[3]DHL_Bemidji!$IB$58</f>
        <v>0</v>
      </c>
      <c r="F27" s="476"/>
      <c r="G27" s="133">
        <f>[3]DHL_Encore!$IB$58</f>
        <v>0</v>
      </c>
      <c r="H27" s="133">
        <f>[3]DHL_Mesa!$IB$58</f>
        <v>0</v>
      </c>
      <c r="I27" s="133">
        <f>[3]Encore!$IB$58</f>
        <v>0</v>
      </c>
      <c r="J27" s="133">
        <f>[3]FedEx!$IB$58</f>
        <v>0</v>
      </c>
      <c r="K27" s="133">
        <f>[3]IFL!$IB$58</f>
        <v>0</v>
      </c>
      <c r="L27" s="133">
        <f>[3]DHL_Kalitta!$IB$58</f>
        <v>0</v>
      </c>
      <c r="M27" s="96">
        <f>'[3]Mountain Cargo'!$IB$58</f>
        <v>0</v>
      </c>
      <c r="N27" s="133">
        <f>[3]DHL_Southair!$IB$58</f>
        <v>0</v>
      </c>
      <c r="O27" s="133">
        <f>[3]DHL_Swift!$IB$58</f>
        <v>0</v>
      </c>
      <c r="P27" s="133">
        <f>+'[3]Sun Country Cargo'!$IB$58</f>
        <v>0</v>
      </c>
      <c r="Q27" s="133">
        <f>[3]UPS!$IB$58</f>
        <v>0</v>
      </c>
      <c r="R27" s="96">
        <f>'[3]Misc Cargo'!$IB$58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3211931</v>
      </c>
      <c r="C31" s="133">
        <f t="shared" ref="C31:R33" si="17">C26+C21+C16</f>
        <v>0</v>
      </c>
      <c r="D31" s="133">
        <f t="shared" si="17"/>
        <v>0</v>
      </c>
      <c r="E31" s="133">
        <f t="shared" si="17"/>
        <v>84106</v>
      </c>
      <c r="F31" s="476"/>
      <c r="G31" s="133">
        <f t="shared" ref="G31:P33" si="18">G26+G21+G16</f>
        <v>0</v>
      </c>
      <c r="H31" s="133">
        <f t="shared" ref="H31" si="19">H26+H21+H16</f>
        <v>1257795</v>
      </c>
      <c r="I31" s="133">
        <f t="shared" si="18"/>
        <v>0</v>
      </c>
      <c r="J31" s="133">
        <f t="shared" si="18"/>
        <v>15030231</v>
      </c>
      <c r="K31" s="133">
        <f t="shared" si="18"/>
        <v>61563</v>
      </c>
      <c r="L31" s="133">
        <f t="shared" si="18"/>
        <v>0</v>
      </c>
      <c r="M31" s="96">
        <f>M26+M21+M16</f>
        <v>0</v>
      </c>
      <c r="N31" s="133">
        <f t="shared" si="18"/>
        <v>0</v>
      </c>
      <c r="O31" s="133">
        <f t="shared" si="18"/>
        <v>117128</v>
      </c>
      <c r="P31" s="133">
        <f t="shared" si="18"/>
        <v>2659123</v>
      </c>
      <c r="Q31" s="133">
        <f t="shared" si="17"/>
        <v>11548161</v>
      </c>
      <c r="R31" s="96">
        <f>R26+R21+R16</f>
        <v>0</v>
      </c>
      <c r="S31" s="403">
        <f>SUM(B31:E31)+SUM(G31:R31)</f>
        <v>33970038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159749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1130582</v>
      </c>
      <c r="R32" s="96">
        <f>R27+R22+R17</f>
        <v>0</v>
      </c>
      <c r="S32" s="403">
        <f>SUM(B32:E32)+SUM(G32:R32)</f>
        <v>1290331</v>
      </c>
    </row>
    <row r="33" spans="1:19" ht="18" customHeight="1" thickBot="1" x14ac:dyDescent="0.25">
      <c r="A33" s="161" t="s">
        <v>46</v>
      </c>
      <c r="B33" s="408">
        <f>B28+B23+B18</f>
        <v>3211931</v>
      </c>
      <c r="C33" s="162">
        <f t="shared" ref="C33:I33" si="21">C28+C23+C18</f>
        <v>0</v>
      </c>
      <c r="D33" s="162">
        <f t="shared" si="21"/>
        <v>0</v>
      </c>
      <c r="E33" s="162">
        <f t="shared" si="21"/>
        <v>84106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1257795</v>
      </c>
      <c r="I33" s="162">
        <f t="shared" si="21"/>
        <v>0</v>
      </c>
      <c r="J33" s="162">
        <f t="shared" si="18"/>
        <v>15030231</v>
      </c>
      <c r="K33" s="162">
        <f t="shared" si="18"/>
        <v>61563</v>
      </c>
      <c r="L33" s="162">
        <f t="shared" si="18"/>
        <v>0</v>
      </c>
      <c r="M33" s="163">
        <f>M28+M23+M18</f>
        <v>159749</v>
      </c>
      <c r="N33" s="162">
        <f t="shared" si="18"/>
        <v>0</v>
      </c>
      <c r="O33" s="162">
        <f t="shared" si="18"/>
        <v>117128</v>
      </c>
      <c r="P33" s="162">
        <f t="shared" si="17"/>
        <v>2659123</v>
      </c>
      <c r="Q33" s="162">
        <f t="shared" si="17"/>
        <v>12678743</v>
      </c>
      <c r="R33" s="163">
        <f t="shared" si="17"/>
        <v>0</v>
      </c>
      <c r="S33" s="409">
        <f>SUM(B33:E33)+SUM(G33:R33)</f>
        <v>35260369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November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2" sqref="E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44866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3415886</v>
      </c>
      <c r="C5" s="96">
        <f>'Regional Major'!M25</f>
        <v>1612</v>
      </c>
      <c r="D5" s="96">
        <f>Cargo!S16</f>
        <v>18163241</v>
      </c>
      <c r="E5" s="96">
        <f>SUM(B5:D5)</f>
        <v>21580739</v>
      </c>
      <c r="F5" s="96">
        <f>E5*0.00045359237</f>
        <v>9788.8585493614301</v>
      </c>
      <c r="G5" s="96">
        <f>'[1]Cargo Summary'!F5</f>
        <v>10401.11480883321</v>
      </c>
      <c r="H5" s="78">
        <f>(F5-G5)/G5</f>
        <v>-5.8864484310068167E-2</v>
      </c>
      <c r="I5" s="96">
        <f>+F5+'[2]Cargo Summary'!I5</f>
        <v>104980.25108982826</v>
      </c>
      <c r="J5" s="96">
        <f>+'[1]Cargo Summary'!I5</f>
        <v>105959.93623348736</v>
      </c>
      <c r="K5" s="66">
        <f>(I5-J5)/J5</f>
        <v>-9.245807221894848E-3</v>
      </c>
      <c r="M5" s="14"/>
      <c r="O5" s="446"/>
    </row>
    <row r="6" spans="1:18" x14ac:dyDescent="0.2">
      <c r="A6" s="46" t="s">
        <v>16</v>
      </c>
      <c r="B6" s="140">
        <f>'Major Airline Stats'!K29</f>
        <v>1473219</v>
      </c>
      <c r="C6" s="96">
        <f>'Regional Major'!M26</f>
        <v>0</v>
      </c>
      <c r="D6" s="96">
        <f>Cargo!S17</f>
        <v>808002</v>
      </c>
      <c r="E6" s="96">
        <f>SUM(B6:D6)</f>
        <v>2281221</v>
      </c>
      <c r="F6" s="96">
        <f>E6*0.00045359237</f>
        <v>1034.7444398837699</v>
      </c>
      <c r="G6" s="96">
        <f>'[1]Cargo Summary'!F6</f>
        <v>1112.4720284069699</v>
      </c>
      <c r="H6" s="3">
        <f>(F6-G6)/G6</f>
        <v>-6.986925202470376E-2</v>
      </c>
      <c r="I6" s="96">
        <f>+F6+'[2]Cargo Summary'!I6</f>
        <v>15046.488986937098</v>
      </c>
      <c r="J6" s="96">
        <f>+'[1]Cargo Summary'!I6</f>
        <v>10370.100884126829</v>
      </c>
      <c r="K6" s="66">
        <f>(I6-J6)/J6</f>
        <v>0.45094914264221503</v>
      </c>
      <c r="M6" s="14"/>
    </row>
    <row r="7" spans="1:18" ht="18" customHeight="1" thickBot="1" x14ac:dyDescent="0.25">
      <c r="A7" s="55" t="s">
        <v>71</v>
      </c>
      <c r="B7" s="142">
        <f>SUM(B5:B6)</f>
        <v>4889105</v>
      </c>
      <c r="C7" s="106">
        <f t="shared" ref="C7:J7" si="0">SUM(C5:C6)</f>
        <v>1612</v>
      </c>
      <c r="D7" s="106">
        <f t="shared" si="0"/>
        <v>18971243</v>
      </c>
      <c r="E7" s="106">
        <f t="shared" si="0"/>
        <v>23861960</v>
      </c>
      <c r="F7" s="106">
        <f t="shared" si="0"/>
        <v>10823.602989245201</v>
      </c>
      <c r="G7" s="106">
        <f t="shared" si="0"/>
        <v>11513.58683724018</v>
      </c>
      <c r="H7" s="29">
        <f>(F7-G7)/G7</f>
        <v>-5.992779294140186E-2</v>
      </c>
      <c r="I7" s="106">
        <f t="shared" si="0"/>
        <v>120026.74007676536</v>
      </c>
      <c r="J7" s="106">
        <f t="shared" si="0"/>
        <v>116330.03711761419</v>
      </c>
      <c r="K7" s="252">
        <f>(I7-J7)/J7</f>
        <v>3.1777716664988742E-2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1808270</v>
      </c>
      <c r="C10" s="96">
        <f>'Regional Major'!M30</f>
        <v>121</v>
      </c>
      <c r="D10" s="96">
        <f>Cargo!S21</f>
        <v>15806797</v>
      </c>
      <c r="E10" s="96">
        <f>SUM(B10:D10)</f>
        <v>17615188</v>
      </c>
      <c r="F10" s="96">
        <f>E10*0.00045359237</f>
        <v>7990.1148729155602</v>
      </c>
      <c r="G10" s="96">
        <f>'[1]Cargo Summary'!F10</f>
        <v>7895.3335720574696</v>
      </c>
      <c r="H10" s="3">
        <f>(F10-G10)/G10</f>
        <v>1.2004724055425978E-2</v>
      </c>
      <c r="I10" s="96">
        <f>+F10+'[2]Cargo Summary'!I10</f>
        <v>84492.416685714881</v>
      </c>
      <c r="J10" s="96">
        <f>+'[1]Cargo Summary'!I10</f>
        <v>84603.196257501724</v>
      </c>
      <c r="K10" s="66">
        <f>(I10-J10)/J10</f>
        <v>-1.3094017328809872E-3</v>
      </c>
      <c r="M10" s="14"/>
      <c r="O10" s="446"/>
    </row>
    <row r="11" spans="1:18" x14ac:dyDescent="0.2">
      <c r="A11" s="46" t="s">
        <v>16</v>
      </c>
      <c r="B11" s="140">
        <f>'Major Airline Stats'!K34</f>
        <v>1502059</v>
      </c>
      <c r="C11" s="96">
        <f>'Regional Major'!M31</f>
        <v>0</v>
      </c>
      <c r="D11" s="96">
        <f>Cargo!S22</f>
        <v>482329</v>
      </c>
      <c r="E11" s="96">
        <f>SUM(B11:D11)</f>
        <v>1984388</v>
      </c>
      <c r="F11" s="96">
        <f>E11*0.00045359237</f>
        <v>900.10325591955996</v>
      </c>
      <c r="G11" s="96">
        <f>'[1]Cargo Summary'!F11</f>
        <v>972.47573292253992</v>
      </c>
      <c r="H11" s="26">
        <f>(F11-G11)/G11</f>
        <v>-7.4420856534365171E-2</v>
      </c>
      <c r="I11" s="96">
        <f>+F11+'[2]Cargo Summary'!I11</f>
        <v>11687.884422773326</v>
      </c>
      <c r="J11" s="96">
        <f>+'[1]Cargo Summary'!I11</f>
        <v>9921.7747215425297</v>
      </c>
      <c r="K11" s="66">
        <f>(I11-J11)/J11</f>
        <v>0.17800340672885392</v>
      </c>
      <c r="M11" s="14"/>
    </row>
    <row r="12" spans="1:18" ht="18" customHeight="1" thickBot="1" x14ac:dyDescent="0.25">
      <c r="A12" s="55" t="s">
        <v>72</v>
      </c>
      <c r="B12" s="142">
        <f>SUM(B10:B11)</f>
        <v>3310329</v>
      </c>
      <c r="C12" s="106">
        <f t="shared" ref="C12:J12" si="1">SUM(C10:C11)</f>
        <v>121</v>
      </c>
      <c r="D12" s="106">
        <f t="shared" si="1"/>
        <v>16289126</v>
      </c>
      <c r="E12" s="106">
        <f t="shared" si="1"/>
        <v>19599576</v>
      </c>
      <c r="F12" s="106">
        <f t="shared" si="1"/>
        <v>8890.2181288351203</v>
      </c>
      <c r="G12" s="106">
        <f t="shared" si="1"/>
        <v>8867.80930498001</v>
      </c>
      <c r="H12" s="29">
        <f>(F12-G12)/G12</f>
        <v>2.5269853110763108E-3</v>
      </c>
      <c r="I12" s="106">
        <f>SUM(I10:I11)</f>
        <v>96180.301108488202</v>
      </c>
      <c r="J12" s="106">
        <f t="shared" si="1"/>
        <v>94524.970979044258</v>
      </c>
      <c r="K12" s="252">
        <f>(I12-J12)/J12</f>
        <v>1.7512093495494679E-2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0.14469596602999998</v>
      </c>
      <c r="K15" s="66">
        <f>(I15-J15)/J15</f>
        <v>-1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0.14469596602999998</v>
      </c>
      <c r="K17" s="252">
        <f>(I17-J17)/J17</f>
        <v>-1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5224156</v>
      </c>
      <c r="C20" s="96">
        <f t="shared" ref="C20:D21" si="3">C15+C10+C5</f>
        <v>1733</v>
      </c>
      <c r="D20" s="96">
        <f t="shared" si="3"/>
        <v>33970038</v>
      </c>
      <c r="E20" s="96">
        <f>SUM(B20:D20)</f>
        <v>39195927</v>
      </c>
      <c r="F20" s="96">
        <f>E20*0.00045359237</f>
        <v>17778.973422276991</v>
      </c>
      <c r="G20" s="96">
        <f>'[1]Cargo Summary'!F20</f>
        <v>18296.448380890681</v>
      </c>
      <c r="H20" s="3">
        <f>(F20-G20)/G20</f>
        <v>-2.8282809201055366E-2</v>
      </c>
      <c r="I20" s="96">
        <f>+F20+'[2]Cargo Summary'!I20</f>
        <v>189472.66777554317</v>
      </c>
      <c r="J20" s="96">
        <f>+'[1]Cargo Summary'!I20</f>
        <v>190563.27718695512</v>
      </c>
      <c r="K20" s="66">
        <f>(I20-J20)/J20</f>
        <v>-5.7230827865223377E-3</v>
      </c>
      <c r="M20" s="14"/>
    </row>
    <row r="21" spans="1:13" x14ac:dyDescent="0.2">
      <c r="A21" s="46" t="s">
        <v>16</v>
      </c>
      <c r="B21" s="140">
        <f>B16+B11+B6</f>
        <v>2975278</v>
      </c>
      <c r="C21" s="97">
        <f t="shared" si="3"/>
        <v>0</v>
      </c>
      <c r="D21" s="97">
        <f t="shared" si="3"/>
        <v>1290331</v>
      </c>
      <c r="E21" s="96">
        <f>SUM(B21:D21)</f>
        <v>4265609</v>
      </c>
      <c r="F21" s="96">
        <f>E21*0.00045359237</f>
        <v>1934.84769580333</v>
      </c>
      <c r="G21" s="96">
        <f>'[1]Cargo Summary'!F21</f>
        <v>2084.9477613295098</v>
      </c>
      <c r="H21" s="3">
        <f>(F21-G21)/G21</f>
        <v>-7.1992242832245076E-2</v>
      </c>
      <c r="I21" s="96">
        <f>+F21+'[2]Cargo Summary'!I21</f>
        <v>26734.373409710432</v>
      </c>
      <c r="J21" s="96">
        <f>+'[1]Cargo Summary'!I21</f>
        <v>20291.87560566936</v>
      </c>
      <c r="K21" s="66">
        <f>(I21-J21)/J21</f>
        <v>0.31749148916727532</v>
      </c>
      <c r="M21" s="14"/>
    </row>
    <row r="22" spans="1:13" ht="18" customHeight="1" thickBot="1" x14ac:dyDescent="0.25">
      <c r="A22" s="68" t="s">
        <v>62</v>
      </c>
      <c r="B22" s="143">
        <f>SUM(B20:B21)</f>
        <v>8199434</v>
      </c>
      <c r="C22" s="144">
        <f t="shared" ref="C22:J22" si="4">SUM(C20:C21)</f>
        <v>1733</v>
      </c>
      <c r="D22" s="144">
        <f t="shared" si="4"/>
        <v>35260369</v>
      </c>
      <c r="E22" s="144">
        <f>SUM(E20:E21)</f>
        <v>43461536</v>
      </c>
      <c r="F22" s="144">
        <f t="shared" si="4"/>
        <v>19713.821118080323</v>
      </c>
      <c r="G22" s="144">
        <f t="shared" si="4"/>
        <v>20381.39614222019</v>
      </c>
      <c r="H22" s="258">
        <f>(F22-G22)/G22</f>
        <v>-3.2754136148552722E-2</v>
      </c>
      <c r="I22" s="144">
        <f>SUM(I20:I21)</f>
        <v>216207.04118525359</v>
      </c>
      <c r="J22" s="144">
        <f t="shared" si="4"/>
        <v>210855.15279262449</v>
      </c>
      <c r="K22" s="259">
        <f>(I22-J22)/J22</f>
        <v>2.538182407091882E-2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I13" sqref="I13"/>
    </sheetView>
  </sheetViews>
  <sheetFormatPr defaultRowHeight="12.75" x14ac:dyDescent="0.2"/>
  <cols>
    <col min="2" max="2" width="11.42578125" bestFit="1" customWidth="1"/>
    <col min="3" max="4" width="9.28515625" bestFit="1" customWidth="1"/>
    <col min="5" max="5" width="12.28515625" bestFit="1" customWidth="1"/>
    <col min="6" max="6" width="9.28515625" bestFit="1" customWidth="1"/>
    <col min="7" max="7" width="9.42578125" bestFit="1" customWidth="1"/>
    <col min="8" max="8" width="10.5703125" bestFit="1" customWidth="1"/>
    <col min="9" max="9" width="9.28515625" bestFit="1" customWidth="1"/>
    <col min="11" max="11" width="11.42578125" bestFit="1" customWidth="1"/>
    <col min="12" max="12" width="15.85546875" bestFit="1" customWidth="1"/>
    <col min="13" max="13" width="14.42578125" bestFit="1" customWidth="1"/>
    <col min="14" max="14" width="12.28515625" bestFit="1" customWidth="1"/>
    <col min="15" max="15" width="16.5703125" bestFit="1" customWidth="1"/>
    <col min="16" max="16" width="15.85546875" bestFit="1" customWidth="1"/>
    <col min="17" max="17" width="11.85546875" bestFit="1" customWidth="1"/>
    <col min="18" max="18" width="9.8554687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44866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44866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172</v>
      </c>
      <c r="D5" s="417">
        <f>SUM(D6:D7)</f>
        <v>174</v>
      </c>
      <c r="E5" s="418">
        <f>(C5-D5)/D5</f>
        <v>-1.1494252873563218E-2</v>
      </c>
      <c r="F5" s="417">
        <f>SUM(F6:F7)</f>
        <v>1607</v>
      </c>
      <c r="G5" s="417">
        <f>SUM(G6:G7)</f>
        <v>1713</v>
      </c>
      <c r="H5" s="419">
        <f>(F5-G5)/G5</f>
        <v>-6.187974314068885E-2</v>
      </c>
      <c r="I5" s="418">
        <f>+F5/$F$34</f>
        <v>0.11281151281151282</v>
      </c>
      <c r="J5" s="283" t="s">
        <v>210</v>
      </c>
      <c r="K5" s="40"/>
      <c r="L5" s="417">
        <f>SUM(L6:L7)</f>
        <v>5871054</v>
      </c>
      <c r="M5" s="417">
        <f>SUM(M6:M7)</f>
        <v>6815372</v>
      </c>
      <c r="N5" s="418">
        <f>(L5-M5)/M5</f>
        <v>-0.13855707362708888</v>
      </c>
      <c r="O5" s="417">
        <f>SUM(O6:O7)</f>
        <v>62551331</v>
      </c>
      <c r="P5" s="417">
        <f>SUM(P6:P7)</f>
        <v>58598047</v>
      </c>
      <c r="Q5" s="419">
        <f>(O5-P5)/P5</f>
        <v>6.7464432731008939E-2</v>
      </c>
      <c r="R5" s="418">
        <f>O5/$O$34</f>
        <v>0.16282516267501529</v>
      </c>
      <c r="T5" s="433"/>
    </row>
    <row r="6" spans="1:20" ht="14.1" customHeight="1" x14ac:dyDescent="0.2">
      <c r="A6" s="38"/>
      <c r="B6" s="343" t="s">
        <v>211</v>
      </c>
      <c r="C6" s="347">
        <f>+'[3]Atlas Air'!$IB$19</f>
        <v>58</v>
      </c>
      <c r="D6" s="231">
        <f>+'[3]Atlas Air'!$HN$19</f>
        <v>58</v>
      </c>
      <c r="E6" s="349">
        <f>(C6-D6)/D6</f>
        <v>0</v>
      </c>
      <c r="F6" s="347">
        <f>+SUM('[3]Atlas Air'!$HR$19:$IB$19)</f>
        <v>666</v>
      </c>
      <c r="G6" s="231">
        <f>+SUM('[3]Atlas Air'!$HD$19:$HN$19)</f>
        <v>529</v>
      </c>
      <c r="H6" s="348">
        <f>(F6-G6)/G6</f>
        <v>0.25897920604914931</v>
      </c>
      <c r="I6" s="349">
        <f>+F6/$F$34</f>
        <v>4.6753246753246755E-2</v>
      </c>
      <c r="J6" s="38"/>
      <c r="K6" s="343" t="s">
        <v>211</v>
      </c>
      <c r="L6" s="347">
        <f>+'[3]Atlas Air'!$IB$64</f>
        <v>3211931</v>
      </c>
      <c r="M6" s="231">
        <f>+'[3]Atlas Air'!$HN$64</f>
        <v>3782104</v>
      </c>
      <c r="N6" s="349">
        <f>(L6-M6)/M6</f>
        <v>-0.1507555054012264</v>
      </c>
      <c r="O6" s="231">
        <f>+SUM('[3]Atlas Air'!$HR$64:$IB$64)</f>
        <v>37834380</v>
      </c>
      <c r="P6" s="231">
        <f>+SUM('[3]Atlas Air'!$HD$64:$HN$64)</f>
        <v>26176227</v>
      </c>
      <c r="Q6" s="348">
        <f>(O6-P6)/P6</f>
        <v>0.44537178715633846</v>
      </c>
      <c r="R6" s="349">
        <f>O6/$O$34</f>
        <v>9.8485339635831975E-2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Cargo'!$IB$19</f>
        <v>114</v>
      </c>
      <c r="D7" s="231">
        <f>+'[3]Sun Country Cargo'!$HN$19</f>
        <v>116</v>
      </c>
      <c r="E7" s="349">
        <f>(C7-D7)/D7</f>
        <v>-1.7241379310344827E-2</v>
      </c>
      <c r="F7" s="347">
        <f>+SUM('[3]Sun Country Cargo'!$HR$19:$IB$19)</f>
        <v>941</v>
      </c>
      <c r="G7" s="231">
        <f>+SUM('[3]Sun Country Cargo'!$HD$19:$HN$19)</f>
        <v>1184</v>
      </c>
      <c r="H7" s="348">
        <f>(F7-G7)/G7</f>
        <v>-0.20523648648648649</v>
      </c>
      <c r="I7" s="349">
        <f>+F7/$F$34</f>
        <v>6.6058266058266063E-2</v>
      </c>
      <c r="J7" s="38"/>
      <c r="K7" s="343" t="s">
        <v>49</v>
      </c>
      <c r="L7" s="347">
        <f>+'[3]Sun Country Cargo'!$IB$64</f>
        <v>2659123</v>
      </c>
      <c r="M7" s="231">
        <f>+'[3]Sun Country Cargo'!$HN$64</f>
        <v>3033268</v>
      </c>
      <c r="N7" s="349">
        <f>(L7-M7)/M7</f>
        <v>-0.12334716220261448</v>
      </c>
      <c r="O7" s="231">
        <f>+SUM('[3]Sun Country Cargo'!$HR$64:$IB$64)</f>
        <v>24716951</v>
      </c>
      <c r="P7" s="231">
        <f>+SUM('[3]Sun Country Cargo'!$HD$64:$HN$64)</f>
        <v>32421820</v>
      </c>
      <c r="Q7" s="348">
        <f>(O7-P7)/P7</f>
        <v>-0.23764455542594462</v>
      </c>
      <c r="R7" s="349">
        <f>O7/$O$34</f>
        <v>6.4339823039183328E-2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160</v>
      </c>
      <c r="D9" s="417">
        <f>SUM(D10:D18)</f>
        <v>168</v>
      </c>
      <c r="E9" s="418">
        <f>(C9-D9)/D9</f>
        <v>-4.7619047619047616E-2</v>
      </c>
      <c r="F9" s="417">
        <f>SUM(F10:F18)</f>
        <v>1700</v>
      </c>
      <c r="G9" s="417">
        <f>SUM(G10:G18)</f>
        <v>1494</v>
      </c>
      <c r="H9" s="419">
        <f>(F9-G9)/G9</f>
        <v>0.13788487282463185</v>
      </c>
      <c r="I9" s="418">
        <f t="shared" ref="I9:I18" si="0">+F9/$F$34</f>
        <v>0.11934011934011934</v>
      </c>
      <c r="J9" s="283" t="s">
        <v>212</v>
      </c>
      <c r="K9" s="40"/>
      <c r="L9" s="417">
        <f>SUM(L10:L18)</f>
        <v>1459029</v>
      </c>
      <c r="M9" s="417">
        <f>SUM(M10:M18)</f>
        <v>1534401</v>
      </c>
      <c r="N9" s="418">
        <f t="shared" ref="N9:N18" si="1">(L9-M9)/M9</f>
        <v>-4.9121448695614772E-2</v>
      </c>
      <c r="O9" s="417">
        <f>SUM(O10:O18)</f>
        <v>17866056</v>
      </c>
      <c r="P9" s="417">
        <f>SUM(P10:P18)</f>
        <v>15080170.779999999</v>
      </c>
      <c r="Q9" s="419">
        <f t="shared" ref="Q9:Q18" si="2">(O9-P9)/P9</f>
        <v>0.18473830705516722</v>
      </c>
      <c r="R9" s="418">
        <f t="shared" ref="R9:R18" si="3">O9/$O$34</f>
        <v>4.6506499990558683E-2</v>
      </c>
      <c r="T9" s="433"/>
    </row>
    <row r="10" spans="1:20" ht="14.1" customHeight="1" x14ac:dyDescent="0.2">
      <c r="A10" s="283"/>
      <c r="B10" s="343" t="s">
        <v>213</v>
      </c>
      <c r="C10" s="347">
        <f>+[3]Airborne!$IB$19</f>
        <v>0</v>
      </c>
      <c r="D10" s="231">
        <f>+[3]Airborne!$HN$19</f>
        <v>0</v>
      </c>
      <c r="E10" s="349" t="e">
        <f>(C10-D10)/D10</f>
        <v>#DIV/0!</v>
      </c>
      <c r="F10" s="347">
        <f>+SUM([3]Airborne!$HR$19:$IB$19)</f>
        <v>12</v>
      </c>
      <c r="G10" s="231">
        <f>+SUM([3]Airborne!$HD$19:$HN$19)</f>
        <v>4</v>
      </c>
      <c r="H10" s="348">
        <f>(F10-G10)/G10</f>
        <v>2</v>
      </c>
      <c r="I10" s="349">
        <f t="shared" si="0"/>
        <v>8.4240084240084243E-4</v>
      </c>
      <c r="J10" s="283"/>
      <c r="K10" s="343" t="s">
        <v>213</v>
      </c>
      <c r="L10" s="347">
        <f>+[3]Airborne!$IB$64</f>
        <v>0</v>
      </c>
      <c r="M10" s="231">
        <f>+[3]Airborne!$HN$64</f>
        <v>0</v>
      </c>
      <c r="N10" s="349" t="e">
        <f t="shared" si="1"/>
        <v>#DIV/0!</v>
      </c>
      <c r="O10" s="347">
        <f>+SUM([3]Airborne!$HR$64:$IB$64)</f>
        <v>352522</v>
      </c>
      <c r="P10" s="231">
        <f>+SUM([3]Airborne!$HD$64:$HN$64)</f>
        <v>138942</v>
      </c>
      <c r="Q10" s="348">
        <f t="shared" si="2"/>
        <v>1.5371881792402586</v>
      </c>
      <c r="R10" s="349">
        <f t="shared" si="3"/>
        <v>9.1763757987055057E-4</v>
      </c>
      <c r="T10" s="433"/>
    </row>
    <row r="11" spans="1:20" ht="14.1" customHeight="1" x14ac:dyDescent="0.2">
      <c r="A11" s="283"/>
      <c r="B11" s="40" t="s">
        <v>211</v>
      </c>
      <c r="C11" s="347">
        <f>+[3]DHL_Atlas!$IB$19</f>
        <v>0</v>
      </c>
      <c r="D11" s="231">
        <f>+[3]DHL_Atlas!$HN$19</f>
        <v>0</v>
      </c>
      <c r="E11" s="349" t="e">
        <f t="shared" ref="E11:E18" si="4">(C11-D11)/D11</f>
        <v>#DIV/0!</v>
      </c>
      <c r="F11" s="347">
        <f>+SUM([3]DHL_Atlas!$HR$19:$IB$19)</f>
        <v>0</v>
      </c>
      <c r="G11" s="231">
        <f>+SUM([3]DHL_Atlas!$HD$19:$HN$19)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+[3]DHL_Atlas!$IB$64</f>
        <v>0</v>
      </c>
      <c r="M11" s="231">
        <f>+[3]DHL_Atlas!$HN$64</f>
        <v>0</v>
      </c>
      <c r="N11" s="349" t="e">
        <f t="shared" si="1"/>
        <v>#DIV/0!</v>
      </c>
      <c r="O11" s="347">
        <f>+SUM([3]DHL_Atlas!$HR$64:$IB$64)</f>
        <v>0</v>
      </c>
      <c r="P11" s="231">
        <f>+SUM([3]DHL_Atlas!$HD$64:$HN$64)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+[3]DHL!$IB$19</f>
        <v>0</v>
      </c>
      <c r="D12" s="231">
        <f>+[3]DHL!$HN$19</f>
        <v>0</v>
      </c>
      <c r="E12" s="349" t="e">
        <f t="shared" si="4"/>
        <v>#DIV/0!</v>
      </c>
      <c r="F12" s="347">
        <f>+SUM([3]DHL!$HR$19:$IB$19)</f>
        <v>0</v>
      </c>
      <c r="G12" s="231">
        <f>+SUM([3]DHL!$HD$19:$HN$19)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+[3]DHL!$IB$64</f>
        <v>0</v>
      </c>
      <c r="M12" s="231">
        <f>+[3]DHL!$HN$64</f>
        <v>0</v>
      </c>
      <c r="N12" s="349" t="e">
        <f t="shared" si="1"/>
        <v>#DIV/0!</v>
      </c>
      <c r="O12" s="347">
        <f>+SUM([3]DHL!$HR$64:$IB$64)</f>
        <v>0</v>
      </c>
      <c r="P12" s="231">
        <f>+SUM([3]DHL!$HD$64:$HN$64)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+[3]DHL_Bemidji!$IB$19</f>
        <v>68</v>
      </c>
      <c r="D13" s="231">
        <f>+[3]DHL_Bemidji!$HN$19</f>
        <v>80</v>
      </c>
      <c r="E13" s="349">
        <f>(C13-D13)/D13</f>
        <v>-0.15</v>
      </c>
      <c r="F13" s="347">
        <f>+SUM([3]DHL_Bemidji!$HR$19:$IB$19)</f>
        <v>874</v>
      </c>
      <c r="G13" s="231">
        <f>+SUM([3]DHL_Bemidji!$HD$19:$HN$19)</f>
        <v>280</v>
      </c>
      <c r="H13" s="348">
        <f t="shared" si="5"/>
        <v>2.1214285714285714</v>
      </c>
      <c r="I13" s="349">
        <f t="shared" si="0"/>
        <v>6.1354861354861352E-2</v>
      </c>
      <c r="J13" s="283"/>
      <c r="K13" s="343" t="s">
        <v>83</v>
      </c>
      <c r="L13" s="347">
        <f>+[3]DHL_Bemidji!$IB$64</f>
        <v>84106</v>
      </c>
      <c r="M13" s="231">
        <f>+[3]DHL_Bemidji!$HN$64</f>
        <v>146634</v>
      </c>
      <c r="N13" s="349">
        <f t="shared" si="1"/>
        <v>-0.42642224859173178</v>
      </c>
      <c r="O13" s="347">
        <f>+SUM([3]DHL_Bemidji!$HR$64:$IB$64)</f>
        <v>1145865</v>
      </c>
      <c r="P13" s="231">
        <f>+SUM([3]DHL_Bemidji!$HD$64:$HN$64)</f>
        <v>453019</v>
      </c>
      <c r="Q13" s="348">
        <f t="shared" si="2"/>
        <v>1.5293972217500811</v>
      </c>
      <c r="R13" s="349">
        <f t="shared" si="3"/>
        <v>2.9827607509839622E-3</v>
      </c>
      <c r="T13" s="433"/>
    </row>
    <row r="14" spans="1:20" ht="14.1" customHeight="1" x14ac:dyDescent="0.2">
      <c r="A14" s="283"/>
      <c r="B14" s="40" t="s">
        <v>201</v>
      </c>
      <c r="C14" s="347">
        <f>+[3]Encore!$IB$19+[3]DHL_Encore!$IB$12</f>
        <v>0</v>
      </c>
      <c r="D14" s="231">
        <f>+[3]Encore!$HN$19+[3]DHL_Encore!$HN$19</f>
        <v>0</v>
      </c>
      <c r="E14" s="349" t="e">
        <f t="shared" si="4"/>
        <v>#DIV/0!</v>
      </c>
      <c r="F14" s="347">
        <f>+SUM([3]Encore!$HR$19:$IB$19)+SUM([3]DHL_Encore!$HR$19:$IB$19)</f>
        <v>34</v>
      </c>
      <c r="G14" s="231">
        <f>+SUM([3]Encore!$HD$19:$HN$19)+SUM([3]DHL_Encore!$HD$19:$HN$19)</f>
        <v>650</v>
      </c>
      <c r="H14" s="348">
        <f t="shared" si="5"/>
        <v>-0.94769230769230772</v>
      </c>
      <c r="I14" s="349">
        <f t="shared" si="0"/>
        <v>2.3868023868023869E-3</v>
      </c>
      <c r="J14" s="283"/>
      <c r="K14" s="40" t="s">
        <v>201</v>
      </c>
      <c r="L14" s="347">
        <f>+[3]Encore!$IB$64+[3]DHL_Encore!$IB$64</f>
        <v>0</v>
      </c>
      <c r="M14" s="231">
        <f>+[3]Encore!$HEW$64+[3]DHL_Encore!$HN$64</f>
        <v>0</v>
      </c>
      <c r="N14" s="349" t="e">
        <f>(L14-M14)/M14</f>
        <v>#DIV/0!</v>
      </c>
      <c r="O14" s="347">
        <f>+SUM([3]Encore!$HR$64:$IB$64)+SUM([3]DHL_Encore!$HR$64:$IB$64)</f>
        <v>769886</v>
      </c>
      <c r="P14" s="231">
        <f>+SUM([3]Encore!$HD$64:$HN$64)+SUM([3]DHL_Encore!$HD$64:$HN$64)</f>
        <v>1112668</v>
      </c>
      <c r="Q14" s="348">
        <f t="shared" si="2"/>
        <v>-0.30807212933237949</v>
      </c>
      <c r="R14" s="349">
        <f t="shared" si="3"/>
        <v>2.0040630820664204E-3</v>
      </c>
      <c r="T14" s="433"/>
    </row>
    <row r="15" spans="1:20" ht="14.1" customHeight="1" x14ac:dyDescent="0.2">
      <c r="A15" s="283"/>
      <c r="B15" s="40" t="s">
        <v>215</v>
      </c>
      <c r="C15" s="347">
        <f>+[3]DHL_Kalitta!$IB$19</f>
        <v>0</v>
      </c>
      <c r="D15" s="231">
        <f>+[3]DHL_Kalitta!$HN$19</f>
        <v>0</v>
      </c>
      <c r="E15" s="349" t="e">
        <f t="shared" si="4"/>
        <v>#DIV/0!</v>
      </c>
      <c r="F15" s="347">
        <f>+SUM([3]DHL_Kalitta!$HR$19:$IB$19)</f>
        <v>2</v>
      </c>
      <c r="G15" s="231">
        <f>+SUM([3]DHL_Kalitta!$HD$19:$HN$19)</f>
        <v>168</v>
      </c>
      <c r="H15" s="348">
        <f t="shared" si="5"/>
        <v>-0.98809523809523814</v>
      </c>
      <c r="I15" s="349">
        <f t="shared" si="0"/>
        <v>1.404001404001404E-4</v>
      </c>
      <c r="J15" s="283"/>
      <c r="K15" s="40" t="s">
        <v>215</v>
      </c>
      <c r="L15" s="347">
        <f>+[3]DHL_Kalitta!$IB$64</f>
        <v>0</v>
      </c>
      <c r="M15" s="231">
        <f>+[3]DHL_Kalitta!$HN$64</f>
        <v>0</v>
      </c>
      <c r="N15" s="349" t="e">
        <f t="shared" si="1"/>
        <v>#DIV/0!</v>
      </c>
      <c r="O15" s="347">
        <f>+SUM([3]DHL_Kalitta!$HR$64:$IB$64)</f>
        <v>43161</v>
      </c>
      <c r="P15" s="231">
        <f>+SUM([3]DHL_Kalitta!$HD$64:$HN$64)</f>
        <v>4528052.7799999993</v>
      </c>
      <c r="Q15" s="348">
        <f t="shared" si="2"/>
        <v>-0.99046808813920229</v>
      </c>
      <c r="R15" s="349">
        <f t="shared" si="3"/>
        <v>1.1235087621423013E-4</v>
      </c>
      <c r="T15" s="433"/>
    </row>
    <row r="16" spans="1:20" ht="14.1" customHeight="1" x14ac:dyDescent="0.2">
      <c r="A16" s="283"/>
      <c r="B16" s="343" t="s">
        <v>51</v>
      </c>
      <c r="C16" s="347">
        <f>+[3]Encore!$IB$19+[3]DHL_Mesa!$IB$12</f>
        <v>82</v>
      </c>
      <c r="D16" s="231">
        <f>+[3]Encore!$HN$19+[3]DHL_Mesa!$HN$19</f>
        <v>0</v>
      </c>
      <c r="E16" s="349" t="e">
        <f t="shared" ref="E16" si="6">(C16-D16)/D16</f>
        <v>#DIV/0!</v>
      </c>
      <c r="F16" s="347">
        <f>+SUM([3]Encore!$HR$19:$IB$19)+SUM([3]DHL_Mesa!$HR$19:$IB$19)</f>
        <v>472</v>
      </c>
      <c r="G16" s="231">
        <f>+SUM([3]Encore!$HD$19:$HN$19)+SUM([3]DHL_Mesa!$HD$19:$HN$19)</f>
        <v>0</v>
      </c>
      <c r="H16" s="348" t="e">
        <f t="shared" ref="H16" si="7">(F16-G16)/G16</f>
        <v>#DIV/0!</v>
      </c>
      <c r="I16" s="349">
        <f t="shared" si="0"/>
        <v>3.3134433134433136E-2</v>
      </c>
      <c r="J16" s="283"/>
      <c r="K16" s="343" t="s">
        <v>51</v>
      </c>
      <c r="L16" s="347">
        <f>+[3]Encore!$IB$64+[3]DHL_Mesa!$IB$64</f>
        <v>1257795</v>
      </c>
      <c r="M16" s="231">
        <f>+[3]Encore!$HEW$64+[3]DHL_Mesa!$HN$64</f>
        <v>0</v>
      </c>
      <c r="N16" s="349" t="e">
        <f t="shared" ref="N16" si="8">(L16-M16)/M16</f>
        <v>#DIV/0!</v>
      </c>
      <c r="O16" s="347">
        <f>+SUM([3]Encore!$HR$64:$IB$64)+SUM([3]DHL_Mesa!$HR$64:$IB$64)</f>
        <v>7879297</v>
      </c>
      <c r="P16" s="231">
        <f>+SUM([3]Encore!$HD$64:$HN$64)+SUM([3]DHL_Mesa!$HD$64:$HN$64)</f>
        <v>0</v>
      </c>
      <c r="Q16" s="348" t="e">
        <f t="shared" ref="Q16" si="9">(O16-P16)/P16</f>
        <v>#DIV/0!</v>
      </c>
      <c r="R16" s="349">
        <f t="shared" si="3"/>
        <v>2.0510320008854169E-2</v>
      </c>
      <c r="T16" s="433"/>
    </row>
    <row r="17" spans="1:20" ht="14.1" customHeight="1" x14ac:dyDescent="0.2">
      <c r="A17" s="283"/>
      <c r="B17" s="40" t="s">
        <v>216</v>
      </c>
      <c r="C17" s="347">
        <f>+[3]DHL_Southair!$IB$19</f>
        <v>0</v>
      </c>
      <c r="D17" s="231">
        <f>+[3]DHL_Southair!$HN$19</f>
        <v>0</v>
      </c>
      <c r="E17" s="349" t="e">
        <f t="shared" si="4"/>
        <v>#DIV/0!</v>
      </c>
      <c r="F17" s="347">
        <f>+SUM([3]DHL_Southair!$HR$19:$IB$19)</f>
        <v>0</v>
      </c>
      <c r="G17" s="231">
        <f>+SUM([3]DHL_Southair!$HD$19:$HN$19)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+[3]DHL_Southair!$IB$64</f>
        <v>0</v>
      </c>
      <c r="M17" s="231">
        <f>+[3]DHL_Southair!$HN$64</f>
        <v>0</v>
      </c>
      <c r="N17" s="349" t="e">
        <f t="shared" si="1"/>
        <v>#DIV/0!</v>
      </c>
      <c r="O17" s="347">
        <f>+SUM([3]DHL_Southair!$HR$64:$IB$64)</f>
        <v>0</v>
      </c>
      <c r="P17" s="231">
        <f>+SUM([3]DHL_Southair!$HD$64:$HN$64)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+[3]DHL_Swift!$IB$19</f>
        <v>10</v>
      </c>
      <c r="D18" s="231">
        <f>+[3]DHL_Swift!$HN$19</f>
        <v>88</v>
      </c>
      <c r="E18" s="349">
        <f t="shared" si="4"/>
        <v>-0.88636363636363635</v>
      </c>
      <c r="F18" s="347">
        <f>+SUM([3]DHL_Swift!$HR$19:$IB$19)</f>
        <v>306</v>
      </c>
      <c r="G18" s="231">
        <f>+SUM([3]DHL_Swift!$HD$19:$HN$19)</f>
        <v>380</v>
      </c>
      <c r="H18" s="348">
        <f t="shared" si="5"/>
        <v>-0.19473684210526315</v>
      </c>
      <c r="I18" s="349">
        <f t="shared" si="0"/>
        <v>2.1481221481221481E-2</v>
      </c>
      <c r="J18" s="283"/>
      <c r="K18" s="40" t="s">
        <v>217</v>
      </c>
      <c r="L18" s="347">
        <f>+[3]DHL_Swift!$IB$64</f>
        <v>117128</v>
      </c>
      <c r="M18" s="231">
        <f>+[3]DHL_Swift!$HN$64</f>
        <v>1387767</v>
      </c>
      <c r="N18" s="349">
        <f t="shared" si="1"/>
        <v>-0.91559966478522692</v>
      </c>
      <c r="O18" s="347">
        <f>+SUM([3]DHL_Swift!$HR$64:$IB$64)</f>
        <v>7675325</v>
      </c>
      <c r="P18" s="231">
        <f>+SUM([3]DHL_Swift!$HD$64:$HN$64)</f>
        <v>8587919</v>
      </c>
      <c r="Q18" s="348">
        <f t="shared" si="2"/>
        <v>-0.10626485880921793</v>
      </c>
      <c r="R18" s="349">
        <f t="shared" si="3"/>
        <v>1.9979367692569354E-2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330</v>
      </c>
      <c r="D20" s="417">
        <f>SUM(D21:D24)</f>
        <v>348</v>
      </c>
      <c r="E20" s="418">
        <f>(C20-D20)/D20</f>
        <v>-5.1724137931034482E-2</v>
      </c>
      <c r="F20" s="421">
        <f>SUM(F21:F24)</f>
        <v>3598</v>
      </c>
      <c r="G20" s="417">
        <f>SUM(G21:G24)</f>
        <v>3940</v>
      </c>
      <c r="H20" s="419">
        <f t="shared" ref="H20:H21" si="10">(F20-G20)/G20</f>
        <v>-8.6802030456852794E-2</v>
      </c>
      <c r="I20" s="418">
        <f>+F20/$F$34</f>
        <v>0.2525798525798526</v>
      </c>
      <c r="J20" s="283"/>
      <c r="K20" s="40"/>
      <c r="L20" s="421">
        <f>SUM(L21:L24)</f>
        <v>15251543</v>
      </c>
      <c r="M20" s="417">
        <f>SUM(M21:M24)</f>
        <v>15730503</v>
      </c>
      <c r="N20" s="418">
        <f>(L20-M20)/M20</f>
        <v>-3.0447850268996483E-2</v>
      </c>
      <c r="O20" s="421">
        <f>SUM(O21:O24)</f>
        <v>165518377</v>
      </c>
      <c r="P20" s="417">
        <f>SUM(P21:P24)</f>
        <v>183465510</v>
      </c>
      <c r="Q20" s="419">
        <f t="shared" ref="Q20:Q22" si="11">(O20-P20)/P20</f>
        <v>-9.7822925954856588E-2</v>
      </c>
      <c r="R20" s="418">
        <f>O20/$O$34</f>
        <v>0.43085504704495436</v>
      </c>
      <c r="T20" s="433"/>
    </row>
    <row r="21" spans="1:20" ht="14.1" customHeight="1" x14ac:dyDescent="0.2">
      <c r="A21" s="38"/>
      <c r="B21" s="343" t="s">
        <v>185</v>
      </c>
      <c r="C21" s="347">
        <f>+[3]FedEx!$IB$19</f>
        <v>260</v>
      </c>
      <c r="D21" s="231">
        <f>+[3]FedEx!$HN$19</f>
        <v>278</v>
      </c>
      <c r="E21" s="349">
        <f>(C21-D21)/D21</f>
        <v>-6.4748201438848921E-2</v>
      </c>
      <c r="F21" s="347">
        <f>+SUM([3]FedEx!$HR$19:$IB$19)</f>
        <v>2800</v>
      </c>
      <c r="G21" s="231">
        <f>+SUM([3]FedEx!$HD$19:$HN$19)</f>
        <v>3120</v>
      </c>
      <c r="H21" s="348">
        <f t="shared" si="10"/>
        <v>-0.10256410256410256</v>
      </c>
      <c r="I21" s="349">
        <f>+F21/$F$34</f>
        <v>0.19656019656019655</v>
      </c>
      <c r="J21" s="399"/>
      <c r="K21" s="343" t="s">
        <v>185</v>
      </c>
      <c r="L21" s="347">
        <f>+[3]FedEx!$IB$64</f>
        <v>15030231</v>
      </c>
      <c r="M21" s="231">
        <f>+[3]FedEx!$HN$64</f>
        <v>15513033</v>
      </c>
      <c r="N21" s="349">
        <f>(L21-M21)/M21</f>
        <v>-3.1122347254724462E-2</v>
      </c>
      <c r="O21" s="347">
        <f>+SUM([3]FedEx!$HR$64:$IB$64)</f>
        <v>163225569</v>
      </c>
      <c r="P21" s="231">
        <f>+SUM([3]FedEx!$HD$64:$HN$64)</f>
        <v>181204941</v>
      </c>
      <c r="Q21" s="348">
        <f t="shared" si="11"/>
        <v>-9.9221201700013251E-2</v>
      </c>
      <c r="R21" s="349">
        <f>O21/$O$34</f>
        <v>0.4248867194392224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Cargo'!$IB$19</f>
        <v>40</v>
      </c>
      <c r="D22" s="231">
        <f>+'[3]Mountain Cargo'!$HN$19</f>
        <v>40</v>
      </c>
      <c r="E22" s="349">
        <f>(C22-D22)/D22</f>
        <v>0</v>
      </c>
      <c r="F22" s="347">
        <f>+SUM('[3]Mountain Cargo'!$HR$19:$IB$19)</f>
        <v>458</v>
      </c>
      <c r="G22" s="231">
        <f>+SUM('[3]Mountain Cargo'!$HD$19:$HN$19)</f>
        <v>472</v>
      </c>
      <c r="H22" s="348">
        <f>(F22-G22)/G22</f>
        <v>-2.9661016949152543E-2</v>
      </c>
      <c r="I22" s="349">
        <f>+F22/$F$34</f>
        <v>3.2151632151632151E-2</v>
      </c>
      <c r="J22" s="399"/>
      <c r="K22" s="343" t="s">
        <v>218</v>
      </c>
      <c r="L22" s="347">
        <f>+'[3]Mountain Cargo'!$IB$64</f>
        <v>159749</v>
      </c>
      <c r="M22" s="231">
        <f>+'[3]Mountain Cargo'!$HN$64</f>
        <v>167275</v>
      </c>
      <c r="N22" s="349">
        <f>(L22-M22)/M22</f>
        <v>-4.499178000298909E-2</v>
      </c>
      <c r="O22" s="347">
        <f>+SUM('[3]Mountain Cargo'!$HR$64:$IB$64)</f>
        <v>1648825</v>
      </c>
      <c r="P22" s="231">
        <f>+SUM('[3]Mountain Cargo'!$HD$64:$HN$64)</f>
        <v>1699627</v>
      </c>
      <c r="Q22" s="348">
        <f t="shared" si="11"/>
        <v>-2.9890087648642909E-2</v>
      </c>
      <c r="R22" s="349">
        <f>O22/$O$34</f>
        <v>4.2919981806243592E-3</v>
      </c>
      <c r="T22" s="433"/>
    </row>
    <row r="23" spans="1:20" ht="14.1" customHeight="1" x14ac:dyDescent="0.2">
      <c r="A23" s="38"/>
      <c r="B23" s="343" t="s">
        <v>177</v>
      </c>
      <c r="C23" s="347">
        <f>+[3]IFL!$IB$19</f>
        <v>30</v>
      </c>
      <c r="D23" s="231">
        <f>+[3]IFL!$HN$19</f>
        <v>30</v>
      </c>
      <c r="E23" s="349">
        <f>(C23-D23)/D23</f>
        <v>0</v>
      </c>
      <c r="F23" s="347">
        <f>+SUM([3]IFL!$HR$19:$IB$19)</f>
        <v>340</v>
      </c>
      <c r="G23" s="231">
        <f>+SUM([3]IFL!$HD$19:$HN$19)</f>
        <v>348</v>
      </c>
      <c r="H23" s="348">
        <f>(F23-G23)/G23</f>
        <v>-2.2988505747126436E-2</v>
      </c>
      <c r="I23" s="349">
        <f>+F23/$F$34</f>
        <v>2.3868023868023867E-2</v>
      </c>
      <c r="J23" s="283"/>
      <c r="K23" s="343" t="s">
        <v>177</v>
      </c>
      <c r="L23" s="347">
        <f>+[3]IFL!$IB$64</f>
        <v>61563</v>
      </c>
      <c r="M23" s="231">
        <f>+[3]IFL!$HN$64</f>
        <v>50195</v>
      </c>
      <c r="N23" s="349">
        <f>(L23-M23)/M23</f>
        <v>0.22647674071122623</v>
      </c>
      <c r="O23" s="347">
        <f>+SUM([3]IFL!$HR$64:$IB$64)</f>
        <v>643983</v>
      </c>
      <c r="P23" s="231">
        <f>+SUM([3]IFL!$HD$64:$HN$64)</f>
        <v>560942</v>
      </c>
      <c r="Q23" s="348">
        <f>(O23-P23)/P23</f>
        <v>0.14803847813142892</v>
      </c>
      <c r="R23" s="349">
        <f>O23/$O$34</f>
        <v>1.6763294251075868E-3</v>
      </c>
      <c r="T23" s="433"/>
    </row>
    <row r="24" spans="1:20" ht="14.1" customHeight="1" x14ac:dyDescent="0.2">
      <c r="A24" s="283"/>
      <c r="B24" s="343" t="s">
        <v>84</v>
      </c>
      <c r="C24" s="347">
        <f>+'[3]CSA Air'!$IB$19</f>
        <v>0</v>
      </c>
      <c r="D24" s="231">
        <f>+'[3]CSA Air'!$HN$19</f>
        <v>0</v>
      </c>
      <c r="E24" s="349" t="e">
        <f>(C24-D24)/D24</f>
        <v>#DIV/0!</v>
      </c>
      <c r="F24" s="347">
        <f>+SUM('[3]CSA Air'!$HR$19:$IB$19)</f>
        <v>0</v>
      </c>
      <c r="G24" s="231">
        <f>+SUM('[3]CSA Air'!$HD$19:$HN$19)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Air'!$IB$64</f>
        <v>0</v>
      </c>
      <c r="M24" s="231">
        <f>+'[3]CSA Air'!$HN$64</f>
        <v>0</v>
      </c>
      <c r="N24" s="349" t="e">
        <f>(L24-M24)/M24</f>
        <v>#DIV/0!</v>
      </c>
      <c r="O24" s="347">
        <f>+SUM('[3]CSA Air'!$HR$64:$IB$64)</f>
        <v>0</v>
      </c>
      <c r="P24" s="231">
        <f>+SUM('[3]CSA Air'!$HD$64:$HN$64)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692</v>
      </c>
      <c r="D26" s="417">
        <f>SUM(D27:D28)</f>
        <v>692</v>
      </c>
      <c r="E26" s="418">
        <f>(C26-D26)/D26</f>
        <v>0</v>
      </c>
      <c r="F26" s="417">
        <f>SUM(F27:F28)</f>
        <v>7328</v>
      </c>
      <c r="G26" s="417">
        <f>SUM(G27:G28)</f>
        <v>7933</v>
      </c>
      <c r="H26" s="419">
        <f>(F26-G26)/G26</f>
        <v>-7.6263708559183158E-2</v>
      </c>
      <c r="I26" s="418">
        <f>+F26/$F$34</f>
        <v>0.51442611442611441</v>
      </c>
      <c r="J26" s="283" t="s">
        <v>82</v>
      </c>
      <c r="K26" s="40"/>
      <c r="L26" s="417">
        <f>SUM(L27:L28)</f>
        <v>12678743</v>
      </c>
      <c r="M26" s="417">
        <f>SUM(M27:M28)</f>
        <v>13471413</v>
      </c>
      <c r="N26" s="418">
        <f>(L26-M26)/M26</f>
        <v>-5.8840895160737781E-2</v>
      </c>
      <c r="O26" s="417">
        <f>SUM(O27:O28)</f>
        <v>138115550</v>
      </c>
      <c r="P26" s="417">
        <f>SUM(P27:P28)</f>
        <v>149793273</v>
      </c>
      <c r="Q26" s="419">
        <f>(O26-P26)/P26</f>
        <v>-7.7958928102198552E-2</v>
      </c>
      <c r="R26" s="418">
        <f>O26/$O$34</f>
        <v>0.35952371495818702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+[3]UPS!$IB$19</f>
        <v>264</v>
      </c>
      <c r="D27" s="231">
        <f>+[3]UPS!$HN$19</f>
        <v>284</v>
      </c>
      <c r="E27" s="349">
        <f>(C27-D27)/D27</f>
        <v>-7.0422535211267609E-2</v>
      </c>
      <c r="F27" s="347">
        <f>+SUM([3]UPS!$HR$19:$IB$19)</f>
        <v>2996</v>
      </c>
      <c r="G27" s="231">
        <f>+SUM([3]UPS!$HD$19:$HN$19)</f>
        <v>3401</v>
      </c>
      <c r="H27" s="348">
        <f>(F27-G27)/G27</f>
        <v>-0.11908262275801235</v>
      </c>
      <c r="I27" s="349">
        <f>+F27/$F$34</f>
        <v>0.21031941031941032</v>
      </c>
      <c r="J27" s="283"/>
      <c r="K27" s="343" t="s">
        <v>82</v>
      </c>
      <c r="L27" s="347">
        <f>+[3]UPS!$IB$64</f>
        <v>12678743</v>
      </c>
      <c r="M27" s="231">
        <f>+[3]UPS!$HN$64</f>
        <v>13471413</v>
      </c>
      <c r="N27" s="349">
        <f>(L27-M27)/M27</f>
        <v>-5.8840895160737781E-2</v>
      </c>
      <c r="O27" s="347">
        <f>+SUM([3]UPS!$HR$64:$IB$64)</f>
        <v>138115550</v>
      </c>
      <c r="P27" s="231">
        <f>+SUM([3]UPS!$HD$64:$HN$64)</f>
        <v>149793273</v>
      </c>
      <c r="Q27" s="348">
        <f>(O27-P27)/P27</f>
        <v>-7.7958928102198552E-2</v>
      </c>
      <c r="R27" s="349">
        <f>O27/$O$34</f>
        <v>0.35952371495818702</v>
      </c>
      <c r="S27" s="370"/>
      <c r="T27" s="435"/>
    </row>
    <row r="28" spans="1:20" x14ac:dyDescent="0.2">
      <c r="A28" s="283"/>
      <c r="B28" s="343" t="s">
        <v>83</v>
      </c>
      <c r="C28" s="347">
        <f>+[3]Bemidji!$IB$19</f>
        <v>428</v>
      </c>
      <c r="D28" s="231">
        <f>+[3]Bemidji!$HN$19</f>
        <v>408</v>
      </c>
      <c r="E28" s="349">
        <f>(C28-D28)/D28</f>
        <v>4.9019607843137254E-2</v>
      </c>
      <c r="F28" s="347">
        <f>+SUM([3]Bemidji!$HR$19:$IB$19)</f>
        <v>4332</v>
      </c>
      <c r="G28" s="231">
        <f>+SUM([3]Bemidji!$HD$19:$HN$19)</f>
        <v>4532</v>
      </c>
      <c r="H28" s="348">
        <f t="shared" ref="H28" si="14">(F28-G28)/G28</f>
        <v>-4.4130626654898503E-2</v>
      </c>
      <c r="I28" s="349">
        <f>+F28/$F$34</f>
        <v>0.3041067041067041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Cargo'!$IB$19</f>
        <v>0</v>
      </c>
      <c r="D30" s="417">
        <f>+'[3]Misc Cargo'!$HN$19</f>
        <v>2</v>
      </c>
      <c r="E30" s="418">
        <f>(C30-D30)/D30</f>
        <v>-1</v>
      </c>
      <c r="F30" s="421">
        <f>+SUM('[3]Misc Cargo'!$HR$19:$IB$19)</f>
        <v>12</v>
      </c>
      <c r="G30" s="417">
        <f>+SUM('[3]Misc Cargo'!$HD$19:$HN$19)</f>
        <v>8</v>
      </c>
      <c r="H30" s="419">
        <f>(F30-G30)/G30</f>
        <v>0.5</v>
      </c>
      <c r="I30" s="418">
        <f>+F30/$F$34</f>
        <v>8.4240084240084243E-4</v>
      </c>
      <c r="J30" s="283" t="s">
        <v>127</v>
      </c>
      <c r="K30" s="40"/>
      <c r="L30" s="421">
        <f>+'[3]Misc Cargo'!$IB$64</f>
        <v>0</v>
      </c>
      <c r="M30" s="417">
        <f>+'[3]Misc Cargo'!$HN$64</f>
        <v>30</v>
      </c>
      <c r="N30" s="418">
        <f>(L30-M30)/M30</f>
        <v>-1</v>
      </c>
      <c r="O30" s="421">
        <f>+SUM('[3]Misc Cargo'!$HR$64:$IB$64)</f>
        <v>111244</v>
      </c>
      <c r="P30" s="417">
        <f>+SUM('[3]Misc Cargo'!$HD$64:$HN$64)</f>
        <v>7535</v>
      </c>
      <c r="Q30" s="419">
        <f>(O30-P30)/P30</f>
        <v>13.763636363636364</v>
      </c>
      <c r="R30" s="418">
        <f>O30/$O$34</f>
        <v>2.8957533128462769E-4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1354</v>
      </c>
      <c r="D34" s="374">
        <f>+D30+D26+D20+D9+D5</f>
        <v>1384</v>
      </c>
      <c r="E34" s="375">
        <f>(C34-D34)/D34</f>
        <v>-2.1676300578034682E-2</v>
      </c>
      <c r="F34" s="374">
        <f>+F30+F26+F20+F9+F5</f>
        <v>14245</v>
      </c>
      <c r="G34" s="374">
        <f>+G30+G26+G20+G9+G5</f>
        <v>15088</v>
      </c>
      <c r="H34" s="376">
        <f>(F34-G34)/G34</f>
        <v>-5.5872216330858961E-2</v>
      </c>
      <c r="I34" s="385"/>
      <c r="K34" s="40"/>
      <c r="L34" s="374">
        <f>+L30+L26+L20+L9+L5</f>
        <v>35260369</v>
      </c>
      <c r="M34" s="374">
        <f>+M30+M26+M20+M9+M5</f>
        <v>37551719</v>
      </c>
      <c r="N34" s="377">
        <f>(L34-M34)/M34</f>
        <v>-6.1018511562679727E-2</v>
      </c>
      <c r="O34" s="374">
        <f>+O30+O26+O20+O9+O5</f>
        <v>384162558</v>
      </c>
      <c r="P34" s="374">
        <f>+P30+P26+P20+P9+P5</f>
        <v>406944535.77999997</v>
      </c>
      <c r="Q34" s="376">
        <f t="shared" ref="Q34" si="15">(O34-P34)/P34</f>
        <v>-5.5983004505351645E-2</v>
      </c>
      <c r="R34" s="385"/>
      <c r="T34" s="433"/>
    </row>
    <row r="35" spans="2:20" x14ac:dyDescent="0.2">
      <c r="L35" s="282"/>
      <c r="T35" s="433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8" orientation="portrait" r:id="rId1"/>
  <headerFooter>
    <oddHeader>&amp;C&amp;"Arial,Bold"MSP Cargo 
November 2022</oddHeader>
  </headerFooter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2023-09-22T18:17:51Z</dcterms:modified>
</cp:coreProperties>
</file>